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90A6723-914D-4CB0-8AFA-67DA6803689A}" xr6:coauthVersionLast="47" xr6:coauthVersionMax="47" xr10:uidLastSave="{00000000-0000-0000-0000-000000000000}"/>
  <bookViews>
    <workbookView xWindow="-108" yWindow="-108" windowWidth="23256" windowHeight="12576" xr2:uid="{00000000-000D-0000-FFFF-FFFF00000000}"/>
  </bookViews>
  <sheets>
    <sheet name="Tr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3" i="1"/>
  <c r="E12" i="1"/>
  <c r="E11" i="1"/>
  <c r="E10" i="1"/>
  <c r="E9" i="1"/>
  <c r="E8" i="1"/>
  <c r="E7" i="1"/>
  <c r="E6" i="1"/>
  <c r="E5" i="1"/>
  <c r="E4" i="1"/>
  <c r="E3" i="1"/>
</calcChain>
</file>

<file path=xl/sharedStrings.xml><?xml version="1.0" encoding="utf-8"?>
<sst xmlns="http://schemas.openxmlformats.org/spreadsheetml/2006/main" count="16015" uniqueCount="3996">
  <si>
    <t>Annotator 2</t>
  </si>
  <si>
    <t>Annotator 1</t>
  </si>
  <si>
    <t>Final Annotation</t>
  </si>
  <si>
    <t>Text</t>
  </si>
  <si>
    <t>hate</t>
  </si>
  <si>
    <t>NoAg</t>
  </si>
  <si>
    <t>কুমিল্লা নানুয়া দীঘির পাড় ,পূজা মণ্ডলে কোরআনুল কারিমের অবমাননায় দল-মত নির্বিশেষে সকলে বজ্র কণ্ঠে ,প্রতিবাদী আওয়াজ তোলা ঈমানী দায়িত্ব!</t>
  </si>
  <si>
    <t>lifeth</t>
  </si>
  <si>
    <t>১৬ অক্টোবরে কলকাতায় এক সংবাদ সম্মেলনে বাংলার মুখ্যমন্ত্রী হোসেন শহীদ সোহ্‌রাওয়ার্দী নোয়াখালীতে হিন্দুদের উপর চলতে থাকা পাশবিক গণ হত্যা,ধর্ষণ,জোরপূর্বক ধর্মান্তকরনের কথা স্বীকার করেন।</t>
  </si>
  <si>
    <t>vndlsm</t>
  </si>
  <si>
    <t> সর্বজনীন দুর্গা মন্দির এবং মিত্রবাড়ি পারিবারিক মন্দিরে রাতের আঁধারে তালা ভেঙে প্রতিমা ভাঙচুর করা হয় এবং আগুন দেওয়ার ঘটনা ঘটে।</t>
  </si>
  <si>
    <t>কাফির মুশরিকরা তাঁকে আল্লাহর দ্বীন থেকে হটাতে নানা রকম প্রলোভন দিয়েছিল। দিয়েছিল হুমকি-ধামকি। রাসূল সা: অত্যন্ত বীরত্বপূর্ণ সাহসিকতা নিয়ে বলেছিলেন ‘আল্লাহর শপথ! এক হাতে সূর্য আর এক হাতে চাঁদ এনে দিলেও আমি পশ্চাৎপদ হবো না।’</t>
  </si>
  <si>
    <t>মৃত্যুর পর কোনো চেতনা কাজে লাগবেনা। তখন চেতনা একটাই ঈমানের সাথে মৃত্যুবরণ করেছেন কিনা সেই প্রশ্ন।</t>
  </si>
  <si>
    <t xml:space="preserve">কিছুদিন আগে রাজশাহী বিশ্ববিদ্যালয়ের হলে সেহেরীতে গরুর মাংস দেয়া নিয়েও সমস্যা! কেনো রে ভাই? কোন লজিকে এসব থিওরি সামনে আসে? </t>
  </si>
  <si>
    <t>ইসলামের পূর্ণাঙ্গ অর্থ শান্তি সম্প্রিতী বজায় রাখা তবে কিছু জনগোষ্ঠী নিজস্ব স্বার্থ হাসিলে ইসলাম ধর্ম-কে ব্যাবহার করে।</t>
  </si>
  <si>
    <t>প্রশাসনের নজরদারী থাকা সত্ত্বেও মসজিদের মাইক ব্যবহার করে কেমন করে উগ্রবাদী গোষ্ঠী একত্রিত হয়ে এরূপ মধ্যযুগীয় তাণ্ডব চালাতে পারল।[</t>
  </si>
  <si>
    <t>বিকলঙ্গ জাতিসংঘ নির্বাক, হয়তো সেও মিলিয়েছে ওই পশুদের সাথে হাত। গাজায় আর কত নিরীহ নারী, শিশুদের যাবে প্রাণ, জাতিসংঘের ঘুম ভাঙবে?</t>
  </si>
  <si>
    <t>বিক্ষোভ মিছিলে কুমিল্লার মক্কিনগর মাদ্রাসার শ্রদ্ধেয় মুহতামিম 'মাওলানা আব্দুস সালাম শরাফতি' সাহেব গু*লিবিদ্ধ হন!</t>
  </si>
  <si>
    <t>এই অনুষ্ঠানে উপস্থিত হয়েছি আশা করি কেয়ামতের দিন হয়তো আর কোন ভালো কাজ না থাকলে এই ভালো কাজের সাথে থাকার জন্য হলেও মাফ পেতে পারি</t>
  </si>
  <si>
    <t>আল্লাহ তুমি এই দেশে গজব নাজিল কর বিশ্বের মুসলিমদের কে তুমি হেফাজত কর</t>
  </si>
  <si>
    <t>মানে মানুষকে নিয়ে হাসিঠাট্টা আর ট্রোল-রোস্ট করতে করতে আমার এমন অবস্থায় চলে আসছি, ধর্ম এখন আর আমাদের কাছে বড় কিছু না। মানুষ হাসাইতে পারলেই হইছে, সেটা যেমনেই হোক - যায় আসে না।</t>
  </si>
  <si>
    <t>আমি সবসময় ইতিবাচক চিন্তাধারা ও সুস্থ আলোচনাকে প্রাধান্য দিই। যদি কেউ ব্যক্তিগতভাবে, ধর্ম বা রাষ্ট্রবিরোধী কোনো পোস্ট বা শেয়ার করে, সেটি আমার মতামত নয়। আমার শুভাকাঙ্ক্ষীদের অনুরোধ করবো সঠিক তথ্য যাচাই করে গঠনমূলক সংলাপ বজায় রাখতে এবং সন্দেহজনক আইডিগুলোর বিষয়ে সচেতন থাকতে।</t>
  </si>
  <si>
    <t>ধর্মের প্রতি অবমাননা একটি সমাজের মূল্যবান স্তম্ভের নাশন। যে কেউ ধর্মের নামে আত্মঘাতী কাজ করলে, সে কর্তব্যপ্রাণ মানুষের চেয়ে শুধুমাত্র একজন দুর্বল মানুষ।</t>
  </si>
  <si>
    <t>২০১৯ সালের ২০ অক্টোবর ভোলার বোরহানউদ্দিন উপজেলায় হিন্দুদের বাড়ি ঘরে হামলা হয় ফেসবুক পোস্টের অজুহাত তুলে৷ পরে তদন্তে দেখা যায় বিপ্লব চন্দ্র দাস নামে একজনের ফেসবুক আইডি হ্যাক করে ওই পোস্ট দেয়া হয়েছিল৷</t>
  </si>
  <si>
    <t>অন্ধকারের সমুদ্রে আমার জীবন ডুবে গেছে, আমি তোমার নামে প্রণাম জানাই। আমার শরীর ভস্ম হলেও, আমার আত্মা তোমার প্রেমে প্রস্থান করবে।</t>
  </si>
  <si>
    <t>ঈদ-উল আযহা কখন আর কোন প্রেক্ষাপটে চালু হয়েছিল তা ইতিহাস থেকে জানা যায়। কিন্তু ঈদ-উল ফিতর কখন আর কিভাবে প্রচলিত হয়েছিল, সে সম্পর্কে তথ্য কমই জানা যায়।</t>
  </si>
  <si>
    <t>এক পর্যায়ে তিনি তাদের নিয়ে ওয়াদ্দান পৌছান। তবে বাহিনীটি কুরাইশদের মুখোমুখি হতে পারেনি। এই অভিযানকালে বনু দামরার সাথে মুহাম্মাদ এর মৈত্রী চুক্তি হয়েছিল।[১][২] এটি প্রথম কোনো অভিযান যাতে মুহাম্মাদ সশরীরে নেতৃত্ব দিয়েছেন। বাহিনীটি মোট ১৫দিন মদিনার বাইরে ছিল। বাহিনীর পতাকা ছিল সাদা এবং হামজা ইবনে আবদুল মুত্তালিব ছিলেন বাহিনীর পতাকাবাহক।</t>
  </si>
  <si>
    <t>নবী করিম (সাঃ)এর জমানায় নবী বা ইসলাম নিয়ে প্রকাশ্যে কটুক্তি করলে তার গর্দান কেটে দিতো সাহাবীরা এর জন্য নবীর অনুমতিও নিতো না।</t>
  </si>
  <si>
    <t>ঐ যে ছোট্ট বিন্দুটি দেখা যাচ্ছে ওটাই হলো পৃথিবী। ওটার আবার তিন ভাগ জল আর একভাগ স্থল। ঐ স্থলের বাস করা একটা ছেলে কিছুদিন আগে প্রেমিকার উপর রাগ করে ৪০ টা ঘুমের ওষুধ খেয়ে আত্মহত্যা করেছে।</t>
  </si>
  <si>
    <t>মানবাধিকার সংগঠন ব্লাস্টের সারা হোসেন বলেছেন, ধর্ম অবমাননার গুজব ছড়িয়ে কয়েকদিন ধরে যে সব ঘটনা ঘটেছে, সেগুলোকে অগ্রাধিকার দিয়ে আইনী ব্যবস্থা নেয়া উচিত।</t>
  </si>
  <si>
    <t>আটজন প্রত্যক্ষদর্শী মুসলিম গ্রামবাসীকেও পরবর্তীতে হত্যা করা হয়। আবার কারও কারও মতে এই হত্যাকাণ্ডে প্রায় ১২৫ জন হিন্দু মারা যান। ঘটনায় প্রকৃত মৃতের সংখ্যা নিয়ে মতভেদ থাকার কারণে মৃতের সংখ্যাকে প্রায় ১০০ হিসেবে গণ্য করা হয়।</t>
  </si>
  <si>
    <t>বাবরি মসজিদ ধ্বংসের ফলে আনুষ্ঠানিকভাবে, পুলিশের দ্বারা জনতা দাঙ্গা ও গুলি চালিয়ে ৯০০ মানুষ মারা গিয়েছিলেন, ২,০৩৬ জন আহত এবং হাজার হাজার অভ্যন্তরীণ বাস্তুচ্যুত হয়েছেন।</t>
  </si>
  <si>
    <t>নরওয়ের অসলোর ঘটনায় যে কুখ্যাত গণঘাতক অ্যান্ডার্স ব্রেভিক ৭৭ জনকে হত্যা করেছিল তারও প্রশংসা করা হয়েছে। ওই হামলাকারীও ১৫০০ পৃষ্ঠার ম্যানিফেস্টোর মাধ্যমে সামগ্রিক বিষয়ের ব্যাখ্যা তুলে ধরেছিল। ক্রাইস্টচার্চের হামলাকারী মার্কিন প্রেসিডেন্ট ডোনাল্ড ট্রাম্পেরও প্রশংসা করেছেন।</t>
  </si>
  <si>
    <t>পরিবারের সদস্যদেরকে পিটিয়ে বাড়ি ঘর লুট করে মুসলিমরা। উপাসনালয়ের পবিত্র ছবি ও মূর্তি ভেঙ্গে ফেলা হয় এবং পরিবারের সকল সদস্যদেরকে জোরপূর্বক ইসলাম ধর্মান্তরিত করে। এরপর মুসলিমরা আজমতপুর, দাসপাড়া, নাসিয়াঞ্জি এবং মহেশপুর গ্রামে ঝাপিয়ে পড়ে। </t>
  </si>
  <si>
    <t>ধর্মীয় মতাদর্শের বিরোধের কারণে বহু নিরীহ মানুষ প্রাণ হারিয়েছে, যা সমাজে ভয়াবহ অস্থিরতা ও সহিংসতা সৃষ্টি করেছে।</t>
  </si>
  <si>
    <t>ধর্ম মানুষ এবং আল্লাহর মধ্যে একটি গভীর আত্মিক সম্পর্ক। একজন ব্যক্তি কতবার নামাজ পড়বেন, তা সম্পূর্ণ তাদের ব্যক্তিগত সিদ্ধান্ত। তবে ধর্মকে সদ্ভাব, মানবতা এবং ন্যায়পরায়ণতার জন্য ব্যবহার করা উচিত, যা সমাজে শান্তি ও সৌহার্দ্য বৃদ্ধি করে।</t>
  </si>
  <si>
    <t>ঊনবিংশ শতাব্দীতে দারিদ্র্য এতটাই চরম ছিল যে সতীদাহ ছিল এমন একজন মহিলার জন্য পালানোর উপায় যার কোনো উপায় বা বেঁচে থাকার আশা নেই।</t>
  </si>
  <si>
    <t>নোয়াখালী জেলার পাঁচঘরিয়া গ্রামের অনন্তকুমার রায়ের মেয়ে আরতীপ্রভা শূররায়ের বয়ান থেকে জানা যায়,গ্রামের রাজকুমার পালকে মুণ্ডচ্ছেদ করার পর গ্রামবাসীরা জিল্লুর রহমান ওরফে কাদিরের সাথে আরতীকে বিয়ে দেয়ার জন্য তার পরিবারকে হুমকি দেয়।কিন্তু তার পরিবার রাজি না হওয়ায় তাকে অপহরণ করে নিয়ে আসে এবং মুসলিম বানিয়ে বিয়ে দেয়া হয়।</t>
  </si>
  <si>
    <t xml:space="preserve">দোয়া নিয়ে আলোচনা করতে গিয়ে সূরা মারিয়াম এর ঘটনা বর্ণনা করা হয়েছে যেটা আমাদের জন্য খুবই অনুপ্রেরণামূলক ছিল। এমন অনেক অবাস্তব কিংবা অকল্পনীয় বিষয় আছে যেগুলো নিয়ে আমরা কখনো ভাবি না, আল্লাহর কাছে কখনো চাই না, অজান্তে আমাদের কাছে মনে হয় যে হয়তো আল্লাহ এই দোয়া কবুল করবেন না! </t>
  </si>
  <si>
    <t>আমি একজন বাংলাদেশী হিন্দু। যে সব মানুষ অন‍্য ধর্মের মানুষের ধর্মীয় অনুভূতিতে আঘাত করে তাদের প্রত‍্যেকেই আমি ধিক্কার জানাই।</t>
  </si>
  <si>
    <t>পৌত্তলিক আরবরা একটি অন্ধ এবং অদম্য ভাগ্যে বিশ্বাস করত যার উপর মানুষের কোন নিয়ন্ত্রণ ছিল না। এই শক্তিশালী কিন্তু অসংবেদনশীল ভাগ্যের জন্য কুরআন একজন শক্তিশালী কিন্তু ভবিষ্যতকারী এবং করুণাময় ঈশ্বরকে প্রতিস্থাপিত করেছে। কোরান সকল প্রকারের প্রত্যাখ্যান করে তার আপোষহীন একেশ্বরবাদের মাধ্যমে বহন করেছেমূর্তিপূজা এবং সমস্ত দেবতা ও দেবতাদের নির্মূল করা যা আরবরা তাদের অভয়ারণ্যে উপাসনা করত ( হারাম ), যার মধ্যে সবচেয়ে বিশিষ্ট ছিলমক্কাতেই কাবা অভয়ারণ্য ।</t>
  </si>
  <si>
    <t>ওয়েজিন বক্তা তাদের বক্তব্যের মাধ্যমে অহরহ ফ্যাসাদ ও শৃঙ্খলা ভঙ্গ করছে সমাজে। ঐক্যবদ্ধ মুসলিম সমাজের চিন্তাচেতনা দিন দিন হ্রাস পাচ্ছে। মুসলমানদের মধ্যে অনৈক্য বিভাজন বাড়ছে। পরিবার ও সমাজে নানা মতের সদস্য তৈরি হচ্ছে। ফলে সমাজের নানা সেক্টরের মুসলিম অনুসারীদের মধ্যে বিভিন্ন গ্রুপ তৈরি হচ্ছে।</t>
  </si>
  <si>
    <t>এরপর যখন সবার রক্তরঙ লাল হয় তখন বিভেদ কিসের এতো ? আর হানাহানি সাম্প্রদায়িক দাঙ্গা কিসের জন্য হয় ? শুধুই কি নিজেই বেচে থাকতে নাকি অন্যকিছু !</t>
  </si>
  <si>
    <t>অন্ধ বিশ্বাস ও উগ্র চিন্তাধারা মানুষকে সহিংস করেছে, যার ফলে ধর্মীয় বিদ্বেষ থেকে অসংখ্য মানুষ প্রাণ হারিয়েছে।</t>
  </si>
  <si>
    <t>ভয়ংকর এক সামাজিক ব্যাধি আত্মহত্যা। ইসলামে আত্মহত্যা হারাম ও কবিরা গুনাহ। পবিত্র কোরআনে আল্লাহতায়ালা এ ঘৃণ্য কাজ থেকে বিরত থাকার আদেশ দিয়েছেন।</t>
  </si>
  <si>
    <t>যখন জেএমবির দ্বারা বোমা বিষ্ফোরণের ঘটনা ঘটল তখন সারা দেশের আলেম-উলামা এর বিরুদ্ধে বক্তব্য দিয়ে তাদের অবস্থান পরিষ্কার করেছেন। এদেশের সংখ্যালঘু জনগণের নেতা বা প্রতিনিধিদের থেকে কি এ ধরনের কোনো অবস্থান দেখা গেছে?</t>
  </si>
  <si>
    <t>অভিযুক্ত শিক্ষকের বিরুদ্ধে সোমবার থানায় একটি সাধারণ ডায়েরি হয়েছে এবং ধর্মীয় অনুভূতিতে আঘাত দেয়ার অভিযোগে মামলা দায়েরের প্রস্তুতি চলছে।</t>
  </si>
  <si>
    <t>আমার কাছে কাউকে তার ধর্ম নিয়ে আক্রমণ করাটা সবচেয়ে বেশি দুঃখজনক ব্যাপার। প্রত্যেকেরই তাদের মতামত দেওয়ার অধিকার আছে। কিন্তু আমি ব্যক্তিগতভাবে কখনোই ধর্মের কারণে কাউকে বৈষম্য করার কথা ভাবিনি। এটি (ধর্ম) প্রতিটি মানুষের কাছে অত্যন্ত ব্যক্তিগত ও পবিত্র বিষয়।</t>
  </si>
  <si>
    <t>উগ্রপন্থীরা হিন্দুদের থেকে প্রায় ৫০টি গরু, ছাগল, হাস-মুরগি নিয়ে যায়। তারা হিন্দুদের ধান, গোলা ঘর, খড়ের গাদাতে আগুন ধরিয়ে দেয়। তারা হিন্দুদের দুটি মন্দিরে আগুন লাগায়। তারা মন্দিরের মাইক ও অন্য জিনিস লুট করে। একটি মন্দির আগুনে ভস্ম হয়ে যায়। </t>
  </si>
  <si>
    <t>প্রসন্ন ভাবে ধর্মীয় আবেগের ছোঁয়া লাগিয়ে পৃথিবীতে সংঘাত ছড়িয়ে দিতে চাই আমেরিকা। বিশ্বের বিভিন্ন ধর্মের মানুষ ধর্মীয় অনুভূতির কারণেই অবচেতন মনে ভুল পথে পা বাড়ায়,যেটা মার্কিন সম্রাজ্যবাদ চায়।</t>
  </si>
  <si>
    <t>ভাইজান সুন্দর ব্যবহার করবেন ধৈর্য সহকারে বোঝা হতে পারে আল্লাহ তায়ালা এদেরকে কোনদিন হেদায়েত দান করবেন</t>
  </si>
  <si>
    <t>বরগুনা গণহত্যা হলো ১৯৭১ সালের ২৯ ও ৩০ মে পাকিস্তানি বাহিনী কর্তৃক বরগুনা মহাকুমা জেলে নিরস্ত্র কয়েদিদের উপর চালানো গণহত্যা। এই নৃশংস হত্যাকান্ডে একশ জনের বেশি মানুষ নিহত হয়।</t>
  </si>
  <si>
    <t>আপনাদের মতো কাফিরেরা ততক্ষণ পর্যন্ত শান্ত হয় না যতক্ষণ পর্যন্ত বাশ খেতে খেতে শেষে মুখ দিয়ে বমি না আসে, অপেক্ষা করুন, হয়তো পৃথিবীতে নয়তো মাটির নিচে গিয়ে যেখানেই হোক সত্য ইতিহাস একদিন জানতে পারবেনই, সেদিন হয়তো আক্ষেপ ছাড়া কিচ্ছু থাকবে না,</t>
  </si>
  <si>
    <t>চট্টগ্রাম আদালতের সহকারী সরকারি কৌঁসুলি (এপিপি) সাইফুল ইসলাম আলিফকে (৩৫) যেভাবে সম্মিলিত সনাতনী জাগরণ জোটের মুখপাত্র চিন্ময় কৃষ্ণের সমর্থকরা ‘যেভাবে কুপিয়ে হত্যা করেছে, তা নজিরবিহীন’ বলে মন্তব্য করেছেন তথ্যপ্রযুক্তি বিষয়ক উপদেষ্টা নাহিদ ইসলাম। শিগগিরই ‘সন্ত্রাসীদের’ গ্রেফতার করা হবে বলেও জানান তিনি।</t>
  </si>
  <si>
    <t>আরেকদিকে আছে বাংলাদেশের সর্বোচ্চ বিদ্যাপীঠ ঢাকা বিশ্ববিদ্যালয় যেখানে ২০২২ সালের টিএসসিতে তারাবির নামাজ আদায়কালে সন্ত্রাসীরা মুসল্লিদের পেটাই ছিল</t>
  </si>
  <si>
    <t>এমনিতে বাঙালি হিন্দুরা কোনও দিনই ঠিক গর্বের সঙ্গে 'হিন্দুত্ব' প্রকাশে তেমন ব্যাকুলতা দেখায়নি। আমার তো মনে হয় পুজো পার্বণকেও যতটা না ধর্মীয়, তার থেকে বেশি সামাজিক উৎসবের রূপ দিয়ে তাতে মেতে ওঠাই বাঙালি হিন্দুদের মধ্যে চিরকাল প্রাধান্য পেয়েছে।</t>
  </si>
  <si>
    <t>ধর্ম আর রাজনীতি দুটো পৃথক বিষয় , রাজনীতির মধ্যে ধর্ম মিশলে রাজনীতির সাথে সাথে ধর্ম কলুষিত হয় ।</t>
  </si>
  <si>
    <t>একজন মুসলিম হিসেবে আমাদের কর্তব্য অমুসলিম ভাইদের সুরক্ষা দেওয়া। তাদের মৌলিক অধিকার আদায়ে আমাদের সহযোগিতা করা। কোনোভাবেই তাদেরকে ভীত সন্ত্রস্ত করার অধিকার কারো নেই।</t>
  </si>
  <si>
    <t>সন্ত্রাসীরা দেশীয় অস্ত্রশস্ত্র নিয়ে গ্রামে ঢুকে প্রথমে চায়ের দোকানদার দেব কুমারের কাছে ৩ লাখ টাকা চাঁদা দাবি করে। এরপর তাকে মারপিঠ শুরু করে। সার ব্যবসায়ী বিকাশ মন্ডলের কাছ থেকে এক লাখ ২০ হাজার টাকা ছিনিয়ে নেয় হামলাকারীরা এবং মারপিট করে। হামলাকারীরা বিভিন্ন বাড়িতে ঢুকে গালিগালাজ করে। ত্রাস সৃষ্টি করে ঘরে ঢুকে নগদ টাকা ও স্বর্ণালংকার লুট করে।</t>
  </si>
  <si>
    <t>যে আপনাদের পর্দার আড়ালে করে রাখে ..সেই আবার পাড়ার পল্লীতে গিয়ে রাত কাটায়, এমন মুসলমানদের অভাব নাই, কিন্তু দুঃখজনক বিষয় হলো ও এটা শুধু বাংলাদেশেই হয়..</t>
  </si>
  <si>
    <t>নারায়ণগঞ্জের হিন্দুদের উপর মুসলিমদের চালানো নারকীয় বীভৎস গণহত্যা, ধর্ষণ,অপহরণ,নির্যাতন,লুটপাটের আলোকচিত্র সংগ্রহের জন্য নটরডেম কলেজের অধ্যাপক রিচার্ড নোভাক আসেন।কিন্তু তাকে আদর্শ কটন মিলের নিকটে নির্মমভাবে কুপিয়ে হত্যা করে মুসলিমরা।</t>
  </si>
  <si>
    <t xml:space="preserve">টেন মিনিট স্কুলের আরেক সেক্যুলার 'সাকিব বিন রশিদ'! যে কিছুদিন আগেও ইসলাম ধর্ম নিয়ে সন্দেহ লাগে বলেছিলো। </t>
  </si>
  <si>
    <t>সুন্নি এবং শিয়া উভয় মুসলিমই এই রাতকে ক্ষমার রাত হিসেবে স্বীকৃতি দেয়। মুসলমানরা মধ্য শাবানকে ইবাদত এবং মুক্তির রাত হিসেবে পালন করে। ইমাম শাফিয়ী, ইমাম নওয়াবী, ইমাম গাজ্জালী এবং ইমাম সুয়ুতির মতো পণ্ডিতরা মধ্য শাবানের রাতে প্রার্থনা গ্রহণযোগ্য বলে ঘোষণা করেছেন।</t>
  </si>
  <si>
    <t>আমি এই পর্ব মাঝে মাঝে শুনি। অসম্ভব সুন্দর কণ্ঠ এবং ঘটনাগুলো। প্রত্যেকটা মুহূর্ত কিছুক্ষণ ভালো লাগা অনুভব করায়।</t>
  </si>
  <si>
    <t>এক হিন্দু ভুক্তভোগী বলেন, 'আমাদের মন্দিরে হামলা হলে আমরা কার কাছে যাব?</t>
  </si>
  <si>
    <t>হজরতবাল ঘটনার গুজব ছড়ানোর পর থেকেই পূর্ব-পাকিস্তান প্রকৌশল ও প্রযুক্তি বিশ্ববিদ্যালয়ের হিন্দু ছাত্রাবাসের উপর পাথর নিক্ষেপ করে মুসলিমরা তাদের প্রচণ্ড আক্রোশের প্রকাশ করত।</t>
  </si>
  <si>
    <t>আল্লাহ শব্দটির ব্যুৎপত্তি নিয়ে ধ্রুপদী আরব ভাষাতত্ত্ববিদগণ ব্যাপক আলোচনা করেছেন।[১২] বাসরা বিদ্যালয়ের ব্যাকরণবিদগণ এই শব্দটিকে "স্বতঃস্ফূর্তভাবে" গঠিত শব্দ বা "লাহ" (ক্রিয়ামূল "লিহ" থেকে আগত) এর একটি নির্দিষ্ট রূপ হিসেবে বিবেচনা করেন।</t>
  </si>
  <si>
    <t xml:space="preserve">কিন্তু কিছু কুচক্রী মহল হিন্দু-মুসলিম দাঙ্গা বাধিয়েছে রাজনৈতিক ফায়দা হাসিলের জন্য এটাকে মন্দিরের জমিতে মসজিদে নির্মাণ করা হচ্ছে বলে প্রচার করছে। </t>
  </si>
  <si>
    <t>ঐতিহাসিকভাবে কাশ্মীর ভারতীয় সংস্কৃতি, ধর্ম এবং সাহিত্যের কেন্দ্রস্থল। কিন্তু এই এলাকায় কাশ্মীরি পণ্ডিত হিন্দুরা শতাব্দী ধরে অত্যাচারের শিকার হয়, জোরপূর্বক ধর্মান্তরিত হয় এবং স্বাধীনতার আগে ও পরে এসবের শিকার হতে থাকে।</t>
  </si>
  <si>
    <t>বিজ্ঞান শিক্ষার সঙ্গে ধর্মীয় শিক্ষার কোন সংঘর্ষ বাংলাদেশের শিক্ষা ব্যবস্থায় নেই, কখনো ছিল না, আগামীতেও থাকবে না। সুতরাং সংঘর্ষের কোন পরিস্থিতি কারণ দেখছি না।''</t>
  </si>
  <si>
    <t>বাংলাদেশে দুর্গাপূজার প্রস্তুতিতে ১১টি জেলায় ১৩টি মন্দিরে প্রতিমা ভাঙচুর করা হয়েছে বলে অভিযোগ তুলে উদ্বেগ প্রকাশ করেছে পূজা উদযাপন পরিষদ।</t>
  </si>
  <si>
    <t>যতক্ষণ পর্যন্ত আমার জীবন আমার জন্য কল্যাণকর, ততক্ষণ আমাকে জীবিত রাখো। আর আমাকে মৃত্যু দাও তখনই, যখন আমার জন্য মৃত্যুটা কল্যাণকর।</t>
  </si>
  <si>
    <t xml:space="preserve">২২ শে মে সকাল দশটার দিকে প্রায় ৫০০ সশস্ত্র সহযোগীর একটি দল গ্রামটিকে ঘিরে ফেলে। গ্রামবাসী বারুই পরিবারের বাড়ীতে জড়ো হয়েছিল। সহযোগীরা গ্রামে পৌঁছালে প্রায় ২০০ বাঙ্গালী হিন্দু লাঠি, বর্শা এবং নিয়ে নিজেকে সজ্জিত করে ওয়াপদা বাঁধের অবস্থান গ্রহণ করেন। </t>
  </si>
  <si>
    <t>আমরা বৌদ্ধ, হিন্দু এবং মুসলমানদের জন্য আলাদা প্যাকেজ দেই। কিন্তু বৌদ্ধদের জন্যে আলাদা করে কিছু করি না। অথচ বৌদ্ধ প্রধান দেশগুলো থেকে যারা আসেন, তাদের সংখ্যা বললে আমরা ভালোই টুরিস্ট পাচ্ছি।</t>
  </si>
  <si>
    <t>বাংলাদেশ সংবিধানে উল্লেখ আছে যে, সকল ধর্মের মানুষের উৎসব পালনের অধিকার আছে</t>
  </si>
  <si>
    <t>ধর্ম সুরসুড়ি দিয়ে মানুষের মধ্যে বিভাজন করে সহজেই ক্ষমতা থাকা যায়, কোনো উন্নয়ন প্রশ্ন মানুষ করবে না।</t>
  </si>
  <si>
    <t>রায়েরবাজারের হিন্দু মৃৎশিল্পীদের উপর হামলে পড়ে হাজারীবাগ চামড়া কারখানার নোয়াখালীর মুসলিম শ্রমিকরা এবং মুহাম্মদপুরের বিহারী মুসলিমরা।[২৩] রায়েরবাজারের প্রতিটি বাড়ি আগুনে পুড়িয়ে দেয় উন্মত্ত মুসলিমরা।কমপক্ষে ৯৬ জন হিন্দুকে সে সময়ে পাশবিক উপায়ে হত্যা করে তারা।</t>
  </si>
  <si>
    <t>কিছুকাল আগে জার্মানিতে গড়ে ওঠে ইসলামবিদ্বেষী সংগঠন পেগিডা। এরপর সংগঠনটি দ্রুত ইউরোপজুড়ে ছড়িয়ে পড়েছে। সংগঠনটির কর্মী-সমর্থকদের তৎপরতায় ভীত-সন্ত্রস হয়ে উঠেছে ইউরোপীয় মুসলিমরা।</t>
  </si>
  <si>
    <t>ধর্মীয় মানবাধিকারের প্রতি অঙ্গীকারের প্রায় সর্বজনীন অভিব্যক্তি বলে মনে হওয়া সত্ত্বেও, বিশ্বব্যাপী ধর্মীয় নিপীড়নের ফ্রিকোয়েন্সি-এবং তীব্রতা বিস্ময়কর। যদিও এটি করা অসম্ভব। তাদের বিশ্বাস বা ধর্মীয় অনুষঙ্গের জন্য নির্যাতিত মানুষের সঠিক সংখ্যা নিশ্চিতভাবে নির্ধারণ করুন, এটা প্রশ্নাতীত যে "ধর্ম ও বিশ্বাসের স্বাধীনতা লঙ্ঘন, গুরুতর নিপীড়নের কাজ সহ, ভয়ঙ্কর ফ্রিকোয়েন্সি সহ ঘটে।</t>
  </si>
  <si>
    <t>সামাজিক মাধ্যম ব্যবহারকারীদের অন্যান্য পোস্ট দেখলে আন্দাজ পাওয়া যায় যে এদের একটা বড় অংশই হিন্দুত্ববাদী এবং মুসলিম-বিরোধী।</t>
  </si>
  <si>
    <t>কামিনী কুমার দেব সহ পুরুষদের একটি লাইনে দাঁড় করানো হয় এবং বার্স্ট ফায়ার করে তাদের মেরে ফেলা হয়।[৩] পুরুষদের হত্যার পর, পাকিস্তানি সৈন্যরা নারীদের ধর্ষণ করে। রাজাকার এবং আলবদর সহ স্থানীয় সহযোগীরা গ্রামের ১৯টি বাড়িঘর এবং ৬টি শস্যাগারে আগুন লাগিয়ে দেয়।</t>
  </si>
  <si>
    <t>সারাদেশে নিষেধাজ্ঞা দিসে, নোটিশ গুলায় কি লিখা সেটা দেখেন নাই? আর এই বছর তো বাংলাদেশ আওয়ামী লীগ (বিএএল) কোন ইফতার পার্টি ই করতেসে না, টাকা নাকি অপচয় হবে যদিও জয় বাংলা কন্সার্ট ও নিজের বাপের বর্ষপূর্তি তে জাস্ট ১০০ কোটি টাকার আতশবাজি ই কিনসে।</t>
  </si>
  <si>
    <t>কুসংস্কারে ভরপুর যদি কোন ধর্ম থেকে থাকে তবে নিঃসন্দেহে বলা যেতে পারে সেটা হলো সনাতনীরা (হিন্দুধর্মের)</t>
  </si>
  <si>
    <t>আমরা সবাই জানি এরদোয়ান আসার পর তুরস্ক কীভাবে একটি উগ্র মুসলিম রাষ্ট্রে পরিণত হয়েছে। কীভাবে তুরস্কের সহায়তায় হাজার হাজার মুসলিম তরুণ আইএসে যোগ দিয়েছে। ইউরোপ থেকে তরুণরা আইএসে যোগ দেওয়ার জন্য তুরস্কে এসে সেখান থেকে সিরিয়ায় পাড়ি দিয়েছিল। এসব কিছুতে তুরস্কের সহযোগিতা না থাকলে এভাবে এত তরুণ সিরিয়া পাড়ি দিতে পারত না। অথচ বিবিসি বাংলা নির্লজ্জ ভাবে তুরস্ককে অসাম্প্রদায়িক রাষ্ট্র বলে অভিহিত করল। এতে ভীষণ হাসিও পেল।</t>
  </si>
  <si>
    <t>ইসলাম ধর্মে জন্মগ্রহণ করেছে ঠিকই, তবে ইসলাম সম্পর্কে কখনও জানার চেষ্টা করেনি, কুরআনের আয়াতগুলো বোঝার চেষ্টা করেনি, ইসলাম সম্পর্কে সামান্য জানার চেষ্টা করলেও এ ধরনের সিদ্ধান্ত নিতো না।</t>
  </si>
  <si>
    <t>২০ মে বিকালবেলা, প্রায় ২টা হবে, পাকিস্তানি দখলদারি সেনাবাহিনী গোয়ালাবাজারের রাস্তা দিয়ে বল্লবপুর হয়ে গালিমপুর গ্রামে এসে প্রবেশ করে। স্থানীয় রাজাকার আব্দুল আহাদ চৌধুরী এবং কালা মৌলভী, শেরপুরের একজন মাদ্রাসা শিক্ষক তাদের পরিচালনা করে নিয়ে যায়।[১] প্রবেশের সময় তারা ছয়জন গ্রামবাসীকে ঘিরে ফেলে এবং গুলি করে তাদের হত্যা করে।</t>
  </si>
  <si>
    <t>ধর্ম মানুষের অন্তরাত্মাকে শান্তির অনুভূতি প্রদান করে। এটি তাকে মানসিক শান্তি এবং দৃষ্টিভঙ্গি অর্জন করতে সাহায্য করে, যা তাকে জীবনের যেকোনো চ্যালেঞ্জে সহায়তা করে।</t>
  </si>
  <si>
    <t>যে সকল হিন্দু ট্রেন থেকে নামতে অস্বীকৃতি জানায় তাদেরকে সেখানেই গলা কেটে হত্যা করে তারা।[১৪][১৫] জানুয়ারির ১৫ তারিখে একদল হিংস্র মুসলিম জনতা ২০, নবাবপুর রোডের পুরোহিতের বাড়িতে ঢুকে রাধা-কৃষ্ণ মন্দির ধ্বংস করে এবং পুরোহিতের গলা কেটে মুণ্ডচ্ছেদ করে। </t>
  </si>
  <si>
    <t>যে গীতা মানে, সে কখনো কোন হিন্দুকে ছোট বা নিজেকে বড় মনে করে না, সবাই এক এবং সবাই ঈশ্বরের দাস, ঈশ্বর এক ও অদ্বিতীয় জানে এবং মানে। সনাতন তথা হিন্দু ধর্ম কল্যাণে কাজ করে, সবার উত্থানে ঈশ্বরের আদেশ পালন করে এবং মনে লালন করে।</t>
  </si>
  <si>
    <t xml:space="preserve">ক মার্কিন বিমান সেনা ফিলিস্তিনে গন হত্যার প্রতিবাদে তার নিজ শরীরে পেট্রোল ঢেলে আগুন লাগিয়ে আত্মহত্যা করে। লক্ষ কুটি ফিলিস্তিনির প্রতিবাদকে চাপিয়ে গেল এ্যারন কিলিনের প্রতিবাদ। </t>
  </si>
  <si>
    <t> দাস পরিবার ছিল কাশেমের নিকটতম প্রতিবেশী। আক্রমণকারী বাহিনী দাস পরিবারের ১৯ জন সদস্যকে নির্মম ভাবে হত্যা করে। হত্যার পূর্বে বাড়ির নারীদের ধর্ষণ করা হয়।[৩৩] মুসলিমরা রামগঞ্জ পুলিশ স্টেশনের আওতাধীন নোয়াখোলা গ্রামের চৌধুরী পরিবারের উপর হামলা চালায় বর্বর দাঙ্গাকারীরা। </t>
  </si>
  <si>
    <t>৫৭টি মুসলিম রাষ্ট্র নিয়ে "O,I,C" গঠিত। যদি মুসলমানদের বিপদে তারা গর্তে লুকিয়ে থাকে, তবে প্রয়োজন নেই এর। ভেঙে দেওয়া হোক, এসব লোক দেখানো সংস্থা কে।</t>
  </si>
  <si>
    <t>শহিদদের বিষয়ে আল্লাহ তায়ালা বলেছেন, আর আল্লাহর পথে যারা নিহত হয় তাদেরকে মৃত বলো না, বরং তারা জীবিত; কিন্তু তোমরা উপলব্ধি করতে পার না। </t>
  </si>
  <si>
    <t>রায় ঘোষণার পরপরই দুপুর ২ টার দিকে লাঠিতে সজ্জিত নেতাকর্মীরা এই রায়ের প্রতিবাদে মিছিল শুরু করে। মিছিলটি রাজগঞ্জ বাজারের কালী মন্দির এবং বৈন্নবাড়ির নিকটে মন্দিরে ভাঙচুর করে। এরপরে তারা নিকটবর্তী টঙ্গীপাড়া এবং আলাদিনগর গ্রামে হিন্দুদের আক্রমণ করে। তারা আটটি হিন্দু পরিবারে ভাঙচুর করে এবং অর্থ ও গহনা সহ সমস্ত মূল্যবান জিনিসপত্র লুট করে।</t>
  </si>
  <si>
    <t>এই ভিডিও দেখা প্রতিটি ভাই বোনের সাথে এই দুনিয়াবি জীবনের হয়তো কখনো দেখা হবে না কিন্তু ইনশাআল্লাহ আমরা একদিন একসঙ্গে জান্নাতে বসে সুরা পান কারতে করতে গল্প করবো!</t>
  </si>
  <si>
    <t>তারা ঘোষপাড়া,মুদকপাড়া(কুরিপাড়া), বাউলপাড়া, পাইত্তালপাড়ার প্রত্যেকটি হিন্দু বাড়িতে আক্রমণ ও লুটপাট করে আগুনে জ্বালিয়ে দেয়।এই সকল আক্রান্ত হাজার হাজার হিন্দু নরসিংদী কলেজ ভবনে আশ্রয় গ্রহণ করে। শুধুমাত্র নারায়ণগঞ্জ সাব-ডিভিশনে ৩,৫০০ এরও বেশি হিন্দুকে হত্যা করে মুসলিমরা।[১৮] কমপক্ষে ৩০০ হিন্দু নারীকে নির্মমভাবে ধর্ষণ করে তারা।এছাড়া ৩১,০০০ বাড়ি-ঘর লুটপাট ও ভাংচুর করে পুড়িয়ে ছাই করে দেয়।ফলশ্রুতিতে ১৫১ টি গ্রামের ৮০,০০০ হিন্দু আশ্রয়হীন হয়ে পড়ে।</t>
  </si>
  <si>
    <t>আজ যারা কুরআন মজীদের অবমাননা করে এবং আসমানী কিতাবের অমর্যাদা ও প্রত্যাখ্যানের ক্ষেত্রে তাদের অসৎ পূর্বসূরীদের অনুসরণ করে তাদের পরিণাম স্বয়ং আল্লাহ তাআলা ঘোষণা করেছেন। কুরআন মজীদের এইসব আয়াত এবং বর্তমান সময়ের কুরআন-অবমাননার বিভিন্ন ঘটনায় এ সময়ের মুসলমানদের জন্য অনেকগুলো শিক্ষণীয় বিষয় আছে।</t>
  </si>
  <si>
    <t>ফ্রান্সে ইসলাম নিয়ে দেশটির প্রেসিডেন্টের বক্তব্যের ব্যাপারে বাংলাদেশে ইসলামপন্থী সংগঠনগুলো যখন প্রতিবাদ করছে, সেই সুযোগ নিয়ে কোন গোষ্ঠী গুজব ছড়িয়ে ভিন্ন পরিবেশ সৃষ্টির চেষ্টা করছে।</t>
  </si>
  <si>
    <t>ওড়িশা সরকারের একজন মন্ত্রী বিশ্বনাথ দাস কসোরাম কটন মিলসের ওড়িয়া শ্রমিকদের হত্যার তদন্ত করতে লিচুবাগান পরিদর্শন করেছিলেন।[৩৩] কিছু সূত্র অনুমান করে যে মৃতের সংখ্যা ১০,০০০ বা তার বেশি ছিল।[৬] অনেক লেখক দাবি করেন যে হিন্দুরা প্রাথমিক ভুক্তভোগী ছিল।</t>
  </si>
  <si>
    <t>আকাশ সাহা নামে এক কলেজ ছাত্রের কথিত ফেসবুক পোস্টে ধর্ম অবমাননার অভিযোগ তুলে এই হামলা চালানো হয়৷ পুলিশ দ্রুতই অ্যাকশনে যাওয়ায় হামলাকারীরা আরো তাণ্ডব চালাতে পারেনি৷ তবে শুক্রবার জুমার নামাজের পর দিঘলিয়া বাজারে উত্তেজনা দেখা দেয়৷ মিছিলও বের করা হয়৷ তারা আকাশের বাড়ির সামনে গিয়ে তাকে গ্রেপ্তারের দাবিতে মিছিল করে৷ বিকেলে উত্তেজনা আরো বাড়ে৷ রাতে হামলা হয়৷ পুলিশ জুমার নামাজের পরই সক্রিয় হলে হয়তো হামলার ঘটনা ঘটত না৷</t>
  </si>
  <si>
    <t>১৯৮০ সালের পর মুসলিম জঙ্গিরা সেখানে কাশ্মীরি পণ্ডিতদের নির্মমভাবে হত্যা করে যারা কয়েক শতাব্দী ধরে সেখানে বসবাস করছিল।</t>
  </si>
  <si>
    <t>এক পর্যায়ে ১৬ অক্টোবর রংপুরের পীরগঞ্জ উপজেলায় ফেসবুকে কা’বা শরীফের ছবিতে ‘আপত্তিকর মন্তব্যের’ অভিযোগ এনে তিনটি গ্রামে হামলা, ভাঙচুর, লুটপাট করা হয়।</t>
  </si>
  <si>
    <t>ম্যাচে দলটির সবচেয়ে খরুচে বোলার ছিলেন শামি। এই পেসার ৩.৫ ওভারে দিয়েছিলেন ৪৩ রান। তারপরই সামাজিক যোগাযোগ মাধ্যমে তাকে লক্ষ্য করে আক্রমণ শুরু হয়। ভারতের বিশ্বকাপ দলের একমাত্র মুসলিম ক্রিকেটার শামি শিকার হন ধর্মীয় বিদ্বেষের।</t>
  </si>
  <si>
    <t xml:space="preserve">আরেকজন বাঙালি : আমি মুসলিম | আমি ইসলাম পালন করবো এটাই আমার সিদ্ধান্ত, বঙ্গিয় সেকুলাঙ্গার : তুই জঙ্গি, ভন্ডামিতে বঙ্গিয় </t>
  </si>
  <si>
    <t>ধর্ম নিয়ে বাজে ইঙ্গিতপূর্ণ মন্তব্য করে ধর্মীয় বিশ্বাসে আঘাত হানা দেশের প্রচলিত আইনে শাস্তি যোগ্য অপরাধ।</t>
  </si>
  <si>
    <t>কোরআনের সম্মান রক্ষায় মুসলমানেরা চোখ বুঁজে জীবন দিতে প্রস্তুত,যদিও মহান স্রষ্টা নিজেই ঘোষণা দিয়েছেন- ❝কোরআন সংরক্ষণের দায়িত্ব একমাত্র আমার, একে আমিই হেফাজত করবো।❞</t>
  </si>
  <si>
    <t>তৎকালীন বৃহত্তর ময়মনসিংহ জেলার নালিতাবাড়ী, কলমাকান্দা, দুর্গাপুর, হালুয়াঘাট, শ্রীবরদী এলাকায় বসবাসকারী আদিবাসী গারো এবং হাজং জনগোষ্ঠীকে উচ্ছেদ করা হয়।ফলে তাদের অনেকেই হাজার হাজার বছর ধরে আঁকড়ে থাকা স্বভূমি ত্যাগ করে ভারতে আশ্রয় নিতে বাধ্য হয়।</t>
  </si>
  <si>
    <t>১৯৪৯ সালে সমগ্র ঢাকা অঞ্চলে বাঙ্গালী হিন্দুদের সব চেয়ে বড় ধর্মীয় উৎসব দুর্গাপূজার বিরুদ্ধে পোস্টার লাগানো হয়। এজন্য দুর্গাপূজার আয়তন এবং সংখ্যা উদ্বেগজনক হারে হ্রাস পায়। বিজয়া দশমীর দিনে শত শত হিন্দু বাড়ি ঘরে অগ্নি সংযোগ করে মুসলিমরা। </t>
  </si>
  <si>
    <t>ধর্মীয় বিদ্বেষ ও সহিংসতা উসকে দেওয়ার উপায় হিসেবে এ ধরনের ঘটনা কেন ঘটছে, তা খতিয়ে দেখতে হবে। সুইডেন সরকারের সম্মতিতে এ ধরনের ঘটনা ঘটছে বলেও অভিযোগ করেন তিনি।</t>
  </si>
  <si>
    <t>মহাগ্রন্থ আল-কুরআন আমাদের বেঁচে থাকার দলিল। কুরআনের লাখ লাখ হাফেজ সারা বিশ্বে ছড়িয়ে আছে। যারা কুরআনের বিরুদ্ধে অবস্থান নেয় তাদের পরিষ্কার করে বলে দিতে চাই- আমরা এ ঘটনার তীব্র নিন্দা ও প্রতিবাদ জানাই। কুরআন অবমাননার জন্য দায়ীদের দৃষ্টান্তমূলক শাস্তি ও ফাঁসির দাবি জানাচ্ছি।</t>
  </si>
  <si>
    <t>প্রশাসন শুরুতে কোনো বাঁধা দেয় নি।[১৯] [২০]হামলার এক সময় তাদের সাথে পুলিশের কথা কাটাকাটি, ধাওয়া-পাল্টা ধাওয়া ও সংঘর্ষ বাধে। পুলিশ ৫০ রাউন্ড টিয়ার গ্যাসের শেল ও রাবার বুলেট নিক্ষেপ করে। পুলিশ তাদের উপর গুলি চালায়। এতে জামায়াতে ইসলামের হাবিবুর রহমান নিহত হয়।</t>
  </si>
  <si>
    <t>১৯২১ সালে কেরালার মালাবার অঞ্চলে মুসলিম কৃষকরা ব্রিটিশদের বিরুদ্ধে বিদ্রোহ করলে হিন্দু-মুসলিম দাঙ্গা ছড়িয়ে পড়ে, যেখানে বহু হিন্দুকে জোরপূর্বক ইসলাম গ্রহণে বাধ্য করা হয় বলে অভিযোগ ওঠে।</t>
  </si>
  <si>
    <t>জাতিসংঘ বাংলাদেশকে একটি মধ্যপন্থী গণতান্ত্রিক মুসলিম দেশ হিসেবে শ্রেণীভুক্ত করেছে ।[২][৩] তবে বাংলাদেশ সাংবিধানিক ভাবে একটি ধর্ম নিরপেক্ষ রাষ্ট্র</t>
  </si>
  <si>
    <t>অজ্ঞাতপরিচয় দুই দুষ্কৃতীর গুলিতে খুন হতে হল দুই শিখ (Sikh Community) ব্যবসায়ীকে। ঘটনাটি ঘটেছে পাকিস্তানের (Pakistan) সরবন্দ (Sarband) অঞ্চলের বাট্টা তাল চৌক (Batta Tal Chowk) এলাকায়। সেখানেই মশলার দোকান রয়েছে রঞ্জিত সিং (৪২) এবং কুলজিৎ সিংয়ের (৩৮)। দোকানেই তাঁদের খুন করা হয়। ঘটনার তদন্ত শুরু করেছে পুলিশ। ক্ষোভে ফুঁসছেন পাক সংখ্যালঘুরা।</t>
  </si>
  <si>
    <t>অনেকেই আবার বলে থাকেন উৎসবের ভেতর ধর্ম কেনো টানছেন ? ধর্ম মেনে উৎসব পালন করতে সমস্যা কি ?</t>
  </si>
  <si>
    <t>এখানে হিন্দু মুসলিম তুলনা কি আছে সেটা এ বুঝলাম না। এবং আমার ফ্রেন্ড লিস্টের মানুষদের জন্য ধন্যবাদ, এতো সুন্দর সুন্দর ক্যাপশন দিয়ে পোস্ট শেয়ার করার জন্য অর্থাৎ হিন্দুদের অপমান করার জন্য</t>
  </si>
  <si>
    <t>একজন সত্যিকারের মুসলমান কখনো এমন কাজ করতে পারেন না। আমাদের ধর্ম আমাদেরকে সবসময় ন্যায়বিচার ও মানবতার শিক্ষা দেয়, এবং বিনা কারণে কারো প্রতি অন্যায় করতে নিষেধ করে।</t>
  </si>
  <si>
    <t>ভারতের হায়দ্রাবাদে একজন তরুণী পশু চিকিৎসক নৃশংস গণধর্ষণ ও হত্যাকান্ডের শিকার হওয়ার পর ধর্ষণকারীদের ধর্মীয় পরিচয় নিয়ে সাম্প্রদায়িক উত্তেজনা ছড়ানোর অভিযোগ উঠেছে ওই শহরেরই একজন বিজেপি বিধায়কের বিরুদ্ধে। 'ধর্ষণকারীরা নিশ্চয় মুসলিমই হবেন', রাজা সিং নামে ওই বিজেপি এমএলএ সোশ্যাল মিডিয়াতে এমন ইঙ্গিত করার পর হায়দ্রাবাদের বিভিন্ন মুসলিম সংগঠন তার তীব্র নিন্দা করেছে।</t>
  </si>
  <si>
    <t>অনেক বার শুনেছি, আবার ২০২৩ সালে শুনলাম, আলহামদুলিল্লাহ। আবেগ মাখা কণ্ঠে স্বপ্নের জান্নাতের অসাধারণ বর্ণনা। আল্লাহ আমাদের সবাইকে জান্নাতুল ফিরদাউসে যাওয়ার তাওফীক দান করুক।</t>
  </si>
  <si>
    <t>আমাদের দেশে স্বাধীন ভাবে নিজ নিজ ধর্ম পালন করার অধিকার প্রত্যেকটি নাগরিকের আছে ৷ কিন্তু তাই বলে কি, মুসলিম ধর্মের পবিত্র কুরআন , পবিত্র কাবা শরিফকে নিয়ে ধর্মীয় অনুভূতিতে আঘাত দেয়া উচিত?</t>
  </si>
  <si>
    <t>যেকোনো ধর্মের কোন পবিত্র গ্রন্থকে নিয়ে কারো বিরূপ আচরণ করা ঠিক না। বিশ্বের সবচেয়ে পবিত্র গ্রন্থ মুসলিম ধর্মের আল কোরআন। আলহামদুলিল্লাহ।</t>
  </si>
  <si>
    <t>বাংলাদেশের বিভিন্ন অঞ্চলে হিন্দু সম্প্রদায়ের সবচেয়ে বড় ধর্মীয় উৎসব দুর্গাপূজাকে কেন্দ্র করে যেসব সহিংসতার ঘটনা ঘটেছে তার প্রতিক্রিয়ায় দেশের নাগরিক সমাজ তীব্র ক্ষোভ প্রকাশ করেছে।</t>
  </si>
  <si>
    <t>রোহিত বর্ণের ব্রাহ্মণদের শত্রুতার জন্যেই ভারতবর্ষে বৌদ্ধবাদের অবলুপ্তি ঘটেছে। গৌড়ের শাসক হিন্দু শৈব রাজা শশাঙ্ক (৫৯০-৬২৬) বোধি বৃক্ষ ধ্বংস করেন – যার নিচে বসে ধ্যান করে গৌতম বোধিপ্রাপ্ত হন।</t>
  </si>
  <si>
    <t>বলতে গেলে মুসলমানরা যে ধর্মের অনুসারী, ইসলামি নিয়মনীতির মধ্যেই ইসলামি সংস্কৃতি নিহিত রয়েছে। অনুসরণের মধ্যেই ইসলামি সংস্কৃতি পাওয়া যায়। ইসলামি সংস্কৃতির সঙ্গে অন্য কোনো ধর্মের আচার-অনুষ্ঠানের মিল পাওয়া যায় না। কেউ মেলালে সেটা সাংঘর্ষিক হয়ে যায়। ইসলামি সংস্কৃতির সঙ্গে ভিন্ন ধর্মের সংস্কৃতির মিলন, সেটা ইসলাম ধর্মের সঙ্গে সাংঘর্ষিক বলা যায়।</t>
  </si>
  <si>
    <t>নিয়মলঙ্ঘনকারীদের কারাদণ্ড এবং বেত্রাঘাতের মতো শাস্তির সম্মুখীন হতে হয়।[৫৩].২০০৫ সালের ২৪ মার্চ সৌদি কর্তৃপক্ষ রিয়াধের একটি অ্যাপার্টমেন্টে পাওয়া অস্থায়ী হিন্দু মন্দিরের ধর্মীয় জিনিসপত্র ধ্বংস করে।[৫৪]</t>
  </si>
  <si>
    <t>১২ই ফেব্রুয়ারি চট্টগ্রামে হিন্দু গণহত্যা শুরু হয়। ফজলুল কাদের চৌধুরীর নেতৃত্বে আনসার বাহিনী হিন্দুদের কচুকাটা করতে শুরু করে।[৩০] হিন্দুপাড়াগুলো দাউদাউ করে জ্বলছিল। চাটগাঁ, নোয়াপাড়া, চৌধুরী হাট, পটিয়া, বোয়ালখালী, সীতাকুন্ডয় হিন্দুদের কচুকাটা করা হয়।</t>
  </si>
  <si>
    <t>ধর্মীয় হানাহানির মধ্যে সুন্নি ওহাবি, খারেজি, রাফেজি এবং নানা ধরনের ইসলাম ধর্মের অনুসারীদের মধ্যে বর্তমান সময়ে বাংলাদেশে বিভিন্ন ধরনের ধর্মীয় হানাহানির মতো পরিস্থিতি তৈরি হয়েছে। এক পক্ষ অপর পক্ষকে সহ্য করতে পারে না।</t>
  </si>
  <si>
    <t>গোলাম সরোয়ার হুসেনির বক্তব্যের পর রামগঞ্জ পুলিশ স্টেশনের আওতাধীন বাজারের হিন্দু দোকান মুসলিমরা লুট করে। মুসলিমরা নোয়াখালী বারের সভাপতি এবং হিন্দু মহাসভার নেতা সুরেন্দ্রনাথ বসু এবং রাজন্দ্রলাল চৌধুরীর বসত-বাড়ি আক্রমণ করে।</t>
  </si>
  <si>
    <t>রামুতে বৌদ্ধ ও মুসলমান সম্প্রদায়রে মধ্যে যে সম্প্রীতি ছিল, ওই হামলার পর তা পুরোপুরি বদলে যায়।</t>
  </si>
  <si>
    <t>প্রতিবেদনে বলা হয়েছে, পরিসংখ্যান বলে দিচ্ছে দেশে প্রতিনিয়তই হিন্দু নির্যাতন বাড়ছে। ২০১৫ সালের তুলনায় ২০১৬, ২০১৭, ২০১৮, ২০১৯ এবং ২০২০ সালে হিন্দু নির্যাতন বেড়েছে কয়েকগুণ। ২০২০ সালের ১ জানুয়ারি থেকে ২৯ ডিসেম্বর পর্যন্ত সারাদেশে সংখ্যালঘু হিন্দু সম্প্রদায়ের ১৪৯ জন মানুষকে হত্যা করা হয়েছে বলে অভিযোগ করেছে বাংলাদেশ জাতীয় হিন্দু মহাজোট।</t>
  </si>
  <si>
    <t>মসজিদের জমিতে মসজিদের পুননির্মাণ চলছে এখানে কারো প্রতি জুলুম করা হয়নি বরং মসজিদের পুননির্মাণ কাজ বন্ধ করে মসজিদ এবং এলাকার সাধারণ মুসলমানদের উপর জুলুম করা হয়েছে।</t>
  </si>
  <si>
    <t>বিবৃতি,বিজ্ঞাপন,বিজ্ঞপ্তি,সংবাদ,বা মতামত নিষিদ্ধ হবে সেগুলো হল; (১)যে সকল স্থানে দাঙ্গা সংগঠিত হয়েছে সে সকল স্থানের নাম (২) যে উপায়ে ভিক্টিমদের কে মারা বা নির্যাতন করা হয়েছে (৩) যে সকল সম্প্রদায় নির্যাতিত হয়েছে এবং যে সকল সম্প্রদায় নির্যাতন করেছে তাদের নাম (৪)যে সকল স্থান বা মন্দির বা উপাসনালয় যে গুলো ধ্বংস করা হয়েছে সেগুলর নাম । </t>
  </si>
  <si>
    <t>গুজব বা উস্কানিমূলক যে কোন বক্তব্যে, বিশেষ করে ধর্মীয় ইস্যুতে, সম্প্রতি লালমনিরহাটে বা বিভিন্ন জায়গায় যে ঘটনাগুলো ঘটছে, এগুলো সরকার অত্যন্ত গুরুত্বের সাথেই দেখছে। এখন এই গুজব রটনাকারী যারা তারা তো দেশে বা দেশের বাইরে থেকে এ ধরনের অপচেষ্টা চালানোর পায়তারা করে। এখানে জনমনে এক ধরনের বিভ্রান্তি তৈরি হয়, ফলে এক ধরনের উদ্বেগ তৈরি ও অস্থিরতা তৈরি হয়।</t>
  </si>
  <si>
    <t>দুর্গাপূজা উৎসবের সময় মুসলিম জনতা বাংলাদেশ জুড়ে হিন্দু সম্প্রদায়ের বিরুদ্ধে সাম্প্রদায়িক সহিংসতা উস্কে দেয়, একটি ভাইরাল ভিডিও যেখানে একটি মন্দিরের মূর্তির পায়ের নীচে কুরআন রাখা হয়েছিল, তার প্রতিক্রিয়ায় । সারা বাংলাদেশে ৫০ টিরও বেশি মন্দির এবং অস্থায়ী পূজার ব্যবস্থা ভাঙচুর করা হয়।</t>
  </si>
  <si>
    <t>কমেন্টের নামগুলো দেখে তো মুসলিম মনে হচ্ছে! একসময় ছিলো যখন নাম দেখেই মুসলিম নাকি অমুসলিম আলাদা করা যেত,এখন নাম দেখে তা বোঝার উপায় নাই। এদের কমেন্ট দেখে মনে হয় নামের পাশে শ্রী লাগালে ভালো হয়ত।</t>
  </si>
  <si>
    <t>এর বিচার শিক্ষার্থীদেরকেই করা উচিত ছিলো,এরকম ঘটনা দেশে এখন অহরহ ঘটতেছে এই নেকাব খোলা এসব মুসলিম শিক্ষকদেরকেও করতে দেখছি</t>
  </si>
  <si>
    <t>আমি সনাতন ধর্মের আমিও গৌতম বুদ্ধকে সম্মান শ্রদ্ধা করি</t>
  </si>
  <si>
    <t>মুমিনের প্রত্যেক দোয়া কবুল হয় বিভিন্ন ক্যাটাগরিতে। দোয়ার মাধ্যমে অসম্ভবকেও সম্ভব করা যায়। উদাহরণস্বরূপ, জাকারিয়া (আ.) এবং তার সহধর্মিণী যখন সন্তান জন্মদানে অক্ষম ছিলেন, সেই সময়ে আল্লাহ তায়ালা তাদের দোয়া কবুল করেন এবং তাদেরকে সন্তান দান করেন।</t>
  </si>
  <si>
    <t>ডোমারে একটি সংখ্যালঘু পরিবারের ভিটেবাড়ি দখলে দাঙ্গা বাধানোর উস্কানি দিচ্ছে জামায়াতিরা,</t>
  </si>
  <si>
    <t>এই হত্যাকাণ্ডটা সম্পূর্ণ পরিকল্পনা করেই করা হয়েছিল। ট্রেনের ড্রাইভার, গার্ড সহ সমস্ত রেলকর্মীই এই হত্যাকাণ্ডের হাত লাগিয়েছে। পশ্চিমবঙ্গের মুখ্যসচিব প্রভাস চন্দ্র লাহিড়ী, এই হত্যাকাণ্ডরের জন্য পূর্ব পাকিস্তানের মুখ্যসচিব আজিজ আহমেদ ও রাজশাহীর জেলাশাসক আব্দুল মজিদকে দায়ী করেন।</t>
  </si>
  <si>
    <t>বাংলাদেশে ধর্মীয় বিদ্বেষ ছড়িয়ে অন্যতম বড় হামলার ঘটনা ঘটে ২০১২ সালে রামুতে। ফেসবুকে কোরান শরীফ অবমাননার অভিযোগ এনে কক্সবাজারের রামুতে বেশ কয়েকটি বৌদ্ধ মন্দিরও বসতিতে আগুন দেয়া হয়।</t>
  </si>
  <si>
    <t>মহানবী হজরত মুহাম্মদ (সা.)-কে নিয়ে একটি ফেসবুকের পোস্টে আকাশ সাহা নামে এক কলেজছাত্রের ফেসবুক আইডি থেকে গত বৃহস্পতিবার বিতর্কিত কমেন্ট করার অভিযোগ ওঠে। এর জেরে শুক্রবার বিকেলে হামলা হয় দিঘলিয়া গ্রামের সাহাপাড়ায়।</t>
  </si>
  <si>
    <t>শোনা যায় কলকাতার মহা নিধন দাঙ্গায় মুজিব নিজ হাতে ছোরা নিয়ে রাস্তায় নেমেছিলেন। মুজিব ব্যক্তিগতভাবে সুরাবর্দির মন্ত্রশিষ্য ছিলেন। কাজেই গুরু যে দাঙ্গা আরম্ভ করেছিলেন তাতে শিষ্য যোগ দিবে তাতে আর আশ্চর্য কি? তবে দাঙ্গায় হিন্দু খুন করার শিক্ষা মুজিব তাঁর গ্রাম থেকেই পেয়েছিলেন।</t>
  </si>
  <si>
    <t>ভারতীয় উপমহাদেশে মুসলিম আক্রমণ শুরু হয়েছিল খ্রিস্টীয় ৮ম শতাব্দীর প্রথমদিকে। মির্জা কালিচবেগ ফ্রেডুনবেগের ১৯০০ সালের ফারসি পাঠ চাচনামার অনুবাদ অনুসারে, সিংহলে ব্যবসা উপলক্ষে অবস্থানরত কয়েকজন আরব বণিকের মৃত্যু হলে সিংহলরাজ মৃত বণিকদের পরিবার-পরিজন ও হাজ্জাজ-বিন-ইউসুফের জন্য কিছু উপঢৌকন ৮টি জাহাজ যােগে বসরায় প্রেরণ করেন।</t>
  </si>
  <si>
    <t>ভারতের পূর্বাঞ্চলে রোহিঙ্গা সংকটের মতো একটি নতুন সংকট তৈরি হতে পারে। এরকম একটি সংকট বাংলাদেশে বড় ধরনের বিপর্যয় তৈরি করবে।</t>
  </si>
  <si>
    <t>১৯ সেপ্টেম্বর নরসিংদীতে এসএসসির ইংরেজি প্রথম পত্র পরীক্ষায় সিঁদুর ও হাতে শাঁখা পরে কিছু হিন্দু শিক্ষার্থীদদের হলে ঢুকতে বাধা দেওয়া হয়। শিক্ষার্থীদের সিঁদুর মুছতে ও শাঁখা খুলতে বাধ্য করার পর, পরীক্ষাকেন্দ্রে প্রবেশ করার অনুমতি দেওয়া হয়।</t>
  </si>
  <si>
    <t>ইতিহাসবিদরা মূলত তিনটি কারণে নোয়াখালীর হত্যাযজ্ঞকে ভারতের অন্যান্য জায়গার হিন্দু-মুসলমান দাঙ্গার সাথে তুলনা করতে চান না। প্রথমত, এখানে দুই পক্ষের শক্তি সমান ছিল না, যেমনটি দেখা গিয়েছিল কলকাতা দাঙ্গার সময়। এখানে মূলত হিন্দু জনগোষ্ঠী হামলার শিকার হন।</t>
  </si>
  <si>
    <t>মাকালকান্দি গণহত্যা বা মাকালকান্দি হত্যাকাণ্ড হচ্ছে বাংলাদেশের স্বাধীনতা যুদ্ধ চলাকালে পাকিস্তানি দখলদারি সেনাবাহিনীর দ্বারা বাংলাদেশের অবিভক্ত সিলেট জেলার হবিগঞ্জ উপ-বিভাগের অধীনে মাকালকান্দি গ্রামে বাঙ্গালী হিন্দুদের উপর সংগঠিত একটি হত্যাকাণ্ড, যা ১৯৭১ সালের ১৮ই আগস্ট পরিচালিত হয়।</t>
  </si>
  <si>
    <t>সন্ত্রাসবাদের বিরুদ্ধে তথাকথিত যুদ্ধের নামে আরও একদফা শুরু করা হয় আফগানিস্তানের ধ্বংসলীলা ও লুন্ঠন।সমস্ত সম্পদ নিঃশেষের পর নিজেদের সৈন্যসামন্ত,লোকলস্কর নিয়ে নিজেদের দেশে ফিরে যায়।আর এদিকে বিশ্বের কিছু মানুষ তাকিয়ে আছে আমেরিকার দিকে</t>
  </si>
  <si>
    <t>মুসলমান মুসলমান ভাই ভাই’ এই তথ্য ভুল প্রমাণ করে দিয়ে, কারণ সিরিয়ায় ব্যবহৃত অস্ত্রগুলো এসেছে সৌদি আরবের টাকায়!  ভদ্রলোকের নাম- জাস্টিন ট্রুডো। কানাডার প্রধানমন্ত্রী।</t>
  </si>
  <si>
    <t>সার্ব বাহিনী বসনিয়ার মুসলমানদের বিরুদ্ধে জাতিগত নির্মূল অভিযান চালায় (সাল ১৯৯৫)</t>
  </si>
  <si>
    <t>যদিও নড়াইলের জেলা প্রশাসক মোহাম্মদ হাবিবুর রহমান বলেছেন, আইন-শৃঙ্খলা রক্ষাকারী বাহিনী সেদিন লাঠিচার্জ এবং কাঁদানে গ্যাস ছুঁড়ে শক্ত হাতে হামলাকারীদের ছত্রভঙ্গ করে দিয়েছিল। কিন্তু হামলাকারীরা ছত্রভঙ্গ হয়ে যাবার সময় কিছু ভাঙচুর করেছে</t>
  </si>
  <si>
    <t xml:space="preserve">ভাই আপনারা বৌদ্ধ ধর্মকে ভালোবাসেন আমরা জানি , বৌদ্ধ ধর্ম টা সুন্দর ভাবে বললে ভালো লাগে </t>
  </si>
  <si>
    <t>আমি একজন মহিলা হয়ে আমার বুক ফেটে আসছে, কিন্তু আমি সব কিছুতে ধৈর্য ধারণ করতে চাই, হে আল্লাহ, যারা অপরাধ করেছে, তুমি তাদের হেদায়েত দাও, এমন সাজা দাও যেন তারা সঠিক পথে ফিরে আসে এবং সারা বিশ্ববাসী শান্তি ও শিক্ষা লাভ করে।</t>
  </si>
  <si>
    <t>ধর্মের বিভিন্ন মাধ্যমে মানুষ তার আত্মীয়তা ও আধ্যাত্মিকতা বৃদ্ধি করে। ধর্ম প্রতিটি মানুষকে তার জীবনের সমস্ত অংশে ন্যায় ও সত্যের পথে নির্দেশ দেয়। এটি ব্যক্তিগত ও সামাজিক জীবনের ক্ষেত্রে সমৃদ্ধি এবং সম্মান সৃষ্টি করে। ধর্মের মাধ্যমে মানুষ তার অবধারণাগুলি নির্ধারণ করে, যা তাকে নির্ভরশীল এবং স্থির করে তুলে।</t>
  </si>
  <si>
    <t>তখন ইফতার, জুম্মা আর ঈদের নামাজকে সমাজে অপ্রয়োজনীয় হিসাবে বোঝাবে। তখন মসজিদ অপ্রয়োজনীয় হয়ে পড়বে। অপ্রয়োজনীয় মসজিদ দিয়ে এতটা দামি জায়গা অযথাই দখল করে রাখার কোন মনে হয় না! অতএব এটা সেটা অজুহাত বের করে মসজিদগুলো ভাঙ্গা হবে।</t>
  </si>
  <si>
    <t>আমার ধর্ম এও শিক্ষা দেয় ধর্ম নিয়ে বাড়াবাড়ি করা নিষিদ্ধ। প্রত্যেকের নিজ ধর্ম পালন করার অধিকার আছে। কারো ধর্ম নিয়ে বিরূপ মন্তব্য করা বা নিজ ধর্ম অন্যের ওপর চাপিয়ে দেয়া অন্যায়। ধর্মের পথে দাওয়াত দিতে গেলেও সুন্দর ভাষা ব্যবহার করা।</t>
  </si>
  <si>
    <t>৬২৩ সালের এপ্রিল মাসে ইসলামের নবী মুহাম্মাদ ৬০ জন মুহাজিরুন সেনার সাথে উবাইদাহ ইবনে হারিসকে সৌদিআরবের রাবিগ উপত্যকায় পাঠিয়েছিলেন, যেটি উবাইদ ইবনে আল হারিসের অভিযান নামে পরিচিত।</t>
  </si>
  <si>
    <t>আলহামদুলিল্লাহ, আলহামদুলিল্লাহ। লা ইলাহা ইল্লাল্লাহ, মোহাম্মাদুর রাসুলুল্লাহ। আসমান সৃষ্টি, জমিন সৃষ্টি করেছেন এক আল্লাহ। নেই কেহ, নেই আল্লাহ ছাড়া। লা ইলাহা ইল্লাল্লাহ, মোহাম্মাদুর রাসুলুল্লাহ।</t>
  </si>
  <si>
    <t>বাংলাদেশে ধর্ম অবমাননার গুজবে কয়েকদিন ধরে যেসব ঘটনা ঘটেছে, সেক্ষেত্রে সংখ্যালঘুদের টার্গেট করা হচ্ছে বলে হিন্দু-বৌদ্ধ-খ্রিস্টান ঐক্য পরিষদ অভিযোগ করেছে।</t>
  </si>
  <si>
    <t>আদিত্যপুর গ্রামটি সিলেট জেলার বালাগঞ্জ উপজেলার বালাগঞ্জ ইউনিয়নের অধীনে ছিল। কুশিয়ারা নদীর তীরে আদিত্যপুর একটি হিন্দু অধ্যুষিত সমৃদ্ধশালী গ্রাম ছিল। ১৯৭১ সালে, যখন পাকিস্তানি দখলদারি সেনাবাহিনী অপারেশন সার্চলাইট শুরু করে এবং হিন্দুদের উপর গণহত্যা শুরু করে, তখন হাজার হাজার হিন্দু ভারত পালিয়ে যেতে শুরু করে। বালাগঞ্জে, হিন্দুরা ভারতে শরণার্থী হওয়ার পরিবর্তে থেকে গিয়েছিল।</t>
  </si>
  <si>
    <t>নবী করিম (সা.)-এর অবমাননাকারীর শাস্তি একমাত্র মৃত্যুদণ্ড। এ ব্যাপারে উম্মতের ইজমা (ঐকমত্য) প্রতিষ্ঠিত হয়েছে। আল্লামা ইবনে তাইমিয়া (রহ.) উল্লেখ করেন, সব মাজহাবের ঐকমত্যে সিদ্ধান্ত হলো—নবী করিম (সা.)-এর অবমাননাকারী কাফির এবং তার শাস্তি একমাত্র মৃত্যুদণ্ড।</t>
  </si>
  <si>
    <t>তাদেরকে পরবর্তীতে কুশিয়ারা নদীর বন্যা নিয়ন্ত্রণ বাঁধের কাছে কবর দেয়া হয়। যখন গ্রামবাসীরা তাদের জান নিয়ে দৌড়াদৌড়ি শুরু করে, তখন পাকিস্তানি হানাদাররা নির্বিচারে গুলি চালিয়ে চার কিশোর সহ ২৬ জন গ্রামবাসীকে হত্যা করে।</t>
  </si>
  <si>
    <t>আমাদের সমাজে অনৈতিক সম্পর্ক, পরকীয়া, ধর্ষণ, গুম,খুন ইত্যাদি খুবই স্বাভাবিক ব্যাপার কিন্তু একটা ছেলে তার চেয়ে বয়সে বড় একজন কে বিয়ে করছে এটা মস্ত বড়ো অপরাধ। এটা কিছুতেই মেনে নেয়া যায় না!</t>
  </si>
  <si>
    <t>হিন্দু ধর্মে একতার এবং শুদ্ধতার প্রতি শ্রদ্ধা এবং পরিবেশের প্রতি ভালোবাসা গভীরভাবে সমর্থিত।</t>
  </si>
  <si>
    <t>নবীর কার্টুন: ফ্রান্সে ইসলামের 'অবমাননা' নিয়ে ঢাকায় ইসলামপন্থীদের ব্যাপক বিক্ষোভ</t>
  </si>
  <si>
    <t>দেশের সর্বস্তরের হিন্দু জনগোষ্ঠীকে অনুরোধ জানাবো, আপনারা শুধু পূজার্চনা, কীর্তন, গান-বাজনা না করে হিন্দু ধর্ম ও সমাজের যারা ক্ষতি করার চেষ্টা করছে, বাংলাদেশে থেকে হিন্দুশূন্য করার প্লান করছে এদের বিরুদ্ধে সোচ্চার হোন</t>
  </si>
  <si>
    <t xml:space="preserve"> দিনাজপুরে এক খ্রিস্টান পুরোহিতকে ধারালো অস্ত্র দিয়ে হত্যা করার চেষ্টা করা হয়, যা সাম্প্রদায়িক সহিংসতার দৃষ্টান্ত।</t>
  </si>
  <si>
    <t>ভাই, আরেকটি ভিডিও বানান জান্নাত নিয়ে - কতবার দেখেছি এই ভিডিও, হিসেব নেই - ভিডিও একপ্রকার মুখস্থ হয়ে গিয়েছি। রেফারেন্সসহ নতুন জান্নাত ভিডিও দিলে খুশি হবো, প্রিয় ভাই।</t>
  </si>
  <si>
    <t>আর যে ব্যক্তি লৌহাস্ত্র দিয়ে আত্মহত্যা করবে, সেই লৌহাস্ত্রই তার হাতে থাকবে, জাহান্নামে সে তা নিজ পেটে ঢোকাতে থাকবে আর সেখানে সে চিরস্থায়ীভাবে থাকবে।’</t>
  </si>
  <si>
    <t>বাংলাদেশের স্বাধীনতা যুদ্ধ (1971) বিংশ শতাব্দীর অন্যতম বৃহত্তম গণহত্যার পরিণতি হয়েছিল। হতাহতের সংখ্যা 3,000,000 ছিল বলে অনুমান করা হলেও, এটা যুক্তিসঙ্গতভাবে নিশ্চিত যে পূর্ব পাকিস্তানের বাঙালি জনগোষ্ঠীর বিরুদ্ধে পাকিস্তান সেনাবাহিনীর আক্রমণে হিন্দুরা অসামঞ্জস্যপূর্ণ আঘাত ভোগ করেছিল।</t>
  </si>
  <si>
    <t>ধর্ম অবমাননার যে কোন অভিযোগ, সেটা সত্য হোক কিংবা মিথ্যা, এসব লোককে খুব সহজেই বিক্ষুব্ধ করে তোলে।</t>
  </si>
  <si>
    <t>আত্মহত্যা ইহকাল-পরকাল উভয়টিই ধ্বংস করে দেয়। মানুষ তার জীবনের মালিক নয়; এর প্রকৃত মালিক হচ্ছেন আল্লাহ তাআলা। অতএব, আল্লাহর মালিকানাধীন জীবনের ওপর বান্দার হস্তক্ষেপ করার কোনোই অধিকার নেই। </t>
  </si>
  <si>
    <t>রাজশাহীর বুজরুক কোলায় এখনো আতঙ্ক, সংখ্যালঘুদের আবার হামলার হুমকি দুর্গাপূজা বয়কট করবে এলাকাবাসী</t>
  </si>
  <si>
    <t>সাম্প্রদায়িক সম্প্রীতি নষ্ট করার পূর্ব পরিকল্পিত ষড়যন্ত্রের প্রতি নিন্দা জানানোর ভাষা নেই! পবিত্র কুরআন অবমাননা করে শান্তিপ্রিয় মুসলিম দের উসকানি দেয়ার নেপথ্যে কারা খুঁজে বের করা হোক।</t>
  </si>
  <si>
    <t>গোরক্ষকদের হাতে পেহলু খান নামে এক মুসলিম ব্যক্তি নিহত হয়, যা গো-সন্ত্রাসের অন্যতম ঘটনা।</t>
  </si>
  <si>
    <t>মৃত্যুর আগে কোরআন কে তোমার সঙ্গী করে নাও মৃত্যুর পর কোরআন তোমায় সঙ্গী করে নিবে ইনশাল্লাহ</t>
  </si>
  <si>
    <t>প্রতক্ষ্য সংগ্রাম দিবস দাঙ্গা সেই বছরেই নোয়াখালী, বিহার ও পাঞ্জাবের মুসলিম ও হিন্দু-শিখদের মধ্যে বেশ কয়েকটি দাঙ্গার সূত্রপাত করেছিল।</t>
  </si>
  <si>
    <t>আমার আল্লহার বিরুদ্ধে, আমার রাসুল এর বিরুদ্ধে, আমার কোরআনের অপমান না যে কর্বে তার এ দুনিয়ায় বাছার কনো ওদিকার নাই,,,</t>
  </si>
  <si>
    <t xml:space="preserve">নরসিংদী ইনডেক্স প্লাজা এবং যে যে দোকানে এ জুতোগুলো আছে তীব্র নিন্দা জানাচ্ছি সনাতন ধর্মকে নিয়ে খেলা করার অধিকার তাদের কে দিয়েছে </t>
  </si>
  <si>
    <t>মোনী অমাবস্যা হিসাবে হাজার হাজার পূণ্যার্থী হাজির হয়েছিলেন প্রয়াগে। রাত থেকেই চলছিল পূণ্যস্নান। আর সেই ভিড়ের মাঝে পদপিষ্ট হয়ে মারা গেলেন ৩০জন।</t>
  </si>
  <si>
    <t>গুলশান হামলার রেশ না কাটতেই ৭ জুলাই ঈদের সকালে কিশোরগঞ্জের শোলাকিয়ায় দেশের সবচেয়ে বড় ঈদ জামাতের মাঠের কাছে নিরাপত্তার দায়িত্বে থাকা পুলিশ সদস্যদের ওপর বোমা হামলা চালানো হয়। এর মধ‌্যে নিজের বাড়ির রান্না ঘরে ছিটকে আসা গুলিতে প্রাণ যায় এক নারীর। পুলিশের গুলিতে নিহত হয় এক জঙ্গি, যার পায়জামায় ছিল চাপাতি রাখার বিশেষ পকেট।</t>
  </si>
  <si>
    <t>যারা আল্লাহ ও তার রাসুলের বিরুদ্ধে দুশমনিতে লিপ্ত হয় এবং পৃথিবীতে অশান্তি ও বিপর্যয় সৃষ্টির পাঁয়তারা করে, তাদের শাস্তি কেবল মৃত্যুদন্ড, শূলিবিদ্ধ করে হত্যা কিংবা হাত পা বিপরীত দিক থেকে কেটে ফেলা অথবা নির্বাসিত করা (কারাগারে নিক্ষেপ করা)।</t>
  </si>
  <si>
    <t>আগে তারা চাঁদ সূর্য পাথর পশুপাখির পূজা করতো আর এখন গায়ক নায়কদের পূজা করে। কেউবা নিজের তৈরি মনুষ্যত্বের পূজা করে।</t>
  </si>
  <si>
    <t>আমি গর্বিত যে আমি বৌদ্ধ পরিবারে জন্মগ্রহণ করেছি। আমি যদি পরজীবনে মানুষের মধ্যে জন্মগ্রহণ করি, আমি আবারো বৌদ্ধ পরিবারে জন্মগ্রহণ করব এবং আর্যমিত্র বুদ্ধের দর্শন লাভ করে ৪টি মার্গের মধ্যে ১টি মার্গ অর্জন করতে পারি।</t>
  </si>
  <si>
    <t>১৮ই ফেব্রুয়ারি সকাল বেলায় চরম বিপর্যস্ত অবস্থায় তাদেরকে ফেরত দেয়া হয়। তাদের পরিবার পুলিশের কাছে অভিযোগ জানাতে গেলে, পুলিশ তাদেরকে আদালতের বাইরে মিমাংসার জন্য ১,০০০ রূপী দিতে বলে। সিলেট সদর পুলিশ স্টেশনের নিয়ন্ত্রণাধীন প্রায় সব গ্রামেই অসংখ্য মেয়েকে এভাবে ধর্ষণ করে মুসলিমরা।</t>
  </si>
  <si>
    <t>মুসলিম শাসকদের উদারতা, বৌদ্ধদের প্রতি মুসলিমদের ভালো ব্যবহারের ফলে দলে দলে বৌদ্ধরা ইসলামের ছায়ায় আশ্রয় নিতে থাকে।</t>
  </si>
  <si>
    <t>২০শ শতাব্দী থেকে বেশিরভাগ ক্যাথলিক খ্রীষ্টান দক্ষিণ গোলার্ধে বাস করছে, যার কারণ ইউরোপে ধর্মনিরপেক্ষতাবাদের উত্থান এবং মধ্যপ্রাচ্যে খ্রীষ্টানদের উৎপীড়ন বৃদ্ধি।</t>
  </si>
  <si>
    <t>কোরান নাকি পোড়া যায় কিনা? এখন পোড়া গেল কেন? সে টেস্ট কইরা দেখছে কোরান পোড়া যায় কিনা।</t>
  </si>
  <si>
    <t>হিন্দু ধর্মে ধর্মীয় পথচলার মাধ্যমে মানবতার কল্যাণ এবং বিশ্ব শান্তির জন্য প্রতিটি মানুষকে কাজে লাগানো উচিত।</t>
  </si>
  <si>
    <t xml:space="preserve">এই সংবাদকর্মীর বাবা নাকি একজন মুসলিম, তারপরে-ও কেনো মৃত একজন মানুষ কে হিন্দু বানানোর চেষ্টা করা হচ্ছে বুজতে পারছি না। </t>
  </si>
  <si>
    <t>আমি তোমাকে সত্যসহ শুভ সংবাদদাতা ও সতর্ককারীরূপে প্রেরণ করেছি। জাহান্নামীদের সম্পর্কে তোমাকে কোন প্রশ্ন করা হবে না।</t>
  </si>
  <si>
    <t>বাংলার ইতিহাসে হিন্দু ও মুসলিম কখনো একে অপরের বিরুদ্ধে মুখোমুখি হয়নি, যদিও দুই-একটি ঘটনা ঘটেছে, যা আমি স্বীকার করি।</t>
  </si>
  <si>
    <t>১৯৫৮ সালে আইয়ুব খান পাকিস্তানের সামরিক শাসক হন। আয়ুব খানের নেতৃত্বে পাকিস্তান সরকার শুরু থেকেই বাঙালি হিন্দু ও অন্যান্য সংখ্যালঘু সম্প্রদায়ের ওপর এথনিক ক্লিনজিঙের পরিকল্পনা নেন।[</t>
  </si>
  <si>
    <t>শ্রীলঙ্কা প্রভৃতি বৌদ্ধ ধর্মে প্রভাবিত দেশসমূহে বিশেষ মর্যাদা সহকারে এই উৎসব পালিত হয়ে থাকে। </t>
  </si>
  <si>
    <t>ইহুদিরা নিজেদের ইয়াহওয়ে ঈশ্বরের সবচেয়ে আশীর্বাদপুষ্ট জাতি মনে করেন এবং নিজেদের অন্য সব জাতির চাইতে প্রভাবশালী মনে করেন যেটা ঈশ্বর কর্তৃক প্রাপ্ত।</t>
  </si>
  <si>
    <t>প্রতিবেদন বলা হয়েছে, দেশে গত ৪ আগস্ট থেকে হওয়া সাম্প্রদায়িক হামলার অভিযোগে ১১৫টি মামলা হয়েছে এবং অন্তত ১০০ জনকে গ্রেপ্তার করা হয়েছে।</t>
  </si>
  <si>
    <t xml:space="preserve">এসব আলাদা ঈশ্বরদের মন্ত্রী পরিষদ গঠন কর রয়েছে যেমন মানুষের রাজ্য পরিলাচনার জন্য মন্ত্রী পরিষদ থাকে তেমনই। সত্য হলো এমন ধর্ম প্রচারক বয়কট করা উচিত।  </t>
  </si>
  <si>
    <t>ধর্ম মানুষের মধ্যে পার্থিব এবং আধ্যাত্মিক সুখের মধ্যে সমন্বয় আনে। এটি তাকে জীবনের আনন্দের সাথে আধ্যাত্মিক উন্নতির পথ প্রদর্শন করে।</t>
  </si>
  <si>
    <t>১৮ মার্চ, দেড় শতাধিক সশস্ত্র হামলাকারী খুলনা শহরের বণিকপাড়ার পাবল সর্বজনীন কালীবাড়ী মন্দিরে হামলা ও ভাঙচুর করে রাত সাড়ে ৯ টার দিকে। আগুনের বিস্ফোরণ করার পরে তারা ওই অঞ্চলে হিন্দুদের বাড়িঘর ও দোকানপাট ভাঙচুর করে।</t>
  </si>
  <si>
    <t>মুসলিমদের প্রতি ঘৃণা ও বিদ্বেষের সঙ্গে যুক্ত হয়েছে মুসলিম অভিবাসী বয়কটের ডাক। বিশ্বের মুসলিম দেশগুলো বিশেষ করে এশিয়া, আফ্রিকা ও মধ্যপ্রাচ্যের দেশগুলোর নাগরিকদের অভিবাসন ঠেকানোর পাশাপাশি এরই মধ্যে নাগরিকত্ব পেয়েছে এমন মুসলিমদের দেশে ফেরত পাঠানোর জন্য জোর প্রচারণা শুরু করেছে ইউরোপের এই কট্টর ডানপন্থিরা। </t>
  </si>
  <si>
    <t>এধরণের কোনো ধর্মীয় জমায়েত এবং রাজনৈতিক, সাংস্কৃতিক ও সামাজিকসহ কোনো জমায়েত যেনো দেশের আর কোথাও এখন হতে না পারে, সে ব্যাপারে প্রশাসন কঠোর ব্যাবস্থা নেবে।</t>
  </si>
  <si>
    <t>হে আল্লাহ, আপনি আপনার কোরআন শরিফকে নিজ হাতে রক্ষা করুন, আমিন। আর যে কোরআন শরিফ পুড়িয়েছে, তাকে আপনি নিজেই শাস্তি দেবেন, যাতে দুনিয়ার সব মানুষ বুঝতে পারে।</t>
  </si>
  <si>
    <t>আমাদের দুই হাজার বছর আগে নির্বাসিত করা হয়েছিল এবং রাজা সলোমনের ভবিষ্যদ্বাণীর মাধ্যমে আমাদের সৃষ্টিকর্তা পরিষ্কারভাবে নির্দেশ দিয়েছেন যে, ইহুদি রাজ্য বা সার্বভৌমত্ব পুনঃপ্রতিষ্ঠা আমাদের জন্য নিষিদ্ধ। সেই পবিত্র ভূমিতে (জেরুজালেম) গণহারে ফিরে যাওয়াও আমাদের জন্য নিষিদ্ধ করা হয়েছে, এবং আমরা যেই দেশেই বাস করি, সেখানকার অনুগত নাগরিক হিসেবে থাকতে হবে।</t>
  </si>
  <si>
    <t>হিন্দু-বৌদ্ধ-খ্রিস্টান ঐক্য পরিষদের নেতারা বলেছেন, বাংলাদেশে আগেও সংখ্যালঘুদের ওপর হামলা এবং নির্যাতনের অনেক ঘটনা ঘটেছে।</t>
  </si>
  <si>
    <t>কুম্ভ মেলায় অংশগ্রহণকারীদের মধ্যে উৎসাহের কোনো অভাব ছিল না, কিন্তু কিছু মুহূর্তে অসতর্কতার কারণে নিরাপত্তা ব্যবস্থা যথেষ্ট শক্তিশালী না হওয়ায় মানুষের মধ্যে ভিড়ের চাপের ফলে কিছু দুঃখজনক ঘটনা ঘটেছে।</t>
  </si>
  <si>
    <t>রমনা কালী মন্দিরের চারপাশের গ্রামটি ছিল ঢাকা রেস কোর্সের কেন্দ্রস্থলের একটি প্রাচীন হিন্দু পল্লী। এই গ্রামে প্রায় ২০০০ হিন্দু পুরুষ, নারী ও শিশু বাস করত।[৩] এমনকি ঢাকার সবচেয়ে ভয়াবহ হিন্দু-মুসলিম দাঙ্গার সময়ও গ্রামটি অক্ষত ছিল।</t>
  </si>
  <si>
    <t>আদমজী গ্রুপের ব্যবস্থাপক জনাব করিম ১৩ এবং ১৪ জানুয়ারি আদমজী পাট কলে সাধারণ ছুটি ঘোষণা করে এবং পরিকল্পিত ভাবে গুজব ছড়িয়ে দেয় যে, কোলকাতায় তার ভাইকে হত্যা করা হয়েছে।[২১] ১৩ জানুয়ারি রাতে আদমজী পাট কলের মুসলিম শ্রমিকরা আশেপাশের যে কোয়ার্টার গুলোতে হিন্দুরা বসবাস করত সেগুলোতে আক্রমণ করে।</t>
  </si>
  <si>
    <t>ধর্মীয়  অনুভূতিতে আঘাতের অজুহাতে সংঘটিত আক্রমণ বহু মূল্যবান প্রাণ কেড়ে নিয়েছে, যা সভ্য সমাজের জন্য বড় চ্যালেঞ্জ।</t>
  </si>
  <si>
    <t>মুসলমানদের কলিজায় হাত দিলে কে কোন দলের সেদিকে তাকানোর সময় নেই আমরা মুসলিম এটাই আমাদের একমাত্র শক্তি আমাদের এই পবিত্র কুরআন শরীফ কে নিয়ে কেউ অন্যায় করলে কোন মুসলমান এটা সহ্য করতে পারবে না তাই যারা ইসলাম কে নিয়ে কটুক্তি করে তাদের বলছি তোমরা আল্লাহ তাআলার কাছে ক্ষমা চাও নয়তো তোমাদের জন্য রয়েছে কঠিন আজাব... হে আল্লাহ তাআলা আপনি এদের হেদায়েত দিন আমিন</t>
  </si>
  <si>
    <t>বৌদ্ধ ধর্মের প্রবর্তক গৌতম বুদ্ধ বাংলাদেশের পাহাড়পুরে অবস্থান করেছিলেন এবং সেখানে বৌদ্ধ স্তূপ রয়েছে। ফলে বৌদ্ধ ধর্মাবলম্বীদের কাছে বাংলাদেশ অন্যতম একটি পবিত্র স্থান। প্রতিবছর ভুটান, থাইল্যান্ড, ভিয়েতনাম, কম্বোডিয়াসহ বিভিন্ন দেশ থেকে এখানে পর্যটক আসেন।</t>
  </si>
  <si>
    <t>বড়লোকেরা যা পারেনি, ভিনধর্মী হয়ে আপনি সেটা করে দেখালেন। সত্যি বলতে কি, ডক্টর যশোদা জীবন দেবনাথ দাদা একজন অসাধারণ মানবিক মানুষ। তিনি ধর্ম-বর্ণ মানেন না, দাদার কাছে সকল ধর্মের মানুষ সমান।</t>
  </si>
  <si>
    <t>মহানবী হযরত মুহাম্মদ (সা.) কে অবমাননা করে কোনো কিছু কোনোভাবেই সমর্থন করেন না বলে জানিয়েছেন তথ্যমন্ত্রী ও আওয়ামী লীগের সাধারণ সম্পাদক হাছান মাহমুদ।</t>
  </si>
  <si>
    <t>এ ক্ষেত্রে, মরদেহটি দেখে তার সহকর্মী ও পরিচিতরা নিহত তরুণীর নাম অভিশ্রুতি শাস্ত্রী বলে দাবি করেছেন এবং তিনি সনাতন ধর্মের অনুসারি ছিলেন। তবে তার বাবা পরিচয় দেওয়া মুসলিম ধর্মাবলম্বী সবুজ শেখ এই দাবি গ্রহণ করতে নারাজ।</t>
  </si>
  <si>
    <t>সোস্যাল মিডিয়ায় গরুখোর সাজা ছাড়া আরও পন্থা আছে ভারত বয়কটের সেগুলো ব্যবহার করুন।</t>
  </si>
  <si>
    <t>ইসলাম ধর্ম নয় , রাজনীতি। তাহলে বিএনপির প্রতিষ্ঠাতার সমালোচনা করতে পারলে ইসলামের রাজনীতির প্রতিষ্ঠাতারও সমালোচনা যাবে।</t>
  </si>
  <si>
    <t>মানবতা এবং ন্যায়বিচার সব ধর্মের মূল শিক্ষা, যা আমাদের জীবনে সত্যিকারের শান্তি আনতে পারে।</t>
  </si>
  <si>
    <t>মুসলিমদের আরেকটি দল রামগঞ্জ পুলিশ স্টেশনের গোবিন্দপুরের যশোদা পাল ও ভরত ভূঁইয়ার বাড়িতে আক্রমণ করে।তারা পরিবারের ১৬ জন সদস্যকে দড়ি দিয়ে বেধে জীবন্ত অগ্নিদগ্ধ করে নির্মম ভাবে হত্যা করে। বাড়ির মহিলাদের উপর্যূপরি ধর্ষণ করা হয়।</t>
  </si>
  <si>
    <t>বাংলার মুখ্য়মন্ত্রী মমতা বন্দ্যোপাধ্য়ায় আগেই জানিয়েছিলেন, ‘মহাকুম্ভে মর্মান্তিক পদপিষ্টের ঘটনায় আমি গভীরভাবে শোকাহত। যে ঘটনায় কমপক্ষে ১৫ জন নিরীহ মানুষের মৃত্যু হয়েছে ।</t>
  </si>
  <si>
    <t>উনিশ শতকের পূর্বে ইহুদি-বিদ্বেষ ছিল মূলত ধর্ম-ভিত্তিক। খ্রিস্টানরা ইহুদি ধর্মের ব্যাপারে নিজস্ব ধর্মীয় ব্যাখ্যা ও দৃষ্টিকোণের আলোকে এই বিদ্বেষভাব পোষণ করতো। তৎকালীন খ্রিস্টান-শাসিত ইউরোপে বৃহত্তম সংখ্যালঘু ধর্মীয়-গোষ্ঠী হিসেবে ইহুদিরা বিভিন্নসময় ধর্মীয় বিদ্বেষ, নির্যাতন ও সহিংসতার শিকার হত।</t>
  </si>
  <si>
    <t>যারা ধর্ম নিয়ে বাড়াবাড়ি করে,অবমাননা করে তারা কখনও ধার্মিক হতে পারে না,,,ধর্ম মানেই শান্তির পরশ,,শ্রদ্ধাবোধ দিয়ে টিকে আছে,আমি তোমার ধর্মকে শ্রদ্ধা করলেই তুমিও করবে,,,</t>
  </si>
  <si>
    <t>সাতক্ষীরা জেলার জেলা ম্যাজিস্ট্রেট সাতক্ষীরা ও আসাসুনি উপজেলার কয়েকটি এলাকায় ১৪৪ ধারা জারি করেন। ৫ মার্চ জামায়াতে-শিবির ও বিএনপি কর্মীরা খুলনায় আটটি হিন্দু বাড়ি পুড়িয়ে দেয়। ১২ মার্চ মধ্যরাতের দিকে দুর্বৃত্তরা ঝিনাইদহ জেলার কালীগঞ্জ উপজেলার অঙ্গিতা শ্মশান মন্দিরে শিবের ২৩ টি প্রতিমা ভাঙচুর করে।</t>
  </si>
  <si>
    <t>ফরিদপুরে নিহত দুই এনজিও কর্মী ধর্মীয় উগ্রবাদের শিকার</t>
  </si>
  <si>
    <t xml:space="preserve">আমরা মত প্রকাশ করতে পারি, তবে কারও ধর্মীয় অনুভূতিতে আঘাত করতে পারি না। কারও ধর্মীয় বিশ্বাসের ব্যাপারে কোনো জবরদস্তি নেই। </t>
  </si>
  <si>
    <t>আমরা যদি একে অপরের প্রতি শ্রদ্ধাশীল হই, তাহলে সমাজে সম্প্রীতি ও ভালোবাসা আরও বৃদ্ধি পাবে।</t>
  </si>
  <si>
    <t>প্রেমের জন্য ধর্ম ত্যাগ নয় বরং ধর্মের জন্য প্রাণ ত্যাগ করো</t>
  </si>
  <si>
    <t>২০১৭ গঙ্গাচড়া সাম্প্রদায়িক সহিংসতা হল ২০১৭ সালের ১০ নভেম্বর রংপুরের গংগাচড়া উপজেলায় ঠাকুরপাড়া ও ব্রাহ্মণপাড়া গ্রামে ইসলাম ধর্ম অবমাননার অজুহাতে জামায়াতে ইসলামীর উগ্রপন্থীদের দ্বারা হিন্দুদের উপর করা হামলা।</t>
  </si>
  <si>
    <t>যদি মরতেই হয়, জীবন অতিষ্ঠ লাগে তাইলে ধর্ম অনুযায়ী কিছু করলে আমি বুদ্ধি দিতে পারি।</t>
  </si>
  <si>
    <t>পাতখোলা বাজার থেকে তারা গুলি চালনা শুরু করে এবং পরবর্তীতে চুকনগর বাজারের দিকে অগ্রসর হয়[৩]। বিকেল তিনটা পর্যন্ত গোলাগুলি চলতে থাকে। প্রত্যক্ষদর্শীদের মতে মৃতের সংখ্যা ১৩ হাজার বা তারও বেশি।[১][৪] মৃতদেহগুলো পাক বাহিনী নদীতে নিক্ষেপ করে এবং পরবর্তীতে স্থানীয় লোকজন অবশিষ্ট দেহগুলোর অধিকাংশ নদীর পানিতে ফেলে দিতে বাধ্য হন।</t>
  </si>
  <si>
    <t>নিউজিল্যান্ডে ক্রাইস্টচার্চে আক্রমণকারী ব্যক্তি ব্রেনটন ট্যারেন্ট হামলা চালানোর আগেই ৭৪ পৃষ্ঠার এক বিশাল ম্যানিফেস্টো ঘোষণা করেছে। তার এই ম্যানিফেস্টোতে উল্লিখিত বিষয়গুলো পড়লে দেখা যাবে, সেখানে যেসব কথা বলা হয়েছে, সেগুলোর একটি ঐতিহাসিক প্রেক্ষাপট রয়েছে। নিউজিল্যান্ডে এ ঘটনার কারণ শুধু বর্ণবাদ নয়।</t>
  </si>
  <si>
    <t>আসলে যে বা যারা-ই এই কাজ করেছে সে হতে পারে মুসলিম নামধারী কোন ভণ্ড বা তেমনই হিন্দু নামধারী কোন অমানুষ, বা অন্য ধর্মের! হতে পারে আশেপাশের কোন দেশ হতে টাকার বিনিময়ে লেলিয়ে দেওয়া কোন বেজন্মা! যার প্রকৃত উদ্দেশ্যই ছিল শান্তিপ্রিয় বাংলাদেশে হিন্দু-মুসলমান এর একটা দাঙ্গা বাধানো!</t>
  </si>
  <si>
    <t>বর্তমানে আমরা মুসলিম দেশগুলো হয়ে গেলাম পশ্চিমাদের দালাল তাই আজ মুসলিম ভাইদের এই অবস্থা হে আল্লাহ তুমি সর্ব শক্তিমান তুমি সকল মুসলমানদের হেফাজত কর আমিন</t>
  </si>
  <si>
    <t>কুরআন নিজেই মৃত্যু এবং পুনরুত্থানের মধ্যবর্তী সময় সম্পর্কে কেবল সংক্ষিপ্ত সূত্র দেয়। তবে এতে উল্লেখ করা হয়েছে যে শহীদদের মতো নির্দিষ্ট ব্যক্তিরা বেঁচে আছেন এবং তারা মারা যাননি ২:১৫৪ এবং এটিও ইঙ্গিত করে যে কিছু ব্যক্তি ইতোমধ্যে নরকে রয়েছে</t>
  </si>
  <si>
    <t xml:space="preserve">শবেবরাত নিয়ে বাজে মন্তব্য গ্রেফতার করা হবে আকরামুজ্জামানকে </t>
  </si>
  <si>
    <t>দুনিয়ার পেছনে দৌড়ঝাঁপ না করে আখিরাতের পিছনে সর্বশক্তি নিয়োগ করা প্রয়োজন। তাহলে দুনিয়া আখিরাত দূইটাই পাওয়া যাবে।</t>
  </si>
  <si>
    <t>পাকিস্তানে (Pakistan) ফের আক্রান্ত সংখ্যালঘু সম্প্রদায়। রোজকার মতোই দোকান খুলেছিলেন রঞ্জিত এবং কুলজিৎ। অভিযোগ, সেই সময় হঠাৎই মোটরবাইকে চড়ে ঘটনাস্থলে পৌঁছয় দুই আততায়ী। কোনও কিছু বুঝে ওঠার আগেই তারা রঞ্জিত ও কুলজিৎকে গুলি করে পালায়।</t>
  </si>
  <si>
    <t>নোয়াখালীর হিন্দু নারীদের অবর্ণনীয় নির্যাতন সম্পর্কে লেখেন যে,সেখানে মেয়েদের অবস্থা নিকৃষ্টতম।তাদের অনেকেই নিজেদের স্বামীকে খুন হতে দেখেছে এবং স্বামীর হত্যাকারীরাই তাদেরকে ধর্মান্তরিত করে বিয়ে করেছে।</t>
  </si>
  <si>
    <t>বছরের পর বছর ধরে সিরিয়ায় হামলা চালিয়েছে ইসরায়েল। বিশেষ করে আলেপ্পো ও দামেস্ক শহরে। এছাড়া বিরোধপূর্ণ গোলান হাইটসেও সহিংসতার ঘটনা ঘটে। </t>
  </si>
  <si>
    <t>গোধরায় ট্রেনে আগুন লাগার পর গুজরাটজুড়ে মুসলিমদের ওপর ব্যাপক হামলা হয়, আনুমানিক ২,০০০ মুসলিম নিহত হয়।</t>
  </si>
  <si>
    <t>এ হয়তো সরকারের বিধিনিষেধের ফল, হয়তো এসব খবরের বেশি প্রচারে এসব সন্ত্রাসী কার্যক্রম অধিকতর ছড়িয়ে পড়বার আশঙ্কা থেকে এমন সিদ্ধান্ত নেয়া হয়। এই-ই যদি কারণ হয়, বিবিসি বাংলা কোন বিবেচনা থেকে এসব খবর এমন গুরুত্ব দিয়ে প্রচার করে?</t>
  </si>
  <si>
    <t>মন্দিরের পুরোহিত এবং আরও দশটি হিন্দু পরিবারের উপর চালানো হয় বর্বর পৈশাচিক নির্যাতন। চার ঘণ্টা জুড়ে বাধাহীন ভাবে এই নিষ্ঠুরতা চলতে থাকে।[৬] লালবাগের একটি দুর্গা মন্দির, পুস্পরাজ সাহা লেনের গিরিগোবর্ধন জিউ মন্দির, হরনাথ ঘোষ লেনের রঘুনাথ জিউ আখড়া,কামরাঙ্গিচর শ্মশান সহ অসংখ্য হিন্দু উপাসনালয় লুটপাট ও ধ্বংস করে মুসলিমরা।</t>
  </si>
  <si>
    <t>হিন্দু ধর্মের মধ্যে থেকেই তাই একজন ভক্ত বুদ্ধকে গভীরভাবে শ্রদ্ধা করতে পারত। এটাই ছিল বুদ্ধের জন্মস্থানেই বৌদ্ধ ধর্মের কফিনে মারা শেষ পেরেক। হিন্দুধর্ম তাই ধীরে ধীরে হয়ে উঠলো – “নানা মতের বিশ্বাসীদের জন্যে আস্থা ও সন্তুষ্টির কেন্দ্র।” ব্যক্তিগত ঈশ্বরের স্থান করে দেয়া ছাড়াও তখন আবেগী ভক্তিমূলক গানের উত্থান শুরু হলো যা আগে দেখা যেতনা।</t>
  </si>
  <si>
    <t>তোমরা হিন্দু মুসলিম দাঙ্গা করাও আমরা হিন্দু-মুসলিমকে এক করি, এটাই তৃণমূল পরিবার এটাই বাংলার সংস্কৃতি জয় বাংলা। এইটি খালি একটি ফটো না। এইটাই আসল ইন্ডিয়া এখানে আপনি বাঙালি বিহারী পাঞ্জাবি ও মুসলিম সবাইকে একসাথে পাবেন।</t>
  </si>
  <si>
    <t>আল্লাহ কুরআনে বলেছেন যে, তিনি সমস্ত সৃষ্টির স্রষ্টা, এবং তাঁর পক্ষ থেকে যা নির্দেশনা এসেছে তা মানবতার কল্যাণে সর্বোত্তম।</t>
  </si>
  <si>
    <t>আল্লাহর আদেশ মেনে চললে আমরা পার্থিব জীবনে শান্তি ও আধ্যাত্মিক শান্তি লাভ করি, এবং পরকালে আল্লাহর রহমত লাভ করি।</t>
  </si>
  <si>
    <t>ভাগ্যের ভালো ও মন্দের ব্যাপারে মুমিন সন্তুষ্ট থাকে। কখনো তাকে অপছন্দের কোনো বিষয় স্পর্শ করলেও সে তা নিয়ে প্রশ্ন উত্থাপন করে না। কেননা আল্লাহর নির্দেশ হলো, ‘তিনি (আল্লাহ) যা করেন সে বিষয়ে তাঁকে প্রশ্ন করা যাবে না, বরং তাদেরকেই প্রশ্ন করা হবে। ’</t>
  </si>
  <si>
    <t>নিরাপত্তার জন্য তিনি তার স্ত্রী এবং ছেলেমেয়েদের পশ্চিমবঙ্গে পাঠিয়ে দিয়ে ভাইয়ের সাথে নোয়াখালী ছিলেন। কয়েক মাস পর মহত্মা গান্ধীর প্রচেষ্টায় তার গলিত দেহ উদ্ধার করা সম্ভব হয়।</t>
  </si>
  <si>
    <t>আরবে ইসলাম ধর্ম অনুসারীরা তাদের ধর্মীয় সংস্কৃতি ও ঐতিহ্যকে গুরুত্ব দিয়ে পালন করে। দেশটিতে ইসলামিক মূল্যবোধ রক্ষার জন্য নির্দিষ্ট কিছু ধর্মীয় নীতিমালা রয়েছে, যা তাদের সংস্কৃতির অংশ।</t>
  </si>
  <si>
    <t>ধর্মীয় প্রিজম দিয়ে দেখলে এমন‌ই মনে হবে আপনার । এটাকে রাজনৈতিক প্রিজম দিয়েই দেখতে হবে । শান্তি কামী কোন হিন্দু মুসলিম এসব করে না, করার কথাও না, কারন আমি ভালোভাবেই জানি আমার পাড়ার দেবব্রত মজুমদারের সাথে আমার সম্পর্ক কেমন ? সেও জানে আমি কেমন ?</t>
  </si>
  <si>
    <t>অগ্রগামিতার প্রচেষ্টার পাশাপাশি মুসলিম উম্মাহর কর্তব্য, এই মূল্যবান সম্পদকে জীবন দিয়ে রক্ষা করা, কুরআন মজীদের সাথে সম্পর্ক কায়েম করা, কুরআনের প্রতি ঈমান ও আস্থা দৃঢ় থেকে দৃঢ়তর করা, কুরআনের সহীহ-শুদ্ধ তিলাওয়াত ও কুরআনের শিক্ষা নির্দেশনা নিজে জানা ও মানা এবং সন্তান-সন্ততি, পরিবার পরিজনকে জানানো ও মানানো।</t>
  </si>
  <si>
    <t>আসসালামু আলাইকুম ভাইয়া, আপনার বোঝানো ধরণটা মাশাআল্লাহ এত সুন্দর, এত সুন্দর করে বুঝান। আল্লাহ আপনাকে আরো বুঝানোর মত তৌফিক দিক। আল্লাহ আপনাকে নেক হায়াত দান করুক, ভাই মাশাআল্লাহ এত সুন্দর করে কেউ বুঝাতে পারে না।</t>
  </si>
  <si>
    <t>ওই বছরের ৫ জানুয়ারি জাতীয় নির্বাচন হয়েছিল। এর পরবর্তী সহিংসতার শিকার হন হিন্দুরা। ৭৬১টি হিন্দু বাড়ি-ঘর, ১৯৩টি ব্যবসা প্রতিষ্ঠান ও ২৪৭টি মন্দির-মণ্ডপে হামলা হয় ওই বছর। তখন নিহত হন একজন।</t>
  </si>
  <si>
    <t>এই মিথ্যাচার আমার ধর্মকে ব্যঙ্গও করে আমার অস্তিত্বে আঘাত করে,,তারা আমার দেশকে ছোট করে।</t>
  </si>
  <si>
    <t>শেরপুরের আশেপাশের বিভিন্ন হিন্দু অধ্যুষিত গ্রাম যেমন লক্ষনপুর,মুচেরের চর,চর শেরপুর ঝাঁকাটা,ভতসনা,সাপমারি প্রভৃতি গ্রামের হিন্দুদের উপর নির্বিচারে হামলা শুরু হয়।হিন্দুদের বাড়িঘর লুটপাট করে আগুন জ্বালিয়ে দেয়া হয়।</t>
  </si>
  <si>
    <t>যারা অসাম্প্রদায়িকতার নামে ধর্মহীন করার নোংরা খেলায় মেতে উঠেছে সময় থাকতে তাদের প্রতিহত করতে হবে।</t>
  </si>
  <si>
    <t>পবিত্র বেদেই বিয়ের বয়স সম্পর্কে মানবজাতিকে ঈশ্বর নির্দেশ দিয়ে দিয়েছেন যে ব্রহ্মচর্য জীবন সমাপ্ত হলে যুবক যুবতী যোগ্য সঙ্গীকে বিবাহ করবে-</t>
  </si>
  <si>
    <t>উগ্র ধর্মীয় গোঁড়ামি মানুষের মনে ঘৃণা জন্ম দিয়েছে, যার ফলস্বরূপ বহু হত্যাকাণ্ড সংঘটিত হয়েছে এবং শান্তি বিনষ্ট হয়েছে।</t>
  </si>
  <si>
    <t>ইনামদার, ওবারফিল্ড ও ড্যারেল বলেন যে মহিলারা যারা সতীদাহ করেন তারা প্রায়শই "নিঃসন্তান বা বৃদ্ধ এবং দুঃখজনক দরিদ্র জীবনের মুখোমুখি হন" যা একমাত্র ব্যক্তিগত সমর্থন হারানোর কারণে বিধবার আত্মহত্যার কারণ হতে পারে।</t>
  </si>
  <si>
    <t>জাতিসংঘের মানবাধিকার প্রধান ভলকার তুর্ক ইউএনএইচআরসিকে বলেছেন, মুসলমানদের পাশাপাশি অন্যান্য ধর্ম বা সংখ্যালঘুদের বিরুদ্ধে এ ধরনের উসকানিমূলক কর্মকাণ্ড ভুল, আপত্তিকর ও দায়িত্বজ্ঞানহীন।</t>
  </si>
  <si>
    <t>কোন ধর্ম নিয়ে বাড়াবাড়ি করা উচিত নয়। এটি এড়িয়ে চলা সবার জন্য মঙ্গলজনক। তার ভুল বুঝিয়ে দিয়ে তাকে সঠিক পথ দেখানো উচিত, যাতে অন্যরাও শিখতে পারে।</t>
  </si>
  <si>
    <t>মুসলমানদের একটা জনতা গলশহিদ পুলিশ চৌকিতে আগুন লাগিয়ে দেয় এবং দুজন পুলিশকে হত্যা করে অস্ত্র-শস্ত্র লুট করে। এরপর পুলিশও হিংসাত্মক পন্থা নেয়।</t>
  </si>
  <si>
    <t>২০১৭ সালে রোহিঙ্গা মুসলমানদের বসতি এলাকায় অগ্নিসংযোগ করা হয়, যার ফলে বহু মানুষ গৃহহীন হয়ে পড়ে এবং আহত হয়।</t>
  </si>
  <si>
    <t>মাত্র ৩০০-৪০০ ভাগ্যবান হিন্দুই ভারতে প্রবেশের অনুমতি লাভে সমর্থ হত।[৩৭] অন্তহীন দেশান্তরের কারণে পূর্ব-পাকিস্তানের একমাত্র হিন্দু গরিষ্ঠ জেলা খুলনাও মুসলিম গরিষ্ঠ জেলাতে রূপান্তরিত হয়।</t>
  </si>
  <si>
    <t>খ্রিস্টধর্ম প্রচারের নামে বাড়াবাড়ি শুনে রোমের পর্তুগিজ রাষ্ট্রদূত লুরেনকো পাইরেস রাজার প্রতি তার অসন্তুষ্টি প্রকাশ করেন । তিনি তাকে সতর্ক করে বলেছিলেন যে খ্রিস্টধর্মের নামে এই অত্যাচার আসলে ধর্ম এবং রাজ্যের অপকার করছে । ইনকুইজিশন পূর্ব দিকে পর্তুগিজ সাম্রাজ্যকে পতনের দিকে পরিচালিত করে।</t>
  </si>
  <si>
    <t>যেহেতু ইসলাম ধর্মসহ প্রায় সকল ধর্মেই আপন আপন আঙ্গিকে সীমিত উৎসবের অনুমতি আছে সেহেতু তারা তাদের ধর্মাচারগুলোকে ফখরুদ্দীনের চাটনির স্বাদের আনন্দ আচারের টক-মিষ্টি-মসলা মিশিয়ে খোলাবাজারে ছেড়ে দিয়েছে।</t>
  </si>
  <si>
    <t>ধর্মীয় সংখ্যালঘু নির্যাতন,সংখ্যালঘুদের জীবনাচরণ, খাদ্যাভ্যাস নিয়ে টানাটানি।আমরা বাংলাদেশেও দেখি ভারতবিরোধী কথা বলে হিন্দু বিরোধী কথা বলে সস্তা জনপ্রিয়তা অর্জন করতে।আসলে আমরা এখন ধার্মিক নয় সাম্প্রদায়িক হয়ে যাচ্ছি।</t>
  </si>
  <si>
    <t>Youtuber ভাই কে ধন্যবাদ। এভাবে প্রশ্ন গুলা ভাগ করে দেওয়ার জন্য। আমরা তাহলে আমাদের দরকার এর প্রশ্নটি সহজে খুঁজে পাব। আহমাদুল্লাহ হুজুরের প্রতিটি video এভাবে দেওয়ার অনুরোধ রইল।</t>
  </si>
  <si>
    <t>১৯৪৭শের পরে কিছু ধনী বিহারি মুসলিম ব্যবসায়ীরাও এখানে এসে থাকতে শুরু করে। ২৬শে মার্চ, সেনারা সূত্রপুর পুলিশ স্টেশনে বোমাবর্ষণ করে। কয়েকজন পুলিশ মারা যান, বাকিরা পালিয়ে যান। সেনারা ঐ পুলিশ স্টেশনেই ঘাঁটি গাড়ে।</t>
  </si>
  <si>
    <t>"সুবহানাল্লাহ, আমি আজ বুঝে বা না বুঝে বিশ্বাস করি বৈজ্ঞানিক ব্যাখ্যাগুলো, অথচ আল্লাহর কথাগুলো কেন বিশ্বাস করব না? হে রব, তুমি আমাকে আরও এমন ভিডিও শুনাও, যা আমার কলিজা ঠান্ডা করে দেয়। ভাইয়া, আপনার জন্য দোয়া রইল। আল্লাহ আপনাকে অনেক বেশি শান্তিতে রাখুক। আমিন।</t>
  </si>
  <si>
    <t>কঠোর নিন্দা জানাই যারা পবিত্র কুরআনকে অবমাননা করেছে। ও কঠিন শাস্তি দাবী করছি।</t>
  </si>
  <si>
    <t xml:space="preserve">মৃত ব্যক্তির শ্রাদ্ধে যে ব্যক্তি পিণ্ডদানের অধিকারী, তাকে বলা হয় ‘সপিণ্ড’। সপিণ্ডরাই মৃত ব্যক্তির সম্পত্তির প্রধানতম অধিকারী। </t>
  </si>
  <si>
    <t>তিনি বলছিলেন, 'নবী সাল্লাল্লাহুআলাইহিওয়াসাল্লামকে কটুক্তি করছে। এইটা নিয়া প্রতিবাদ তো হবেই। মানুষ ফেসবুকে ভিডিও দিচ্ছে। বলতেছে যে এইটা ভালো না।'</t>
  </si>
  <si>
    <t>সব সংকট থেকে উত্তোলনের একমাত্র উপায় হলো, জীবনের প্রতিটি ক্ষেত্রে বিশ্ব নিয়ন্তা আল্লাহ রাব্বুল আলামিনের নির্দেশিত পথ ইসলামের অনুসরণ।</t>
  </si>
  <si>
    <t>নাস্তিক মেয়েটাকে নিয়ে বেশি বাড়াবাড়ির দরকার কি,যেখানে তার পরিবার তাকে সুযোগ দিয়েছে নাস্তিক হওয়ার, সেখানে ওর জানাজা যে পড়ানোও উচিত হয়নি।</t>
  </si>
  <si>
    <t>আল্লাহ, জানি না এই নাস্তিকদের তুমি কী শাস্তি দেবে। আল্লাহ, তোমার কুরআনকে যারা অবমাননা করছে, তুমি তাদের এমন শাস্তি দাও, যাতে এরকম কাজ যেন সামনে আর কেউ না করে।</t>
  </si>
  <si>
    <t>কারো ধর্মীয় অনুভূতি নিয়ে আঘাত করা উচিত বলে আমরা মনে করি না। ব্যক্তি স্বাধিনতা যেমন সবার আছে তেমন ধর্মীয় স্বাধিনতার মনোভাব আমাদের রাখা উচিত</t>
  </si>
  <si>
    <t>ইসরাইলের ওপরে হামাসের হামলার পর থেকেই অনেক ভারতীয় সামাজিক মাধ্যম ব্যবহারকারী পোস্ট করছেন যে তারা ইসরাইলের হয়ে যুদ্ধে যেতে চান।</t>
  </si>
  <si>
    <t>গর বেলতলী এবং হাজারীবাগে কমপক্ষে ১০০ টি হিন্দু বাড়ি-ঘর,ব্যবসাপ্রতিষ্ঠান লুটপাট করে স্থানীয় মুসলিমরা এবং এক ডজনেরও বেশি হিন্দু মন্দির ভাংচুর ও অগ্নিসংযোগ করে তারা।</t>
  </si>
  <si>
    <t>পীরগঞ্জের ঘটনায় পুলিশের পক্ষ থেকে ৪টি মামলা দায়ের করা হয়। এরমধ্যে ৩ টি ডিজিটাল নিরাপত্তা আইনে ও অপরটি মামলা হয়েছে হিন্দুদের বাড়িঘরে ভাঙচুর, অগ্নিসংযোগ ও লুটের অভিযোগে। </t>
  </si>
  <si>
    <t>মুসলিমরা ইহুদি ধর্মের প্রধান নবী মোজেসকে নবী মূসা নামে ডাকেন এবং আল্লাহর অন্যতম প্রভাবশালী নবী হিসেবে মান্য করেন।</t>
  </si>
  <si>
    <t>মুসলিম শাসনের অবসানের পর থেকে দক্ষিণ এশিয়ায় মুসলিম ও হিন্দু সম্প্রদায় একটি সূক্ষ্ম ভারসাম্যে বসবাস করছে। হিংসাত্মক সংঘর্ষ প্রায়ই দেখা গেছে এবং ১৯৪৭ সালে ভারত বিভক্তির ফলে এই দ্বন্দ্ব স্থায়ী হয়েছে।</t>
  </si>
  <si>
    <t>গণজমায়েতকে আমরা নিরুৎসাহিত করছি। মসজিদে জামাতে নামাজ পড়ার ক্ষেত্রেও অসুস্থ, বয়স্ক এবং সম্প্রতি বিদেশ ফেরত, তাদেরকে আমরা মসজিদে আসা থেকে বিরত থাকতে উৎসাহিত করছি। </t>
  </si>
  <si>
    <t xml:space="preserve">ফরিদপুরের আলফাডাঙ্গায় এক রাতে ৩টি মন্দিরের ১০টি প্রতিমা ভাঙচুরের ঘটনা ঘটেছে। শুক্রবার দিবাগত রাতের ওই ঘটনায় প্রতিবাদ জানিয়ে আজ রোববার আলফাডাঙ্গা চৌরাস্তা এলাকায় মানববন্ধন করেছে উপজেলা হিন্দু বৌদ্ধ খ্রিস্টান ঐক্য পরিষদসহ সনাতনী বিভিন্ন সংগঠন। </t>
  </si>
  <si>
    <t>আমাদের একমাত্র নিঃস্বার্থ অভিভাবক যিনি আমাদের সবসময় খোঁজ রাখেন, আমাদের রিযিকের ব্যবস্থা করে দেন, সবচেয়ে বেশি ভালবাসেন তিনি আমাদের মহান আল্লাহ সুবহানাল্লাহ। যিনি মনের ভাষা বুঝতে পারেন, যিনি বিপদের সময় সবচেয়ে বেশি পাশে থাকে। ইয়া আল্লাহ সুবহানাল্লাহ ওয়া তায়াল তালা আমরা আপনাকে আর আপনার প্রিয় রাসূলকে অনেক অনেক ভালবাসি।</t>
  </si>
  <si>
    <t>কুরআন নাহয় ষড়যন্ত্রকারীরাই দিলো। কিন্তু কুরআনটি ছিল দৃশ্যমান জায়গায় (ছবিতে যেমনটি দেখা যাচ্ছে)। তাহলে পূজামণ্ডপের দায়িত্বশীল ব্যক্তিবর্গ এটি সরিয়ে ফেলল না কেন? তাহলে কি মণ্ডপের দায়িত্বশীল ব্যক্তিবর্গ বা তাদের কেউ এই ষড়যন্ত্রের অংশীদার? এদের আইনি জবাবদিহিতে আনা উচিত।</t>
  </si>
  <si>
    <t>নিউ ইয়র্কের কুইন্স এলাকায় দুর্বৃত্তের গুলিতে যে দুইজন বাংলাদেশি নিহত হয়েছেন, তাদের একজন স্থানীয় একটি মসজিদের ইমাম ছিলেন এবং অপরজন তারই সহকারী ছিলেন বলে জানা গেছে।</t>
  </si>
  <si>
    <t>ফেসবুকের পোস্টে ধর্মীয় অনুভূতিতে আঘাত করে মন্তব্য করার বিষয়টি প্রমাণিত হওয়ায় আসামি পরিতোষ সরকারকে চারটি ধারায় মোট ১১ বছরের কারাদণ্ড দিয়েছেন বিচারক। তবে সব সাজা একত্রে চলায় তাকে সর্বোচ্চ পাঁচ বছর কারাভোগ করতে হবে।</t>
  </si>
  <si>
    <t>চীনের উইঘুর মুসলিম সম্প্রদায়ের ওপর ধর্মীয় নিপীড়ন ও গণহত্যার অভিযোগ রয়েছে, যেখানে বন্দিশিবিরে বহু মানুষ নির্যাতনের ফলে মৃত্যুবরণ করেছে।</t>
  </si>
  <si>
    <t>মার্কিনিরা গাজা উপত্যকায় ফিলিস্তিনি শিশুদের হত্যা দেখতে চায় না। আপনার রাজনীতি যা-ই হোক না কেন, ঘুমের সময় বোমা হামলায় মারা যাওয়া ছোট বাচ্চাদের হত্যার সঙ্গে জড়িত হতে চায় না যুক্তরাষ্ট্রের জনগণ</t>
  </si>
  <si>
    <t>রমজান মাস এলে রাসুল (সা.) সাহাবিদের উদ্দেশে বলতেন, তোমাদের কাছে এই মাস সমাগত হয়েছে, তাতে এমন একটি রাত রয়েছে, যা এক হাজার মাসের চেয়েও উত্তম। যে ব্যক্তি এ রাতের কল্যাণ থেকে বঞ্চিত হলো, সে প্রকৃতপক্ষে সব কল্যাণ থেকেই বঞ্চিত। একমাত্র (সর্বহারা) দুর্ভাগাই এ রাতের কল্যাণ থেকে বঞ্চিত হয়।’</t>
  </si>
  <si>
    <t xml:space="preserve">সোস্যাল মিডিয়ায় কয়েকদিন যাবৎ ভারত বিরোধী পোস্ট লক্ষনীয় যেখানে গরুর মাংস খাওয়া নিয়ে ভারতীয় হিন্দুদের ট্রল করা হচ্ছে। </t>
  </si>
  <si>
    <t>ফিজিতে হিন্দুরা দেশের জনসংখ্যার প্রায় ৩৮%। ১৯৯০এর দশকের শেষের দিকে ফিজিতে খ্রিস্টীয় মৌলবাদীদের দ্বারা হিন্দুদের সাথে কয়েকটি দাঙ্গা লাগানো হয়ে।</t>
  </si>
  <si>
    <t>আত্মহত্যা করা রঠা শিল্পী সাদী মহাম্মদের শেষকৃত্য হয়েছে রঠা সঙ্গীত দিয়ে।</t>
  </si>
  <si>
    <t>বাংলাদেশে মুসলমানদের দেশ বলতে লজ্জা লাগে, কেননা কিছু নামদারি মুসলিম আছে যাদের কারণে বারবার অন্যায় করে পার পেয়ে যায়। কেন এখনো তাদেরকে আইনের আওতায় আনা হলো না।এর ধারা কি বুঝা যাচ্ছে যে, দেশটি মুসলিম রাষ্ট্র হয়ে কেন পুরো বিশ্ব মুসলমানদের কলিজায় আঘাত দিয়েছে। </t>
  </si>
  <si>
    <t>একশ্রেণির মানুষ সেখানে ধর্মকে টেনে আনেন এবং বিজ্ঞানের সাথে ধর্মকে মিশিয়ে অহেতুক গ্রুপের পরিবেশ নষ্ট করেন। আমরা কোন ধর্মকে অসম্মান করি না। কিন্তু বিজ্ঞানবিষয়ক গ্রুপে ধর্ম নিয়ে বাড়াবাড়িও গ্রহনযোগ্য নয়।</t>
  </si>
  <si>
    <t>যে কোরআনকে অবমাননা করবে তার শাস্তি দেওয়া হোক ৩০ পারা অনুবাদ সহ মুখস্থ করা।তাহলে সে এক সময় নিজেই বুঝবে যে সে কি করলো।কিনতু জেল তার চিনতা চেতনা ঠিক করতে পারবে না আমি মনে করি</t>
  </si>
  <si>
    <t>তুমি অনুভব না করলেও খেজুরটি কিন্তু আলাদা আলাদা হয়ে তোমার রক্ত, গোস্ত, হাড্ডি, চামড়া, চুল ও নখে পরিনত হচ্ছে। ঠিক এমনিভাবে আমরা যখন কোনো বই পড়ি, তখন তা আমাদের অগোচরেই আমাদের ভাষাকে শক্তিশালী করে, জ্ঞানকে সমৃদ্ধ করে, চরিত্রকে শুদ্ধ করে, লেখনী ও বাচনভঙ্গি উন্নত করে।</t>
  </si>
  <si>
    <t>সিপিআই-এর একটি তথ্য-অনুসন্ধানকারী দল তাদের প্রতিবেদনে কর্মকর্তাদের উদ্ধৃতি দিয়ে স্বীকার করেছে যে মাসব্যাপী চার্চ-বিরোধী দাঙ্গায়, যেখানে ভিএইচপি এবং বজরং দল কেন্দ্রীয় ভূমিকা পালন করেছিল, কমপক্ষে ৫০০ জন নিহত হয়েছিল।</t>
  </si>
  <si>
    <t>১৯৬৪ সালে কলকাতায় হিন্দু ও মুসলমানদের মধ্যে দাঙ্গায় শতাধিক মানুষ মারা গিয়েছিল, ৪৩৮ জন আহত হয়েছিল।</t>
  </si>
  <si>
    <t>ইসলামের মৌলিক বিধানগুলো।মানব সৃষ্টির শুরু থেকে চলে আসছে। তবে তা পলনের পদ্ধতি ও সময়ে নানাবিধ পার্থক্য ছিলো।</t>
  </si>
  <si>
    <t>এর আগে বলেন- ইফতার পার্টি কবে থেকে রমজানের বা ধর্মিয় প্রোগ্রাম? রমজান কি ঘটা করে উদজাপণের জন্য?</t>
  </si>
  <si>
    <t>মুসলিমদের ধর্মীয় সমাবেশে ভুলে ড্রোন হামলা, নিহত ৮৫</t>
  </si>
  <si>
    <t>আমি সরকারের নিকট আবেদন জানাবো যে অন্তত ধর্মান্তর ও বিয়ের ক্ষেত্রে রাষ্ট্রীয় ১৮ বছরের আইনটি সংশোধন করা হোক।</t>
  </si>
  <si>
    <t>নওমুসলিম কাউন্সিলিং " বিষয়টা আমার কাছে দারুণ লেগেছে। এক্ষেত্রে আসলে কাজ করা দরকার।</t>
  </si>
  <si>
    <t>১৯৭১ সালে মধ্যপাড়া, কেশভোগ, রুদ্রপুর গ্রামগুলো মাদারীপুর উপজেলার পালং থানার অন্তর্গত ছিল। এগুলো বর্তমানে শরীয়তপুর সদর উপজেলার শরীয়তপুর পৌরসভার অন্তর্গত। এগুলো তখন সম্পূর্ণ হিন্দু-অধ্যুষিত গ্রাম ছিল, এখন হিন্দুশূন্য হয়ে গেছে।</t>
  </si>
  <si>
    <t>কোরআন আমাদের অক্সিজেন। কোরআনের জন্য আমরা জিবন দিতে প্রস্তুত। যারা যারা আমাদের কোরআন অবমাননা করেছে তাদের বিচার দুনিয়াতে হবে ইনশাআল্লাহ।</t>
  </si>
  <si>
    <t>হিজরতের সাত থেকে নয় মাস পরে মুহাম্মাদের নির্দেশে এই অভিযান চালানো হয়েছিল। এর নেতৃত্বে ছিলেন হামজা ইবনে আবদুল-মুত্তালিব (মুহাম্মদের চাচা) এবং ৩০ থেকে ৪০ জন লোক সমন্বিত কুরাইশের কাফেলা বন্ধ করার জন্য এই অভিযান ছিল। কাফেলার নেতা আমর ইবনে হিশাম (আবু জাহল) ৩০০ মক্কার যাত্রী নিয়ে আল-ই-তে ছাউনি বানিয়ে তাতে অবস্থান করেছিলেন।</t>
  </si>
  <si>
    <t>জান্নাতের কথা শুনে কল্পনা করাও বৃথা মনে হয় কারণ জান্নাত কি কোন অন্তর কল্পনাও করতে পারবে না কিন্তু তবু একটা প্রশান্তি মনে হয়।</t>
  </si>
  <si>
    <t>এটা ঠিক ওদের সমালোচনার দ্বারাই কিন্তু সঠিকটা জানতে পেরেছি সনাতন ধর্মের।</t>
  </si>
  <si>
    <t>নাগরিকত্ব সংশোধনী আইন (CAA) বিরোধী ও সমর্থকদের সংঘর্ষে দিল্লিতে হিন্দু-মুসলিম দাঙ্গা হয়, ৫৩ জন নিহত হয়, যার বেশিরভাগ মুসলিম।</t>
  </si>
  <si>
    <t>মুসলমানদের জন্য প্রার্থনার জন্য ক্বিবলা) চারপাশে সাতবার ঘড়ির কাঁটার বিপরীত দিকে হাঁটেন, সাফা ও মারওয়া পাহাড়ের মাঝখানে সাতবার দ্রুত পায়ে হেঁটে যান, তারপর জমজম কূপ থেকে পানি পান করেন, আরাফাতের পাহাড়ের ময়দানে গিয়ে অবস্থান করেন, মুজদালিফার ময়দানে একটি রাত কাটান এবং তিনটি স্তম্ভে পাথর নিক্ষেপ করার মাধ্যমে শয়তানকে প্রতীকী পাথর নিক্ষেপ করেন। </t>
  </si>
  <si>
    <t>সা কা চৌধুরীর পিতা ফজলুল কাদের চৌধুরী কুন্ডেশ্বরী ঔষধালয়ের দানবীর সমাজ সেবক নুতন চন্দ্র সিংহকে ৭১ এ আসন ঘরে ঠাকুরের পুজা দেয়া অবস্হায় টেনে হিচরে বের করে গুলি করে হত্যা করেছিল।</t>
  </si>
  <si>
    <t>বাংলাদেশের রাজধানী ঢাকা ছাড়াও কমপক্ষে ১২ টি শহরের হিন্দুরা সাম্প্রদায়িক সন্ত্রাসের শিকার হয়ে।[৯] যশোর, নড়াইল, গাইবান্ধা, ময়মনসিংহ, সুনামগঞ্জ, সিলেটের হিন্দুদের উপর মারাত্মক নির্যাতনের সংবাদ দৈনিক ইত্তেফাক পত্রিকায় প্রকাশিত হয়।</t>
  </si>
  <si>
    <t>ঘটনায় ৩,০০০ থেকে ৩,৫০০ জন নিহত হন বলে ধারণা করা হয়।[৫] তবে, হত্যাকাণ্ডে তিন সহস্রাধিক ব্যক্তি নিহত হন বলে স্বীকৃত। আনুমানিক ৩০০ থেকে ৫০০ জন নারী বিধবা হন বলে ধারণা করা হয়।</t>
  </si>
  <si>
    <t>সাম্প্রদায়িক চিন্তা থেকে গত বছরের ১০ জানুয়ারি আসিফা বানুকে অপহরণ করে গণধর্ষণ ও পরে নির্মমভাবে হত্যা করা হয়। কাঠুয়ার একটি মন্দিরে দিনের পর দিন আটকে রেখে তাকে মাদক দিয়ে, অভুক্ত রেখে নির্যাতন করা হয় এবং ধর্ষণের পর শ্বাসরোধ করা হয়।</t>
  </si>
  <si>
    <t>ধর্ম নির্ধারণ না করে মরদেহ সমাহিত করলে কিংবা পোড়ালে স্ব-স্ব ধর্মই তো অশুদ্ধ হয়ে যাবে! এ ব্যাখ্যা তো ধর্মবিশারদ ব্যতীত কেউ দিলে তা'ও শুদ্ধ হবে না</t>
  </si>
  <si>
    <t>কোনো সংখ্যালঘু সম্প্রদায় কিংবা ইসলামের কোনো বিচ্যুত অথবা বের হয়ে যাওয়া উপদলের ধর্মীয় কেন্দ্র অথবা উপাসনালয়ে হামলা করা কোনোভাবেই শরীয়তসিদ্ধ কাজ নয়। কোনো মুসলমানের জন্যই এটা ইসলাম নির্দেশিত অথবা অনুমোদিত কোনো কাজ নয়। ইসলামের দৃষ্টিতে এ ধরনের হামলা নিন্দনীয় ও শাস্তিযোগ্য অপরাধ।</t>
  </si>
  <si>
    <t>গান্ধীজীর নোয়াখালী যাত্রা এবং সেখানে অবস্থান মুসলিম নেতাদের মধ্যে আলোচনা ও মতবিনিময়ের সুযোগ তৈরি করেছিল। ১৯৪৭ সালের ১২ ফেব্রুয়ারি কুমিল্লায় একটি শোভাযাত্রায় বক্তৃতা প্রদানকালে এ কে ফজলুল হক বলেছিলেন, নোয়াখালীতে গান্ধীর অবস্থানের ফলে ইসলামের প্রসঙ্গে নতুন ভাবনার দ্বার উন্মোচিত হয়েছে।</t>
  </si>
  <si>
    <t>হিন্দু, মুসলিম, বৌদ্ধ, খ্রিষ্টান যে সম্প্রদায়ের জাতি হোক না কেন। যারা ধর্মকে এত আবেগ দিয়ে দেখবে, সেই জাতি বা দেশ কখনই উন্নত হতে পারবে না।</t>
  </si>
  <si>
    <t> আওয়ামী লীগের চাল তারা ধর্মীয় উস্কানি দিচ্ছে যেন কোন দাঙ্গার সৃষ্টি হয় আর এসবের দোহাই দিয়ে আস্তে করে রাষ্ট্রধর্ম ইসলাম বাদ দেয়ার চেষ্টা করবে তাই মুসলমান সতর্ক থাকতে হবে অতি শীঘ্রই আওয়ামী লীগের পতন হবে ইনশাআল্লাহ</t>
  </si>
  <si>
    <t>নগ্রাম ইউনিয়নে স্থানীয় আওয়ামী লীগ নেতার মালিকানাধীন দুটি হিন্দু বাড়িতে আগুন দেওয়া হয়।[২০] ৩ এপ্রিল, একই জায়গায় আবারও দেবদেবীর তিনটি প্রতিমা ভাঙচুরের পরে দুর্বৃত্তরা একটি হিন্দু মন্দিরে আগুন ধরিয়ে দেয়।</t>
  </si>
  <si>
    <t>আমি তোমার ধর্মে মরব, কিন্তু আমার ভালোবাসা কোনো সময় নয়। যদি আমি মরে যাই, তাহলে আমি তোমার দেবতার অপেক্ষায় থাকব।</t>
  </si>
  <si>
    <t>আল্লাহর নির্দেশনা মেনে চললে আমাদের জীবন মানসম্মত হয় এবং আমরা সঠিক পথে থাকি, যা আমাদের আত্মবিশ্বাস এবং সুখ বৃদ্ধি করে।</t>
  </si>
  <si>
    <t xml:space="preserve">দিন দিন একটা অসুস্থ জেনারেশন তৈরী হচ্ছে। এরা সেহেরি নিয়ে ফান পোস্ট করে, সেহেরি করছে ছবি তুলে আগে ফেসবুকে পোস্ট করবে, ইফতার করেছে আগে ফেসবুকে পোস্ট করবে </t>
  </si>
  <si>
    <t>এদিকে গত সপ্তাহে ইসরায়েলের শিন বেত সিক্রেট সার্ভিসের প্রাক্তন প্রধান অ্যামি আয়লোন সতর্ক করে বলেন যে, তেল আবিবের যুদ্ধ ও আঞ্চলিক সম্প্রসারণ 'ইসরায়েলকে শেষে দিকে' নিয়ে যাবে। উভয়েই ইসরায়েলের দখল অব্যাহত রাখলে দেশটির কঠিন ভবিষ্যতের আশঙ্কা করে সতর্ক করে বই লিখেছেন।</t>
  </si>
  <si>
    <t>ধর্ম অবমাননার গুজব, বিচারের দাবিতে রাস্তায় নামবে বাংলাদেশে সংখ্যালঘুদের সংগঠন</t>
  </si>
  <si>
    <t>হিন্দুবাড়িঘরে হামলা, ভাঙচুর ও লুটপাটের তীব্র নিন্দা ও প্রতিবাদ জানিয়েছে সংগঠনটি শনিবার জাতীয় প্রেস ক্লাবের সামনে মানববন্ধন কর্মসূচি পালন করে। হামলার সুষ্ঠু তদন্ত করে জড়িত ব্যক্তিদের আইনের আওতায় আনারও দাবি জানানো হয়।</t>
  </si>
  <si>
    <t>৫ জানুয়ারী বিকেলে চট্টগ্রাম বিভাগের সাতকানিয়া উপজেলা, লোহাগড়া উপজেলা এবং বনশখালি উপজেলার হিন্দু সম্প্রদায় আক্রমণের শিকার হয়। জামাতি ইসলাম এবং বাংলাদেশ ইসলামী ছাত্রশিবিরের ক্যাডাররা অন্ততপক্ষে ১৫০ টি হিন্দু বাড়িঘরে অগ্নিসংযোগ করে।</t>
  </si>
  <si>
    <t>মধ্য প্রাচ্যের আরব দেশগুলোতে বছরের পর বছর কামলা দিয়ে এখন বলছেন "মুসলিম দেশগুলোতে কোন নন-মুসলিম‌ই থাকতে পারে না"। নিজেদের ঘৃণাজীবীতাকে জায়েজ করার ক্ষেত্রে হিটলারকেও ছাড়িয়ে গেছেন ।</t>
  </si>
  <si>
    <t>দেশবিভাগের একমাসের মধ্যেই ঢাকাতে জন্মাষ্টমী শোভাযাত্রায় মুসলিমরা আক্রমণ করে।[৩] ১৯৪৮ সালে বিখ্যাত ধামরাই রথযাত্রা এবং জন্মাষ্টমী শোভাযাত্রা নিষিদ্ধ করা হয়।</t>
  </si>
  <si>
    <t>নিহতদের স্মরণে ডাকাতিতে কোনো স্মৃতিস্তম্ভ নির্মিত হয়নি। [৭] ২010 সালে ডাকার গণহত্যা স্মৃতি সংরক্ষণ পরিষদ ডাকার গণহত্যার শিকারদের স্মরণে একটি অনুষ্ঠান আয়োজন করেছিল।</t>
  </si>
  <si>
    <t>ইসলামী জঙ্গিরা মিনিয়ার শহরের কপটিক খ্রিস্টানদের একটি বাসে গুলি চালায় যা দেশটিতে সংখ্যালঘু খ্রিস্টানদের বিরুদ্ধে সহিংসতার অংশ।</t>
  </si>
  <si>
    <t>সমগ্র সৃষ্টির একমাত্র স্রষ্টা মহান আল্লাহ তায়ালার সাক্ষাৎ লাভ করা এ যেন কল্পনার অসীম চিন্তাকেও হার মানায়।</t>
  </si>
  <si>
    <t>আল্লাহ ও রাসুলকে দেখতে হলে, এটা কুরআনে লেখা আছে। যার মধ্যে পাওয়ার সৌভাগ্য হয়েছে, সে জান্নাতের দ্বারপ্রান্তে পৌঁছে গেছেন। সেই দেশটা একটি শান্তির ধর্মের দেশ। নবী ও রাসুল সেখানে সাক্ষাৎ করেন।</t>
  </si>
  <si>
    <t>তিনি ইসলাম ও মুসলমান সম্পর্কে জানতে আগ্রহী হয়ে ওঠেন। মহানবী (সা.)-এর জীবন ইতিহাস ও পবিত্র কোরআন তাঁকে ইসলাম গ্রহণে উদ্বুদ্ধ করে।</t>
  </si>
  <si>
    <t>আপনি যে চেতনা থেকে বয়কট করা শুরু করবেন,আমাদের দেশের সাধু, আল্লাহর ওলী ব্যাবসায়ী গণ তার উলটা চেতনা থেকে সিন্ডিকেট করে দাম বাড়ানো শুরু করবে,পণ্যে ভেজাল মেশানো শুরু করবে,তাতে লাভটা হলো কোথায়,এই দেশের প্রায় সকল মানুষ শুধুমাত্র সুযোগের অভাবে সৎ থাকে।সুযোগ পেলে সবাই অকাজ গুলোই করবে,আমি আপনি সহ সবাই।</t>
  </si>
  <si>
    <t xml:space="preserve">সন্ধ্যার দিকে ধর্ম প্রতিমন্ত্রী ফরিদুল হক খান চৌমুহনীতে সাম্প্রদায়িক হামলায় হিন্দু সম্প্রদায়ের ক্ষতিগ্রস্ত উপাসনালয় গুলো পরিদর্শন করেন। </t>
  </si>
  <si>
    <t xml:space="preserve"> আবওয়া অভিযানের এক মাস পরে বুওয়াত অভিযান সংঘটিত হয়। এসময় উমাইয়া ইবনে খালাফের নেতৃত্বে একটি কাফেলা মদিনার নিকট দিয়ে অতিক্রম করছিল। এই কাফেলার সদস্য ছিল ১০০ জন।</t>
  </si>
  <si>
    <t>বিতর্কটি হত্যাকাণ্ডে পৃথক নেতাদের ভূমিকা ছাড়াও এখনও দুই প্রধান সম্প্রদায় হিসাবে হিন্দু ও মুসলমানদের সম্পর্কিত দায়িত্ব সম্পর্কে উত্থিত হয়। </t>
  </si>
  <si>
    <t>নির্যাতনের বীভৎসতা সহ্য করতে না পেরে অনেক হিন্দু নরনারী ভারতের মালদহ জেলায় পালিয়ে যায়।[৩৬] হিন্দু শরণার্থীরা যখন ভারতে পালিয়ে যেতে শুরু করে তখন তাদের যাত্রাপথে সকল প্রকার নির্যাতন করতে শুরু করে ওত পেতে থাকা সশস্ত্র বাহিনী। এমন কোন প্রকার নির্যাতন অবশিষ্ট ছিল না যা হিন্দু শরণার্থী যাত্রীদের উপর করা হয়নি।</t>
  </si>
  <si>
    <t>৩০ মে সোমবারে সিলেটের বিয়ানীবাজারের বাসুদেব মন্দিরের বারান্দায় ভক্তগণ ধর্মীয় আচার পালনের সময় তাদের উপর অতর্কিত হামলা ও শ্লীলতাহানির ঘটনা হয়। ঘটনায় মোহাম্মদ আলী আহমদ নামে এক যুবককে গ্রেপ্তার করেছে পুলিশ। ঘটনায় ১০ ভক্ত আহত হন।</t>
  </si>
  <si>
    <t>মিথ্যা অভিযোগ ও ক্ষুদ্র অভিযোগে হিন্দুদের হয়রানি করা হতো। গোয়া ইনকুইজেশন ১৫৬০ সালে পর্তুগিজ শাসিত ভারতে পর্তুগিজ মিশনারিদের দ্বারা প্রতিষ্ঠিত হয়েছিল।</t>
  </si>
  <si>
    <t>বোধগয়ার মহাবোধি বিহারকে শিব মন্দিরে পরিণত করার বিষয়টি নিয়ে এখনও বিতর্ক চলছে। একইভাবে, কুশিনগরের বুদ্ধের স্তুপ-প্যাগোডাকে রমহর ভবানী নামের এক অখ্যাত হিন্দু দেবতার মন্দিরে রূপান্তরিত করার বিষয়টিও আলোচনার মধ্যে রয়েছে।</t>
  </si>
  <si>
    <t>উনার প্রত্যেকটা পোষ্ট ইসলাম ধর্ম বিরোধী উগ্রবাদ সম্পন্ন! যার মানে উনি হয়তো কোনো ভাবে কোনো ধর্মান্ধ দ্বারা আঘাত পেয়েছেন!</t>
  </si>
  <si>
    <t>আহলে কিতাব ( কিতাবের লোক ) বা মুশরিক ( মুশরিক ) এর স্তরের নয় । বরং, তারা সবচেয়ে বিপথগামী কাফের ( কাফের ) থেকে... তাদের নারীদেরকে ক্রীতদাসী হিসেবে গ্রহণ করা যেতে পারে এবং তাদের সম্পত্তি বাজেয়াপ্ত করা যেতে পারে... তাদের যখনই পাওয়া যাবে তখনই তাদের হত্যা করা হবে এবং তাদের বর্ণনা অনুযায়ী অভিশাপ দেওয়া হবে... তাদের পণ্ডিত এবং ধর্মীয় ব্যক্তিত্বদের হত্যা করা বাধ্যতামূলক যাতে তারা অন্যদের বিপথগামী করতে না পারে", [192] যে সেটিংয়ে ধর্মত্যাগী হিসাবে তাদের বিরুদ্ধে সহিংসতা বৈধ হবে । [১৯৩] [১৯৪] অটোমানরা প্রায়শই ইবনে তাইমিয়ার ধর্মীয় রায়ের উপর নির্ভর করে দ্রুজের উপর তাদের অত্যাচারকে ন্যায্যতা দিতে।</t>
  </si>
  <si>
    <t>২০১০ থেকে ২০১৭ সাল পর্যন্ত ভারতে গরু জাগ্রত সহিংসতার শিকার হওয়া ৮৪% মুসলমান ছিলেন এবং মে ২০১৪ এর পরে এই হামলার প্রায় ৯৯% মুসলমান ছিল বলে জানানো হয়েছিল। </t>
  </si>
  <si>
    <t xml:space="preserve"> গণহত্যাটি ১৯৭১ সালের ২০ মে ঘটে। চুকনগর ভারতীয় সীমান্তের নিকটবর্তী হওয়ায় স্বাধীনতাযুদ্ধ শুরু হবার পর বিভিন্ন স্থান থেকে লোকজন সীমান্ত অতিক্রমের জন্য এখানে এসে জড়ো হয়। বাংলাদেশের খুলনা ওবাগেরহাট থেকে ভদ্রা নদী পাড়ি দিয়ে প্রায় লক্ষাধিক মানুষ চুকনগরে এসে জড়ো হয়।</t>
  </si>
  <si>
    <t>হুজুর আপনারা ছোট্ট করে ভিডিও বার্তা দিয়ে দেন,কোন মুসলিম যাতে হিন্দুদের বাড়ি ঘর না ভাংগে,পুজামন্ডপ না ভাংগে,ওরা চাইসেই এটা,যাতে ইন্টারন্যাশনাল মিডিয়া কে বলা যায় যে দেখেন বাংলাদেশে ও মাইনরিটির প্রতি অত্যাচার হয়,আর আপনারা আছেন শুধু কাশ্মীর নিয়ে,সো প্লিজ হুজুর,সতর্ক করে দেন</t>
  </si>
  <si>
    <t xml:space="preserve"> ধেমাজি জেলার বিভিন্ন গ্রামে হিন্দু বাঙ্গালিদের উপর হওয়া নৃশংস অত্যাচারের তথ্যপ্রমাণ আছে। অপরদিকে ইসলাম ধর্মাবলম্বী বাংলাভাষীদের বাংলাদেশী বলে দেগে দেওয়া সহজ। যার মূর্ত প্রতীক নেলি গণহত্যা।</t>
  </si>
  <si>
    <t>আমরা মুসলমানরা মসজিদে ওজু করে প্রবেশ করি। আর ওজু করার যে নিয়ম বা সুন্নত আছে, সেজন্য মসজিদে নামাজ পড়ায় করোনা আশংকাজনক বলে আমি মনে করিনা।</t>
  </si>
  <si>
    <t>বর্তমান যুগে বর্ণ সংস্কারে লালিত কিছু ব্যক্তি তাদের পূর্ব পুরুষদের কৃতকর্ম মুসলমানদের ঘাড়ে চাপিয়ে দিয়ে নিজেরা সাধু সাজার করার অপচেষ্টায় লিপ্ত রয়েছেন। তাঁদের বক্তব্য মুসলিমরা নাকি বৌদ্ধ বিতাড়ন ঘটিয়েছিল বাংলার মাটি থেকে।</t>
  </si>
  <si>
    <t>ভারতের ত্রিপুরা রাজ্যের আগরতলায় বেনুবন বিহারে (Venuban bihar) অনুষ্ঠিত হয় কঠিন চীবর দান। এখানে চীবর দানের চিরাচরিত প্রথা পালনের পাশাপাশি অনুসারীগণ কল্পতরু-তে সুতা দিয়ে বই, কলম, নোট ইত্যাদি বেঁধে দেন নিজেদের মনোবাঞ্ছা পূর্ণ করার অভিপ্রায়ে।</t>
  </si>
  <si>
    <t>হিন্দু-বৌদ্ধ-খ্রিস্টান ঐক্য পরিষদের সাধারণ সম্পাদক রানা দাশগুপ্ত বলেছেন, গুজব ছড়িয়ে একদিকে হামলা করা হয়েছে, অন্যদিকে ক্ষতিগ্রস্তদেরকেই ধর্ম অবমাননার অভিযোগে ফাঁসানোর চেষ্টা করা হচ্ছে।</t>
  </si>
  <si>
    <t>যেখানে দাবি করা হয়েছিলো আড়াই হাজারের মতো নিহত হওয়ার। শাপলা চত্বর ট্রাজেডি বলে নানা রকমের খবর বের হয়েছিলো সারারাত জুড়ে।</t>
  </si>
  <si>
    <t>আদিবাসী সম্প্রদায় যারা অ্যানিমিজম চর্চা করে,তাদের কিছু বৌদ্ধ ধর্মের অধীনে এসেছে। এই অঞ্চলের বৌদ্ধ সম্প্রদায়ের বিশ্বাস ও আচার অনুষ্ঠান বৌদ্ধধর্ম ও প্রাচীন অ্যানিমিস্টিক বিশ্বাসের সমন্বয়। বৌদ্ধ পূর্ণিমা বাঙালি বৌদ্ধ ও বৌদ্ধ উভয় উপজাতির মধ্যে সর্বাধিক পালিত হয়।</t>
  </si>
  <si>
    <t>মুসলিম সেনাবাহিনী অসংখ্য হিন্দু জাটকে যুদ্ধবন্দী হিসাবে বন্দী করে ইরাক ও অন্যত্র দাস হিসাবে স্থানান্তরিত করে।</t>
  </si>
  <si>
    <t>বাংলাদেশ হিন্দু বৌদ্ধ খ্রিষ্টান ঐক্য পরিষদ গত বৃহস্পতিবার এক সংবাদ সম্মেলনে দাবি করেছে গণঅভ্যুত্থানের পর গত সাড়ে চার মাসে দেশে সাম্প্রদায়িক সহিংসতার ঘটনায় ২৩ জন হত্যার শিকার হয়েছেন।</t>
  </si>
  <si>
    <t>২৭ শে মে ভোরে, একটি যৌথ অভিযানে পাকিস্তানি সেনাবাহিনী, আলবদর, রাজাকার এবং পূর্ব পাকিস্তান কেন্দ্রীয় শান্তি কমিটি গ্রামগুলিকে ঘিরে ফেলে। আল বদররা নির্বিচারে গুলি চালিয়ে দুই শতাধিক লোককে হত্যা করেছিল, বেশিরভাগ বাঙালি হিন্দু।</t>
  </si>
  <si>
    <t> মুসলিম দাঙ্গাকারীরা সংগঠিত হয়ে রাজেন্দ্রলালের বাড়িতে আক্রমণ করে। তারা বাড়িতে অগ্নি সংযোগ করে। রাজেন্দ্রলাল, তার অগ্রজ চিন্তাচরন এবং অনুজ সতীশসহ পরিবারের ২২ জন সদস্যকে হত্যা করা হয়।[২৯] রাজেন্দ্রলাল রায় চৌধুরীর শরীর থেকে মস্তক বিচ্ছিন্ন করে ফেলে মুসলিমরা।</t>
  </si>
  <si>
    <t>মুসলিম ধর্মান্ধরা ১৩ই অক্টোবর নোয়াখালী জেলার হাতিয়ায় শংকর মার্কেটে আশুতোষ ডাক্তার বাড়ির পূজামণ্ডপ, জগন্নাথ মহাপ্রভুর সেবাশ্রম পূজা মন্দির, রাধাগোবিন্দ সেবাশ্রম পূজা মন্দির, শ্রী লোকনাথ মন্দির পূজামণ্ডপ, তপোবন আশ্রম পূজা মন্দির, গুরুচাঁদ সত্যভামা পূজা মন্দির, হাতিয়া পৌরসভা কালী মন্দিরে আক্রমণ করে এবং হিন্দুদের ৪-৫টি ঘর ভাঙচুর করে।</t>
  </si>
  <si>
    <t>আমরা লক্ষ্য করছি, নোয়াখালী বিজ্ঞান ও প্রযুক্তি বিশ্ববিদ্যালয়, যশোর বিজ্ঞান ও প্রযুক্তি বিশ্বিদ্যালয় এবং জগন্নাথ বিশ্ববিদ্যালয়- তিনটি বিশ্ববিদ্যালয়ের এবং একটি কলেজের ছয় জন ছাত্রছাত্রীর ছাত্রত্ব বাতিলের অপচেষ্টা চালানো হচ্ছে। চট্টগ্রাম বিশ্ববিদ্যালয়ের একজন শিক্ষককে হুমকি দেয়া হচ্ছে। তারা সবাই হিন্দু ধর্মাবলম্বী। তাদের ফেসবুক হ্যাক করে ধর্ম অবমাননার গুজব ছড়িয়ে তাদেরকেই ফাঁসানোর চেষ্টা করা হচ্ছে।</t>
  </si>
  <si>
    <t>বিশ্ববিদ্যালয়গুলোতে ইফতার করতে মানা, সেহেরীতে গরুর মাংস নিয়ে বিতর্ক, ঢাকা বিশ্ববিদ্যালয়ের সিনেট হলে ভারতের জাতীয় সংগীত বাজানো, ব্রাক বিশ্ববিদ্যালয় চুমো এগুলোর আড়ালে কী ঘটলো?</t>
  </si>
  <si>
    <t>বাংলাদেশের সাম্প্রদায়িক,ধর্মীয় মৌলবাদ নিপাত যাক।মানবতা মুক্তি পাক।জয় হোক বিশ্ব মানবতার।</t>
  </si>
  <si>
    <t>যেখানে সাদ ইবনে আবি ওয়াক্কাস কুরাইশকে লক্ষ্য করে একটি তীর নিক্ষেপ করেছিলেন। এটি ইসলামের প্রথম নিক্ষেপিত তীর হিসেবে পরিচিত।[৬][৭] এই আশ্চর্য আক্রমণ সত্ত্বেও, "তারা তরোয়াল চালায়নি বা একে অপরের কাছে যায়নি" এবং মুসলমানরা খালি হাতে ফিরে যায়;[২][৩][৪] তবে, দুই মক্কার বসবাসরত ব্যবসায়ী তাদের কাফেলা ছেড়ে মুসলমান হয়ে যায় এবং এই অভিযানের সাথে মদিনা চলে যান।</t>
  </si>
  <si>
    <t>চাঁদপুর জেলার হাজীগঞ্জ উপজেলার মনিনাগ এলাকা থেকে একটি মিছিল এসে ১৩ই অক্টোবর রাত ৮টার পর কয়েকটি মন্দিরে হামলা চালায়। হামলাকারীদের পুলিশ বাধা দিলে সংঘর্ষ শুরু হয়। সংঘর্ষে ৩ জন নিহত ও ১৭ জন পুলিশ সদস্য আহত হয়।</t>
  </si>
  <si>
    <t>কেউ একজন একটা অরক্ষিত পুজো মণ্ডপে ষড়যন্ত্র করে কোরআন রেখে আসল আর তার জন্য দেশের বাকি জেলাগুলোতে নির্বিচারে হিন্দুদের বাড়িঘর,পূজামণ্ডপে অত্যাচার শুরু করল কিছু ধর্মান্ধ ইসলামী মৌলবাদী।</t>
  </si>
  <si>
    <t>২০০২ সালের গুজরাট দাঙ্গায় মুসলিম ও হিন্দু সম্প্রদায়ের মধ্যে সহিংসতার ফলে বহু নিরীহ মানুষ প্রাণ হারায়, যা ধর্মীয় বিদ্বেষের নির্মম পরিণতি।</t>
  </si>
  <si>
    <t>এই লোকটা কোন ধর্মের, সে নিজেই ভালো জানে না, সে আবার অন্য ধর্ম সম্পর্কে বলবে। এদের মতে, তাদের পাল্লা আল্লাহ সব শেষ মনে করে তাকে।</t>
  </si>
  <si>
    <t>সত‍্য ধর্ম পেলে তো যাবেই...আর সাধু নিজেই জানে না..তার ধর্মগ্রন্থের নাম..ধর্ম আর কি প্রচার করবে</t>
  </si>
  <si>
    <t>পার্বত্য চট্টগ্রাম অঞ্চলের বৌদ্ধদের অধিকাংশ চাকমা, মারমা, খুমি,বাওম,চক,কুকি,মুরাং,তানচাঙ্গিয়া এবং খিয়াং উপজাতির অন্তর্ভুক্ত, যারা প্রাচীন সময় থেকে বৌদ্ধধর্মের চর্চা করে আসছে। </t>
  </si>
  <si>
    <t>ধর্মে যেমন সত্য ও ন্যায়ের অনুসন্ধান করা হয়, তেমনি এটি মানুষের মধ্যে সহিষ্ণুতা ও আন্তরিকতার ভাবনা জাগিয়ে তোলে, যেখানে সবাই একে অপরকে সমর্থন ও শ্রদ্ধা প্রদর্শন করে, কোনো ধরনের সংঘর্ষ বা শত্রুতা তৈরি করার কোনো উদ্দেশ্য নেই।</t>
  </si>
  <si>
    <t>গত কয়েকদিন ধরে বাংলাদেশে হিন্দু সম্প্রদায়ের উপর যে পরিমাণ অত্যাচার হচ্ছে তা দেখে মনে হচ্ছে বাংলাদেশে হিন্দু ধর্মাবলম্বীদের জীবনের কোন নিরাপত্তা নেই।</t>
  </si>
  <si>
    <t>কুরআনের প্রত্যাদেশের নীতির সাথে দৃঢ় সংযুক্তি এবং ইসলামী ধর্মীয় অনুশীলনের সুস্পষ্ট আর্থ-সামাজিক বিষয়বস্তু বিশ্বাসের এই বন্ধনকে আরও সুদৃঢ় করেছে। ৬২২ খ্রিস্টাব্দে, যখন নবী মদিনায় হিজরত করেন, তখন তার শিক্ষাগুলি দ্রুত গ্রহণ করা হয় এবং ইসলামের সম্প্রদায়-রাষ্ট্রের ইতিবাচক অগ্রযাত্রা শুরু হয়।</t>
  </si>
  <si>
    <t>ইহুদীরা ইসলাম ধর্মের প্রচারক মুহাম্মদ (সঃ)কে নবী মানেন না। ওনাকে ভুয়া নবী মনে করেন যা মুসলিমদের অনেক কষ্ট দেয়। ইহুদীরা ইসলামকে আরবদের ধর্ম মনে করেন এবং মুহাম্মদ (সঃ)কে ইহুদী ধর্ম দ্বারা ব্যাপক প্রভাবিত এক আরব নেতা মনে করেন এবং কোরআনের মূল উৎস মনে করেন।</t>
  </si>
  <si>
    <t>তারা ১২ টি হিন্দু কৃষক পরিবারের বাড়িঘর এবং খড়ের গাদা আগুনে জ্বালিয়েদেয়। রাত পৌনে একটার দিকে আগুন নেভাতে দিনাজপুর থেকে ফায়ার ব্রিগেডের দুটি ইউনিট আসে, কিন্তু ততক্ষণে বাড়িগুলি পুরোপুরি ছাই হয়ে গিয়েছিল।[২৬] জামাত-শিবিরকর্মীরা জয়পুরহাট-বগুড়া মহাসড়কটিও তিন ঘণ্টা অবরুদ্ধ করে রাখে।</t>
  </si>
  <si>
    <t>এপ্রিলের শেষের দিকে, খারনা এবং এলাহাবাদ গ্রাম থেকে রাজাকাররা হিন্দু গ্রামে নির্যাতন ও লুটপাটের জন্য টার্গেট করেছিল। তাদের গ্রামে ঘন ঘন দেখা যেতে শুরু করার সাথে সাথে বয়োজ্যৈষ্ঠ সবাই একটি গ্রাম প্রতিরক্ষা ব্যবস্থা স্থাপনের সিদ্ধান্ত নিয়েছিল।</t>
  </si>
  <si>
    <t>মোদী সরকারের সময় গো-রক্ষার নামে বেশ কয়েকটি মুসলিম ও দলিত সম্প্রদায়ের মানুষের ওপর হামলা হয়, যেখানে অনেকে নিহত হন।</t>
  </si>
  <si>
    <t xml:space="preserve">সুন্নত দিলে হয় মুসলমান , নারী জাতির কি হয় বিধান ,ব্রাক্ষ্মণ চিনি পৈতে প্রমাণ ,বামনি চিনি কিসেরে ... </t>
  </si>
  <si>
    <t> আদতে প্রচলিত ইসলামবৈরী গল্পকথার বিপরীতে এটাই সত্য যে, বখতিয়ারের অশ্বারোহীরা যখন হিন্দু রাজাদের পরাভূত করেন তখন স্থানীয় বৌদ্ধরা মুসলিমদেরকে বর্ণবাদী হিন্দুদের নিপীড়ন থেকে তাদের উদ্ধারকর্তা হিসেবেই দেখেছেন।</t>
  </si>
  <si>
    <t> প্রখ্যাত অভিনেতা প্রবীর মিত্র এই বার্ধক্য বয়সে এসে স্বেচ্ছায় ইসলাম ধর্ম গ্রহণ করেছেন। এই খবরে অনেকেই যেমন খুশি হয়েছেন, আবার কেউ কেউ বিষয়টিকে সহজভাবে নেননি।</t>
  </si>
  <si>
    <t>কেউ কেউ সুযোগ নেয়ার চেষ্টা করেছে সহিংসতা সৃষ্টির। তারা একটা অরাজক এবং ভীতিকর অবস্থা তৈরি করতে চেয়েছিল। তার প্রমাণ পাই আমরা, যেমন ইউনিয়ন পরিষদ ভবনে আগুন দেয়া হয়েছে, ন্যাশনাল ব্যাংকেও কিছু ভাঙচুর হয়েছে। এবং ঘটনা ঘটে যাওয়ার পরও বেশ কিছু লোক রাস্তার ওপর আগুন জ্বালিয়ে সহিংস অবস্থায় অবস্থান নেয়। এগুলো কিন্তু ভিডিও করেও ছড়িয়ে দেয়া হয়েছিল।</t>
  </si>
  <si>
    <t>সেপ্টেম্বরের প্রথম সপ্তাহে মুসলিমরা সাহাপুরের হিন্দু দোকান-পাট লুট করে। কোলকাতা থেকে যে সকল হিন্দু তাদের গ্রামে দুর্গা পূজার ছুটি কাটাতে এসেছিল তারা স্থানীয় মুসলিমদের নিকট হয়রানি, নির্যাতন ও নিগ্রহের শিকার হন।[১৯] মুসলিমরা অক্টোবরের ২ তারিখ থেকে সুযোগ পেলেই হিন্দুদের সম্পদ লুট, হিন্দুদেরকে হত্যা ও নির্যাতন শুরু করে দেয়।[২৩]</t>
  </si>
  <si>
    <t>নেতা মামুনুল হকের সমালোচনা করে ফেসবুকে স্ট্যাটাস দেন। তাতে মামুনুলের বিরুদ্ধে সাম্প্রদায়িক বিদ্বেষ ছড়ানো ও বঙ্গবন্ধুর ভাস্কর্যের বিরোধিতার অভিযোগ আনা হয়।</t>
  </si>
  <si>
    <t>জগন্নাথ হল কর্তৃক পূজা আয়োজন করা হয়ে থাকে ঢাবি কর্তৃপক্ষ দ্বারা সেটা আয়োজিত নয়।</t>
  </si>
  <si>
    <t>ভিন্ন মতাদর্শকে গ্রহণ করতে না পারার ফলে সংঘর্ষে বহু জীবন ঝরে গেছে, যা সহিংসতার এক করুণ উদাহরণ হয়ে দাঁড়িয়েছে।</t>
  </si>
  <si>
    <t>ভিয়েতনাম আর কম্বোডিয়া মাঝে যে যুদ্ধ হয়েছিলো সেটাও কি ধর্মের কারণে হয়েছিল?</t>
  </si>
  <si>
    <t>এত এত বিষাক্ত বিষয়ের মাঝে এগুলো নতুন করে অনুপ্রেরণা দেয়।আবারও সুন্দর জীবনের আশা ফিরে পাই</t>
  </si>
  <si>
    <t>সব ধর্মই শান্তি ও মানবিক মূল্যবোধের উপর ভিত্তি করে গঠিত, যা সমাজকে আরও সুন্দর করে তোলে।</t>
  </si>
  <si>
    <t xml:space="preserve">পাকিস্তানের মসজিদে বোমা হামলা এত লোক মরলো সেইটার কোনো দেশে প্রতিবাদ করে না, </t>
  </si>
  <si>
    <t>‘এবং আমি লূতকে প্রেরণ করেছি। যখন সে স্বীয় সম্প্রদায়কে বললঃ তোমরা কি এমন অশ্লীল কাজ করছ, যা তোমাদের পূর্বে সারা বিশ্বের কেউ করেনি?’</t>
  </si>
  <si>
    <t>আল্লাহ্ আমাদের রাসূল সাঃ যেরকম একটা দোয়া করছিলো ওমর রাঃ এবং আবু জাহেল কে নিয়ে। তিনি বলেছেন ইসলামের জন্য এই দুই শক্তির যে কোন একজন কে হেদায়েত দিতে। পরে ওমর রাঃ তাকে তুমি ইসলামের জন্য কবুল করলে। আল্লাহ্ সেই রকম একটা দোয়া করি। পুতিন কে ইসলামের জন্য কবুল করো। যেন সারা পৃথিবীর দুশমন যাদের কাজ যুদ্ধ লাগানো আমেরিকা এবং পশ্চিমা গুষ্ঠিরা ওদের যেন সায়েস্তা করতে পারে। আল্লাহ্ তাকে ইসলামের জন্য কবুল করুন।</t>
  </si>
  <si>
    <t>আল্লাহতালা প্রত্যেককে হেদায়েত করুক।। এবং ইসলামকে সঠিকভাবে বুঝার তৌফিক দান করুক।। এবং সব ধরনের উস্কানিমূলক ও উদ্দেশ্যপ্রণোদিতভাবে ঘটনা থেকে দূরে রাখুক।। ইসলাম শান্তির ধর্ম তাই সবার মাঝে শান্তি বজায় থাকুক।।</t>
  </si>
  <si>
    <t>ঘটনার দিন প্রায় দু’শজন মুসলিম হামলাকারী মন্দিরের একটি সীমানা প্রাচীর ভেঙে জমি দখলের চেষ্টা করে এবং মন্দিরে ভাঙচুর চালায়। এসময় হামলা প্রতিরোধ করতে গিয়ে তিনজন ব্যাক্তি আহত হয়।</t>
  </si>
  <si>
    <t xml:space="preserve">যারা মুক্তিযুদ্ধের চেতনার নামে ধর্ম পালনকে জামায়াত-শিবিরের কার্যক্রম নামে আখ্যা দেয় তারা আদতে জামায়াত-শিবির বিদ্বেষী না বরং ইসলাম বিরোধী। </t>
  </si>
  <si>
    <t>বাকিরা এই বিষয়ে অনলাইনে হলেও প্রতিবাদ করুন। এই জঘন্য সিদ্ধান্তের বিরুদ্ধে আওয়াজ তুলুন। আজকে এগুলোকে বিক্ষিপ্ত ঘটনা ভেবে চুপ থাকবেন না। আগামীকাল টের পাবেন এগুলো আপনার-আমার অস্তিত্বের লড়াই!</t>
  </si>
  <si>
    <t>জগন্নাথের যে মেয়েটা সুইসাইড করেছে, তাকে সবাই ফেরেশতা বানিয়ে দিচ্ছে।</t>
  </si>
  <si>
    <t>২০২৩ সালে হরিয়ানার নুহ দাঙ্গায় হিন্দু-মুসলিম সংঘর্ষের ফলে অনেক দোকান ও বাড়িঘর পুড়িয়ে দেওয়া হয় এবং বেশ কয়েকজন নিহত হয়।</t>
  </si>
  <si>
    <t>আমাদের ধর্ম আমাদের জীবনের উজ্জ্বল পথ হওয়া উচিত, না অপমানকর একটি মাধ্যম। ধর্মের নামে অপমান, আমাদের সমাজের পরম অপমান।</t>
  </si>
  <si>
    <t>ভারতের সরকার সামাজিক ঐক্য ও সম্প্রীতির উপর গুরুত্ব দেয়। সকল ধর্ম ও সম্প্রদায়ের মানুষ যাতে শান্তিপূর্ণভাবে উৎসব উদযাপন করতে পারে, সে বিষয়ে সচেতনতা বৃদ্ধির উদ্যোগ নেওয়া প্রয়োজন।</t>
  </si>
  <si>
    <t>যেহেতু আমি ইসলাম ধর্মের অনুসারী আমি যদি আমার ধর্মের আলোকে ব্যাখা দেই এই গ্রুপে অন্য ধর্মের অনুসারীরা অনেকেই মানবেন না।</t>
  </si>
  <si>
    <t>ইসলাম ধর্মের মূল ভিত্তি হলো শান্তি প্রতিষ্ঠা, যা বিশ্বাসীদের মধ্যে দয়া, সহানুভূতি এবং শান্তিপূর্ণ সম্পর্কের গুরুত্ব বোঝায়।</t>
  </si>
  <si>
    <t> বাড়িঘর ভাঙচুর, আগুন দেয়ার ঘটনাও ঘটে।[১] পুলিশ তদন্তে জানা যায়, সেখানে কুরআন রেখেছিল ইকবাল হোসেন নামক এক ব্যক্তি। সিসি ক্যামেরার ফুটেজে দেখা যায় ঐদিন মধ্যরাতে নিকটবর্তী একটি মাজার থেকে কুরআন হাতে বের হয়ে তাকে পূজা মণ্ডপের দিকে যেতে দেখা যায় এবং শেষে হনুমানের হাতের অস্ত্রটি নিয়ে রাস্তায় ঘুরাফেরা করতে দেখা যায়। যা দেখে ইকবাল হোসেনকে সনাক্ত করা সম্ভব হয়।</t>
  </si>
  <si>
    <t>সাকা চৌধুরীর নির্দেশে রাউজানে হিন্দু বসতিতে অগ্নিসংযোগ, ব্যবসায়ীকে হুমকি</t>
  </si>
  <si>
    <t>আনন্দ যাং উল্লেখ করেছেন যে ঋগ্বেদ "অনুকরণ অনুষ্ঠান" উল্লেখ করে যেখানে "বিধবা তার স্বামীর অন্ত্যেষ্টি চিতার উপর শুয়ে থাকে তবে এটি তার মৃত স্বামীর পুরুষ আত্মীয় দ্বারা উত্থিত হয়েছিল।"</t>
  </si>
  <si>
    <t>আপনাকে কত সালে এরেস্ট করা হয়েছিল সনাতন ধর্ম প্রচারের জন্য? আর সে ইতিহাস আসলে কি সত্য যা আপনি বললেন? কারন, আপনার বয়স অনুযায়ী বলছি। বাংলাদেশের ইতিহাসে এমন ঘটনা বিরল ।</t>
  </si>
  <si>
    <t>হিন্দু ও মুসলমান সমাজের পারষ্পরিক সন্দেহ, অবিশ্বাস আর ঘৃণা এমন এক অবিশ্বাস্য পর্যায়ে পৌঁছেছিল যার জেরে ১৬ই অগাস্ট, ১৯৪৬ ঘটে যায় পূর্ব ভারতের ইতিহাসের কুখ্যাত সাম্প্রদায়িক হত্যাযজ্ঞ - 'দ্য গ্রেট ক্যালকাটা কিলিংস'।</t>
  </si>
  <si>
    <t>ভারতের অযোধ্যায় বাবরি মসজিদ ভেঙে ফেলা হয়েছে এমন গুজব ছড়িয়ে পরার পরে ১৯৯০ সালের অক্টোবরের শেষে ও নভেম্বরের প্রথম দিকে বাংলাদেশে বাঙালি হিন্দুদের বিরুদ্ধে ধারাবাহিক আক্রমণ ঘটে।</t>
  </si>
  <si>
    <t>হিন্দু মালিকানাধীন স্বর্ণালংকারের দোকান গুলোতে পুলিশের উপস্থিতেই লুটপাট চালায় মুসলিমরা। মাত্র সাত ঘণ্টার বীভৎস হত্যা, লুটপাট আর অগ্নিসংযোগের তাণ্ডবেই ৫০,০০০ হিন্দু বাস্তুচ্যুত হয়ে পড়ে।[১৮] প্রেস ট্রাস্ট অব ইণ্ডিয়ার রিপোর্ট অনুসারে, সবচেয়ে অসহায় অবস্থায় পড়েছিল বনগ্রাম এবং মকিম লেনের হিন্দু অধিবাসীরা।</t>
  </si>
  <si>
    <t>২০১৩ সালে আগস্ট থেকে সেপ্টেম্বরের মধ্যে উত্তর প্রদেশ রাজ্যের মুজাফফরনগর জেলায় হিন্দু ও মুসলমান দুটি প্রধান ধর্মীয় সম্প্রদায়গুলির মধ্যে দ্বন্দ্ব ঘটেছিল। এই দাঙ্গার ফলে ৪২ জন মুসলমান ও ২০ হিন্দুসহ কমপক্ষে ৬২ জন মারা গিয়েছিল</t>
  </si>
  <si>
    <t>দিনাজপুরের পার্বতীপুরে দলিত সম্প্রদায়ের একজন কলেজ ছাত্রীর ফেসবুক হ্যাক করে অন্য ধর্ম নিয়ে পোস্ট দেয়ার অভিযোগের তথ্য প্রমাণ তারা পুলিশকে দিয়েছেন। কিন্তু সেই ঘটনা নিয়ে সেখানে ঐ ছাত্রীর বাড়িতে ভাঙচুর করা হয় এবং পুলিশ তাকেই গ্রেপ্তার করেছে।</t>
  </si>
  <si>
    <t>অনেক হিন্দুকে নির্মম ভাবে হত্যা করে মুসলিমরা।এদের মধ্যে একটি দল সড়ক ও রেলপথ ধ্বংস করতে করতে সন্ধ্যায় খুলনা শহরে উপস্থিত হয়।পরবর্তী চার দিন খুলনার হিন্দু সম্প্রদায়ের উপর লাগামহীন হত্যা,ধর্ষণ,অপহরণ, লুণ্ঠন, ধ্বংসের এক বন্য বীভৎসতা চলে।</t>
  </si>
  <si>
    <t>বাবরি মসজিদ একটি রাজনৈতিক সমাবেশ চলাকালীন ধ্বংস হয়ে যায়, যা ১৯৯২ সালের ডিসেম্বর দাঙ্গায় রূপান্তরিত হয়। </t>
  </si>
  <si>
    <t>কুরআনে সুরা আন-নামল এ উল্লেখ আছে কুইন অব শেবা বিলকিসকে যখন নবী সুলাইমান বিয়ে করেন, তিনি তার রাজত্ব এবং বিপুল সম্পদ অধিকার করেননি।শেবা রাজ্যের রাজ দায়িত্ব এবং তার সম্পদের মালিকানা আমৃত্যু বিলকিসেরই ছিল।</t>
  </si>
  <si>
    <t>ধর্ম সম্পর্কে এসব বক্তব্যসমূহ আবার সামাজিক মাধ্যমসহ নানাভাবে ছড়িয়ে দেওয়া হচ্ছে। এই প্রবণতা শুধু মুসলমানদের মাঝে সীমাবদ্ধ নয়। বিভিন্ন ধর্মের লোক তাদের নিজস্ব ধর্মীয় ব্যাখ্যায় এসব কথা ব্যক্ত করছে। তাদের ধর্মের শ্রেষ্ঠত্ব এবং এক সময় সব মানুষ সেই ধর্মের অধীনে চলে আসবে বোঝাতে গিয়ে নানা দৃষ্টান্তও দেখাচ্ছে। </t>
  </si>
  <si>
    <t>জয়দেব বর্ম এবং তার আত্মীয়রা ক্ষিপ্ত হয়ে দু’জন পুলিশ কনস্টেবলের উপর চড়াও হয় এবং ঘটনাক্রমে একজন পুলিশ কনস্টেবল সেখানেই মারা যায়। বাকি দু’জন পুলিশ বিপদ ঘণ্টা বাজিয়ে দিলে পাশের প্রতিবেশীরা এসে তাদের উদ্ধার করে।</t>
  </si>
  <si>
    <t xml:space="preserve">যে সব পেইজে, গ্রুপে, আইডিতে ধর্ম বিরোধী, দেশ বিরোধী, মিথ্যা তথ্য সেয়ার বা পোস্ট করা হয় সে সব পেইজ,গ্রুপ, আইডি থেকে নিজেকে দূরে রাখুন। </t>
  </si>
  <si>
    <t> ১৫৬৬ সালে, যখন ক্যাথলিক মিছিলটি একটি প্রোটেস্ট্যান্ট পাড়ায় পৌঁছায়, প্রোটেস্ট্যান্টরা "হত্যা করো, হত্যা করো, হত্যা করো!!" স্লোগান দেয় এবং এরপরে অসংখ্য প্রাণহানির সাথে সাম্প্রদায়িক সহিংসতার দিনগুলি চলে। </t>
  </si>
  <si>
    <t xml:space="preserve">রোজার শেষ দিকে বাংলাদেশের কওমী মাদ্রাসাগুলোতে এক করুন দৃশ্য দেখা যায়। </t>
  </si>
  <si>
    <t>আত্মরক্ষার অজুহাতে ফিলিস্তিনি জনগণের ওপর ইসরায়েলের পক্ষ থেকে যে ইচ্ছাকৃত গণহত্যা চালানো হচ্ছে সেটি দেশটির বর্তমান কিংবা ভবিষ্যতের নিরাপত্তাকে সুরক্ষিত করবে না। </t>
  </si>
  <si>
    <t>মৃত্যুদণ্ড প্রদানের দায়িত্ব শাসকদের। শাসকদের জন্য আবশ্যক হলো এ ধরনের লোকদের চিহ্নিত করে আইনের মাধ্যমে তাদের মৃত্যুদণ্ড নিশ্চিত করা।</t>
  </si>
  <si>
    <t>তারা হিন্দুদেরকে নির্দয়ভাবে হত্যা করতে শুরু করে এবং হিন্দু পুরুষ-মহিলাদেরকে জোরপূর্বক ইসলাম ধর্মে ধর্মান্তরিত করে। হিন্দু সম্প্রদায়ের পবিত্র প্রতিমা, ছবি ভেঙ্গে ফেলা হয় এবং হিন্দু মন্দিরগুলো সম্পূর্ণ ধ্বংস করা হয়।</t>
  </si>
  <si>
    <t>মননীয় প্রধানমন্ত্রী, কে বলবো মুসলিমদের জন্য আমাদেরও মন কাঁদে, তাদের সাথে মিলে ইসরায়েলের বিরুদ্ধে যুদ্ধ করতে চাই।</t>
  </si>
  <si>
    <t>ছাতিপাড়া চন্দ্রমনি রক্ষা কালী মন্দিরেও হামলা করে প্রতিমা ভাঙচুর ও আগুন দেয়া হয়। বাইরে আরো ১৫টি মন্দির ও মণ্ডপের পূজার গেটে আগুন দেয়া হয়, ভাঙচুর করা হয়। এই কারণে ওই দিন বেশ কিছু মন্দিরে পূজা বন্ধ হয়ে যায়।</t>
  </si>
  <si>
    <t> ইসলাম ধর্মে সম্পত্তিতে নারীর উত্তরাধিকারে তাকে পুরুষের সমান অধিকার দেয়া হয়নি, এবং রাজনৈতিক নেতৃত্বের ক্ষেত্রেও ইসলাম নারীর নেতৃত্ব স্বীকার করে না।</t>
  </si>
  <si>
    <t>বাংলাদেশের মুক্তিযুদ্ধের সময় ভারত থেকে ১০০০০ শিখ এলে এই সম্প্রদায় বৃহত্তর হয়ে উঠে। এই শিখ সম্প্রদায় দেশে ব্যাপক অগ্রগতি করেছে। </t>
  </si>
  <si>
    <t>দেখে শুনে তো আমার মনে হচ্ছে পশ্চিমবঙ্গের বাঙালি হিন্দুরা সহসা যেন আত্মপরিচয়ের গভীর সঙ্কটে পড়ে গেছে। যে সঙ্কট থেকে উদ্ধারের একমাত্র হাতিয়ার হচ্ছে আমাদের ধর্ম।</t>
  </si>
  <si>
    <t>মুসলমানদের কোনো উৎসব নিয়ে এ জাতীয় বাক্য উচ্চারিত হতে শোনা যায়নি। আর পূজার বিষয়টি সম্পূর্ণই ধর্মীয় বিশ্বাসনির্ভর। যা সংশ্লিষ্ট ধর্মের লোকেরা তাদের নিজস্ব ধর্মীয় বিশ্বাস ও নীতির ভিত্তিতে করে থাকে।</t>
  </si>
  <si>
    <t>জাতীয় এবং আন্তর্জাতিক মিডিয়ার সামনে মৃতদেহগুলোকে গণনা এবং শনাক্ত করা হয় অতঃপর আবার তাদের আদিত্যপুরে নিয়ে আসা হয়। আদিত্যপুর সরকারি প্রাথমিক স্কুলের সামনে কবর দেওয়া হয়।</t>
  </si>
  <si>
    <t>২০১৪ সালের নির্বাচনকে নির্বিঘ্ন করার জন্য ২০১৩ সাল ছিল আওয়ামী লীগের গুম ও খুনের এক মহোৎসব। হেফাজতের সমাবেশে কতজনের মৃত্যু হয়েছে, এর সঠিক তথ্য আমরা এখনো জানতে পারিনি। </t>
  </si>
  <si>
    <t>ধ্যপ্রাচ্যে ইসলামিক স্টেট (আইএস)-এর ধর্মীয় উগ্রবাদের কারণে বহু সংখ্যালঘু ইয়াজিদি, খ্রিস্টান ও শিয়া মুসলিম গণহত্যার শিকার হয়েছে।</t>
  </si>
  <si>
    <t xml:space="preserve"> চৈতন্য তার অনুসারীদের নিয়ে কাজীর বাড়িতে হামলা চালালো এবং অনুসারীদের উদ্দেশ্যে ঘোষণা করল-“নির্যবন করো আজি সকল ভূবন” অর্থাৎ শুধু কাজীকে নয়, পৃথিবীর সব মুসলমানকেই হত্যা করো।</t>
  </si>
  <si>
    <t>সুইডেনে কোরআন অবমাননার ঘটনায় যারা প্রতিবাদ করেছে আন্দোলন করেছে আল্লাহ পাক যেন তাদের কে হেফাজত করেন</t>
  </si>
  <si>
    <t>কট্টরপন্থী মতবাদ মানুষকে বিভক্ত করেছে এবং তার ফলস্বরূপ বহু ব্যক্তি প্রাণ হারিয়েছে, যা মানবতার জন্য চরম বেদনাদায়ক।</t>
  </si>
  <si>
    <t>হিন্দু ধর্মে অহিংসা বা non-violence-কে সর্বোচ্চ গুরুত্ব দেওয়া হয়, যা প্রতিটি মানুষের হৃদয়ে শান্তি প্রতিষ্ঠা করতে সাহায্য করে।</t>
  </si>
  <si>
    <t>আপনাদের কাছে আমার ধর্ম ও বর্ণ পরিচয়ের দায় আমি স্বীকার করছি। স্বীকার করছি, সংখ্যাগরিষ্ঠতার সুযোগ নিয়ে আমি এবং আমার জাতভাইরা সমস্ত সুযোগ কুক্ষিগত করে রেখেছি বলেই আজ আপনারা উচ্চ শিক্ষা, উচ্চ পদ থেকে বঞ্চিত।</t>
  </si>
  <si>
    <t>একজন সুস্থ মস্তিষ্কের মানুষ কখনোই কারো ধর্ম বা বিশ্বাস নিয়ে অসম্মানজনক মন্তব্য করতে পারে না, কারণ ধর্ম প্রতিটি মানুষের ব্যক্তিগত বিশ্বাস এবং অনুভূতির একটি অতি গুরুত্বপূর্ণ অংশ। সবাইকে পরস্পরের ধর্ম এবং বিশ্বাসের প্রতি শ্রদ্ধা রাখতে হবে।</t>
  </si>
  <si>
    <t>বৃহস্পতিবার বাংলাদেশের দিনাজপুরে একটি নৃশংস আক্রমণের ঘটনা ঘটে যা নিয়ে অনেক প্রশ্ন উঠেছে। স্থানীয় একজন নারী উপজেলা নির্বাহী অফিসারের বাসায় ঢুকে তাঁকে এবং তাঁর বাবাকে কুপিয়ে জখম করার ঘটনায় অনেকেই উদ্বিগ্ন।</t>
  </si>
  <si>
    <t>নবী রাসুল সম্পর্কে কেউ কোনো বাজে মন্তব্য করলে অবশ্যই মাথা ধরার কথা।।</t>
  </si>
  <si>
    <t>নবী-রাসুল বা ধর্মীয় ব্যক্তিবর্গ এবং যেকোনো ধর্মগ্রন্থ নিয়ে কেউ কটূক্তি করলে তার বিরুদ্ধে সাইবার নিরাপত্তা আইন-২০২৩ এর ২৫(১)/২৮(১)/২৯/৩১ ধারা জামিন অযোগ্য করে সর্বোচ্চ শাস্তি মৃত্যুদণ্ড বা যাবজ্জীবন দণ্ডের বিধান নির্ধারণের বিষয়টি বিবেচনা করতে পারে সংসদ।</t>
  </si>
  <si>
    <t>কুরআনে আল্লাহ মানবজাতিকে তাঁর ইবাদত করার জন্য সৃষ্টি করেছেন এবং তাঁর নীতি ও আদর্শ অনুসরণ করার মাধ্যমে শান্তি ও মুক্তি অর্জন করা সম্ভব।</t>
  </si>
  <si>
    <t>বৌদ্ধদের আবেদলে সাড়া দিয়ে বখতিয়ার খিলজি তার বাহিনী নিয়ে এগিয়ে আসেন এবং সেন বংশের শেষ রাজা লক্ষণ সেনকে যুদ্ধে পরাস্ত করেন। ফলে ১২০৪ সালে বাংলায় মুসলিম শাসনের সূত্রপাত হয়।</t>
  </si>
  <si>
    <t>পশ্চিম পাড়ার জগন্নাথ মন্দির, নমশূদ্র পাড়ার কালীবাড়ি মন্দির, মহাকাল পাড়ার শিবমন্দির, দুর্গামন্দির, শীলপাড়ার লোকনাথ মন্দির, দত্তপাড়ার দত্তবাড়ি মন্দির, সূত্রধরপাড়ার কালীমন্দির,শ্রীশ্রী আনন্দময়ী কালী মন্দিরসহ ১৫টি মন্দির ও দুই শতাধিক বাড়িঘরে হামলা-ভাঙচুর ও লুটপাট চালানো হয়।</t>
  </si>
  <si>
    <t>সেন্ট্রাল আফ্রিকান রিপাবলিকে খ্রিস্টান মিলিশিয়া (Anti-Balaka) ও মুসলিম সশস্ত্র গোষ্ঠীর (Séléka) মধ্যে রক্তক্ষয়ী সংঘর্ষ চলে, যেখানে হাজার হাজার মানুষ বাস্তুচ্যুত হয়েছেন।</t>
  </si>
  <si>
    <t>ইসলাম ধর্মে আত্মহত্যা করা কবিরাহ( বড়ো) গোনাহ।</t>
  </si>
  <si>
    <t xml:space="preserve"> গুজরাট দাঙ্গার সময় নারোদা পাটিয়াতে সংঘবদ্ধ হামলায় প্রায় ৯৭ জন মুসলিমকে হত্যা করা হয়।</t>
  </si>
  <si>
    <t>আজ প্রতিনিয়ত তারাই হত‍্যার শিকার হচ্ছে। সব বাদ দিয়ে কোথায় কোন চামচিকা মারা গেল, সেটাকে খুব ভালোভাবে তুলে ধরা হল। এত শিশু, নারী, পুরুষ ইসরায়েলি হত‍্যার শিকার হলো, তার কোনো নিউজ নেই।</t>
  </si>
  <si>
    <t>জামায়াতে ইসলামীর "হিন্দুদের উপর অত্যাচার" মূল্যায়ন করার জন্য একটি সর্বদলীয় প্রতিনিধি দল বাংলাদেশে প্রেরণের দাবি জানায় ভারতের সংসদের উচ্চকক্ষ, রাজ্যসভায়, প্রধান বিরোধী দল ভারতীয় জনতা পার্টি।[৪৯] </t>
  </si>
  <si>
    <t>পাকিস্তানে ধর্ম অবমাননার জেরে একটি থানা পুড়িয়ে দিয়েছে বিক্ষুব্ধ জনতা। স্থানীয় সময় রোববার উত্তরপশ্চিমাঞ্চলীয় খাইবার পাখতুনখাওয়া প্রদেশে এই ঘটনা হয়।</t>
  </si>
  <si>
    <t>ইসলাম স্বামী থেকে স্বাধীনতা শেখায় না।</t>
  </si>
  <si>
    <t>দেশের হিন্দু সম্প্রদায়ের কাজ না, ইন্ডিয়ার চক্রান্তের মাধ্যমে সু-পরিকল্পিত ভাবে করানো হয়েছে। কেননা এই দেশের হিন্দু ধর্মের মানুষেরা এত বড় ঝুকি নিবে না। এর পরেও দালাল সরকার বলে কথা!</t>
  </si>
  <si>
    <t>কথায় কথায় এখানে ওখানে ধর্ম টেনে আনা এই ট্রলকারীরা এইটা মনে রাখেন না যে বয়সে বড় মহিলাকে বিয়ে করা সুন্নাত, তালাক প্রাপ্ত মহিলাকে বিয়ে করা সুন্নাত, বিধবা মহিলাকে বিয়ে করা সুন্নাত। এইটা হাসি ঠাট্টার কোন বিষয় না।</t>
  </si>
  <si>
    <t>একবার এক মৃত আত্মীয়ের সামনে বসে কুরআন পড়ছিলাম। এলাকার মসজিদের ইমাম এসে বললেন এভাবে মৃতের সামনে বসে কুরআন পড়া যাবে না। এরপরে আর পড়া হয় নাই কখনো।</t>
  </si>
  <si>
    <t>আমি ইসলামিক স্টেট থেকে এসেছি। যে আমাদের ভালোবাসে আমরা তাকে ভালোবাসি এবং যারা আমাদের ঘৃণা করে তাকে আমরাও ঘৃণা করি। আমরা আমাদের ধর্মের জন্য বাঁচি এবং আমরা আমাদের ধর্মের জন্য মরতেও পারি।</t>
  </si>
  <si>
    <t>বাংলাদেশে ২০১৫ সালে দিনাজপুরে এক খ্রিস্টান পুরোহিতকে ধারালো অস্ত্র দিয়ে হত্যা করার চেষ্টা করা হয়, যা সাম্প্রদায়িক সহিংসতার দৃষ্টান্ত।</t>
  </si>
  <si>
    <t>এই ধরণের বিভ্রান্তিমূলক পোস্ট করে জনগণকে ভুল বুঝিয়ে গুজব ছড়ানোর চেষ্টাকারীরা ইতিহাসের আস্তাকুঁড়ে থাকবে।</t>
  </si>
  <si>
    <t>হে আল্লাহ আপনি সাহায্য করুন আমরাতো দুর্বল মালিক এই দেশে ইসলাম নিয়ে খেলা চলছে আমরা কিছুই করতে পারছিনা, সুইডেন কুরআন অবমাননা কারীদের তুমি দেখে নিও। আপনিতো কুরআন হেফাজতের দায়িত্ব নিয়েছেন, আল্লাহ আল্লাহুম্মা আমিন</t>
  </si>
  <si>
    <t>কুমিল্লাতে যা ঘটেছে, সেটা দেশে দাঙ্গা লাগানোর ষড়যন্ত্রের অংশ। সকলে সহনশীল আচরণ করুন যাতে দেশে সাম্প্রদায়িক সম্প্রীতি বিনষ্ট না হয়।</t>
  </si>
  <si>
    <t>আত্মহত্যা মহাপাপ কারণ এ জীবন তোমার নয় এ জীবনের রয়েছে বহু দৃশ্য অদৃশ্য মালিক আর তাদের পাইক পিয়াদা।</t>
  </si>
  <si>
    <t>আল্লাহ আমাদের কে আপনি মাপ করে দিন আমাদের কে আপনি জান্নাত এর এই সাদ গ্রহণ করার তৌফিক দান করুন</t>
  </si>
  <si>
    <t>মুক্তিযুদ্ধের প্রথম ছয়মাস, কৃষ্ণপুর গ্রামের লোকেরা সাধারণভাবে জীবনযাপন করেছিল। পাকিস্তানি সেনাবাহিনীর আক্রমণের শিকার হওয়ার আশংকায়, গ্রামটি প্রত্যন্ত এলাকায় হওয়াতে অনেক হিন্দু শরণার্থী হিসেবে কৃষ্ণপুর গ্রামে আশ্রয় নেয়। যদিও পাকিস্তানি দখলদারি সেনাবাহিনী হবিগঞ্জের নিয়ন্ত্রণ নিয়ে নেয় এবং লাখাই পর্যন্ত এসে পৌঁছে যায়, তবে তারা কৃষ্ণপুরের দিকে অগ্রসর হয়নি। ১৯৭১ সালের আগস্টে, পাকিস্তানি দখলদারি সেনাবাহিনী বর্তমান হবিগঞ্জ জেলার অন্তর্গত এলাকা পর্যন্ত হিন্দুদের উপর গণহত্যাসহ কতিপয় যুদ্ধাপরাধে লিপ্ত হয়। </t>
  </si>
  <si>
    <t>এই গবেষণায় দেখা গেছে, বড় ধরণের প্রাকৃতিক বিপর্যয়ের মতো ঘটনায় নানা ধর্ম বর্ণের মানুষ একত্রে শান্তিপূর্ণভাবে মোকাবেলা করেছে। আবার কোন কোন পরিস্থিতিতে এই মানুষরাই সহিংস হয়ে উঠেছে।</t>
  </si>
  <si>
    <t>পাকিস্তানি দখলদারি সেনাবাহিনী স্থানীয় রাজাকার আব্দুল আহাদ চৌধুরীর সাথে আলোচনা করে নেয়। আলোচনা শেষে ক্যাপ্টেন গুলির নির্দেশ দেয়। সৈন্যরা বন্দী হিন্দুদের উপর গুলি চালায়, ৬৩ জন তৎক্ষণাৎ মারা যায়।[১] মৃতের ভাণ করে তাদের মধ্য থেকে দুজন বেঁচে যায়।[২] এরপর রাজাকাররা গ্রামে লুটপাট চালায় এবং পাকিস্তানি হানাদাররা মহিলাদের উপর ঝাঁপিয়ে পড়ে। আব্দুল আহাদ চৌধুরীর বাড়িতে একজন মহিলাকে বন্দী হিসেবে ধরে নিয়ে যাওয়া হয়।</t>
  </si>
  <si>
    <t>মি. এরদোয়ান দু'দিন আগে ফরাসী প্রেসিডেন্টকে ইসলাম এবং মুসলিম বিদ্বেষী বলে বর্ণনা করে মন্তব্য করেন যে “মি ম্যাক্রঁর এখন মানসিক চিকিৎসা প্রয়োজন।</t>
  </si>
  <si>
    <t>আপনি মুসলিম নন,তাই আপনি বুঝবেনই না যে ইসলাম কতটা সুন্দর! কতশত নারী শুধু অপেক্ষাই করছে এই ইসলামিক খেলাফতের জন্য। কতশত নারী-পুরুষের স্বপ্ন এই ইসলামিক খেলাফত! ইসলাম একজন নারীকে কতটা সম্মান দিয়েছে তা বোঝার ক্ষমতা আপনার নেই ।</t>
  </si>
  <si>
    <t>২০১৭ সালে ব্রাজিলে আফ্রিকান ঐতিহ্যের ধর্মগুলোর উপাসনালয়ে আগুন ধরিয়ে দেওয়া হয়, এতে ধর্মীয় নেতা ও অনুসারীরা আহত হন।</t>
  </si>
  <si>
    <t>আলহামদুলিল্লাহ এই ভিডিও দেখার আগেও ১০০% কনফার্ম ছিলাম কুরআন আল্লাহর লেখা ।দেখার পরেও ১০০% বিশ্বাস করি কুরআন আল্লাহরই লিখা বানি। তবে ভিডিও দেখে অনেক কিছু শিখলাম যেটা আগে জানতাম না। একমত কিনা আপনারা??</t>
  </si>
  <si>
    <t>১৭ জুন, যখন লাশের দুর্গন্ধ অসহনীয় হয়ে পড়ে, রাজাকাররা তখন মৃতদেহ গুলোকে কবর দেয়।[২] যাইহোক, ২২শে জুন, এমএজি ওসমানীর নির্দেশে একদল মুক্তিযোদ্ধা মৃতদেহগুলোকে উদ্ধার করে এবং সিলেট নিয়ে আসে।</t>
  </si>
  <si>
    <t>উগ্রপন্থীদের প্রতি কড়া বার্তা দিলেন ভারতের অধিনায়ক বিরাট কোহলি। তার মতে, কিছু মেরুদণ্ডহীন লোক এমন ন্যাক্কারজনক কাজ করে থাকে। ধর্ম নিয়ে কাউকে আক্রমণ করা কোহলির দৃষ্টিতে সবচেয়ে দুঃখজনক ব্যাপার।</t>
  </si>
  <si>
    <t>মন্দির উড়িয়ে দেওয়ার হুমকির অজুহাতে গৌরীপুরে রাসপূজায় বাধা</t>
  </si>
  <si>
    <t>পবিত্র কুরআন শরীফের অবমাননা কোনো প্রকৃত হিন্দু বা মুসলিম কখনোই করবে না। যারা এ কাজটি করেছে তাদের কুটকৌশল ও পরবর্তী পদক্ষেপের ব্যাপারে আমাদের সোচ্চার হতে হবে।</t>
  </si>
  <si>
    <t>সীমান্তের ওপারে বাংলাদেশ এবং মুসলিম বিদ্বেষী দাঙ্গাবাজ সন্ত্রাসী বিজেপি এবং আর‌এস‌এস যারা বাংলাদেশে "সংখ্যালঘু নির্যাতনের" গল্প শুনিয়ে ধর্মীয় পুলারাইজেশন করে ক্ষমতায় গিয়ে ভারতে মুসলিম নিধনের যৌক্তিকতা দাঁড় করাতে চায় ।</t>
  </si>
  <si>
    <t>হিন্দুদেরকে পুলিশ স্টেশনে যে কোন অভিযোগ প্রদানে বাধা দেয়া হত এবং যে সকল হিন্দু কোন অভিযোগ দায়ের করেছিল তাদেরকে সে গুলো উঠিয়ে নেয়ার জন্য মুসলিমরা হুমকি দিত। হিন্দু দম্প্রদায়ের নারী-পুরুষদেরকে মুসলিমরা প্রকাশ্যে মালাউন, কাফের প্রভৃতি অপমানসূচক নামে সম্বোধন করত মুসলিমরা।</t>
  </si>
  <si>
    <t>আলহামদুলিল্লাহ ভালো আইন হয়েছে। তবে আমাদের মুহাম্মদ সাল্লাল্লাহু এর নামে অসম্মানজনক কিছু বললে, তার জন্য উপযুক্ত শাস্তি নিশ্চিত করা উচিত। আমার সাথে কে কে একমত।</t>
  </si>
  <si>
    <t>জানুয়ারির ১৪ ও ১৫ তারিখে চট্টগ্রাম ও সিরাজগঞ্জ থেকে আগত ঢাকাগামী ট্রেনের হিন্দু যাত্রীদেরকে টঙ্গী ও তেজগাঁও নেমে যেতে বলে মুসলিম গুণ্ডারা।</t>
  </si>
  <si>
    <t>লালমনিরহাটে একজনকে পিটিয়ে ও আগুনে পুড়িয়ে হত্যার ক'দিন পরেই কুমিল্লায় হিন্দুদের কয়েকটি বাড়িতে অগ্নিসংযোগ করা হয়েছে।</t>
  </si>
  <si>
    <t>স্থানীয় বৌদ্ধদের সমর্থন করেছিলেন বলেই মুসলিমরা এত সহজে বাংলা বিজয় করতে পেরেছিলেন। বৌদ্ধদের দুর্দিনে মুসলিমরা সাহায্যের হাত বাড়িয়ে দিয়েছিলেন। ফলে বৌদ্ধরা মুসলিমদের সংস্পর্শে আসতে থাকেন এবং ইসলাম দ্বারা অনুপ্রানিত হয়ে ইসলাম গ্রহণ করতে থাকেন। হিন্দু ধর্ম থেকেও অনেক নিম্ন বর্ণের হিন্দু বর্ণ বৈষম্যের কারণে ইসলাম ধর্ম গ্রহণ করতে থাকেন।</t>
  </si>
  <si>
    <t>হাজার হাজার অসহায় শরণার্থী নতুন সম্ভাবনার সন্ধানে প্রতিবেশী ভারতের দিকে অগ্রসর হয়। প্রতিদিনই ৫,০০০ থেকে ৬,০০০ আর্ত হিন্দু তাদের নতুন জীবনের জন্য ভারতীয় দূতাবাসের সামনে জড়ো হত।</t>
  </si>
  <si>
    <t>২০০৯ সালে বাংলাদেশ সরকার গণহত্যার স্থানে একটি স্মৃতিসৌধ স্থাপন করে।[৩] ২০১১ সালে বেঁচে যাওয়া ব্যক্তিরা ও নিহত ব্যক্তিদের আত্মীয়রা নিহতদের স্মরণে শোকর‍্যালি বের করে এবং স্মরণসভার আয়োজন করে। সভায় বক্তারা যুদ্ধাপরাধীদের ফাঁসি দাবি করেন।</t>
  </si>
  <si>
    <t>কমপক্ষে ৭৫০ টি হিন্দু পরিবারকে খোলা আকাশের নিচে নেমে আসতে হয়। প্রেস ট্রাস্ট অব ইণ্ডিয়া বা পিটিআই (PTI) এর প্রতিনিধি সন্তোষ চট্টোপাধ্যায়কে কোন রকম অভিযোগপত্র ছাড়াই ১৯৪৯ সালের ২৫ নভেম্বরে পুলিশ গ্রেফতার করে এবং একমাস জেলে বন্দী করে রাখে।</t>
  </si>
  <si>
    <t>বাংলাদেশে গত ৩১শে জুলাই কক্সবাজারে পুলিশের গুলিতে সাবেক সেনা কর্মকর্তা মেজর সিনহা মোহাম্মদ রাশেদ খান হত্যার পর পরই পুরো বাংলাদেশেই ক্রসফায়ার বা বন্দুক যুদ্ধের ঘটনা আশ্চর্যজনকভাবে কমে এসেছে।</t>
  </si>
  <si>
    <t>জামায়াতে ইসলামীর নেতা আলী আহসান মোহাম্মদ মোজাহেদ রাজাকার ও পাকিস্তানি সেনাবাহিনীর একটি দলকে বৈদ্যদানী, মাঝিদানী ও বালাদঙ্গী হিন্দু অধ্যুষিত গ্রামগুলিতে নেতৃত্ব দিয়েছিলেন যেখানে তারা ৫০-৬০ নিরস্ত্র বাঙালি হিন্দুদের হত্যা করেছিল। হামলাকারীরা ৩০০-৩৫০ হিন্দু পরিবারকে আগুন ধরিয়ে দেয় এবং এতে তারা দেশ ছেড়ে পালাতে বাধ্য করে।</t>
  </si>
  <si>
    <t>শুধু একটাই ধর্মেরই মৌলবাদ আছে । বাকি ধর্ম গুলোর এইরকম কনো history নেই । আপনি অন্য সব ধর্ম গুলো কে অপমান করছেন । সারা পৃথিবী যে এই একটাই টেরোরিস্ট এর ধর্ম আছে</t>
  </si>
  <si>
    <t>ঈশ্বর ও ধর্মের প্রকৃতি কেমন হবে, পৃথিবীর কোন অঞ্চলে কোন ধরনের ধর্মের উৎপত্তি হতে পারে, বা কোথায় কোন ধর্ম সগৌরবে টিকে থাকবে তা হয়তো ভূগোল ও আবহাওয়ার উপর কিছুটা নির্ভর করে। সমভূমির ঈশ্বর ও মরুভূমির ঈশ্বরের প্রকৃতি ও আচরণ এক নয়।</t>
  </si>
  <si>
    <t>আলহামদুলিল্লাহ, আমিও এটি শুনলে অন্যরকম হয়ে যাই, কান্নাও চলে আসে। আর কেবল মনে হয়, শুধুই এই পৃথিবীতে থেকে কি কি ভালো কাজ করছি আর কি কি খারাপ কাজ করছি। বিশ্বাস করুন আপনারা, এই ভিডিওটি যখনই শুনি, তখন আমার মধ্যে এক অন্যরকম শান্তি কাজ করে।</t>
  </si>
  <si>
    <t>বুঝে না, ভাই বুঝে না। ইসলামই হচ্ছে টোটাল ইউনিভার্সের এক্সিসটেন্সের একমাত্র লজিক্যাল এক্সপ্লেনেশন। এছাড়া সব কিছুই সাবজেক্টিভ, মানে মতবাদ। যে যার মত ব্যাখ্যা করছে। অথচ, ইসলাম খুবিই খুবিই সিরিয়াস বিষয়।</t>
  </si>
  <si>
    <t>ভিডিও টা দেখে ইমান আরো বেড়ে গেলো আল্লাহ মহান। আল্লাহ আপনার ভালোবাসা আমার অন্তরে সৃষ্টি করে দেন</t>
  </si>
  <si>
    <t>দক্ষিণ ভারত থেকে আগত সেন বংশের লোকেরা পালদের ক্ষমতাচ্যুত করে। দক্ষিন ভারতীয় সেন শাসকেরা ক্ষমতায় এসে বৌদ্ধদের উপর অত্যাচার নির্যাতন শুরু করে।</t>
  </si>
  <si>
    <t>আল্লাহ সুবহানাহু তা'আলা বলেন,"আর এ দুনিয়ার জীবন খেল তামাশা ছাড়া আর কিছুই নয় এবং নিশ্চয়ই আখিরাতের নিবাসই হলো প্রকৃত জীবন, যদি তারা জানত।"(সূরা আল আনকাবূত;৬৪)</t>
  </si>
  <si>
    <t>৭ জানুয়ারীর রাতে বিএনপি এবং জামাতি ইসলামের কর্মীরা গাইবান্ধা জেলার গাইবান্ধার সদর উপজেলার কুপতোলা ইউনিয়নের পাচটি হিন্দু দোকান এবংদুইটি বাড়ি ধ্বংস করে দেয়। পাচজন লোক এ আক্রমণে আহত হয়।</t>
  </si>
  <si>
    <t>আমাদের রমজান মাস এ এই কাফের কে দেখা গেলো নাওজিবিল্লা আল্লাহ তোমাকে হেদায়েত দান করুক আমিন</t>
  </si>
  <si>
    <t>আল্লাহ মানুষের জন্য যা নির্ধারিত করে রেখেছেন তা অবশ্যই বাস্তবায়িত হবে। ইরশাদ হয়েছে, ‘আল্লাহ তাঁর ইচ্ছা পূরণ করবেনই; আল্লাহ সব কিছুর জন্য স্থির করেছেন নির্দিষ্ট মাত্রা।</t>
  </si>
  <si>
    <t>এইবার সে আসল চালটা চালছে, এতদিন ভুংভাং বলে এখন মুসলমানের মধ্যে ‘হিন্দুপ্রীতি’ জাগ্রত করে তাদের কচুকাটা করার পথ সে সুগম করছে।</t>
  </si>
  <si>
    <t>অসন্তোষ্ট বিশ্ব শান্ত হোক, বুদ্ধের শাসন চিরজীবী হোক, দুঃখ থেকে মুক্ত হোক, মনকে শূন্য জায়গায় নিয়ে আসুন, চাওয়া-পাওয়ার থেকে দূরে থাকুন, এটাই বুদ্ধের মূল নীতি।</t>
  </si>
  <si>
    <t>১৯৮৭ সালে নিউ জার্সিতে "ডটবাস্টারস" নামে একটি গ্যাং দ্বারা ভারতীয় বংশোদ্ভূত হিন্দুদের বিরুদ্ধে ধারাবাহিক হুমকি দেয়া এবং হামলা করা হয়েছিল। এই গ্যাং এর নামটির উৎপত্তি হয়েছে ঐতিহ্যগতভাবে ভারতীয় হিন্দু মহিলাদের কপালে পরা টিপ থেকে।[৫৮]</t>
  </si>
  <si>
    <t>পবিত্র ইসলাম ধর্ম নিয়ে উগ্রবাদী মনোভাবে ভিত্তিহীন পোস্ট করার অভিযোগে অভিযুক্ত সোশ্যাল মাধ্যম অ`পঃসারণ।</t>
  </si>
  <si>
    <t>"হামলার পর থেকে গ্রামে আমাদের ঘরগুলোতে মহিলা, শিশু এবং যুবকরা থাকছে না। তারা অন্য এলাকায় আত্নীয় স্বজনের বাড়িতে থাকছে। বয়স্ক পুরুষরা এখন শুধু ঘরগুলোতে আছেন" - বলেন সাবেক মেম্বার বিউটি রাণী মণ্ডল।</t>
  </si>
  <si>
    <t>প্রতিমা ভাঙচুরের এই ঘটনাটি আসলে দুঃখজনক। এ ধরনের ঘটনা যাতে ভবিষ্যতে না ঘটে এজন্য আইনশৃঙ্খলা বাহিনী প্রয়োজনীয় পদক্ষেপ নেবে বলে আশা করি। এ ছাড়া সবাইকে সজাগ থাকতে হবে।</t>
  </si>
  <si>
    <t>বাংলাদেশের স্বাধীনতার পর বধ্যভূমিটি আগের মতোই পরিত্যক্ত হয়ে থাকে। ২০১০ সালে গণহত্যার শিকার ব্যক্তিদের স্বজনেরা গণহত্যার স্থানে একটি স্মৃতিস্তম্ভ নির্মাণ করে।[২] ২রা মে তারিখে নিহত ব্যক্তিদের স্মরণ করা হয় এবং তাদের বিদেহী আত্মার কল্যাণের জন্য গীতা পাঠ করা হয়।</t>
  </si>
  <si>
    <t>কুমিল্লায় দুই ভায়রাভাইয়ের দ্বন্দ্বে প্রতিপক্ষকে ফাঁসাতে দূর্গার প্রতিমা ভাংচুর</t>
  </si>
  <si>
    <t>কক্সবাজারের রামুতে একটি বৌদ্ধ মন্দিরে হামলা ও ভাঙচুরের ঘটনার প্রেক্ষিতে ২০১৪ সালের ১২ই মে সুপ্রিম কোর্ট বান্দরবানের নাইক্ষংছড়ি উপজেলার উপজেলা চেয়ারম্যান তোফায়েল আহমেদকে চার সপ্তাহের মধ্যে নিম্ন আদালতে আত্মসমর্পণের নির্দেশ দেয়। সরকারি তদন্ত প্রতিবেদন অনুযায়ী তোফায়েল আহমেদ রামুর ঘটনার প্রধান সন্দেহভাজন ছিলেন।</t>
  </si>
  <si>
    <t>কথা বলার সুযোগ হয়নি, কারণ এখনো নিজেকে সেই জায়গায় নিতে পারিনি, কিন্তু সব সময় শুনি। আপনাদের যত শুনি, ততই শিখি এবং মুগ্ধ হই। মহান আল্লাহ যদি কখনো সুযোগ করে দেন আপনাদের সাথে বসার এবং একটু কথোপকথন করার, তাহলে তা জীবনের অন্যতম প্রাপ্তি হবে।</t>
  </si>
  <si>
    <t>যে ব্যক্তি পাহাড় থেকে লাফিয়ে পড়ে আত্মহত্যা করবে, সে জাহান্নামে অনুরূপভাবে আত্মহত্যা করতেই থাকবে এবং এটিই হবে তার স্থায়ী বাসস্থান</t>
  </si>
  <si>
    <t>উভয় পক্ষ একে অপরের মুখোমুখি হবার পরে যুদ্ধের প্রস্তুতিতে এক হয়ে মুখোমুখি দাঁড়িয়েছিল। কিন্তু মাজদী ইবনে আমর আল-জুহানী নামক ছিলেন (যিনি একজন কুরাইশ), যিনি উভয় পক্ষের সাথে বন্ধুত্বপূর্ণ সম্পর্কে ছিলেন এবং তাদের মধ্যে এই যুদ্ধের জন্য হস্তক্ষেপ করেছিলেন। যার কারণে উভয় দল লড়াই না করেই আলাদা হয়ে যায়। হামজা মদিনায় ফিরে যায় এবং আবু জাহল মক্কার দিকে চলে যায়।</t>
  </si>
  <si>
    <t>মাশা-আল্লাহ, অনেক সুন্দর করে বুঝিয়েছেন উস্তাদজি। আমার জন্য এখন আরো সহজ হয়ে গেলো। চেষ্টা করবো শুদ্ধ করে করে পড়ার ইনশাআল্লাহ।</t>
  </si>
  <si>
    <t>ধর্মীয় গাথা বা মন্ত্র পাঠ করে উৎসর্গ করে খালি পায়ে বৌদ্ধরা ফানুস উড়িয়ে দেন। মন্ত্রপাঠের মাধ্যমে সাধু-ধ্বনির সুরে সুরে ফানুস উড়ানো হয়।</t>
  </si>
  <si>
    <t>বৃহত্তর নোয়াখালী অঞ্চল প্রচুর খালবিল-নদী অধ্যুষিত থাকায় এটি অত্যন্ত প্রত্যন্ত এক এলাকা ছিল। দাঙ্গা শুরু হলে পরিকল্পিত ভাবে গ্রামের খাল গুলোর বাঁশের সাকো ভেঙ্গে ফেলা হয় ও রাস্তা খুঁড়ে চলাচল অযোগ্য করা হয় এবং মুসলিম মাঝিরা হিন্দু যাত্রীদের তাদের নৌকায় পারাপারে অস্বীকৃতি জানায়।[১৯]</t>
  </si>
  <si>
    <t>বগুড়ার রথযাত্রায় পূণ্যার্থীদের মৃত্যুর প্রসঙ্গে রাণা দাশগুপ্ত বলেন, ‘‘এ ঘটনায় আমরা মর্মাহত।'' তিনি এ ঘটনার সুষ্ঠু তদন্ত দাবি করেন।</t>
  </si>
  <si>
    <t>১৭ই ফেব্রুয়ারি সকালে, আতঙ্কিত হিন্দু ও খ্রিস্টানরা মুলাদী থানার দিকে ছুটতে শুরু করে। তবে ও.সি. আতঙ্কিত মানুষকে কোনো আশ্রয় দিতে অস্বীকার করে। বিকেল ৩ টার দিকে, ৩,০০০ জন থেকে ৪,০০০ জন শক্তিশালী জনতা মুলাদী বন্দরের গুদামগুলিতে হামলা ও লুটপাট করে।</t>
  </si>
  <si>
    <t>ধর্মের মাধ্যমে মানুষ আত্মশুদ্ধির পথ অনুসরণ করে। এটি তাকে পরিপূর্ণ হতে এবং নিজের আচরণ ও চিন্তা নিয়ে সচেতন হতে সহায়তা করে।</t>
  </si>
  <si>
    <t>এই জন্য এই ব্যাক্তি মন থেকে দুআ করি।আল্লাহ তার সহয়াক হন এবং পস্চিমাদের দাতভাঙ্গা জবাব দিয়ে দিক। কাক্কু তোমার জন্য মন থেকে দুআ এবং ভালোবাসা অবিরাম</t>
  </si>
  <si>
    <t>এমন অন্যায় কাজ করছে তার সাথে সুর মিলিয়ে যে পুরুষদের সাফাই দিচ্ছে, অধিকার আছে বলেএদের মা বোন ভাই বাবা আসলেই কারো ফ্যামিলির সুশিক্ষার বারান্দায় যায়নি। এরা নিসন্দেহে ধর্মবিদ্বেষী।</t>
  </si>
  <si>
    <t>শবদাহ হলো ভারত ও নেপাল সহ কিছু দেশে, খোলা চিতায় দাহ করা প্রাচীন ঐতিহ্য। উনিশ শতকের শুরুতে, বিশ্বের অন্যান্য অংশে শবদাহ প্রবর্তন বা পুনঃপ্রবর্তন করা হয়েছিল। আধুনিক সময়ে, শ্মশানে সাধারণত বন্ধচুল্লি দিয়ে দাহ করা হয়।</t>
  </si>
  <si>
    <t>কোনো ধর্মকে অবমাননা করা যাবে না। আমি মুসলিম৷ তবে হিন্দু ভাইদের ও সম্মান করি। আমরা হিন্দু মুসলিম মিলে ঐক্যবদ্ধ হয়ে সুন্দর দেশ গড়ব।</t>
  </si>
  <si>
    <t>বৌদ্ধগণ এতটা উৎপীড়িত হইয়াছিল যে তাহারা মুসলমানদের পূর্বকৃত শত অত্যাচার ভুলিয়া বিজয়ীগণ কর্তৃক ব্রাহ্মণ দলন এবং মুসলমান কর্তৃক বঙ্গবিজয় ভগবানের দানস্বরূপ মনে করিয়াছিল।</t>
  </si>
  <si>
    <t xml:space="preserve">ফেসবুকে ঢুকলেই ধর্ম নিয়ে পোস্ট দেখি শুধু। আর বেশিরভাগই ইসলাম ধর্ম নিয়ে। এসব পোস্ট আমার তেমন কাজে আসবে না। </t>
  </si>
  <si>
    <t>২০১৫ সালে থাইল্যান্ডে একটি মসজিদের সামনে বোমা বিস্ফোরিত হয়, এতে বহু মানুষ আহত হন।</t>
  </si>
  <si>
    <t>প্রত্যক্ষ সংগ্রামের ডাক দিয়ে নিখিল ভারত মুসলিম লীগের নেতা মুহাম্মদ আলী জিন্নাহ বলেছিলেন, যে তিনি “বিভক্ত ভারত অথবা ধ্বংসপ্রাপ্ত ভারত” দেখতে চান।</t>
  </si>
  <si>
    <t>বাংলার প্রাদেশিক সরকার সুক্ষ ভাবে হিন্দু নির্যাতনে সহায়তা করছে।[৭২] রিপোর্টে তিনি আরও উল্লেখ করেনঃ মুসলিমরা দল বেধে হিন্দুদের উপর আক্রমণ করে এবং হিন্দুদের মুল্যবান জিনিসপত্র লুট করে নিয়ে যায়।</t>
  </si>
  <si>
    <t>রাসূল সা: পরিচালিত এসব যুদ্ধে মুসলিম অমুসলিম মিলে খুব কম ছিল নিহতের সংখ্যা। যা ছিল সমকালের ইতিহাসে অতি নগণ্য। অপরপক্ষে এই সল্প সংখ্যক নিহতের বিনিময়ে বেঁচে গেল লাখো মানুষ।</t>
  </si>
  <si>
    <t>সুনামগঞ্জের শাল্লা উপজেলার নোয়াগাঁও গ্রামের যুবক ঝুমন দাস আপনের ফেসবুক স্ট্যাটাসকে কেন্দ্র করে হিন্দুদের বাড়িঘরে হামলার ঘটনায় তার বিরুদ্ধে ডিজিটাল নিরাপত্তা আইনে মামলা হয়েছে।</t>
  </si>
  <si>
    <t>গেরিলা হামলা চালিয়ে ইসরায়েল নিয়ন্ত্রণাধীন একাধিক এলাকা দখলে নেয়ার দাবিও করেছে হামাস। এদিকে জরুরি অবস্থা ঘোষণা করেছে ইসরায়েল। পুরোদস্তুর যুদ্ধ ঘোষণা করেছে ফিলিস্তিনিদের বিরুদ্ধে।</t>
  </si>
  <si>
    <t>ধর্মীয় শিক্ষা বাধ্যতামূলক এবং সমস্ত সরকারি স্কুলে যা পাঠ্যক্রমের অংশ। শিক্ষার্থীরা শ্রেণীকক্ষে যোগ দেয় যেখানে তাদের নিজস্ব ধর্মীয় বিশ্বাস শেখানো হয়। </t>
  </si>
  <si>
    <t>নরওয়ে এবং শ্লোভাকিয়া মতো ক্রিশ্চিয়ান প্রধান দেশগুলোয় মুসলিম অভিবাসীরা বসবাস শুরু করার পর উত্তেজনার পরিবেশ তৈরি হলে, সেটি সামলাতে প্রাথমিকভাবে এই প্রযুক্তির পরীক্ষা করে দেখা হচ্ছে।</t>
  </si>
  <si>
    <t>ধিক ওদের জন্মের ও ধিক ওদের নাম পরিচয়ের বাংলাদেশের কলঙ্ক ছাত্রলীগ!! মুসলমানদের জন্য তো বটেই!!</t>
  </si>
  <si>
    <t>সচিবালয়ের কর্মচারী এবং কর্মকর্তারা তৎক্ষণাৎ কর্মবিরতির ডাক দিয়ে একটি মিছিল বের করে, যেখান থেকে হিন্দু বিদ্বেষী স্লোগান দেয়া হয়। তারা মিছিল নিয়ে নবাবপুরের দিকে অগ্রসর হয় এবং আরও অনেকে ওই মিছিলে যোগ দেয়।</t>
  </si>
  <si>
    <t>যে জাতি নিজের বাবা-মার কাছ থেকে শিখে যে হিন্দুদের মালাউন বলতে হয়, যে জাতি হিন্দু কোন মানুষের সাথে ঝগড়া হলে তাদের 'মালাউন' বলে গালি দেয়। যে জাতি একটা হিন্দুদের একটা অনুষ্ঠানে নিজের কাছের হিন্দু বন্ধুটিকেও শুভেচ্ছা জানাতে বারণ করে তাতে নাকি ধর্ম যাবে। যে জাতি হিন্দু দেখলে তাকে ভারতীয় দালাল বলে ঘোষণা দেয়। সে জাতি আজ তোমাদের বিরোধীতা করছে তাতে ভয় কিসের ? আরে দুইটা হাদিসের বাণীই দিচ্ছে যেখানে অন্য ধর্মের মানুষের প্রতি সদয় হওয়ার কথা উল্লেখ করছে। তাতে চিন্তা কিসে ?</t>
  </si>
  <si>
    <t>বণি ইসরাইলদের মধ্যে যারা অবিশ্বাস করেছিলো তারা দাউদ ও মরিয়ম পূত্র ইসা কর্তৃক অভিশপ্ত হয়েছিল, কারণ তা ছিলো অবাধ্য ও সীমালংঘনকারী</t>
  </si>
  <si>
    <t>গোলাহাট গণহত্যায় নিহতদের সংখ্যা নিয়ে কিছু বিভ্রান্তি রয়েছে। বাংলাদেশ সংবাদ সংস্থা এবং প্রথম আলো অনুসারে, এই গণহত্যায় ৪৩৭ জন হিন্দু নিহত হয়।[</t>
  </si>
  <si>
    <t>বেশ কিছু দিন ধরে কিছু মৌলবাদী গোষ্ঠী, জঙ্গি গোষ্ঠী নানান রকম অপপ্রচার চালাচ্ছেন আমার বিরুদ্ধে। তাদের মধ্যে কেউ কেউ বেসরকারি ও সরকারি ইউনিভার্সিটিতে পড়ান</t>
  </si>
  <si>
    <t>ধর্ম অবমাননার অভিযোগে লালমনিরহাটে এক ব্যক্তিকে পিটিয়ে হত্যা, মৃতদেহে আগুন</t>
  </si>
  <si>
    <t>সুইডেন কে পৃথিবীর মানচিত্র থেকে নিঃশেষ করে দেওয়ার জন্য মুসলমান প্রত্যেকটি দেশকে আহবান করছি</t>
  </si>
  <si>
    <t>৮ জুলাই: কপদভঞ্জে স্থানীয় ভিএইচপি নেতারা একজন মেথডিস্ট খ্রিস্টানের কবর খুঁড়ে তার মরদেহ গির্জার কাছে ফেলে দেয়।</t>
  </si>
  <si>
    <t>যদি আপনি ব্যক্তি ও সম্প্রদায়ের মধ্যে ন্যায়বিচার ও সমতার পক্ষে অবস্থান নেন, তাহলে আপনি সত্যিকারের মানবতাবাদী</t>
  </si>
  <si>
    <t>১৯৫০-এর পূর্ব পাকিস্তান দাঙ্গা বলতে ১৯৫০ সালের তৎকালীন পূর্ব পাকিস্তান, বর্তমানে বাংলাদেশের হিন্দু সম্প্রদায়ের উপর সংখ্যাগরিষ্ঠ মুসলিম সম্প্রদায়ের চালিত হত্যাকাণ্ডকে বোঝায়।</t>
  </si>
  <si>
    <t>সমুদ্র সৈকতের শহর কক্সবাজার জেলার রামুতে ২০১২ সালের ২৯শে সেপ্টেম্বর ফেসবুকে একটি ছবি ট্যাগ করার ঘটনা নিয়ে তুলকালাম কাণ্ড ঘটে যায়।</t>
  </si>
  <si>
    <t>সুনাইতা এবং কুর্মা গ্রামের হিন্দু মেয়েদের ওপরও চালানো হয় বীভৎস নির্যাতন। তাদের সিঁথির সিঁদুর পা দিয়ে মাড়িয়ে মুছে দেয়া হয় এবং হাতের শাঁখাপলা ভেঙ্গে ফেলা হয়।[৩৪] রাজগঞ্জ আখরা গ্রামের নীর ভট্ট এবং রাম চন্দ্র ভট্টের বাড়ি লুট করে মুসলিমরা।</t>
  </si>
  <si>
    <t>ধর্ম পালন নিয়ে অহংকার করার আগে আমাদের সবাইকে নিজের অন্তর ও মনোভাব যাচাই করা উচিত, কারণ প্রকৃত ধর্মীয় আচরণ humildity ও সততা নিয়ে করা উচিত।</t>
  </si>
  <si>
    <t>বুরুঙ্গা গণহত্যা হচ্ছে ২৬শে মে ১৯৭১ সালে পাকিস্তানি সেনাবাহিনীর দ্বারা সিলেট জেলার তৎকালীন বালাগঞ্জ উপজেলার (বর্তমান ওসমানী নগর), বুরুঙ্গা এবং তার আশপাশের গ্রামের হিন্দু জনগণের উপর সংগঠিত একটি হত্যাকাণ্ড, যা বুরুঙ্গা উচ্চ বিদ্যালয়ের মাঠে সংগঠিত হয়।</t>
  </si>
  <si>
    <t>সবচেয়ে কম হামলা হয়েছে ২০২০ সালে। তবে মন্দিরে হামলা হয়েছে ৬৭টি। তথ্য ঘেঁটে দেখা যাচ্ছে, এই সময়ের মধ্যে সবচেয়ে বেশি হিন্দু খুন হয়েছে ২০১৬ সালে, মোট সাতজন। এসব হত্যাকাণ্ডের অনেকগুলো ‘জঙ্গি হামলা’ বলে পরে জানিয়েছে পুলিশ।</t>
  </si>
  <si>
    <t>দ্রুজরা প্রায়ই বিভিন্ন মুসলিম শাসনের দ্বারা নিপীড়নের সম্মুখীন হয়েছে যেমন শিয়া ফাতেমিদ খিলাফত , [১৮২] মামলুক , [১৮৩] সুন্নি অটোমান সাম্রাজ্য , [১৮৪] এবং মিশর আইলেট । [১৮৫] [১৮৬] দ্রুজের নিপীড়নের মধ্যে রয়েছে গণহত্যা , দ্রুজের প্রার্থনা ঘর এবং পবিত্র স্থানগুলো ধ্বংস করা এবং জোরপূর্বক ইসলামে ধর্মান্তরিত করা। [১৮৭] ড্রুজের আখ্যানে এগুলো কোনো সাধারণ হত্যাকাণ্ড ছিল না, ড্রুজের বর্ণনা অনুযায়ী পুরো সম্প্রদায়কে নির্মূল করার উদ্দেশ্যে ছিল।</t>
  </si>
  <si>
    <t>আহত হয়েছেন কয়েকজন। এর আগে গত মুহাররম মাসে ঢাকার হোসনি দালান এবং বগুড়ার একটি গ্রামে শিয়াদের একটি ধর্মীয়স্থানে হামলার ঘটনায় কিছু লোক হতাহত হয়েছে।</t>
  </si>
  <si>
    <t>চীন,জার্মান,ভারত,ফ্রান্সসহ ইউরোপ আমেরিকার প্রতিটি দেশে মুসলিমদের উপর নির্য়াতন চলছে। সরাসরি ধর্ম পালনে বাধা দেওয়া হচ্ছে। অথচ আমরা সব ধর্মের মানুষ ভালবাসার বন্ধনে আবদ্ধ হয়ে আছি। সেখানে এমন অবমাননা কখনও মেনে নেওয়ার মত না অনতিবিলম্বে এর সুষ্টু বিচার দাবী করছি।</t>
  </si>
  <si>
    <t>আলফাডাঙ্গায় যে তিনটি মন্দিরের প্রতিমা ভাঙচুর করা হয়েছে, সবই পৌর এলাকার এক কিলোমিটারের মধ্যে অবস্থিত। মন্দিরগুলো হলো ৬ নম্বর ওয়ার্ডের কুশুমদী মহল্লার কেন্দ্রীয় হরি মন্দির, শ্রী বিষ্ণু পাগলের মন্দির এবং ৭ নম্বর ওয়ার্ডের আলফাডাঙ্গা মহল্লার শ্রীশ্রী দামুদর আখড়া।</t>
  </si>
  <si>
    <t>ক্ষমা চাইলে কি হবে??? আইন করতে হবে কোন প্রকার ধর্মীয় গ্রন্থ অবমাননা করতে পারবে না , যে কোন ধর্ম নিয়ে কূটুক্তি করা যাবে না । করলে কঠর শাস্তির ব্যবস্থা করতে হবে । এবং অবশ্যই অপরাধীর শাস্তি দিতে হবে । এমন এক একটা নোংরামি করবে আর চাপের মুখে ক্ষমা চাইবে পরবর্তীতে আবার করবে । ফাইজলামি নাকি!</t>
  </si>
  <si>
    <t>গুজরাটের গোধরায় একটি ট্রেনে আগুন লেগে ৫৯ জন হিন্দু তীর্থযাত্রী মারা যান, যার জেরে গুজরাটে ভয়াবহ সাম্প্রদায়িক দাঙ্গা ছড়িয়ে পড়ে এবং হাজারের বেশি মানুষ নিহত হন, বেশিরভাগই মুসলিম।</t>
  </si>
  <si>
    <t>নেদারল্যান্ডসে ফের পবিত্র কোরআন অবমাননার ঘটনা ঘটেছে। ইসলামবিদ্বেষী সংগঠন পেগিডার নেতা এডউইন ভেগেনসভালদ পবিত্র গ্রন্থ পোড়ানোর চেষ্টা করেছেন। এই ন্যাক্কারজনক ও ঘৃণ্য কাজে পুলিশ সহায়তা করলেও বাধা দিয়েছে স্থানীয় মুসলিমরা।</t>
  </si>
  <si>
    <t>২০২২ সালে হিন্দুত্ববাদী নেতাদের বিরুদ্ধে মন্তব্যের জেরে কানহাইয়া লাল নামে এক দর্জিকে মুসলিম চরমপন্থীরা হত্যা করে।</t>
  </si>
  <si>
    <t>কালিগঞ্জ গণহত্যায় পাকিস্তান সেনাবাহিনীর হাতে প্রায় ৪০০ বাঙালি হিন্দু প্রাণ হারান।[১][২] কথিত আছে, গণহত্যার পরিকল্পনা করেন কনভেনশন মুসলিম লীগ নেতা ও কেন্দ্রীয় মন্ত্রী কাজী আব্দুল কাদের।</t>
  </si>
  <si>
    <t>মধ্যপ্রাচ্যে ইসরায়েল-ফিলিস্তিন সংঘর্ষে ধর্মীয় ও জাতিগত উত্তেজনার কারণে বহু মানুষের মৃত্যু হয়েছে, যা আজও চলমান সংকটের অংশ।</t>
  </si>
  <si>
    <t>কঠিন চীবর দান, বৌদ্ধ ধর্মের একটি ধর্মীয় আচার, ও উৎসব, যা সাধারণত বাংলা চন্দ্রপঞ্জিকা অনুযায়ী প্রবারণা পূর্ণিমা (শারদ পূর্ণিমা বা আশ্বিন মাস মাসের পূর্ণিমা) পালনের এক মাসের মধ্যে যেকোনো সুবিধাজনক সময়ে পালন করা হয়। </t>
  </si>
  <si>
    <t>পণ্ডিতরা বিতর্ক করেন যে বিধবাদের দ্বারা সতী আত্মহত্যার এই বিরল প্রতিবেদনগুলি সংস্কৃতির সাথে সম্পর্কিত নাকি মানসিক অসুস্থতা এবং আত্মহত্যার উদাহরণ।</t>
  </si>
  <si>
    <t>২০২২ সালে বাংলাদেশে সংখ্যালঘু সম্প্রদায়ের ১৫৪ জনকে হত্যা করা হয়েছে এবং ৩৯জন নারীকে ধর্ষণ করা হয়েছে৷ এক সংবাদ সম্মেলনে সংখ্যালঘুদের বিরুদ্ধে সহিংসতার এসব তথ্য তুলে ধরে বাংলাদেশ জাতীয় হিন্দু মহাজোট৷</t>
  </si>
  <si>
    <t>ভারতে বিজেপির সাম্প্রদায়িক সহিংসতা, বিতর্কিত নাগরিকত্ব আইন ও মুসলিম বিদ্বেষী কর্মকান্ড যেমন এ দেশের সাধারণ মানুষকে সংক্ষুব্ধ ও শঙ্কিত করে তোলে একইভাবে এসব ক্ষেত্রে আমাদের সরকারের নিরবতাও জনগণকে বিক্ষুব্ধ করে।</t>
  </si>
  <si>
    <t>যারা এই কাজ করেছে তাদের নির্দিষ্ট কোন ধর্ম নেই নাকি জন্মগত পরিচয় নেই। মানুষ হয়ে অন্তত মানবিকতার খাতিরে মানুষ তো এমনটা করতে পারে না। মানুষ হিসেবেও এটা লজ্জাজনক।</t>
  </si>
  <si>
    <t>কুমিল্লাতে বহু হিন্দু পরিবারের বসবাস।এমন জামেলা আমরা দেখিনি।সবাই সবাইর মতো করে নিজেদের ব্যবসা বানিজ্য, জীবন যাপন করে আসছে।কিন্তু এই সময়ে এসে কে বা কারা এই উগ্রতা সৃষ্টি করলো তার সঠিক তদন্ত হওয়া দরকার</t>
  </si>
  <si>
    <t>আল্লাহর বিধি মেনে চলার ফলে আমরা সামাজিকভাবে সঠিক এবং ন্যায়ের পথে চলতে পারি, যা আমাদের সম্মান বৃদ্ধি করে।</t>
  </si>
  <si>
    <t>চট্টগ্রামে চারজন বৌদ্ধ সম্প্রদায়ের ব্যক্তিকে কুপিয়ে আহত করা হয়। যাদের মধ্যে একজন ছিলেন পুলিশ ইনস্পেক্টর। এছাড়া বেশ কিছু বৌদ্ধমঠ ধ্বংস করে দেয় মুসলিমরা।</t>
  </si>
  <si>
    <t>কুরআনের হেফাজতকারী একমাত্র মহান আল্লাহ তায়ালা, যিনি সকল দুনিয়ার একমাত্র বিচারক। এমন কোন কাজের জন্য তিনি কঠিন শাস্তির ব্যবস্থা করেছেন, তবে আল্লাহ তায়ালা মাফ করতে পারেন, তবে তাঁর কাছে ছাড়া কোন কিছু সম্ভব নয়। হে আল্লাহ, তুমি আমাদের রক্ষা করো, আমিন।</t>
  </si>
  <si>
    <t>আমার কথা হলো , এই যে ঈদে বাজি ফাটানো, থার্টি ফাস্ট নাইটে ধুমচে গান বাজানো, পূজায় বক্সে গান এগুলো কি চোখে পড়েনা নাকি শুধু ওয়াজ এর সময় চর্বিতচর্বন করতে ভালো লাগে ??</t>
  </si>
  <si>
    <t>যারা সবসময় ব্যক্তি স্বাধীনতা নিয়ে কথা বলে বেড়ায় তাদের বোরকা নিয়ে কেনো এত এ্যালার্জি!!</t>
  </si>
  <si>
    <t>ইসলাম বিরোধী যে কোনো কাজে বর্তমান যে নাম গুলা সবার আগে আসবে,তাদের নামগুলো দেখে ও মুসলিম মনে হবে।</t>
  </si>
  <si>
    <t>যারা অন্যধর্মের মানুষ হয়েও অন্যায়ের বিরুদ্ধে রুখে দাঁড়ায়, আত্মাহুতি দেয় তাদের কে আপনি কোন ধর্মের অনুসারী বলবেন? সে স্রষ্টার সৃষ্টি রক্ষায় জীবন দিলে তার পারলৌকিক জীবনে স্বর্গ, বেহেস্ত পাবার সম্ভাবনা আছে কী? আমি মনে করি এটাই ধর্ম।স্রষ্টার সৃষ্টির প্রতি প্রেমই তো আসল ধর্ম।</t>
  </si>
  <si>
    <t>যদিও সৌদিআরবে মক্কা এবং মদিনায় প্রধান দু'টি মসজিদ ছাড়া অন্য সব মসজিদে নামাজ স্থগিত রাখা হয়েছে। সংযুক্ত আরব আমিরাতে বাড়িতে নামাজ পড়ার কথা বলে আজানের বাণীও বদলানো হয়েছে।</t>
  </si>
  <si>
    <t>মন্দিরে পূজা-অর্চনার সময় মৃত নারায়ণ কর্মকারের ছেলে বিকাশ চন্দ্র কর্মকারের সঙ্গে প্রফেসর আনন্দ বাবুর ছেলের মারামারি হয়। পরে মন্দির কমিটির সাধারণ সম্পাদক মদন কর্মকার, সদস্য মাধব শীল, নিমাই কর্মকার ও প্রফেসর আনন্দ বাবু বিকাশকে মন্দির থেকে বের করে দেন। এ সময় মদ্যপ বিকাশ মন্দিরের পাশের মজনুর ঘরের বারান্দায় বসে থাকে। রাত ৩টার দিকে সবাই চলে গেলে বিকাশ মন্দিরে ফিরে আসে। এ সময় বিকাশকে মন্দিরে ঢুকতে বাধা দিলে মেরে ফেলার হুমকি দেয়। পরে সে প্রতিমা ভাংচুর করে।</t>
  </si>
  <si>
    <t xml:space="preserve">মোহাম্মদ জাহাঙ্গীর ইসলাম, আকাশ সাহা নামের এক ফেইক ফেইসবুক আইডি ওপেন করে ইসলাম ধর্ম নিয়ে বাজে মন্তব্য করে। সেই ঘটনায় নড়াইলের হিন্দুদের বাড়িঘর লণ্ডভণ্ড।৷ </t>
  </si>
  <si>
    <t>আত্মহত্যার প্রবণতা নিরসনে পরিবারের সদস্য ও আত্মীয়স্বজনের দায়িত্বশীল আচরণ করতে হবে এবং সংশ্লিষ্ট সবাইকে নৈতিক আচরণ করতে হবে। সর্বোপরি সামাজিক শৃঙ্খলা ও পারিবারিক বন্ধন মজবুত করতে হবে।</t>
  </si>
  <si>
    <t>ইসরায়েলের রাষ্ট্র প্রতিষ্ঠার পর থেকেই ফিলিস্তিনি মুসলিম ও খ্রিস্টানদের সঙ্গে ইহুদিদের সংঘাত চলছে, যার ফলে বহু মানুষ নিহত ও বাস্তুচ্যুত হয়েছেন।</t>
  </si>
  <si>
    <t>পুলিশ সদর দপ্তর জানিয়েছে ভোলার বোরহানউদ্দিনের ঘটনার জন্য যে দুজন দায়ী তাদের আটক করা হয়েছে তারাই বিপ্লব চন্দ্র বৈদ্যের অ্যাকাউন্ট হ্যাক করে ম্যাসেঞ্জারে নবী অবমাননাকর বার্তা দিয়েছে যেগুলো পরে স্ক্রিনশট নিয়ে বিপ্লব চন্দ্র বৈদ্যের বলে প্রচার করে।</t>
  </si>
  <si>
    <t>কাতারভিত্তিক সংবাদমাধ্যম আলজাজিরার প্রতিবেদনে জানানো হয়েছে, যুদ্ধবিধ্বস্ত ইউক্রেনসহ অধিকাংশ দেশ এ প্রস্তাবের পক্ষে ভোট দিলেও, বিপক্ষে ভোট দিয়েছে যুক্তরাষ্ট্র, যুক্তরাজ্য ও ইউরোপীয় ইউনিয়নভুক্ত (ইইউ) দেশগুলো। তারা বলেছে, এ প্রস্তাব মানবাধিকার ও মত প্রকাশের স্বাধীনতার সঙ্গে সাংঘর্ষিক।</t>
  </si>
  <si>
    <t>একজন মানুষ ইহকালে এতো নির্যাতিত হচ্ছে এবং কষ্ট ভোগ করছে যে জীবন পর্যন্ত আত্নহণন দিচ্ছে। আবার পরকালেক তাকে নরকে নিক্ষেপ করা হবে। নিতে পারছিনা ব্যাপারটা।</t>
  </si>
  <si>
    <t>বাংলাদেশে লালমনিরহাট জেলার পুলিশ জানিয়েছে, পাটগ্রাম এলাকায় শত শত মানুষ একজন ব্যক্তিকে পিটিয়ে হত্যার পর তার মৃতদেহ আগুন দিয়ে পুড়িয়ে দিয়েছে।</t>
  </si>
  <si>
    <t>মিয়ানমারে যখন মুসলমানদের কচুকাটা করা হচ্ছিল, গ্রামের পর গ্রাম জ্বালিয়ে দেওয়া হচ্ছিল, মুসলিম নারীরা ব্যাপকহারে ধর্ষিতা হচ্ছিলেন তখন কি এদেশের বৌদ্ধদের কপালে একটি ভাঁজও পড়তে দেখা গেছে? সহানুভূতির একটি বাক্যও কি তারা খরচ করেছেন? যদি করতেন তাহলে সেটা কি সম্প্রীতির পক্ষে সহায়ক হত না?</t>
  </si>
  <si>
    <t>পাঁচজন গ্রেপ্তার পীরগাছায় আবারো হিন্দু পাড়ায় হামলা মারধর, অগ্নিসংযোগ</t>
  </si>
  <si>
    <t>১৯৭১ সালে কড়ই ও কাদিপুর গ্রাম রাজশাহী জেলার জয়পুরহাট মহকুমার অধীনে (বর্তমানে রাজশাহী বিভাগের জয়পুরহাট জেলার সদর উপজেলার বম্বু ইউনিয়নের অন্তর্ভুক্ত) ভারতের সীমান্তবর্তী এলাকায় ছিল। এই দুই গ্রামের অধিবাসীরা মূলত হিন্দু কামার গোত্রের ছিলেন।</t>
  </si>
  <si>
    <t>থানার মুসলিম দারোগা সব হিন্দু পুরুষকে থানা থেকে জোর করে বের করে দেয়। উন্মত্ত মুসলিম জনতা এসময় তাদেরকে তীব্রভাবে প্রহার করে স্থানীয় বড় মসজিদে নিয়ে ইসলাম ধর্মে ধর্মান্তরিত করে এবং গো-মাংস খেতে বাধ্য করে। </t>
  </si>
  <si>
    <t>ইসলাম কোন হাসির ধর্ম নয়, যে অন্য কেন কিছুর সাথে তুলনা করতে হবে।</t>
  </si>
  <si>
    <t>আল্লাহ ইবরাহীম এর সন্তানাদির মধ্য থেকে ইসমাঈল কে, ইসমাঈল এর সন্তানাদির মধ্যে থেকে কিনানাহকে মনোনীত করেন। কিনানাহর বংশধারার মধ্য থেকে কুরাইশকে, কুরাইশ থেকে বনু হাশিমকে এবং বনু হাশিম থেকে আমাকে মনোনীত করেন।</t>
  </si>
  <si>
    <t>পাকিস্তানে গণমাধ্যমের উপর সর্বোচ্চ বিধিনিষেধ আরোপ করে সম্পূর্ণভাবে কণ্ঠরোধ করা হয়।আলোকচিত্র ধারণ করাও নিষিদ্ধ করা হয়।[৩৬] দৈনিক ইত্তেফাক ও পাকিস্তান অবজারভার পত্রিকায় কিছু সত্য ঘটনা প্রকাশের জন্য সেগুলোর উপর বিধিনিষেধ আরোপ করা হয়।</t>
  </si>
  <si>
    <t>কোনো বিশেষ ধর্মের জন্য বা একক কোনো ধর্মকে সুরক্ষা দিতে এ আইন নয়। এর বাইরেও ২০১৮ সালের ডিজিটাল নিরাপত্তা আইনে ইলেকট্রনিক বিন্যাসে ধর্মীয় অনুভূতিতে আঘাত করা শাস্তিযোগ্য অপরাধ।</t>
  </si>
  <si>
    <t>আল্লাহ কুরআনে বলেছেন যে, সমস্ত মানুষের প্রতি দয়া ও শ্রদ্ধাশীল মনোভাব পোষণ করা উচিত, কারণ তিনি সকল সৃষ্টির রক্ষা করেছেন।</t>
  </si>
  <si>
    <t>বাগবাটি গণহত্যা আল-বদর, পাকিস্তান সেনাবাহিনী, রাজাকার ও শান্তি কমিটির সমন্বয়ে এবং বৃহত্তর পাবনার পূর্ববর্তী জেলা সিরাজগঞ্জ উপ-বিভাগের বাগবাটি ইউনিয়নে ২০০ শতাধিক নিরস্ত্র বাঙালি হিন্দুদের শীতল রক্তপাতকে বোঝায়। [১] গণহত্যার পরে মৃতদেহগুলি গণকবর বা ফেলে দেওয়া হয়।</t>
  </si>
  <si>
    <t>হিন্দু ধর্মে সৎকর্ম এবং সৎপথে চলা মানবতার জন্য শিখনের পথ, যা অন্যের প্রতি সহানুভূতির প্রতি গুরুত্ব দেয়।</t>
  </si>
  <si>
    <t>সৌদি সরকার শিয়া ধর্মীয় নেতা শেখ নিমর আল-নিমরকে ফাঁসি দেয়, যা আন্তর্জাতিক উত্তেজনার সৃষ্টি করে।</t>
  </si>
  <si>
    <t>বাংলাদেশে হিন্দুদের উপর হামলা হলো, হিন্দুরা এবং কিছু মুসলিম এর প্রতিবাদ করলো, সাথে ভারতের হিন্দুরা প্রতিবাদ জানালো।</t>
  </si>
  <si>
    <t xml:space="preserve">কিছু কুচক্রী মহল হিন্দু-মুসলিম দাঙ্গা বাধিয়েছে রাজনৈতিক ফায়দা হাসিলের জন্য এটাকে মন্দিরের জমিতে মসজিদে নির্মাণ করা হচ্ছে বলে প্রচার করছে। যেমন উদাহরণস্বরূপ দিনাজপুর রাজবাড়ী কি মসজিদ নাই। দিনাজপুর যোগেন বাবুর কি মসজিদ নাই। দিনাজপুর রায় সাহেব বাড়ি কি মসজিদ নাই। সবার কাছে প্রশ্ন থাকলো। </t>
  </si>
  <si>
    <t>সামান্য প্রতিরোধের পরই সুরেন্দ্রনাথ বসু ধারাল অস্ত্রের আঘাতে মারাত্মক ভাবে আহত হন। মুসলিম জনতা হাত-পা বেধে তাকে জীবন্ত আগুনে পুড়িয়ে হত্যা করে।[২৬] সুরেন্দ্রনাথ বসুকে মুসলিমরা আক্রমণ করেছে শুনতে পেয়ে পাশের পাঁচঘরিয়া গ্রামের ডাক্তার রাজকুমার পাল তাকে সাহায্য করতে এগিয়ে আসেন। কিন্তু পথিমধ্যে তাকে মুসলিম দুর্বৃত্তরা ছুরিকাহত করে।</t>
  </si>
  <si>
    <t>ভালোবাসি সকল ধর্মকে।অন্য ধর্মকে শ্রদ্ধা করলে নিজের ধর্ম ছোট হয়ে যায় না বা অপমানিত হয় না।</t>
  </si>
  <si>
    <t>ডাকরা হত্যাকাণ্ড গণহত্যা ২১ মে ১৯৭১ ইং সালে খুলনা জেলার বাগেরহাট উপ-বিভাগে শান্তি কমিটির সদস্য ও রাজাকারদের দ্বারা ডাকার গ্রামে নিরস্ত্র হিন্দু উদ্বাস্তুদের গণহত্যা করা হয়। বাগেরহাট উপ-বিভাগীয় শান্তি কমিটির চেয়ারম্যান রাজাব আলী ফকিরের নেতৃত্বে হামলা চালানো হয়। [১] গণহত্যাতে ২০০০ এরও বেশি হিন্দু পুরুষ, নারী ও শিশু নিহত হয়।</t>
  </si>
  <si>
    <t>প্রাণ বাঁচাতে নারী, পুরুষ ও শিশুরা বাড়ি ছেড়ে পাশের ধানখেতে আশ্রয় নেয়। দুর্বৃত্তরা তখন একের পর এক বাড়িতে আগুন ধরিয়ে দেয়। হামলাকারীরা গ্রামের বসতবাড়িতে ঢুকে অন্তত আধা ঘণ্টা ধরে তাণ্ডবলীলা চালালেও পুলিশের ভূমিকা দৃশ্যমান ছিল না। হামলাকারীরা চলে যাওয়ার পর পুলিশ গ্রামে গেলে ধানখেতে আশ্রয় নেওয়া লোকজন বাড়িতে ফেরে।[</t>
  </si>
  <si>
    <t>হাজার হাজার মানুষকে পুড়িয়ে ফেলেছিলেন এবং শাস্তি দিয়েছিলেন। [ উদ্ধৃতি প্রয়োজন ] রোমের মতো, নির্যাতিতরা জনবসতিপূর্ণ এলাকায় পালিয়ে যায়। সবচেয়ে ভয়ানক শাস্তি একটি ভূগর্ভস্থ গর্ত হিসাবে বিবেচিত হত, যেখানে ইঁদুর বাস করত। কিছু লোককে সেখানে বন্দী করে দেয়ালে বেঁধে রাখা হয়েছিল এবং তাদের মৃত্যুর পর তাদের মুক্ত করা হয়েছিল।</t>
  </si>
  <si>
    <t>সারা দেশে হিন্দুধর্মাবলম্বীদের সবচেয়ে বড় উৎসব দুর্গাপূজা জাঁকজমকভাবে পালন করা হচ্ছে। প্রশাসন ও পুলিশ প্রশাসন পূজা সুষ্ঠুভাবে সম্পন্ন হওয়ার জন্য দিনরাত পরিশ্রম করছে। পাশাপাশি ছাত্রলীগ, যুবলীগসহ সব নেতাকর্মীদের সজাগ থাকতে হবে, যাতে কোনো অপশক্তি কোনো সমস্যার সৃষ্টি না করতে পারে। সবাই যেন নির্বিঘ্নে পূজা পালন করতে পারে।</t>
  </si>
  <si>
    <t>বিধ্বস্ত গাজায় আজ বিপন্ন মানবতা, একদল রক্তপিপাসু পশুরা চালাচ্ছে গণহত্যা।</t>
  </si>
  <si>
    <t>প্রত্যেকে আতঙ্কে "পাকিস্তান জিন্দাবাদ" স্লোগান দিতে থাকে, মহিলারা তাদের শাঁখা ভেঙে ফেলেন এবং সিঁদুর মুছে ফেলেন। কেউ কেউ মন্দির ও আশ্রমের বিভিন্ন কোণে আত্মগোপন করে। পাকিস্তানি সৈন্যরা তাদের খুঁজে বের করে মন্দিরের সামনে লাইনে দাঁড় করিয়ে দেয়। পুরুষদের এক লাইনে দাঁড় করানো হয় এবং শিশুসহ নারীদের অন্য লাইনে দাঁড় করানো হয়।</t>
  </si>
  <si>
    <t>জীবনের সমাপ্তিতে, আমি তোমার প্রেমে আক্রান্ত হই।</t>
  </si>
  <si>
    <t>আলহামদুলিল্লাহ পবিত্র কোরান পোড়ানোর কারণে যারা যেই মানুষ গুলা কুরআন থেকে দুরে ছিল তারা আরো কোরানের কাছে আসবে ইনশাআল্লাহ। নিশ্চই আল্লাহ উত্তম পরিকল্পনা কারী</t>
  </si>
  <si>
    <t>বিশেষ পদ্ধতিতে তৈরি ময়ূর আকৃতির একটি বিশাল রথ তৈরি করে তার ওপর একটি বুদ্ধমূর্তি স্থাপন করা হয়। এরপর মঙ্গল রথটি কেন্দ্রীয় বৌদ্ধবিহার থেকে রশি দিয়ে টেনে রাতে শহরের অলিগলি ঘোরানো হয়। এ সময় বৌদ্ধ ধর্মাবলম্বী নারী-পুরুষ, শিশু-কিশোর, যুবক-যুবতী মোমবাতি জ্বালিয়ে বুদ্ধমূর্তিকে শ্রদ্ধা জানায়।</t>
  </si>
  <si>
    <t>নড়াইলের লোহাগড়া উপজেলায় দীঘলিয়া নামের যে গ্রামে সাম্প্রদায়িক হামলার ঘটনা ঘটে গত শুক্রবার, সেই গ্রামটি হিন্দু অধ্যূষিত।</t>
  </si>
  <si>
    <t>যদি মানুষ অন্তরাত্মাকে না চেনে এবং অন্য ধর্মকে সম্মান করতে না শিখে নিজেকে "সর্বশ্রেষ্ঠ" প্রমাণের জন্য ব্যস্ত থাকে, তাহলে সমাজে ধর্মীয় সহিষ্ণুতা গড়ে উঠবে না।</t>
  </si>
  <si>
    <t> দুপুরের নামাজের পর থেকেই কলকাতার সব জায়গা থেকে মুসলমানদের মিছিল জড়ো হতে শুরু করেছিল। অংশগ্রহণকারীদের একটি বিশাল অংশ লোহার রড ও লাঠি (বাঁশের লাঠি) দিয়ে সজ্জিত ছিল বলে জানা যায়। একজন কেন্দ্রীয় গোয়েন্দা কর্মকর্তার প্রতিবেদনের তথ্য অনুযায়ী ৩০,০০০ জন এবং কলকাতা পুলিশের বিশেষ শাখার পরিদর্শকের তথ্য অনুযায়ী ৫,০০,০০০ জন সমাবেশে উপস্থিত ছিল বলে অনুমান করা হয়েছিল। </t>
  </si>
  <si>
    <t>গুলাম হোসেন সুন্নি মুসলমানদের একটি দলকে নেতৃত্ব দিয়েছিলেন, যারা দাবি করেছিলেন যে ১৮৫৫ সালে মসজিদের স্থানটি আসলে হনুমান মন্দিরের বাড়ি ছিল। হিন্দু-মুসলিম সংঘর্ষের পর পরিস্থিতি আরও খারাপ না হওয়ার জন্য সীমানা প্রাচীর নির্মাণ করা হয়, যা মসজিদ প্রাঙ্গণকে দুটি উঠানে বিভক্ত করেছে। মুসল্লিরা ভিতরের উঠানে নামাজ আদায় করেন।</t>
  </si>
  <si>
    <t> সৎ বিশ্বাসী ব্যক্তিগন তাদের প্রশ্নের সঠিক উত্তর প্রদান করতে পারবে এবং তারা মৃত্যু পরবর্তী জীবনে শান্তিতে বসবাস করেত পারবে।</t>
  </si>
  <si>
    <t>মসজিদ ভাঙ্গার প্রতিযোগীতা এখন দেশে দেশে। মহামারী দূর হওয়া তো দূরে থাক আরো মারাত্নক আকার ধারন করার ই ব্যাপক সম্ভাবনা রয়েছে সামনে। কারন, মানুষ বেপরোয়া হয়ে পাপ কাজে জড়িয়ে গেলে প্রকৃতি ই কঠোর শাস্তির পদক্ষেপ নেয়।</t>
  </si>
  <si>
    <t xml:space="preserve">আরেক শ্রেনীর হিন্দু মন্দির তৈরী, তিলক সেবা, কীর্তন করা, ও শুধু পুজা করতে চাই কিন্তু হিন্দু রক্ষার আন্দোলন, হিন্দু অনুসারী বাড়াতে কোন কাজ করে না। </t>
  </si>
  <si>
    <t>প্রতিমা এবং মন্দিরের প্রাচীরের পিছনের অংশ সম্পূর্ণরূপে উড়ে গিয়েছিল। পরবর্তীতে, মন্দির এবং আশ্রম ধ্বংস করা হয়। পাকিস্তানি হানাদার বাহিনীর জল্লাদরা যখন মন্দির ও আশ্রমে প্রবেশ করে তখন অনেকে ঘুমিয়ে ছিল এবং কেউ কেউ জেগে ছিল। কোনো কোনো পরিবারের সদস্যরা তখনও রাতের খাবার খাচ্ছিলেন। পাকিস্তানি সেনারা আক্রমণ করলে প্রাণের ভয়ে তারা এদিক ওদিক দৌড়াতে থাকে। </t>
  </si>
  <si>
    <t>ইসরায়েলি নৃশংসতা থেকে বাঁচতে হলে সন্তানকে শুধু মাওলানা, মুফতি, বক্তা, হাফেজ, পীর না বানিয়ে মুসলিম বিশ্বের নবপ্রজন্মকে পাশাপাশি পরমাণু বিজ্ঞানী, ডাক্তার, প্রকৌশলী, সাহিত্য-সংস্কৃতি ও তথ্যপ্রযুক্তি বিশারদ হিসেবে গড়ে তুলতে হবে।</t>
  </si>
  <si>
    <t>ভারত এবং বাংলাদেশের সিলেটি হিন্দু, ইয়াহুদী এবং খ্রিস্টানরা অনেক সময় ঈশ্বর বুঝাতে আল্লাহ শব্দটি ব্যবহার করে থাকেন।</t>
  </si>
  <si>
    <t>'আমি লক্ষ্য করেছি, কুমিল্লার পবিত্র কোরআন অবমাননার ঘটনার প্রতিবাদ করতে গিয়ে চাঁদপুর, ফেনী, নোয়াখালীসহ দেশের বিভিন্ন জায়গায় পুলিশের গুলিতে বেশ কয়েকজন নিহত ও বহুসংখ্যক আহত হয়েছে এবং এ সংবাদগুলো বিবিসি বাংলা খুব গুরুত্বহীন ও দায়সারাভাবে প্রচার করছে।</t>
  </si>
  <si>
    <t>মুসলিমগণ যদি অন্য ধর্মের প্রতি শ্রদ্ধাশীল না হতো, তবে বাংলাদেশে একটা হিন্দুর বাচ্চাও সুখে শান্তিতে বসবাস করতে পারতোনা।।</t>
  </si>
  <si>
    <t>আলহামদুলিল্লাহ আলহামদুলিল্লাহ কথাগুলো শুনে চোখে পানি এসে গেল আল্লাহ আমাদের জান্নাতুল ফেরদৌস দান করুন আমিন</t>
  </si>
  <si>
    <t>চোখের জিনা এতটাই ভয়াবহ যে মানুষ সিজদায় গেলেও তা চোখে ভেসে ওঠে আস্তাগফিরুল্লাহ</t>
  </si>
  <si>
    <t>ইফতারের ছবি শেয়ার করার মাধ্যমে আমরা আমাদের আনন্দ ভাগ করে নিতে পারি। এটি অন্যদের ইফতারের সৌন্দর্য উপলব্ধি করতে সাহায্য করে, আর যারা সামর্থ্যহীন, তাদের প্রতি সহমর্মিতা ও সহায়তার মনোভাব গড়ে তুলতে পারে।</t>
  </si>
  <si>
    <t>ইসলাম যদি বিএনপি জাতীয়পার্টির মতো রাজনৈতিক দল হয় তাহলে সমালোচনায় পড়তেই হবে। ধর্মনিরপেক্ষতা চালু করুন। ধর্মকে রাজনীতিতে আনবেননা। ধর্মনিরপেক্ষতা চালু করুন।</t>
  </si>
  <si>
    <t>অসভ্য বালক, ১৪০০ বছর আগে ইহুদি ছিল, জেরুজালেম ছিল, শিয়া ছিল, তোরাহ ছিল, তুই কি ছিলি? বেশি বাড়াবাড়ি করিস না, হাজার ভক্ত ভজা।</t>
  </si>
  <si>
    <t>আমার কাছে কষ্ট লাগে,এই উস্কানিমূলক কথাগুলো যারা বলল,তাদের প্রত্যেকেই বাপ দাদার পরিচয়ে মুসলিম নামের অন্তর্ভুক্ত</t>
  </si>
  <si>
    <t>‘আল্লাহ’ শব্দের আঞ্চলিক রূপগুলো পৌত্তলিক ও খ্রিস্টান উভয়ের ইসলাম-পূর্ব শিলালিপিতে পাওয়া যায়।[৪] ইসলাম-পূর্ব বহুঈশ্বরবাদী ধর্মগুলোতে আল্লাহ সম্পর্কে বিভিন্ন তত্ত্ব প্রস্তাব করা হয়েছে। </t>
  </si>
  <si>
    <t>তারা মসজিদ ভেঙ্গে মন্দির করতে পারলে আমরা কেনো পারবোনা? এতো যুক্তি দেয়ার কিছু নাইতো আমরা তো তাদের থেকেই শিখছি</t>
  </si>
  <si>
    <t>রমজান মাসে কিছু লিখতে ইচ্ছে করে না,এমনিতেই চারিদিকে যা অবস্থা শুরু হইছে,ধর্ম, নিত্য প্রয়োজনীয় পণ্য এসব নিয়ে,তাতে নিজের ঈমান-আমল ঠিক রেখে ভালো ভাবে চলাটা কস্টকর হয়ে যাচ্ছে দিন দিন।</t>
  </si>
  <si>
    <t xml:space="preserve"> তানজিম সাকিব যেসব স্ট্যাটাস দিসে ধর্মীয় দৃষ্টিকোণ থেকে সব ঠিকই আছে। কোনো ভুল নাই।</t>
  </si>
  <si>
    <t>তাহলে মুসলিম ছাত্রদের সাথে ঐক্যবদ্ধ হয়ে এর প্রতিবাদ করুন, আপনার মুসলিম প্রতিবেশীদের আপনাদের সম্পর্কে ভালো মেসেজ দিন। বলুন এসব সাম্প্রদায়িক উস্কানি আপনারাও পছন্দ করছেন না।</t>
  </si>
  <si>
    <t>তিনি বলেন, শাপলা চত্বরে হেফাজতের সমাবেশ ও হত্যাকাণ্ডের ঘটনা কাভার করা ছিল আমার সাংবাদিকতা জীবনে এক ভয়ংকর অভিজ্ঞতা। সেই রাতে বারাকাহ, ইসলামী হাসপাতাল ও সিদ্ধিরগঞ্জের হাসপাতালগুলোয় গুলিবিদ্ধ অনেকের লাশ পাওয়া গেলেও সরকার তা স্বীকার করেনি।</t>
  </si>
  <si>
    <t>পরকালে যদি জান্নাত চাও তবে ইসলামের পথে এসো এইসব ভাওতাবাজি বলে লাভ নেই</t>
  </si>
  <si>
    <t>শেখ হাসিনা সরকারের পতনের পর দেশজুড়ে “সাম্প্রদায়িক নৃশংসতা”র কবলে নয় জন হিন্দু হত্যাকাণ্ডের শিকার হয়েছেন মর্মে ১৯ সেপ্টেম্বর বহুল-আলোচিত একটি প্রতিবেদন প্রকাশ করে বাংলাদেশ হিন্দু বৌদ্ধ খ্রিস্টান ঐক্য পরিষদ।</t>
  </si>
  <si>
    <t>এ বছর মহাকুম্ভ মেলা ছিল ১২৩ বছরের মধ্যে এক বিরল সমাবেশ, যেখানে হাজার হাজার পুণ্যার্থী একত্রিত হয়েছিলেন, কিন্তু কিছু নিরাপত্তা ব্যবস্থা নিয়ে অনিচ্ছাকৃত দুর্ঘটনা ঘটে, যার ফলে কিছু মানুষের প্রাণহানী হয়েছে।</t>
  </si>
  <si>
    <t>আগস্ট মাসে সিলেট জেলার বিয়ানীবাজার এবং বড়লেখা পুলিশ স্টেশনের আওতাধীন এলাকার নিরীহ হিন্দু সম্প্রদায়ের উপর স্থানীয় মুসলিম অধিবাসীরা পুলিশ এবং আনসার বাহিনীর সহযোগিতায় আক্রমণ শুরু করে।</t>
  </si>
  <si>
    <t>জার্মানিতে নাৎসি বাহিনী লাখ লাখ ইহুদিদের হত্যা করেছিল যা ইতিহাসে হলোকাস্ট নামে পরিচিত।</t>
  </si>
  <si>
    <t>সম্প্রতি ব্রাহ্মণবাড়িয়ার নাসিরনগরে ধর্মান্ধদের ঘৃণ্য অপকর্মের তান্ডবে অনেক সংখ্যালঘু মানুষ স্বজনের চরম বিপন্নতা জেনেও মনের আর্তিটুকু পর্যন্ত জানাতে ভয় পান! ভাবপ্রকাশের পরাধীনতায় ভোগে!</t>
  </si>
  <si>
    <t>এক শ্রেনীর মুসলিম আছে.. বলবে এগুলো দেশে তৈরী। তাদের না। অন্যদিকে বিশাল ভোক্তাশ্রেনী যারা বাইরের ব্র‍্যান্ড ছাড়া খায়না তারা খেতেই থাকবে দেশে তৈরী বিদেশী ব্রান্ড।</t>
  </si>
  <si>
    <t>সব মানুষের মধ্যে দয়া এবং সহানুভূতি জাগিয়ে তোলা, অত্যাচারী কর্তৃত্বকে প্রত্যাখ্যান করা, বাস্তবিক সাধারণ জ্ঞান এবং ন্যায়বিচারের পক্ষে কাজ করা, এবং মানুষের মনের ইচ্ছানুযায়ী মহৎ সাধনা অনুসরণের জন্য মানব বিবেক দ্বারা পরিচালিত হওয়াই এর উদ্দেশ্য।</t>
  </si>
  <si>
    <t>বাংলাদেশের বর্তমান সাতক্ষীরা জেলার চান্দিকান বা ইশ্বরীপুরে ১৫৯৯ খ্রিস্টাব্দে প্রথম একটি ক্যাথলিক গির্জা নির্মিত হয়, যার নাম ছিল 'হলি নেম অফ জিসাস'। ১৬০০ খ্রিস্টাব্দের ২৪শে জুন দ্বিতীয় গির্জাটি নির্মিত হয় চট্টগ্রামে - যার নাম 'সেইন্ট জন দ্যা ব্যাপ্টিস্ট চার্চ'।</t>
  </si>
  <si>
    <t>ইন্দিরা গান্ধী হত্যার পর শিখ সম্প্রদায়ের বিরুদ্ধে সহিংসতা ছড়িয়ে পড়ে, যেখানে বহু শিখ নাগরিক নিহত হন ও তাদের সম্পত্তি ধ্বংস করা হয়।</t>
  </si>
  <si>
    <t>আল্লাহ’ শব্দের দ্বিতীয় অক্ষর লাম (ل) কয়েক ভাবে উচ্চারিত হয়। এই শব্দটির পূর্ববর্তী অক্ষরে জবর বা পেশ থাকলে 'লাম' ভাবগম্ভীর স্বরে উচ্চারিত হয়।</t>
  </si>
  <si>
    <t>ভূমি মন্ত্রণালয়ের অর্ডারের ভিত্তিতে আপোসনামা হয়। অতএব, বৈধভাবেই মসজিদের জমিতে মসজিদ নির্মাণ হয়েছিল। ইনশাআল্লাহ আবারো হবে।</t>
  </si>
  <si>
    <t>হাদিসকে অবমাননা করে নতুন হালাল হারামের ডেফিনেশন শিখাচ্ছে মানুষদেরকে। সুস্পষ্ট ভাবে হাদিসকে অস্বীকার করে নাস্তিক্যবাদ ছড়িয়ে দিচ্ছে এর বিরুদ্ধে আমাদের আওয়াজ তুলতে হবে। আমাদের সর্বোচ্চ প্রতিবাদ করতে হবে; তবে প্রতিবাদের ভাষা যে অশালীন গালিগালাজ না হয়</t>
  </si>
  <si>
    <t>বাম, নাস্তিক ও দাদা বাবুদের খুশি করার জন্য ৯০% মুসলমানের দেশে কুরআন তেলাওয়াতের কারনে ছাত্রদেরকে কারণ দর্শানো নোটিশ দেওয়া বা বহিষ্কার করার উদ্যোগ নেওয়ার এতো বড় সাহস ওনারা পায় কোথায়?</t>
  </si>
  <si>
    <t>অসাম্প্রদায়িক সমাজের জন্য এরাই হুমকি,,,এখনো সোজা হয়ে দাঁড়িয়ে আছে কিভাবে বুঝি না,,,,</t>
  </si>
  <si>
    <t>ধর্মীয় উসকানি আখ্যায়িত করে পার্শ্ববর্তী চার গ্রামের মানুষ ঝুমনের বিরুদ্ধে ১৬ মার্চ রাতে বিক্ষোভ মিছিল করে। পরিস্থিতি নিয়ন্ত্রণে আনতে পুলিশের নির্দেশে নোয়াগাঁও গ্রামের মানুষই রাতেই ওই যুবককে আটক করে।[৬] ১৭ মার্চ সকালে কাশিপুর গ্রামের মসজিদের মাইক থেকে[৭] নোয়াগাঁও গ্রামে গিয়ে হামলা চালানোর ঘোষণা দেওয়া হয়। </t>
  </si>
  <si>
    <t>কালিগঞ্জ গণহত্যা হলো ১৯৭১ সালের ২৭ জুন ভারতে পলায়নরত নিরস্ত্র বাঙালি হিন্দুদের ওপর নীলফামারীর জলঢাকার কালিগঞ্জ বাজারে সংঘটিত গণহত্যা।</t>
  </si>
  <si>
    <t>কুরআনের আয়াতে বলা হয়েছে যে, প্রাণীদের প্রতি সদয় আচরণ করা ঈমানের পরিচয় এবং এটি আল্লাহর সন্তুষ্টি অর্জনের একটি মাধ্যম।</t>
  </si>
  <si>
    <t>বেশির ভাগ প্রতিমাই রাস্তার পাশে স্থাপিত মন্দিরের। সেসব মন্দিরে কালী, সরস্বতী, লক্ষ্মী ও মনসার প্রতিমা ছিল। সেসব প্রতিমার মাথা, হাত, পাসহ বিভিন্ন অংশ ভেঙে দেওয়া হয়েছে। আজ সকালে স্থানীয় লোকজন প্রতিমাগুলো ভাঙা অবস্থায় পেয়ে প্রশাসন ও পুলিশকে খবর দেন। দেশের সাম্প্রদায়িক সম্প্রীতি বিনষ্ট করতেই এমন ঘটনা ঘটানো হয়েছে বলে তিনি দাবি করেন।</t>
  </si>
  <si>
    <t> মংলা নদীর উত্তর তীরে ডানার বিপরীতে, বাঁশতলী ইউনিয়নের কৃষ্ণগঞ্জ বাজারে অবস্থিত। ডাকরা একটি প্রধানত হিন্দু গ্রাম ছিল, এটি একটি বিখ্যাত কালী মন্দির ছিল। নকড়া ঠাকুর নামেও পরিচিত বকবক চক্রবর্তী, যিনি আধ্যাত্মিক ব্যক্তিকে সবার দ্বারা সম্মানিত করেছিলেন।</t>
  </si>
  <si>
    <t>এক হিন্দু যুবক কর্তৃক সামাজিক যোগাযোগ মাধ্যমে জনপ্রিয় ইসলামি পণ্ডিত মামুনুল হককে কটুক্তির অভিযোগে ১৭ মার্চ, ২০২১ খ্রিস্টাব্দে সুনামগঞ্জের শাল্লা উপজেলার হবিবপুর ইউনিয়নের হবিবপুর নোয়াগাঁও গ্রামে হিন্দু সম্প্রদায়ের শতাধিক বাড়িঘরে হামলার ঘটনা ঘটে।</t>
  </si>
  <si>
    <t>বাংলাদেশের দ্বিতীয় বৃহত্তম শহর চট্টগ্রাম যেখানে প্রায় ৩০% হিন্দুর বসবাস ছিল সেখানেও দুশ্চিন্তার পারদ উপরে চড়তে শুরু করে।[৭] ৩০ অক্টোবর সন্ধ্যায় চট্টগ্রামের হিন্দু সম্প্রদায়ের উপর প্রথম আঘাত আসে।</t>
  </si>
  <si>
    <t>২০১৪ সালের ৫ জানুয়ারি বাংলাদেশে দশম সাধারণ নির্বাচন অনুষ্ঠিত হয়। বিরোধী দল বাংলাদেশ জাতীয়তাবাদী দল এবং তার মিত্র জামায়াতে ইসলামী এই নির্বাচন বর্জন করে। বিরোধী দলগুলোর ধারাবাহিক হরতাল ও সহিংসতার মধ্যে নির্বাচন হয়। ভোটের পর বিরোধী দলের কর্মী এবং সমর্থকরা সংখ্যালঘু বাঙালি হিন্দুদের ওপর হামলা শুরু করে।</t>
  </si>
  <si>
    <t>হাসামদিয়া গণহত্যা হলো ১৯৭১ সালের ১৬ মে হাসামদিয়া ও আশেপাশের গ্রামে একজন মুসলিমসহ বাঙালি হিন্দুদের ওপর পাকিস্তানি সেনাবাহিনী কর্তৃক সংঘটিত গণহত্যা।[১][২] গণহত্যায় ৩৩ জন মানুষ প্রাণ হারান।[৩] ২০১৩ সালের ২১ জানুয়ারি আন্তর্জাতিক অপরাধ ট্রাইবুনাল গণহত্যায় জড়িত থাকার অপরাধে আবুল কালাম আজাদকে মৃত্যুদণ্ডাদেশ প্রদান করে।[</t>
  </si>
  <si>
    <t xml:space="preserve"> আর শুনুন বাংলাদেশে যেই ভাবে সংখ্যা লঘু সনাতনী দের উপর অত্যাচার হলো আপনাদের মানসিকতার পরিচয়। মকবুল ফিদা হুসেন কে আপনারা শিল্পী বলেন আবার ফ্রান্সে হত্যা করেন কোনো শিল্পী কে।</t>
  </si>
  <si>
    <t xml:space="preserve">এই পরিস্থিতিতেই ১৬ অগস্ট থেকে ২০ অগস্ট পর্যন্ত চলে 'দ্য গ্রেট ক্যালকাটা কিলিং'। উভয় ধর্মের প্রায় চার হাজার মানুষ নিহত হন এবং দশ হাজার মানুষ আহত হন। এই বিভীষিকাময় সময়েও কেউ কেউ জীবনের বিনিময়ে পথে নেমেছিলেন সাম্প্রদায়িক অশান্তি প্রতিহত করতে। </t>
  </si>
  <si>
    <t>কোরআন অবমাননা সব হুজুর/আলেমরা করছেন? আলেমরা বলেন শুধু কোরআন পড়ে নাকি নাস্তিক হয়ে যাবে! আবার বলে কোরআন সংক্ষিপ্ত. এসব বলা কি কোরআন অবমাননা নয়!</t>
  </si>
  <si>
    <t>আমি যখন পৃথিবী ছাড়ব, আমি তোমার দ্বারপ্রান্তে চলে যাই।</t>
  </si>
  <si>
    <t>আলহামদুলিল্লাহ, অনেক অস্থিরতা থেকে মুক্তি পেলাম। মহান আল্লাহ তায়ালার অশেষ রহমতে কথাগুলো শোনার সৌভাগ্য হয়েছে। সকল জিজ্ঞাসার সঠিক মাসায়েল পেয়ে শান্তি পাচ্ছি।</t>
  </si>
  <si>
    <t>মহাকুম্ভ মেলা একটি শান্তিপূর্ণ ধর্মীয় অনুষ্ঠানের অংশ হওয়া সত্ত্বেও, কিছু নিরাপত্তা ত্রুটির কারণে মানুষের জীবনকে অকালেই শেষ হতে দেখা গেছে, যা সবার জন্য বেদনাদায়ক।</t>
  </si>
  <si>
    <t>গ্রামের অনেকে গ্রাম ছেড়ে পাশের গ্রামে যায়। পাঁচ হাজারের বেশি বা প্রায় ২০ হাজার উগ্রপন্থী লাঠিসোটা নিয়ে হিন্দুদের উপর হামলা করে। হিন্দুদের বাড়িঘর, ব্যবসা প্রতিষ্ঠানে লুটপাট করা হয়। তাদের বাড়ি-ঘর ভেঙে ফেলা হয়।</t>
  </si>
  <si>
    <t>আসাদ নামে এক সহযোগী পাকিস্তানি সেনাদের বাশগাড়ি গ্রামে নিয়ে গিয়েছিলেন। রাত্রে পুরুষদের তাদের বাড়ি থেকে টেনে এনে একটি লাইনে দাঁড় করানো হয়, এবং সহযোগীদের সহায়তায় পাকিস্তানি সেনারা তাদের সামনে মহিলাদের ধর্ষণ করেছিল ।</t>
  </si>
  <si>
    <t>এই অপমানটা গায়ে লাগার জন্য তো খুব বড় বুজুর্গ হওয়ার দরকার পড়ে না। আপনার বাবাকে কেউ অপমান করলে কি আপনার গায়ে লাগে?আপনার মায়ের গায়ে কেউ কাদা ছুড়লে আপনার কি ঘৃণা হয়?যদি না হয় এটা যে অস্বাভাবিক আপনি কি সেটা বোঝেন?</t>
  </si>
  <si>
    <t>এক শ্বেতাঙ্গ শ্রেষ্ঠত্ববাদী বন্দুকধারী একটি ব্ল্যাক চার্চে গুলি চালিয়ে ৯ জনকে হত্যা করে, যা জাতিগত ও ধর্মীয় বিদ্বেষের নজির।</t>
  </si>
  <si>
    <t>আসলে দিনদিন আমাদের দেশটা কোনদিকে চলে যাচ্ছে বুঝতাছিনা। কিন্তু তানজিম সাকিবের মতো মানুষ সমাজে অনেক দরকার</t>
  </si>
  <si>
    <t>এরা তো মানুষের কাতার-এ পড়ে না জাহান্নাম এর কীটগুলা.</t>
  </si>
  <si>
    <t> মেজর সিনহা মারা যাওয়ার পর এই বিবিসি বাংলারই একটা চিঠিতে আমি বলেছিলাম, সিনহার মৃত্যুর মধ্য দিয়েই এ'ধরনের হত্যাকাণ্ড বন্ধ হোক। আমি আবারও একই কথা বলছি, কেউ দোষী হলে অবশ্যই শাস্তি পেতে হবে, তবে এভাবে না। এটা কোন গণতন্ত্রের ভাষা হতে পারেনা।</t>
  </si>
  <si>
    <t>দু'হাজার সতের সালে রাঙ্গামাটির লংগদু থানায় ইসলামের নবী এবং ইসলাম ধর্মকে নিয়ে কটূক্তি করে দেয়া এক ফেসবুক পোষ্টের জের ধরে হওয়া মামলায় এই রায় দিয়েছে আদালত</t>
  </si>
  <si>
    <t>২০২০ সালে দিল্লির দাঙ্গা, যার ফলে ৫৩ জন নিহত এবং ২০০ জনেরও বেশি গুরুতর আহত হয়েছিল, সমালোচকদের দ্বারা মুসলিম বিরোধী এবং প্রধানমন্ত্রী নরেন্দ্র মোদীর হিন্দু অংশ হিসাবে দেখা যায় এমন একটি নাগরিকত্ব আইনের বিরুদ্ধে বিক্ষোভের সূত্রপাত হয়েছিল। জাতীয়তাবাদী এজেন্ডা।</t>
  </si>
  <si>
    <t>প্যারিসে বিবিসির সংবাদদাতা লুসি উইলিয়ামসন বলছেন, শিক্ষক স্যামুয়েল প্যাটির নৃশংস হত্যাকাণ্ড ফরাসী রাষ্ট্রের ধর্মনিরপেক্ষ পরিচিতি বা সত্ত্বা নিয়ে বিভেদ-বিতর্ক আরো তীব্র করে তুলেছে।</t>
  </si>
  <si>
    <t> বিশেষকরে ভারতে মুসলমানদেরকে যেভাবে নির্যাতন নিপিড়ন করা হয়, সেই তুলনায় বাংলাদেশের হিন্দুরা যে অনেক মর্যাদর সাথেই আছে সেটা আর বলার অপেক্ষা রাখেনা।</t>
  </si>
  <si>
    <t>মুসলমান নাম নিয়ে কিছু নাস্তিকেরা এই হামলা চালিয়ে ছিলো, এর জন্য কখন হিন্দু ধর্মের কেউ দায়ি ছিলো না।</t>
  </si>
  <si>
    <t>ইসলাম শান্তির ধর্ম এখানে অশান্তির কোন কর্ম কান্ডের স্থান দেওয়া হবে না, এই দৃশ্য দেখার পর নিজেকে এক সেকেন্ড স্থির রাখতে পারছিনা যারা এই ঘৃণিত কাজের সাথে জড়িত তাদের সবাইকে গ্রেপ্তার করে কঠিন শাস্তির আওতায় আনা হোক</t>
  </si>
  <si>
    <t>বিধর্মীদের কটূ কথা বলে আক্রমণ করবেন না, দয়া করে বুঝিয়ে বলুন, নয়তো তারা আমাদের নিচু করতে আরও সুযোগ পাবে।</t>
  </si>
  <si>
    <t>ঈশ্বরের জন্ম নেই মৃত্যু নেই তিনি অনাদি অনন্ত জন্ম মৃত্যু রহিত এবং সর্ব ভুতে বিরাজমান।</t>
  </si>
  <si>
    <t>আমি নিজে মুসলমান, ইসলাম ধর্মকে অবমাননা করার দুঃসাহস আমার নেই। জঙ্গিবাদ সরকার কীভাবে দমন করছে সেটাই সিনেমায় দেখানো হয়েছে"।</t>
  </si>
  <si>
    <t>লামা কোর্ট জামে মসজিদের ইমাম মাওলানা আজিজুল হক এই সভার সভাপতি ছিল। এতে বক্তব্য দেয় লামা পৌরসভার মেয়র মোঃ জহিরুল ইসলাম, লামা বাজার কেন্দ্রীয় জামে মসজিদের ইমাম মাওলানা মোঃ ইব্রাহিম সহ অনেকে। এরপর তারা একটি বিক্ষোভ মিছিল বের করে লামা বাজার পার হয়ে মাছ বাজারের মোড়ে গিয়ে সহস্র মানুষ ১০ টায় লামা বাজার কেন্দ্রীয় হরি মন্দিরে হামলা করে মন্দিরের মালামাল,লোহার গেইট, সীমানা দেয়াল, প্যান্ডেল, ডেকোরেশনের গেইট ভেঙে ফেলে।</t>
  </si>
  <si>
    <t>কথিত আছে এই তিথিতে গৌতম বুদ্ধ ৬০ জন প্রশিক্ষিত শিষ্যকে ধর্ম প্রাচারণার জন্য বিভিন্ন স্থানে প্রেরণ করেন এবং তাদের বলেন, ‘‘চরত্থ ভিকখবে চারিকং, বহুজন হিথায় বহুজন সুখায়’’ - অর্থাৎ, তোমরা বহুজনের হিতের জন্য, বহুজনের সুখের জন্য চারিদিক ছড়িয়ে পড়।</t>
  </si>
  <si>
    <t>স্থানচ্যুতিতে তৎকালীন সরকার কোন গুরুত্ব দেয়নি ও হাজারো পরিবার ভারতে চলে যায়। বাংলাদেশ স্বাধীন হবার পর পার্বত্য চট্টগ্রামের বৌদ্ধ ধর্মাবলম্বী চাকমা রাজনীতিবিদ মানবেন্দ্র নারায়ণ লারমা স্বায়ত্তশাসন ও ঐ অঞ্চলের জনগণের অধিকারকে স্বীকৃতি দেবার জন্য দাবী উত্থাপন করেন।</t>
  </si>
  <si>
    <t>সমস্ত হিন্দুদের বাড়িতে নোটিশ স্থাপিত হয়েছিল, তাদের 24 ঘন্টার মধ্যে চলে যেতে বা মরতে বলা হয়েছিল। [215] মার্চ 1990 থেকে, ভারত বিভক্তির পর থেকে জাতিগত নির্মূলের বৃহত্তম ক্ষেত্রে ইসলামী মৌলবাদীদের দ্বারা নিপীড়নের কারণে 300,000 থেকে 500,000 পন্ডিত কাশ্মীরের বাইরে স্থানান্তরিত হয়েছে ।</t>
  </si>
  <si>
    <t>যেসব হিন্দুরা ভারতের ত্রিপুরায় পালিয়ে বাঁচার চেষ্টা করে, রাস্তাতেই তাদের সর্বস্ব লুট করে নেয় মুসলিমরা। অনেক হিন্দু মেয়ে ও শিশু চাঁদপুর, আখাউড়া রেলস্টেশনে আশ্রয় নেয়। পুলিশ, আনসার ও তৌহিদি জনতা তাদেরকে আগরতলা কিংবা কোলকাতায় পৌঁছে দেওয়ার প্রস্তাব প্রত্যাখান করে। অমৃতবাজার পত্রিকার প্রতিবেদন থেকে জানা যায়, ভারতের ত্রিপুরা রাজ্যের বেলোনিয়াতে পালিয়ে এসে প্রায় ৫,০০০ শরণার্থী জীবন রক্ষা করে।</t>
  </si>
  <si>
    <t>সতীব্রত, অস্বাভাবিক ও কদাচিৎ ব্যবহৃত শব্দ,[২৭] সেই নারীকে বোঝায় যে তার স্বামীকে জীবিত অবস্থায় রক্ষা করার জন্য ব্রত করে এবং তারপর তার স্বামীর সাথে মারা যায়।</t>
  </si>
  <si>
    <t>কজন সচ্ছল হিন্দু মদন নন্দী ও তাঁর ভাইকে হত্যা করে। ডাক্তার প্রফুল্ল গায়েন ও ডাক্তার কল্লোল বন্দ্যোপাধ্যায়ও আক্রমণের শিকার হন। যখন হিন্দু গ্রামবাসীরা মুলাদি থানায় অভিযোগ জানাতে গেলে, ভারপ্রাপ্ত কর্মকর্তা গ্রামবাসীদের মৃতদের দাহ করতে বলেন এবং তাদের পরিবারকে বলেন যে তারা রোগের কারণে মারা গেছে। ওসির অসংবেদনশীল ও নির্লিপ্ত মনোভাব গ্রামবাসীদের মধ্যে ভয়ের সঞ্চারণ ঘটায়।</t>
  </si>
  <si>
    <t>অষ্টমীর দিন থেকে আজ পর্যন্ত যতগুলো জায়গায় সনাতন ধর্মাবলম্বীদের বাড়ি ,ঘর, মঠ ,মন্দির ,ব্যবসা প্রতিষ্ঠার আক্রান্ত হয়েছে প্রায় প্রতিটি জায়গার খররই আপনারা দিয়েছেন৷ আপনাদের মাধ্যমেই একমাত্র সঠিক খবরটি পেয়েছি৷ ভবিষ্যতেও এমন সব খবর প্রচার করবেন আশা রাখছি।</t>
  </si>
  <si>
    <t xml:space="preserve">পূর্ণিমা তার মানসিক এবং শারীরিক ট্রমা কাটিয়ে উঠে আবার স্বাভাবিক জীবনে ফিরে এসেছে আরও হাজার গুন শক্তিশালী হয়ে । </t>
  </si>
  <si>
    <t>মালয়েশিয়া সরকার মন্দির ভাঙ্গার অজুহাত দেয় যে মন্দিরগুলি নাকি "অবৈধভাবে" নির্মিত হয়েছিল। কিন্তু ভেঙে ফেলা বেশ কয়েকটি মন্দির শতাব্দী প্রাচীন ছিল।[৪৪] হিন্দু রাইটস অ্যাকশন টাস্ক ফোর্সের একজন আইনজীবীর মতে, মালয়েশিয়ায় প্রতি তিন সপ্তাহে একবার হিন্দু মন্দির ভেঙে ফেলা হয়। [৪৫]</t>
  </si>
  <si>
    <t>অক্টোবরের ১৪ তারিখে যোগেন্দ্রনাথ মণ্ডলের নিকট চিঠিতে লেখেন, নোয়াখালীর রামগঞ্জ পুলিশ স্টেশনের নিয়ন্ত্রণাধীন এলাকায় হাজার হাজার নিম্ন বর্ণের হিন্দুদের উপর নির্যাতন করে মুসলিমরা। তাদের বাড়িঘর লুটপাট করে, আগুন দিয়ে পুড়িয়ে দেয়া হয় বসত ভিটা আর তাদেরকে জোরপূর্বক ইসলামে ধর্মান্তরকরনের মত ঘৃণ্য কাজ করে তারা।</t>
  </si>
  <si>
    <t>পুতিন কে অভিনন্দন, ইসলাম আছে ইসলাম থাকবে, ইসলাম বিজয় হবে হবেই একদিন যেনে রেখো আসলেই কুরআন সত্য,</t>
  </si>
  <si>
    <t>মুসলমান মুমিন হলে এদের উপর থেকে অত্যাচার বন্ধ হবে, রাসুল (সা) এর সুন্নাত অনুসরণ করেন না, কোরআন হাদিসের কিছু অংশ মুসলমান বেছে নিয়েছে।</t>
  </si>
  <si>
    <t>আল্লাহর প্রতি পূর্ণ আস্থা রাখার মাধ্যমে মুসলিমরা নিজেদের আত্মবিশ্বাস এবং শান্তি অর্জন করতে সক্ষম হয়।</t>
  </si>
  <si>
    <t>কুমিল্লায় ‘কুরআন অবমাননার' অভিযোগ তুলে ২০২১ সালের ১৫ই অক্টোবর শুক্রবার ঢাকার বায়তুল মোকাররম থেকে জুমার নামাজের পর ‘মালিবাগ মুসলিম সমাজ' ব্যানার নিয়ে কয়েকশ মানুষ বিক্ষোভ মিছিল শুরু করে৷ পুলিশ বিক্ষোভকারীদের কাকরাইলের নাইটিঙ্গেল মোড়ের কাছে বাধা প্রদান করে। এরপরে মিছিলকারীরা দুই ভাগ হয়ে যায়৷ তাদের একটি অংশ বিভিন্ন অলিগলিতে ঢুকে পুলিশকে লক্ষ্য করে ঢিল ছুড়তে শুরু করে৷ পুলিশ তখন বিভিন্ন গলির মুখে অবস্থান নেয় এবং টিয়ারশেল ও শটগানের গুলি ছোঁড়ে৷ পুলিশ সেখান থেকে বিক্ষোভবিক্ষোভ একজনকে ধরে রমনা থানায় নিয়ে যায়৷</t>
  </si>
  <si>
    <t> ফেনী নদীতে মাছ ধরার সময় কিছু হিন্দু জেলে ও মুসলিমদের মধ্যে সংঘর্ষ হয়। একজন মারা যায় আর আরও দুজন মারত্মক আহত হয়। মুসলিমরা মারণাস্ত্র নিয়ে চর উড়িয়াতে নয় জন হিন্দু জেলেকে আক্রমণ করে। তাদের বেশির ভাগ মারাত্মক জখম হয়। সাত জনকে হাসপাতালে ভর্তি করা হয়েছিল।</t>
  </si>
  <si>
    <t>ধর্মভিত্তিক সংগঠন হেফাজতে ইসলামের যুগ্ম মহাসচিব মামুনুল হকের বিরুদ্ধে ফেসবুকে স্ট্যাটাসের জেরে ১৭ মার্চ সকালে শাল্লার নোয়াগাঁওয়ে হিন্দুদের বাড়িঘরে হামলা চালায় কয়েক হাজার লোক।</t>
  </si>
  <si>
    <t>ভালবাসার প্রস্তাব’ নামের একটি ফেসবুক আইডির প্রোফাইল ফটোতে কাবা শরীফের ছবি ছিল। সেই ছবিতে পরিতোষ সরকার নামে রামনাথপুর ইউনিয়নের মাঝিপাড়া গ্রামের এক কিশোর আপত্তিকর মন্তব্য করেছে এমন অভিযোগ এনে আশেপাশের গ্রামে উত্তেজনা ছড়ানো হয়।</t>
  </si>
  <si>
    <t>ইসলামের শিক্ষা অনুযায়ী, প্রাণীদের প্রতি নিষ্ঠুরতা হারাম, এবং তাদের ক্ষতি করা আল্লাহর নিকট গ্রহণযোগ্য নয়।</t>
  </si>
  <si>
    <t>পাঁচ মাসেরও বেশি সময় ধরে চলা ইসরাইলি হামলায় গাজা ভূখণ্ড প্রায় ধ্বংসস্তূপে পরিণত হয়েছে,</t>
  </si>
  <si>
    <t>"বিধর্মীদের সমস্ত ধর্মপ্রচারকের উদ্দেশ্য হল এই ব্যবস্থাগুলির প্রতিস্থাপন করা খ্রিস্টের সুসমাচার", তারপরে ১৮১৫-১৯২৪ সময়কালে প্রতি বছরের জন্য সতীদাহ তালিকাভুক্ত করা হয়, যা মোট ৫,৩৬৯, বিবৃতি অনুসরণ করে যে ১০ বছরের সময়কালে বেঙ্গল প্রেসিডেন্সিতে মোট ৫,৯৯৭ জন নারীকে পুড়িয়ে ফেলা হয়েছে বা জীবন্ত সমাধি দেওয়া হয়েছে, অর্থাৎ প্রতি বছর গড়ে ৬০০টি</t>
  </si>
  <si>
    <t> তিনি পূজার নিরাপত্তা রক্ষায় দায়িত্বরত ছিলেন। তিনি সন্দেহজনক চার জনকে জিজ্ঞাসাবাদ করলে এক পর্যায়ে তাদের সাথে কথা কাটাকাটি হয়। পরে ১০ থেকে ১২ জন দেশীয় অস্ত্রশস্ত্র নিয়ে মন্দিরে এসে তাকে মারধর করে।</t>
  </si>
  <si>
    <t>ঈশ্বরগঞ্জে মন্দির থেকে মূল্যবান কষ্টিপাথরের শিবলিঙ্গ চুরি</t>
  </si>
  <si>
    <t>রাসুল সা.-এর অবমাননা প্রশ্নে কোনো আপস নয়। বরং এ ব্যাপারে আপস করলে মুসলিম থাকার কোনো ইখতিয়ার নেই</t>
  </si>
  <si>
    <t>ইহুদি ধর্মের প্রাচীন ঐতিহ্য এবং মূল উপাদানগুলোর প্রতি তাদের গভীর শ্রদ্ধা রয়েছে। তবে বর্তমানে ইহুদিদের পোশাক-আশাক, শিক্ষাব্যবস্থা এবং হিব্রু ভাষা আধুনিকতার সাথে মানিয়ে নিয়েছে, যা তাদের সংস্কৃতিকে নতুনভাবে উপস্থাপন করছে।</t>
  </si>
  <si>
    <t>যারা আল্লাহর নির্দেশনা মেনে চলে, তাদের জীবনে সত্য, ন্যায়, শান্তি এবং ভালোবাসার পরিবেশ সৃষ্টি হয়।</t>
  </si>
  <si>
    <t>আসলে সমস্যাটা কোনো জায়গায় না, কেউ হিন্দুকে ধর্ম পালনে বাধা দিচ্ছে না, মুসলিমকেও না। ঢাবিতে প্রতিদিন অর্ধশতের বেশি ইফতার পার্টি হচ্ছে। কেউ কোথাও বাধা দিচ্ছে না।</t>
  </si>
  <si>
    <t>আল্লাহ কুরআনে মানব জাতিকে সততা, পরিশুদ্ধতা, এবং একে অপরের প্রতি সহানুভূতি প্রদর্শনের নির্দেশ দিয়েছেন, যা সমাজের মধ্যে শান্তি প্রতিষ্ঠা করতে সহায়ক।</t>
  </si>
  <si>
    <t xml:space="preserve">এইনো‌ কি মুসলিম বিশ্ব এক হবার সময় আসেনি তারা কি খালি হুঁশিয়ারি আর নিন্দাই জানাবে কোথায় আজ মুসলিম শক্তিধর দেশগুলো এর জবাব এক দিন না এক দিন দিতেই হবে আল্লাহ আপনি ফিলিস্তিনি মুসলিম দের সাহায্য করুন </t>
  </si>
  <si>
    <t>যারা মন্দির ভাংচুর কিংবা হিন্দু ভাইদের উপর হামলা করলো তাদের ঘরবাড়ি জ্বালিয়ে দিল-এগুলো এক কথায় দাঙ্গা-হাঙ্গামা</t>
  </si>
  <si>
    <t>তথাকথিত ইসলামিক স্টেটের মত বিধ্বংসী সন্ত্রাসী মতবাদও বাংলার ছেলেমেয়েদের কাছে আপন হয়ে যায় !</t>
  </si>
  <si>
    <t xml:space="preserve">এমনিতে আমাদের দেশ বিভিন্ন সমস্যায় জর্জরিত, দ্রব্যমূল্যের জঘন্য বিরামহীন ঊর্ধ্বগতিতে মানুষের নাভিশ্বাস চরমে। সেটাকে পাশ কাটিয়ে যারা বিশ্ববিদ্যালয়, শিক্ষাপ্রতিষ্ঠান বা দেশের বিভিন্ন জায়গায় ধর্মীয় অনুভূতিতে আঘাত/ উস্কানি দিয়ে মানুষকে বিভ্রান্ত করার চেষ্টা করছে তাদের চিহ্নিত করুন। </t>
  </si>
  <si>
    <t>লোক আল্লাহর রাস্তায় নিহত হন, তাদেরকে শহীদ বলা হয়। তাদের মৃত্যুকে অন্যান্যদের মৃত্যুর সমপর্যায়ভুক্ত মনে করতে নিষেধ করা হয়েছে।</t>
  </si>
  <si>
    <t>ডায়োডোরাস সেতিউস এর স্ত্রীদের সম্পর্কে লিখেছেন, ইউমেনসের ভারতীয় অধিনায়ক, পরইতাকেনের যুদ্ধে (৩১৭ খ্রিস্টপূর্বাব্দ) তার মৃত্যুর পর নিজেদের পুড়িয়ে মারার জন্য প্রতিদ্বন্দ্বিতা করেছিলেন।</t>
  </si>
  <si>
    <t>আলহামদুলিল্লাহ খুব ভালো একটি উদ্যোগ এই আইন কে বাস্তবায়ন করার জন্য বাংলাদেশের সকল মুসলমানের পক্ষ থেকে আহবান জানাই,, এবং ধন্যবাদ জানায়,,, সম্মানিত বিচারক ও আইনজীবী -দের,,</t>
  </si>
  <si>
    <t>ডাক্তার রা হয়তো আল্লাহ্ ওয়ালা হয়ে  যায় আল্লাহ্ ভাই কে ভালো রাখুন</t>
  </si>
  <si>
    <t>গুলশান হামলার রেশ না কাটতেই ৭ জুলাই ঈদের সকালে কিশোরগঞ্জের শোলাকিয়ায় দেশের সবচেয়ে বড় ঈদ জামাতের মাঠের কাছে নিরাপত্তার দায়িত্বে থাকা পুলিশ সদস্যদের ওপর বোমা হামলা চালানো হয়। হামলার প্রথম ধাক্কাতেই দুই কনস্টেবল নিহত হন।</t>
  </si>
  <si>
    <t>টাঙ্গাইলে পাঁচ মন্দিরে প্রতিমা ভাঙচুর</t>
  </si>
  <si>
    <t>ফৌজদারি দণ্ডবিধির ২৯৫ নম্বর ধারায় বলা হয়েছে, কোন ধর্মীয় স্থান বা সেখানকার কেনা বস্তু ধ্বংস করা, ক্ষতি করা বা অসম্মান করাকে ধর্মীয় অবমাননা হিসাবে গণ্য হবে। এক্ষেত্রে দুই বছর পর্যন্ত কারাদণ্ড, জরিমানা বা উভয় দণ্ড হতে পারে।</t>
  </si>
  <si>
    <t>১৯৯২ সালে বাবরি মসজিদ ধ্বংসের পর ভারতে সাম্প্রদায়িক দাঙ্গার সূত্রপাত হয়।</t>
  </si>
  <si>
    <t>যুক্তরাষ্ট্রে ৯/১১-এর পর মুসলিমদের বিরুদ্ধে বিদ্বেষমূলক হামলা বেড়ে যায়।</t>
  </si>
  <si>
    <t>ধর্ম মানুষের জীবনকে গভীরভাবে উপলব্ধি করার সুযোগ দেয়। এটি তাকে আত্মবিশ্লেষণ এবং আত্মপরিচয় খুঁজে পেতে সাহায্য করে, যা তার জীবনের অভ্যন্তরীণ শান্তি প্রতিষ্ঠা করে।</t>
  </si>
  <si>
    <t>শাঁখেরীবাজার জনশূন্য হয়ে পড়েছিল। সেনা, আনসার, রাজাকাররা সব সোনাদানা, বাসন ও আসবাবপত্র লুঠ করে। বিহারি মুসলিমরা গোটা এলাকাটা দখল করে। প্রত্যেকটা বাড়িতেই তারা বসবাস করতে শুরু করে দেয়।</t>
  </si>
  <si>
    <t xml:space="preserve">আমরা মুসলিম রা তো অন্য ধর্ম নিয়া বাজে কথা বলি না, ওরা এমন করে কেনো আমাদের ধর্মে অন্য ধর্ম নিয়া বাজে কথা বলা নিষেধ। </t>
  </si>
  <si>
    <t> নোয়াখালী পরিদর্শনের সময় মহাত্মা গান্ধী লুটপাট আর ধ্বংসকৃত রাজেন্দ্রলালের বাড়িতে যান। ১৯৪৭ সালের ১১ জানুয়ারি রাজেন্দ্রলালের গলিত শব আজিমপুরের জলা থেকে তুলে লামচর হাই স্কুলে গান্ধীজীর প্রার্থনা সভাতে নিয়ে আসা হয়। প্রার্থনার পরে রাজেন্দ্রলালের মস্তক বিহীন শরীর হিন্দু রীতিতে দাহ করা হয়।</t>
  </si>
  <si>
    <t>'কুরআন অবমাননার' কথিত ঘটনা উল্লেখ করে তিনি বলেন, এতে মুসলমানদের অনুভূতিতে আঘাত লাগাটাই স্বাভাবিক। পুলিশের গুলিতে অন্তত সাত জন নিহত হলে পুরো দেশব্যাপী উত্তেজনা ছড়িয়ে পড়ে, পূজা উৎসব প্যান্ডেলগুলোতে হামলা হয়। তিনি বলেন, কিন্তু এই চেহারা বাংলার আসল চেহারা নয় - তিনি প্রশ্ন রেখে বলেন, তাহলে এটি ঘটলো কীভাবে?</t>
  </si>
  <si>
    <t>সৎ পথে চালিত মু'মিন (বিশ্বাসী) ব্যক্তির জন্য ফেরেশতারা খুবই দয়ালু এবং কোমল আচরণ করেন এবং তার মৃত্যু হয় অপেক্ষাকৃত কম কষ্টদায়ক, অপর দিকে অসত্‍ কিংবা অবিশ্বাসী ব্যক্তিদের প্রতি ফেরেশতারা খুবই কঠোর আচরণ করেন এবং তাদের মৃত্যু হয় অসীম যন্ত্রনাদায়ক। </t>
  </si>
  <si>
    <t>জীবনে কখনো কোনো আন্দোলন তৈরি করতে পারছেন?? হিন্দু আর হিন্দুত্ববাদ এক জিনিষ নয়।</t>
  </si>
  <si>
    <t>বাংলাদেশ একটি অসাম্প্রদায়িক দেশ সেটা সব সময়ের জন্য এখন আর সত্য নয়, মাঝে মাঝে সত্য৷ আমাদের এখানে অসাম্প্রদায়িকতার চর্চা  কমছে৷ সাম্প্রদায়িকতার চর্চা বাড়ছে৷ তাই এখনই  সময় এই সব সাম্প্রদায়িকতা প্রতিরোধের৷ এজন্য রাষ্ট্রকে যেমন উদ্যোগ নিতে হবে, তেমনি সামাজিক আন্দোলন গড়ে তুলতে হবে বলে মনে করেন তিনি৷</t>
  </si>
  <si>
    <t>এতে বলা হয়েছে, বাংলাদেশ হিন্দু বৌদ্ধ খ্রিস্টান ঐক্য পরিষদ অভিযোগ করেছে, ৪ আগস্টের পর দেশে সংখ্যালঘুদের ওপর মোট ১ হাজার ৭৬৯টি সাম্প্রদায়িক হামলা, ভাঙচুর ও লুটপাটে ঘটনা ঘটেছে।</t>
  </si>
  <si>
    <t>একজন মানুষ তার লিঙ্গ নিয়েই বিভ্রান্ত থাকে জীবনের বড় একটা সময়। তাকে দিয়ে আর যাই হোক, মানবতার কল্যাণে বড় বড় সংগ্রাম, যুদ্ধ, সংঘাত, সভ্যতাকে নিজের নিয়ন্ত্রণে রাখা, নিজেদের আদর্শ আকড়ে ধরার মতো কাজকর্ম আদৌ সম্ভব নয়।</t>
  </si>
  <si>
    <t>১৯৭১ সালের এপ্রিল মাসে স্থানীয় রাজাকার বাহিনীর সদস্য পার্বতীপুরের রামচন্দ্রপুর গ্রামের কেনান উদ্দিন সরকার আশেপাশের বদরগঞ্জ, খোলাহাটী, বিরামপুর, আফতাবগঞ্জ ও শেরপুর গ্রামের প্রায় ৫০টি হিন্দু পরিবারকে নিরাপদে ভারতে পৌঁছে দেওয়ার নিশ্চয়তা দিয়ে নিয়ে আসেন। এই হিন্দু পরিবারগুলোকে বর্তমান ফুলবাড়ি উপজেলার বাড়ইহাট নামক স্থানে আটকে রাখেন। এই সময় রাজাকার ও আল বদর বাহিনী কর্তৃক হিন্দুদের থেকে টাকা ও মূল্যবান অলঙ্কার কেড়ে নেওয়ার পর পাকিস্তানি বাহিনীকে খবর পাঠানো হয়।</t>
  </si>
  <si>
    <t>কালেমা খচিত পতাকা, পতাকার নীচের অংশে AK-47 এর সিম্বল । পতাকার পেছন থেকে অস্ত্র হাতে বেরিয়ে আসছে কথিত সন্ত্রাসীরা । ২য় ছবিটিতে দেখুন। চার দিকে আরবি লেখা। টিজারের এই অংশে দেখানো হচ্ছে কথিত সন্ত্রাসীরা সুন্নাতি পোষাক পড়ে "নারায়ে তাকবির" "আল্লাহু আকবর" স্লোগান দিচ্ছে"।</t>
  </si>
  <si>
    <t>আমার ছেলের নাম মুনতাছির আহমেদ ৭ বছর। দোয়া চাই তার জন্য যেন আল্লাহ্ তায়ালার পছন্দের মানুষ হতে পারে, নবিজির দেখানো পথ অনুসরণ করতে পারে।</t>
  </si>
  <si>
    <t>আশ্বিনী পূর্ণিমা থেকে কার্ত্তিক পূর্ণিমা পর্যন্ত একমাসব্যাপী সারা দেশে বৌদ্ধ ধর্মাবলম্বীদের মধ্যে এই অনুষ্ঠান অনুষ্ঠিত হয়। একথা অনস্বীকার্য যে, বান্দরবানের বৌদ্ধ বিহারে কঠোর ধর্মীয় আনুষ্ঠানিকতা ও নিয়মকানুন মেনে ত্রি-চীবর তৈরি ও বিতরণ করা হয়।</t>
  </si>
  <si>
    <t>প্রায় 1000 বছর ধরে, ডোগন জনগণ , মালির একটি প্রাচীন উপজাতি [170] প্রভাবশালী মুসলিম সম্প্রদায়ের জিহাদের মাধ্যমে ধর্মীয় ও জাতিগত নিপীড়নের সম্মুখীন হয়েছিল । এই জিহাদি অভিযানগুলি ডোগনকে তাদের ঐতিহ্যগত ধর্মীয় বিশ্বাস পরিত্যাগ করতে এবং ইসলামে ধর্মান্তরিত করতে বাধ্য করার জন্য পরিচালিত হয়েছিল ।</t>
  </si>
  <si>
    <t>প্রাচীন তত্ত্ব্য মতে, বর্তমান বাংলাদেশ অঞ্চল ছিল এশিয়ার বৌদ্ধ ধর্ম প্রচারের মূল কেন্দ্র। দর্শন ও স্থাপত্য সহ বৌদ্ধধর্ম সভ্যতা বাংলা থেকে তিব্বত, দক্ষিণ -পূর্ব এশিয়া ও ইন্দোনেশিয়া ভ্রমণ করে।</t>
  </si>
  <si>
    <t xml:space="preserve">আপনি ইসলাম ধর্ম র কুরআন শরীফ পরে দেখবেন বাংলায় পড়ে দেখবেন। আর মুসলিম দেশে থেকে ইসলাম এর কোনো ফালতু কথা বলবেন না। </t>
  </si>
  <si>
    <t>সামান্য কষ্টের বিপরীতে জাহান্নামের কঠিন শাস্তিকে ডেকে আনা কি কখনো বুদ্ধিমানের কাজ হতে পারে?</t>
  </si>
  <si>
    <t>আল্লাহর আদেশ মেনে চললে জীবনে দুশ্চিন্তা কমে আসে এবং আমাদের মন প্রশান্তি অনুভব করে, যা আমাদের সকল কাজে সহায়তা করে।</t>
  </si>
  <si>
    <t>চলতি বছরের মার্চ থেকে সেপ্টেম্বর- এই সাত মাসের ‘সাম্প্রদায়িক চালচিত্র’ শীর্ষক ওই প্রতিবেদনে বলা হয়েছে, এই সময়ে দেশে সংখ্যালঘু ধর্মীয় সম্প্রদায়ের ১৭ জনকে হত্যা, ১০ জনকে হত্যাচেষ্টার, ১১ জনকে হত্যার হুমকির, ৩০ জনকে ধর্ষণ ও নির্যাতন, ছয় জনকে ধর্ষণের চেষ্টা, শ্লীলতাহানির কারণে তিনজনের আত্মহত্যা।</t>
  </si>
  <si>
    <t>মৃতদের জন্য প্রার্থনা করা এবং মৃতদের জন্য ঈশ্বরের কাছে ক্ষমা প্রার্থনা করা বরাত অনুষ্ঠানের সকল শহরে একটি সাধারণ অনুষ্ঠান। একটি হাদিসের বর্ণনা অনুসারে, নবী মুহাম্মদ এই রাতে বাকি' কবরস্থানে গিয়েছিলেন, যেখানে তিনি সেখানে সমাহিত মুসলমানদের জন্য প্রার্থনা করেছিলেন এবং এই রাতে আর কখনও পুনরাবৃত্তি করেননি।</t>
  </si>
  <si>
    <t>মত প্রকাশের নামে ইসলাম ধর্মের অবমাননা কিছুতেই কাম্য নয়,আমি এর নিন্দা জানাচ্ছি, (((আল্লাহু আকবর)))</t>
  </si>
  <si>
    <t>বৌদ্ধধর্ম একটা খুবই পরিচিত ও চিরচেনা ধর্ম। বৌদ্ধধর্ম সাধারনত স্পষ্ট ঈশ্বরবাদী ধর্ম নয়, ইব্রাহিমী ধর্ম হওয়া তো অনেক দূরের কথা।</t>
  </si>
  <si>
    <t>উধয়নিধির শব্দই বুঝিয়ে দিচ্ছে সনাতন ধর্মকে তিনি কতটা ঘৃণা করেন। উনি একজন বিধায়ক এবং মন্ত্রী। দেশের সংবিধান মেনে কাজ করার শপথ নিয়েছেন। তাই সব ধর্মকে তাঁর সম্মান করা উচিত। কিন্তু, তিনি ইচ্ছাকৃতভাবে সনাতন ধর্ম নিয়ে প্ররোচনামূলক এবং অবমাননাকর মন্তব্য করেছেন। ধর্মীয় বিভিন্ন গ্রুপের মধ্যে শত্রুতা তৈরির উদ্দেশ্যে।</t>
  </si>
  <si>
    <t xml:space="preserve">প্রতি বছর প্রায় দশ হাজার মানুষ আত্মহত্যা করেন। এটা কয়েক বছর আগের হিসাব। এতদিনে সে সংখ্যা নিশ্চয়ই বেড়েছে। তা বাড়লে কার কী যায় আসে! </t>
  </si>
  <si>
    <t>কুষ্টিয়ায় সাইনবোর্ড ঝুলিয়ে হিন্দু পরিবারের সম্পত্তি দখলের পায়তারা</t>
  </si>
  <si>
    <t xml:space="preserve">দাড়ি ছোট থাকলে লম্বা করুন। খোঁচা দাড়ি অন্য ধর্মাবলম্বীরাও রাফ দেখানোর জন্য রাখে। </t>
  </si>
  <si>
    <t>ঢাবিতে যেভাবে ইসলামিক অনুষ্ঠান আয়োজন করায় নানাভাবে হয়রানি করা হচ্ছে, জাবিতে এরকম হয়রানি করার আগে একশবার ভাবা লাগবে।</t>
  </si>
  <si>
    <t>দাড়ি টুপি, বোরকার এই চিন্তা এবং ধারণাগুলো আমাদের মধ্যে নাটক এবং সিনেমার মাধ্যমে সুচিন্তিতভাবে প্রবেশ করানো হয়েছে—যা থেকে বের হওয়া খুব জরুরি। ধন্যবাদ, এই ব্যাপারগুলো নিয়ে আলোচনার জন্য।</t>
  </si>
  <si>
    <t>মৌলবাদ বিরোধী আন্দোলন, স্বাধীনতা বিরোধী অপশক্তির বিরুদ্ধে আন্দোলনকে ভেস্তে দিতে একটা মৌলবাদী গোষ্ঠী এই সাম্প্রদায়িকতাকে ব্যবহার করে সাধারণ মানুষের মনে বিভক্তি সৃষ্টি করছে।</t>
  </si>
  <si>
    <t>ইন্ডিয়ায় আরএসএস সদস্যরা কোন ইফতারে হামলা করেছে এমন নিউজ এখনো চোখে পড়েনি কিন্তু ছাত্রলীগ বাংলাদেশে হামলা শুরু করে দিছে!</t>
  </si>
  <si>
    <t>আমাদের সবার উচিৎ বি বি সি কে বয়কোট করা। ইদানীং তারা মুসলমানের প্রতি উঠে পড়ে লেগেছে। আজ হতে ১৪/১৫ শ বছর আগথেকে এটা মুসলমাদের দখলে আছে।</t>
  </si>
  <si>
    <t>পূর্ব পাকিস্তানের উত্তরসূরি রাষ্ট্র বাংলাদেশে আংশিকভাবে বহাল রাখা মুসলিম লীগ পক্ষের দৃষ্টিভঙ্গি হল বাস্তবে কংগ্রেস ও হিন্দুরা কলকাতায় মুসলমানদের একটি শিক্ষা প্রদানের জন্য সরাসরি সংগ্রাম দিবসের প্রস্তাবিত সুযোগটি ব্যবহার করেছিল এবং তাদের প্রচুর সংখ্যায় হত্যা করেছিল।[</t>
  </si>
  <si>
    <t>যারা ধর্মের নামে মানুষ হত্যা করে, যারা ভিন্ন ধর্মের মানুষের ঘরবাড়ি লুট করে,তাদের বিরুদ্ধে কার্যকর কোনো প্রতিবাদ দেখি না। আমাদের প্রশাসন খুবই দায়িত্বশীল। রাজনীতিকেরা পরমতসহিষ্ণুতার জ্বলন্ত প্রতীক।</t>
  </si>
  <si>
    <t>১৯৬৯ সালের গুজরাত দাঙ্গার সময় অনুমান করা হয় যে ৩০ জন প্রাণ হারিয়েছে। [৬১] ১৯ ১৯৭০-এর ভাওয়ান্দি দাঙ্গা ছিল মুসলিম বিরোধী সহিংসতার একটি উদাহরণ</t>
  </si>
  <si>
    <t> কুমিল্লায় নানুয়া দীঘির উত্তরপাডড়েরর পূজামণ্ডপের বাইরে রাম-সীতা-লক্ষ্মণ-হনুমান মূর্তিরস্থলে হনুমান মূর্তির কোলের উপর একটি কুরআন শরীফ দেখা যায়। কুরআন উদ্ধারের পর এর ছবি স্যোশাল মিডিয়ায় নানাভাবে নানা ভাষ্যে খবর ছড়িয়ে পড়ে। কুরআন নিয়ে অবমাননার বিষয়টি নিয়ে ফেসবুকে লাইভ করে ফয়েজ আহমেদ নামে এক ব্যক্তি ।[৫]খবর পেয়ে স্থানীয় উগ্র মুসলমানরা ওই মণ্ডপে হামলা চালিয়ে প্রতিমা ভাঙচুর করে।</t>
  </si>
  <si>
    <t>রাজনৈতিক প্রভাব সৃষ্টির মাধ্যমে খ্রিস্ট ধর্ম মার্কিনীদের জীবনে কথিত যে নিয়ন্ত্রণ প্রতিষ্ঠা করেছে, তা কমিয়ে আনতে শয়তানের মন্দির কিভাবে কাজ করছে।</t>
  </si>
  <si>
    <t>শার্লি এব্দো পত্রিকাটি ইচ্ছাকৃত ভাবে বিতর্ক তৈরি করে অনেকের লক্ষ্য বস্তুতে পরিণত হয়ে হামলার শিকার হয়েছে। তাদের এ ধরনের কর্মকাণ্ড চরম ধিক্কৃত ও নিন্দনীয় কাজ। তবে এটাও সত্য, মুসলমানদের জন্য এটা যেমন অত্যন্ত দুঃখজনক ও বেদনার, ঠিক তেমনিভাবে এর বিনিময়ে কাউকে হত্যা করা, গাড়ি, বাড়ি ইত্যাদি পুড়িয়ে দেওয়া, দাঙ্গা ও লুটপাট করা কখনো একজন প্রকৃত শান্তিকামী মুসলমানের কাজ নয়।</t>
  </si>
  <si>
    <t>চণ্ডীপুরে মাত্র ১৬ টি পরিবারের বাস ছিল। গ্রামের সকল বাসিন্দাদের একই লাইনে দাঁড় করিয়ে বার্স্ট ফায়ার করা হয়। ৪৫জন হিন্দু এতে মারা যায়। এই গণহত্যায় মাত্র দুজন ব্যক্তি বেঁচে যায়।</t>
  </si>
  <si>
    <t>মুসলিমদের উপর আমার এত রাগ হচ্ছে। এরকম মায়ের অবস্থা দেখে সত্যিই খুব খারাপ লাগছে। আমি যদি ওইখানে থাকতাম, আমি একাই কিছু না কিছু তো করতাম।</t>
  </si>
  <si>
    <t xml:space="preserve"> যারা সীমালঙ্ঘন করেছে তাদের সম্পর্কে তুমি আমাকে কিছু বোলো না, তারা নিমজ্জিত হবে। সে নৌকা নির্মাণ করতে লাগল এবং যখনই তার সম্প্রদায়ের প্রধানরা তার কাছ দিয়ে যেত, তাকে উপহাস করত। ...যেমন তোমরা উপহাস করছ এবং তোমরা অচিরে জানতে পারবে, কার ওপর আসবে লাঞ্ছনাদায়ক শাস্তি আর তার ওপর আপতিত হবে স্থায়ী শাস্তি।</t>
  </si>
  <si>
    <t>এটা বিবিসির পক্ষপাতমূলক আচরণ বলে আমি মনে করি না। এখানে একটি ধর্মীয় সম্প্রদায়ের মানুষ নির্বিচার সহিংসতার শিকার হয়েছে, তাদের বাড়ি-ঘর মন্দির জালিয়ে দেয়া হয়েছে। তারা ভিকটিম। আর যারা সহিংসতা করেছে, বা করতে গিয়ে পুলিশের বাধা পেয়ে প্রাণ হারিয়েছেন, তারা হামলাকারী।</t>
  </si>
  <si>
    <t>প্রাচীন ও মধ্যযুগীয় ভারতে আরও কয়েকটি দার্শনিক শাখার উদ্ভব ঘটেছিল যেগুলো বেদকে অস্বীকার করে কিছুটা একই ধরনের দার্শনিক ধারণা প্রচার করেছিল। </t>
  </si>
  <si>
    <t>সমসাময়িক সমাজে, খ্রিস্টানরা ইরান এবং মধ্যপ্রাচ্যের অন্যান্য অংশে নির্যাতিত হয়, উদাহরণস্বরূপ, ধর্মান্তরিত করার জন্য , যা সেখানে অবৈধ। [৯৬] [৯৭] [৯৮] 100-200 মিলিয়ন খ্রিস্টানদের উপর হামলার অভিযোগ রয়েছে, সংখ্যাগরিষ্ঠ মুসলিম সংখ্যাগরিষ্ঠ দেশগুলিতে নির্যাতিত হয়। </t>
  </si>
  <si>
    <t>২০ জুন বাগেরহাটের চিতলমারী উপজেলার চরডাকাতিয়া এলাকার একাদশ শ্রেণির একজন ছাত্রী (১৮) ফেসবুক আইডি থেকে ইসলাম ধর্ম ও হযরত মোহাম্মদ-কে কটূক্তি ও অবমাননা করে পোস্ট দেন এবং ভিডিও শেয়ার করেন। এ ঘটনার পরে এলাকায় উত্তেজনা দেখা দিলে রোববার (১৯ জুন) রাতে তাকে গ্রেফতার করে পুলিশ।</t>
  </si>
  <si>
    <t>এই ধরেন তাসকিনের বউ পর্দা করলে এটা নিয়ে কথিত প্রগতিশীলতার ধ্বজাধারীরা রিতিমতো তাসকিনকে তুলোধুনো করে ছেড়েছিলো।</t>
  </si>
  <si>
    <t xml:space="preserve">সুনির্দিষ্টভাবে একটি চক্র বাংলাদেশে ধর্মীয় সম্প্রীতি বিনষ্ট করায় চক্রান্তে লিপ্ত আছে। একটা হিন্দু মুসলিম দাঙ্গা তাদের চাই-ই চাই। </t>
  </si>
  <si>
    <t>১৯১২-১৩ সালে প্রথম মহাযুদ্ধের সময় এ অঞ্চলে ১৩০০০ মুসলমানকে জোরপূর্বক খ্রিস্টান হতে বাধ্য করা হয়</t>
  </si>
  <si>
    <t>হিন্দুরা তাদের মূর্তির পায়ে কোরআন রেখেছে, তাতে তাদের ১টা চুল ও কেউ ছিরতে পরে নাই। মুসলমানরা এর প্রতিবাদ করতে গিয়ে উল্টো মার খেয়ে আসলো। </t>
  </si>
  <si>
    <t>অনুসন্ধান করলে দেখা যাবে, যারা আত্মহত্যা করছে তাদের মধ্যে ধর্মীয় কোনো শিক্ষা নেই। থাকলেও অপ্রতুল। </t>
  </si>
  <si>
    <t>কোন নারীর সাথে তার কোন আত্মীয়ের লাশ, নির্বিশেষে এই ধরনের পোড়ানো বা সমাধি বিধবা বা নারীদের পক্ষ থেকে স্বেচ্ছাকৃত বলে দাবি করা হয় বা অন্যথায়</t>
  </si>
  <si>
    <t>দুপুর ১টার দিকে মিছিল এবং বক্তব্য প্রদান শেষ হবার পরপরই মুসলিমরা হিন্দু বাড়ি-ঘর ও দোকানপাট-ব্যবসা প্রতিষ্ঠান লুট করতে শুরু করে এবং লুটপাট শেষে অগুন ধরিয়ে দেয় সেগুলো।</t>
  </si>
  <si>
    <t>কালিয়ায় ২শ হিন্দু পরিবারের বাড়িঘর ভাঙচুর পাথরঘাটায় ৩ আওয়ামী লীগ কর্মীকে কুপিয়ে আহত</t>
  </si>
  <si>
    <t>আপত্তিকর মন্তব্য করা নিয়ে পীরগঞ্জে হামলার ঘটনার ৪০ দিন আগে রামনাথপুর ইউনিয়নের মাঝিপাড়া গ্রামের পরিতোষ সরকারের সাথে পার্শ্ববর্তী বড় মজিদপুর গ্রামের উজ্জ্বল হাসান (২১) এর কথা কাটাকাটি হয়। পরিতোষকে শায়েস্তা করার জন্য তার দেওয়া আপত্তিকর পোস্টের স্ক্রিনশট বিভিন্নজনের কাছে পাঠায় উজ্জ্বল। এতে আশেপাশের লোকজন সংগঠিত ও উত্তেজিত হয়ে ওঠে।</t>
  </si>
  <si>
    <t> ইতিমধ্যেই অপুষ্টি ও পানিশূন্যতায় শিশুসহ অনেকের মৃত্যু হয়েছে। ক্ষুধায় বেপরোয়া হয়ে ওঠা লোকজন ত্রাণের জন্য হাহাকার করছে। ত্রাণবাহী ট্রাক দেখলেই ঝাঁপিয়ে পড়ছে, ত্রাণের জন্য হুড়োহুড়ি করছে।</t>
  </si>
  <si>
    <t>১৯৭১ সালে বাংলাদেশের মুক্তিযুদ্ধের সময় ধর্মীয় পরিচয়ের কারণে সংখ্যালঘু হিন্দু সম্প্রদায়ের বহু মানুষ গণহত্যার শিকার হয়।</t>
  </si>
  <si>
    <t>১৯৯০ সালে এলটিটিই বিদ্রোহীরা শ্রীলঙ্কার উত্তর ও পূর্বাঞ্চলে মুসলিমদের হত্যা করে।</t>
  </si>
  <si>
    <t xml:space="preserve">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 </t>
  </si>
  <si>
    <t>রাজাকার বা তাদের বংশধরদের স্বাধীনতার খায়েশ কোনদিনও ছিলো না।</t>
  </si>
  <si>
    <t xml:space="preserve">মইরাও শান্তি নাই। অভিশ্রুতি না বৃষ্টি, কবর দেওয়া হবে নাকি পোড়ানো এই নিয়ে লোকজনের কী বোর্ড বেশ চলছে। বডিটা মেডিকেল কলেজে দিয়ে দেন না। </t>
  </si>
  <si>
    <t xml:space="preserve">মুসলমান হয়ে ইসলামী আকিদা-বিশ্বাস নিয়ে কথা বলায় চাকরিচ্যুত হওয়ার মতো একটা হৃদয়বিদারক ঘটনা ঘটে গেল নব্বই শতাংশ মুসলমানের দেশে! </t>
  </si>
  <si>
    <t xml:space="preserve">আমাদের ব্যাপারে মানুষকে বিভ্রান্ত করা, ভিডিও বিকৃত করে ছড়ানো, আমাদের লেখার কন্টেক্সট ছাড়া আংশিক প্রকাশ, মিথ্যা বানোয়াট স্ক্রিনশট বানানো, আমাদের পেশাগত দক্ষতাকে নাকচ করা, আমাদের ক্লায়েন্ট/পেশেন্ট সেজে বিভিন্ন জায়গায় মিথ্যা রিভিউ দেওয়া - এমন কিছু নাই যে এরা করেনা! </t>
  </si>
  <si>
    <t>মিনেসোটার একটি মসজিদে বোমা বিস্ফোরণ ঘটে, যা মুসলিম সম্প্রদায়ের মধ্যে আতঙ্ক সৃষ্টি করে এবং বিদ্বেষমূলক অপরাধ বলে চিহ্নিত হয়।</t>
  </si>
  <si>
    <t>আরেকটি ঘটনায় সিপিকে’র সভায় যোগদানের পরিবর্তে নামাজে যোগ দেয়ার কারণে ১৯৭৫ সালের জুনে বেশ কয়েক জন চ্যাম মুসলমানকে সরকারি সৈন্যেরা হত্যা করে। ঘটনা আরো খারাপের দিকে যেতে শুরু করে ১৯৭৫ সালের মাঝামাঝি সময় থেকে। তখন সংখ্যালঘু নৃগোষ্ঠীকে বাধ্য করা হয় শুধু খেমার জাতীয়তা ও ধর্মের প্রতি আনুগত্য প্রকাশে: বলা হয়- খেমার ছাড়া আর কোনো পরিচয় সত্তা থাকবে না।</t>
  </si>
  <si>
    <t>আপনি এদের চিনে রাখুন,কেমন যেন এরা সবাই মানুষের মতই দেখতে,কিন্তু আদপে হিংস্র পশুর অধম....আর হ্যাঁ,তথাকথিত শান্তির সাম্রাজ্য ছেড়ে মানুষের পলায়ন এদের নজরে পড়ে না....শান্তি হয়তো এবার প্রতিষ্ঠিত হবে,শান্তির ধর্মের ছেলেরা বন্দুক নিয়ে শাষন করবে কি না...</t>
  </si>
  <si>
    <t>২ মার্চ মধ্যরাতের অল্প সময়ের মধ্যেই, প্রায় ৩০-৪০ জন দুর্বৃত্তরা হিন্দুদের গালি দেওয়া ও হুমকি দিয়ে দিনাজপুর জেলার দিনাজপুর সদর উপজেলার উত্তরগঞ্জ মহেশপুর গ্রামে তাদের বাড়িতে হামলা চালায়।</t>
  </si>
  <si>
    <t>লুনাভাডা গ্রামটি গুজরাটের পানাম নদীর ধারে৷ ২০০২ সালে গুজরাটে সংঘটিত ভয়াবহ সাম্প্রদায়িক দাঙ্গার গোধরা হত্যাকান্ড চলাকালীন লুনাভাডা গ্রামের নিকটবর্তী পান্ধারওয়ালা গ্রামটি দাঙ্গার শিকার হয়েছিল ভয়ংকর ভাবে৷ </t>
  </si>
  <si>
    <t> কক্সবাজারের রামুতে উত্তর মিঠাছড়ি প্রজ্ঞামিত্র বন বিহার এবং বিমুক্তি বিদর্শন ভাবনা কেন্দ্র-তে এই উৎসব পালিত হয়। সংঘদান, অষ্টপরিষ্কার দান, ধর্মসভা, চীবর ও কল্পতরু শোভাযাত্রা, ও আকাশে ফানুস ওড়ানোর মাধ্যমে উৎসব অনুষ্ঠিত হয়ে থাকে।</t>
  </si>
  <si>
    <t>মসজিদের থেকে মন্দিরের দূরত্ব প্রায় ১ কিলোমিটার, এর মধ্যে শ্যামগড় জামে মসজিদ নামে আরেকটি মসজিদও রয়েছে। অনলাইনের হিন্দুত্ববাদী আইডিগুলো থেকে আস্ফালন করা হচ্ছে যে, মন্দিরের ‘জমিতেই’ নাকি মসজিদ করা হচ্ছে এবং মন্দিরের শব্দদূষণ ও মূর্তিপূজার সুবিধার্থে ধারেকাছে কোন মসজিদ তারা নির্মাণ করতে দেবে না।</t>
  </si>
  <si>
    <t>শিব মন্দিরের পুকুরের নিকটবর্তী শ্রী অঙ্গন আঙিনায় তাকে তার সহযোগীরা সমাধি দেয়।[৫] মুক্তিযোদ্ধা প্রবোধ কুমার সরকারের সাক্ষ্য অনুযায়ী ক্যাপ্টেন জামশেদ তার মৃত্যুর আগে পাগল হয়ে গিয়েছিল।[৫] বাংলাদেশের স্বাধীনতার পর সন্ন্যাসীরা ফিরে আসেন।তারা প্রভু জগৎবন্ধুর পবিত্র দেহাবশেষ পুনরায় সেখানে স্থাপন করেন এবং ক্ষতিগ্রস্ত মন্দির পুনর্নির্মাণ করেন। এখানে ক্রমান্বয়ে নতুন সন্ন্যাসী তৈরি হতে শুরু করে।</t>
  </si>
  <si>
    <t>আপনি কি ভাবতেছেন আর না ভাবতেছে তা কিন্তু হিন্দুদের বুঝার টাইম নাই। তারা শুধু ভাবতেছে তারা হিন্দু তাই তাদের মুসলিম রা মারছে। আর হিন্দু রা যখন এই নিয়ে ফেসবুকে আন্দোলন করতে গেছে কিছু মুসলিম তাদের কয়েকটা হাদিসের বাণী ধরায় দিয়া বলছে যে ইসলাম শান্তির ধর্ম। তারপরও হিন্দুরা কথা বললে সেই সব হিন্দুকে তারা আবার ইসলাম অবমাননাকারী হিসেবে ঘোষণা দিচ্ছে। জীবনে কখনও সংখ্যা লঘু হইলে ব্যাপারটা অনুধাবন করবেন তার আগ পর্যন্ত আপনাদের এই রচনা চলতেই থাকবে</t>
  </si>
  <si>
    <t>পশ্চিমবঙ্গ বৈদিক অ্যাকাডেমির প্রধান নবকুমার ভট্টাচার্য ব্যাখ্যা করছিলেন যে হিন্দু ধর্মে যে পাঁচটি সম্প্রদায় রয়েছে, তারই অন্যতম বৈষ্ণব সম্প্রদায়। অন্য সম্প্রদায়গুলি হলো শৈব, শাক্ত, সৌর, এবং গাণপত্য।</t>
  </si>
  <si>
    <t>ফাস্টিং অবস্থায় মসজিদ থেকে ফেরার সময় এক মুসলিম কিশোরীকে পিটিয়ে হত্যা করা হয়, যা ইসলামফোবিয়া থেকে উৎসারিত বলে মনে করা হয়।</t>
  </si>
  <si>
    <t>মার্কিন যুক্তরাষ্ট্র কংগ্রেসে ধর্মীয় স্বাধীনতা ও নিপীড়নের বিষয়ে একটি বার্ষিক প্রতিবেদন পেশ করে। প্রতিবেদনে এমন তথ্য রয়েছে যা মার্কিন যুক্তরাষ্ট্র আন্তর্জাতিক ধর্মীয় স্বাধীনতা অফিস এবং অন্যান্য প্রাসঙ্গিক মার্কিন সরকারি ও বেসরকারি প্রতিষ্ঠানের সহযোগিতায় বিশ্বজুড়ে মার্কিন দূতাবাস থেকে সংগ্রহ করে । তথ্য জনসাধারণের জন্য উপলব্ধ. [৫২] 2018 সালের অধ্যয়নের বিবরণ, দেশ অনুসারে, বিশ্বের 195টি দেশের মধ্যে প্রায় 75% ধর্মীয় স্বাধীনতা লঙ্ঘনের ঘটনা ঘটছে।</t>
  </si>
  <si>
    <t> হিন্দু সম্প্রদায়ের ১৩ জন ধর্ষণ, ১০ জন সংঘবদ্ধ ধর্ষণের শিকার, ধর্ষণের পর তিন জনকে হত্যা, ১৯ জনকে ধর্ষণচেষ্টা, ৯৫ জনকে ধর্মান্তরিত করা, ২১ জনকে ধর্মান্তরের চেষ্টা, ৬৩টি ধর্মীয় অনুভূতিতে আঘাতের ঘটনাও ঘটেছে দেশে।</t>
  </si>
  <si>
    <t>গত পাঁচ বছরে ফ্রান্সে ছোট-বড় বেশ অনেকগুলো সন্ত্রাসী হামলা হয়েছে। প্রতিটি ঘটনার পর মানুষের মধ্যে হতাশা এবং বিভেদ তীব্রতর হচ্ছে। একজন শিক্ষকের হত্যাকাণ্ডে ছাত্র-ছাত্রীদের প্রতিক্রিয়া বোঝা যাবে যখন দু'সপ্তাহের ছুটির পর নভেম্বরের প্রথম দিকে স্কুল খুলবে।</t>
  </si>
  <si>
    <t>জগন্নাথ কলেজ প্রাঙ্গনে প্রায় ৭,০০০ থেকে ১০,০০০ হিন্দু তাদের আবাস ছেড়ে আশ্রয় নিয়েছিল। তবে কর্তৃপক্ষ সেখানে শৌচাগারের ব্যবস্থা করতে পারেনি, যার ফলে কয়েক দিনের মধ্যেই আশ্রয়কেন্দ্রটি কিছুটা অস্বাস্থ্যকর হয়ে পড়েছিল।</t>
  </si>
  <si>
    <t>শত্রুতা শুরু হওয়ার পর থেকে ২,০০,০০০ ফিলিস্তিনি বাস্তুচ্যুত হয়েছে, যা গাজার মোট জনসংখ্যার এক-দশমাংশ। ইসরায়েল ইতিমধ্যে অবরুদ্ধ গাজা উপত্যকায় খাদ্য, জল, বিদ্যুৎ ও জ্বালানি সরবরাহ বন্ধ করার পর মানবিক সংকটের আশঙ্কা বৃদ্ধি পেয়েছে।</t>
  </si>
  <si>
    <t>সনাতন ধর্মের অনেক কিছুই হারিয়ে গেছে আমাদের এই বাংলা থেকে। প্রথমে মুসলমান শাসকরা, তারপরে ব্রিটিশ শাসকরা মুছে দিয়েছে আমাদের সনাতন হিন্দু ধর্মের অনেক ঐতিহ্য।</t>
  </si>
  <si>
    <t>কুরআন মুসলমান মানুষের জীবনের অনেক দামি তাই কোরআনকে সব মুসলিম ভাইরা কুরআনের সম্মান রক্ষা করেন জীবন দিয়ে হলেও</t>
  </si>
  <si>
    <t>জাপানে শবে বরাত জাপানের মুসলমানদের জন্য একটি গুরুত্বপূর্ণ অনুষ্ঠান। ইসলামে, বেশ কয়েকটি ইসলামী অনুষ্ঠান রয়েছে যার নিজস্ব তাৎপর্য রয়েছে। </t>
  </si>
  <si>
    <t>১৯৬৭ সালে ঝাড়খণ্ডের রাঁচি ও হাতিয়ায় হিন্দু-মুসলিম দাঙ্গায় ১৮৪ জন নিহত এবং প্রচুর সম্পত্তি ধ্বংস হয়।</t>
  </si>
  <si>
    <t xml:space="preserve">চলতি বছরের জানুয়ারি থেকে জুন পর্যন্ত ছয় মাসে হিন্দু সম্প্রদায়ের পাঁচজনকে হত্যা করা হয়েছে। হত্যার চেষ্টা করা হয়েছে একজনকে। আইন ও সালিশ কেন্দ্রের ‘মানবাধিকার লঙ্ঘনের সংখ্যাগত প্রতিবেদনে’ এ কথা বলা হয়েছে। আজ বৃহস্পতিবার প্রতিবেদনটি গণমাধ্যমে পাঠানো হয়েছে। </t>
  </si>
  <si>
    <t>অন্য ধর্মের লোকদের বিরুদ্ধে যুদ্ধ করার বদলে, তাদের প্রতি শ্রদ্ধা এবং সহানুভূতি প্রকাশ করা উচিত।</t>
  </si>
  <si>
    <t xml:space="preserve">হারাম জিনিসকে ধর্মের বাইরেই গিয়েই গ্রহন করতে হয়। তাদের (সেলিব্রেটিদের) যারা গ্রহন করেন আর কমেন্টস করেন তা পুরোটাই তাদের ধর্মবহির্ভূত ব্যাক্তিগত ব্যাপার। </t>
  </si>
  <si>
    <t>সেখানে অবশিষ্ট হিন্দুদের বিরুদ্ধে অকথ্য অত্যাচার করা হয়। মন্দিরগুলি ভেঙে ফেলা হয়। নারীদের অপহরণ ও ধর্ষণ করা হয়।</t>
  </si>
  <si>
    <t>ইউরোপীয় ভ্রমণকারীর বিবরণ অনুসারে, পঞ্চদশ শতাব্দীতে মেরগুই, বর্তমানের চরম দক্ষিণ মায়ানমারে, বিধবা পোড়ানোর প্রচলন ছিল।</t>
  </si>
  <si>
    <t>আল্লাহ প্রাণীদের প্রতি দয়া প্রদর্শনের নির্দেশ দিয়েছেন, কারণ তারা মানবজাতির জন্য উপকার বয়ে আনে এবং সৃষ্টির ভারসাম্য রক্ষা করে।</t>
  </si>
  <si>
    <t>যেহেতু মি. রায় চৌধুরী কংগ্রেসের সাথে যুক্ত ছিলেন, তাই মি. হুসেইনী কংগ্রেসের বিভিন্ন নেতা এমনকি মোহনদাস করমচাঁদ গান্ধীর কাছেও চিঠি পাঠিয়ে জমিদারের অত্যাচারের কথা জানান এবং তার বিরুদ্ধে ব্যবস্থা নেয়ার অনুরোধ করেন। ধারণা করা হয়, এসময় ঐ অঞ্চলের পাঁচ হাজারেরও বেশি হিন্দু প্রাণ হারান।</t>
  </si>
  <si>
    <t>শবে বরাত ইসলামের সবচেয়ে পবিত্র অনুষ্ঠানগুলির মধ্যে একটি। প্রতি বছর, জাপানের মুসলমানরা এই অনুষ্ঠানের জন্য বিশেষ আয়োজন করে। জাপানে শবে বরাতের নিশ্চিত তারিখ সম্পর্কে সচেতন হওয়ার জন্য এবং সেই অনুযায়ী তাদের কার্যক্রম পরিকল্পনা করার জন্য তারা চাঁদ দেখার জন্য অধীর আগ্রহে অপেক্ষা করে।</t>
  </si>
  <si>
    <t>সিলেটে গণভোটের সময় সাম্প্রদায়িক বিদ্বেষ ছড়ানো হয় যে, হিন্দুরা যেহেতু পাকিস্তানের বিরুদ্ধে ভোট দিয়েছে তাই তারা পাকিস্তানের শত্রু।</t>
  </si>
  <si>
    <t>ঐক্য পরিষদ বলছে, হামলা, ভাঙচুর ও লুটপাটের ঘটনাগুলোর মধ্যে সংখ্যালঘু সম্প্রদায়ের জীবন, সম্পত্তি ও উপাসনালয়ের ওপর ২ হাজার ১০টি ঘটনা রয়েছে।</t>
  </si>
  <si>
    <t>কুরআন হলো ইসলামের মূল এবং প্রধান ধর্মীয় গ্রন্থ। মুসলিমরা বিশ্বাস করেন যে, এটি আল্লাহর বাণী যা প্রধান ফেরেশতা জিব্রাইলের মাধ্যমে ধীরে ধীরে ২৩ বছর ধরে মুহাম্মাদের নিকট প্রত্যাদেশ হিসেবে অবতীর্ণ হয়েছে।</t>
  </si>
  <si>
    <t>ঢাকার ও পূর্ব-বাংলার অন্যান্য শহরাঞ্চলের যে সব নির্দিষ্ট এলাকাতে হিন্দু জনগোষ্ঠী বসবাস করে সেখানে হত্যাযজ্ঞ চালানো এবং হিন্দু মালিকানাধীন কলকারখানা ও ব্যবসাপ্রতিষ্ঠানে হামলা করা।</t>
  </si>
  <si>
    <t>আপনি উলুবনে মুক্তো ছড়াচ্ছেন,এরা ওসব এখন বুঝবে না,এই ওই পর্যায় এ আসেনি।প্রনাম নেবেন হে জ্ঞানী।</t>
  </si>
  <si>
    <t>এছাড়াও ইসলাম ধর্ম অবমাননার অভিযোগে সহিংসতাকারীরা আখড়াবাড়ি সার্বজনীন মন্দিরে ইট ছুড়ে[১৮] ও রাত ৯ টার দিকে আগুন ধরিয়ে দেয়।</t>
  </si>
  <si>
    <t>২০২ সালে ফ্রান্সে কয়েকটি মসজিদে পাথর নিক্ষেপ এবং আগুন লাগানোর ঘটনা ঘটে, এতে নামাজরত ব্যক্তিরা আহত হন।</t>
  </si>
  <si>
    <t>৬ আগস্ট, মোংলায় একটি মন্দিরের সামনের মাঠে ফুটবল খেলাকে কেন্দ্র করে প্রতিমা ভাংচুরের ঘটনা ঘটে।</t>
  </si>
  <si>
    <t>যিনি বাংলার বৌদ্ধ স্তুপ -মন্দিরগুলো ধ্বংস করেন আর তার রাজ্যের একেক বৌদ্ধ সন্তদের মাথার জন্যে একশ স্বর্ণমুদ্রা করে পুরস্কার ঘোষণা করেন। হিউয়েন সাং-সহ অনেক বৌদ্ধ সূত্রগুলোতে থানেসরের বৌদ্ধ রাজা রাজ্যবর্ধনের হত্যার জন্যে শশাঙ্ককে দায়ী করা হয়। হিউয়েন সাং লিখেছেন, বোধ গোয়ার বোধি বৃক্ষ কাটা ছাড়াও ওখানকার বৌদ্ধ মূর্তিগুলোকে শিবলিঙ্গ দ্বারা প্রতিস্থাপন করেন।</t>
  </si>
  <si>
    <t>হিন্দু বৌদ্ধ খৃষ্টান ঐক্য পরিষদ অভিযোগ করেছে, দেশে বিভিন্ন সময় ধর্ম অবমাননার গুজব ছড়িয়ে হিন্দুদের বাড়িঘরে হামলা এবং অগ্নিসংযোগের ঘটনা ঘটেছে। কিন্তু কোনটারই বিচার হয়নি। </t>
  </si>
  <si>
    <t>কেন? আমেরিকার ২০ বছর সমর্থন নিয়েও যাদের দেশে বর্বর মৌলবাদীদের রুখতে মেয়েরা সাহসী বীর সন্তান-সন্ততির জন্মদানে ব্যর্থ , তাদের জন্য এটাই সঠিক। লড়াই করে ৮০,০০০বর্বর কে ঠেকাতে ৩০০,০০০ প্রশিক্ষিত সৈন্য ব্যর্থ তাদের বর্বরদের হাতে অমর্যাদার মৃত্যুই স্বাভাবিক।</t>
  </si>
  <si>
    <t>২০০৮ সালের কান্ধামাল সহিংসতা বলতে ২০০৮ সালের আগস্টে ভারতের ওড়িশার কান্ধামাল জেলায় হিন্দু সন্ন্যাসী লক্ষ্মণানন্দ সরস্বতীর হত্যার পর হিন্দুত্ববাদী সংগঠনগুলি কর্তৃক প্ররোচিত খ্রিস্টানদের বিরুদ্ধে ব্যাপক সহিংসতাকে বোঝায় ।</t>
  </si>
  <si>
    <t>ইহুদীরা যীশু খ্রিষ্টকে মরিয়মের অবৈধ সম্পর্কের ফলে জন্ম নেয়া সন্তান মনে করে। মরিয়মকে ইহুদীরা সতী নারী মনে করে না। মরিয়মের পরিবার মরিয়মের অবৈধ সম্পর্ক ঢাকতে যীশু ইয়াহওয়ের (ঈশ্বর) এর সন্তান , কোনো মানব পুরুষের না এটা প্রচার করেন। ইহুদীরা যীশু খ্রিষ্টকে ভন্ড মসীহ মনে করে এবং তারা মনে করে যীশু ইহুদীদের একটি অংশকে বিভ্রান্ত করে খ্রিষ্টান বানিয়ে দেন এবং নিজে বানিয়ে বানিয়ে গোসপেল বা নিউ টেস্টামেন্ট লিখেন।</t>
  </si>
  <si>
    <t>উত্তেজিত বিক্ষুব্ধ জনতার উপর পুলিশের গুলিবর্ষণে শিশুসহ অন্তত ২০ জন আহত হয়েছে। পটিয়ায়ও বৌদ্ধবিহারে হামলা ও ভাংচুরের ঘটনা ঘটেছে।</t>
  </si>
  <si>
    <t>কর্মকর্তারা বলছেন, আজ মঙ্গলবার আগুনে পুড়ে যাওয়া একটি বাড়ির পাশে মুসলিম এক তরুণের মরদেহ উদ্ধারের পর সেখানে উত্তেজনা বৃদ্ধি পায়। মুসলিমরাও প্রতিশোধ নিতে পাল্টা হামলা চালাতে পারে এই আশঙ্কায় কর্তৃপক্ষ জরুরী অবস্থা ঘোষণা করেছে।</t>
  </si>
  <si>
    <t>চাঁদপুরের হাজীগন্জ ভয়াবহ এই মুহূর্তে ৪জন ভাই শহিদ হয়েছেন অনেকের অবস্থা আশংকা জনক কোরআন অবমাননার কারণে চাঁদপুরের হাজীগঞ্জ পুলিশ তৌহিদী জনতা ধাওয়া-পাল্টা ধাওয়া ছলছে।</t>
  </si>
  <si>
    <t>যারা ইসলামী অনুশাসনে বিশ্বাসী এবং সে আলোকে নিজেদের জীবন পরিচালনা করেন, তারা কখনো আত্মহত্যা করে নিজেদের পরকালীন জীবনকে জাহান্নামে নিশ্চিত করতে চাইবে না এটাই স্বাভাবিক।</t>
  </si>
  <si>
    <t>অনুষ্ঠানে স্বরাষ্ট্র মন্ত্রী বলেন, ‘জঙ্গিবাদ কোনো ধর্মের আদর্শ হতে পারে না। জঙ্গিরা দেশকে অস্থিতিশীল করার জন্য তারা বেছে বেছে সংখ্যালঘু থেকে শুরু করে বিদেশি নাগরিকদের হত্যা করেছে। আমরা অনেক জঙ্গিকে গ্রেপ্তার করেছি।</t>
  </si>
  <si>
    <t>গীতা, উপনিষদ এবং ভগবদ গীতা হিন্দু ধর্মের গুরুত্বপূর্ণ ধর্মগ্রন্থ, যা আধ্যাত্মিক উন্নতি এবং শান্তি সম্পর্কে শিক্ষা দেয়।</t>
  </si>
  <si>
    <t>পাকিস্তানের খাইবার পাখতুনখোয়া প্রদেশের একটি জেলা কুররাম। গত ২১ নভেম্বর কুররাম জেলায় একটি গাড়িবহরে বন্দুকধারীদের অতর্কিত হামলায় ৫২ জন নিহত হয়। যাদের বেশির ভাগই ছিলেন শিয়া মুসলিম। এই হামলার পরই দাঙ্গা ছড়িয়ে পড়ে।</t>
  </si>
  <si>
    <t>সরকারি প্রতিবেদনে বলা হয়েছে যে সাম্প্রদায়িক সহিংসতার ফলে কমপক্ষে ৩৯ জন নিহত হয়েছেন, ৩৬৫ টিরও বেশি গির্জা ভাঙচুর বা ধ্বংস করা হয়েছে, ৫,৬০০ টিরও বেশি বাড়ি লুট করা হয়েছে বা পুড়িয়ে দেওয়া হয়েছে, ৬০০টি গ্রামে লুটপাট চালানো হয়েছে এবং ৫৪,০০০ এরও বেশি লোককে ঘরছাড়া করা হয়েছে।</t>
  </si>
  <si>
    <t>ঐতিহ্য অনুসারে, মক্কা বিজয়ের পর যখন কাবাঘর থেকে মূর্তিগুলো সরিয়ে ফেলা হচ্ছিল, তখন কাবার ভেতর থেকে হাতে ভবিষ্যদ্বাণীর তীর ধারণকারী ইব্রাহিম ও তার পুত্র ইসমাইল এর মূর্তি উদ্ধার করা হয়।</t>
  </si>
  <si>
    <t>হাট-বাজার থেকে সকল হিন্দু ব্যবসায়ী এবং দোকান মালিকদেরকে বের করে দেয়ার চেষ্টা করে মুসলিমরা। যে সকল হিন্দু পুনরায় তাদের লুটপাটকৃত ও ধ্বংসপ্রাপ্ত বাড়ি-ঘর পুনঃনির্মাণের চেষ্টা করছিল তাদেরকে এলাকা ছাড়ার হুমকি দেয়া হয়।</t>
  </si>
  <si>
    <t>গানবাজনা হালাল নাকি হারাম, সে তর্কে আমি যেতে চাচ্ছি না। কিন্তু ধর্মের পথে থাকা, সৃষ্টিকর্তার উপাসনা করা- দুনিয়াবি যে কোনো কাজের থেকে অবশ্যই উত্তম।</t>
  </si>
  <si>
    <t>হে আমার মহান রব আমি নবী করিম হযরত মুহাম্মদ সাল্লাল্লাহু আলাই সাল্লাম এর উম্মত ইনশাআল্লাহ আমি আশাবাদী আমি আমার বাবা-মা আমার স্ত্রী এবং আমার ভাই দের এবং আমার নিকটতম আত্মীয় নানা নানি খালা খালু মামা মামানি ও শ্বশুর শাশুড়ি আত্মীয়-স্বজনকে নিয়ে একসাথে জান্নাতে যেতে চাই</t>
  </si>
  <si>
    <t>বিক্ষোভ সমাবেশ থেকে সরকারকে জাতীয় সংসদে নিন্দা প্রস্তাব আনার দাবিও জানানো হয়। একইসাথে সুইডেনের রাষ্ট্রদূতকে তলব করে এ বিষয়ে কৈফিয়ত নিতে সরকারের কাছে দাবি করা হয়। সকল বক্তাই কোরআন অবমাননার কঠোর নিন্দা জানিয়ে এ বিষয়ে সরকারকে আরও কঠোর হওয়ার আহ্বান জানান।</t>
  </si>
  <si>
    <t>আল্লাহ কুরআনে বলেছেন যে, মুসলমানদের জন্য পরস্পরের মধ্যে প্রেম, দয়া, এবং মায়া প্রদর্শন করা অপরিহার্য, যা পৃথিবীকে শান্তিপূর্ণ করে তোলে।</t>
  </si>
  <si>
    <t>আল্লাহ বলেন যে, পশুরাও তাঁর সৃষ্টি, এবং তাদের প্রতি অন্যায় করা হলে এর প্রতিদান অবশ্যই দিতে হবে, কারণ তিনি সকলের বিচারক।</t>
  </si>
  <si>
    <t>৪ নভেম্বর আবার হামলা করা হয় নাসিরনগরের হিন্দুদের উপরে। স্থানীয় এমপি ও তৎকালীন মৎস্য ও পানিসম্পদ মন্ত্রী মোহাম্মদ ছায়েদুল হক দ্বারা হিন্দুদের নিয়ে কটু মন্তব্যও এর জন্য দায়ী ।[৯] এই ঘটনায় আওয়ামী লীগ নেতারা উস্কানি দিয়েছে ।[১০][১১][১২][১৩]এই ঘটনার 'মাস্টারমাইন্ড' ছিল আওয়ামী লীগের হরিপুর ইউনিয়নের চেয়ারম্যান দেওয়ান আতিকুর রহমান আঁখি।</t>
  </si>
  <si>
    <t>যদিও তাদের স্বল্পমেয়াদী পরিণতি, বিতর্কিত ঘটনাসমূহের সঠিক ক্রম, বিভিন্ন কর্মকর্তাদের দায়বদ্ধতা ও দীর্ঘমেয়াদী রাজনৈতিক পরিণতি সহ হত্যার মাত্রা সম্পর্কে একটি ঐক্যমত্যের নিশ্চিত তুল্যমান রয়েছে (যদিও কোনও হত্যা বা মৃত্যুর সুনির্দিষ্ট পরিসংখ্যান পাওয়া যায় না)।</t>
  </si>
  <si>
    <t>ধর্ম অবমাননার অভিযোগে লালমনিরহাটে একজনকে পুড়িয়ে মারা হলো, এ বিষয়ে দৃষ্টি আকর্ষণ করা হলে হাছান মাহমুদ বলেন, ‘সেটির ব্যাপারে সরকার কঠোর পদক্ষেপ গ্রহণ করেছে। এই ধরনের ন্যাক্কারজনক ঘটনা কোনোভাবেই সমর্থনযোগ্য নয়। পৈশাচিক ঘটনা যারা ঘটিয়েছে, তাদেরকে দৃষ্টান্তমূলক শাস্তি দিতে সরকার বদ্ধপরিকর।’</t>
  </si>
  <si>
    <t>পোগোতিশীল দালালদের একটা বিশাল ব্যাকআপ গ্রুপ তৈরি হয়েছে। সুড্ডানির্ফোলারা কিছুদিন পরপরই ৯০% সংখ্যাগরিষ্ঠ মুসলিমদের কালচার , ধর্মীয় বিধিনিষেধ এসব নিয়ে উসকাতে থাকবে , হিন্দু মুসলিম ভাতৃত্ববোধকে প্রশ্নের মুখে ফেলবে।</t>
  </si>
  <si>
    <t> ইসলামের পবিত্র প্রতীকগুলোকে অমর্যাদার জন্য টার্গেট করা হচ্ছে। এটা মূলত মুসলিমদের প্রতি ক্রমবর্ধমান ঘৃণা ও বিদ্বেষের অংশ যা ইউরোপের কট্টর ডানপন্থিরা আরও উসকে দিচ্ছে।</t>
  </si>
  <si>
    <t>নামকরা শহরের চাকচিক্যে ঈর্ষান্বিত হয়ে ব্রাহ্মণরা এই কুৎসা রটায় যে এই শহরে মৃত্যু হলে সে সরাসরি নরকে চলে যাবে কিংবা পরজন্মে গাধা হয়ে জন্মাবে – কিন্তু ব্রাহ্মণীয় পবিত্র নগর কাশিতে মৃত্যু হলে সে সরাসরি স্বর্গে চলে যাবে। </t>
  </si>
  <si>
    <t>বাংলাদেশে, 28 ফেব্রুয়ারি 2013-এ, আন্তর্জাতিক অপরাধ ট্রাইব্যুনাল 1971 সালের বাংলাদেশের স্বাধীনতা যুদ্ধের সময় সংঘটিত যুদ্ধাপরাধের জন্য জামায়াত-ই-ইসলামীর সহ-সভাপতি দেলোয়ার হোসেন সাঈদীকে মৃত্যুদণ্ড দেয় । </t>
  </si>
  <si>
    <t>ঘটনার বিবরণ দিয়ে বলা হয়, ১৯৯৭ সালের জানুয়ারির শেষ সময় থেকে শুরু করে ৫ ফেব্রুয়ারি পর্যন্ত চীনের জিনজিয়াং প্রদেশের গুলজা শহরে স্বাধীনতাকামী মুসলিমদের উপর চীন সরকারের দমন-নিপীড়নের সেই দুঃসহ ঘটনা গুলজা গণহত্যা নামে পরিচিত। এ সময় ২০০ মানুষকে হত্যা করা হয়।</t>
  </si>
  <si>
    <t>ফিজির ভূখণ্ডের অধিকাংশই জাতিগতভাবে ফিজিয়ান সম্প্রদায়ের জন্য সংরক্ষিত। [৭১] যেহেতু হিন্দু ধর্মের অনুশীলনকারীরা প্রধানত ভারতীয় তাই চরমপন্থী ফিজিয় খ্রিস্টীয় মৌলবাদীদের হামলাও প্রায়ই হিন্দু ধর্মীর প্রতিষ্ঠানের উপর হয়। </t>
  </si>
  <si>
    <t>মুসলিম ধর্মান্ধরা ১৩ই অক্টোবর নোয়াখালী জেলার হাতিয়ায় শংকর মার্কেটে আশুতোষ ডাক্তার বাড়ির পূজামণ্ডপ,  হাতিয়া পৌরসভা কালী মন্দিরে আক্রমণ করে এবং হিন্দুদের ৪-৫টি ঘর ভাঙচুর করে। হামলার সাথে জড়িত থাকার কারণে পুলিশ তিন ব্যক্তিকে(১৫ই অক্টোবর) আটক করে।[৪৪] পুলিশের তথ্য অনুযায়ী, হামলার কারণে যতন কুমার সাহা নামে এক ব্যক্তির মৃত্যু হয়।</t>
  </si>
  <si>
    <t>শুক্রবারে বাসা থেকে ওজু করে এবং বাসায় সুন্নত নামাজ পড়ে তারপর মসজিদে আসার অনুরোধ করছি। মসজিদে জুম্মার নামাজে খোতবা সংক্ষিপ্ত হবে। ফলে সংক্ষিপ্ত সময়ের মধ্যে জুম্মার নামাজ শেষ করবেন।</t>
  </si>
  <si>
    <t>একমাত্র সনাতন ধর্ম কাউকে ছোট করে না।আমি গর্বিত আমি হিন্দু কারণ হিন্দু ধর্ম প্রমান করার জন্য কাউকে চ্যালেন্জ করতে হয় না।</t>
  </si>
  <si>
    <t>মাগুরা জেলায় ১০ জানুয়ারী মাগুরা সদর উপজেলার সাতদোহা এলাকা থেকে দুইটি হিন্দু মন্দির থেকে স্বর্ণালঙ্কার চুরি করা হয়।[৭][১৭] দুর্বৃত্তরা শ্রী শ্রী নেংটা বাবার আশ্রমের দুইটি মন্দিরে ভাঙচুর করে, এবং দানবাক্স থেকে ক্যাশ চুরি করে, চুরি করে স্বর্ণ ও রুপার মুল্যবান সামগ্রী।</t>
  </si>
  <si>
    <t>আমিও চাই সব হিন্দুরা মাছ খাওয়া ছেড়ে দেক কারণ মাছের দাম অনেকটা বেড়ে গিয়েছে তারা খাওয়া ছেড়ে দিলে মাছের দামটা হয়তো একটু কমবে তাহলে আমাদের জন্য ভালো হবে</t>
  </si>
  <si>
    <t>চারদিক থেকে বিজয়া সার্বজনীন দুর্গা মন্দিরে এবং ইসকন মন্দিরে হামলা চালায়। এ সময় ইসকন মন্দিরের লোকজনের সঙ্গে যতন সাহা মন্দিরের গেটে গেলে হামলাকারীরা পিটিয়ে তার পা ভেঙে দেয়। এরপর পায়ে আঘাতের স্থানে বরফ লাগিয়ে যতন সাহা ঘর থেকে বের হলে হামলাকারীরা আবার তাকে পিটিয়ে আহত করে। যতনকে হাসপাতালে নিতে অ্যাম্বুলেন্স ডেকেও পাওয়া যায়নি। প্রথমে তাকে ইসকন মন্দিরের অদূরে রাবেয়া হাসপাতালে নেওয়া হয়। </t>
  </si>
  <si>
    <t>আরেক শৈব হিন্দু রাজা মিহিরকুল ১৫০০ বৌদ্ধ তীর্থস্থান সম্পূর্ণরূপে ধ্বংস করেন। শৈব রাজা তরামন কৌসম্বিতে থাকা বৌদ্ধ মঠ ঘষিতরাম ধ্বংস করেন বলে জানা যায়। [নোট: শেতাঙ্গ হুন জাতির মিহিরকুল হিন্দুত্বে ধর্মান্তরিত নাও হয়ে থাকতে পারেন।]</t>
  </si>
  <si>
    <t>জার্মানিতে প্রকাশ্যে হিজাব পরা মুসলিম নারীদের লক্ষ্য করে হামলা চালানো হয়, যাতে তারা গুরুতর আহত হন।</t>
  </si>
  <si>
    <t>ইহুদিরা অনার্য ও আর্যদের চেয়ে হীন, এমন মতবাদ দেয়া হয় এবং জাতিগতভাবে তাদের বিরুদ্ধে অর্থলিপ্সা, শ্রমবিমুখতা, ধূর্ততা, গোত্রপ্রীতি ও দেশপ্রেমহীনতার অভিযোগ দেয়া হয়।</t>
  </si>
  <si>
    <t> গ্রামগুলোর ৩৫০টি বাড়ির সবগুলোকে ধ্বংস করে ফেলা হয়। তিনটি মাত্র ঘর অবশিষ্ট ছিল। হিন্দুদের গবাদি পশু, নৌকা সব কিছু জোর করে ছিনিয়ে নেয়া হয়।[১১] মাত্র এক মাসের নৃশংস হত্যাকাণ্ডে খুলনার ৩০,০০০ হিন্দু প্রাণের ভয়ে ভারতে পালিয়ে যেতে বাধ্য হয়।</t>
  </si>
  <si>
    <t>ঈশ্বর এক এবং অদ্বিতীয় ঈশ্বরের উপরে কেউ হয় না। ঈশ্বর নিরাকার। ঈশ্বরের জন্ম নেই মৃত্যু নেই তিনি অনাদি অনন্ত জন্ম মৃত্যু রহিত এবং সর্ব ভুতে বিরাজমান।</t>
  </si>
  <si>
    <t>১৯৬৯ সালে গুজরাটের আহমেদাবাদে হিন্দু-মুসলিম সংঘর্ষে প্রায় ৫০০ মানুষ নিহত হয় এবং ব্যাপক সম্পত্তির ক্ষতি হয়।</t>
  </si>
  <si>
    <t>আল্লাহ আমি যেন জান্নাতে যেতে পারি,সেখানে আমি চাই সুন্দর একটি বাড়ি।সামনে থাকবে মাছ ভরা পুকুর, তোমার কাছে করব হাজার হাজার শুকুর।</t>
  </si>
  <si>
    <t>সব সিম্পেথি অন্য ধর্মাবলম্বীদের জন্য না দেখিয়ে কিছু কিছু অসহায় মুসলমানদেরও দেখান, তাহলে তারা একটু ব্যক্তিস্বাধীনতায় বাঁচতে পারবেন।</t>
  </si>
  <si>
    <t>অবৈধ দখলদার সংগঠন বাংলাদেশ বৌদ্ধ সমিতি! চট্টগ্রাম নন্দনকানন বৌদ্ধ বিহারে যেভাবে শ্রদ্ধেয় ডক্টর জিনবোধি ভান্তের উপর অবৈধ দখলদার বৌদ্ধ সমিতির নেতারা সন্ত্রাসী হামলা করছে,</t>
  </si>
  <si>
    <t>‘আর তোমরা নিজেদের হত্যা কোরো না। নিশ্চয়ই আল্লাহ তোমাদের ওপর দয়ালু। যে ব্যক্তি বাড়াবাড়ি ও জুলু্মের মাধ্যমে এ কাজ করবে, তাকে আমি আগুনে পোড়াব। এ কাজ আল্লাহর পক্ষে সহজ।’</t>
  </si>
  <si>
    <t xml:space="preserve">ইসলামের সব কিছুই তাদের কাছে অপছন্দের এবং অযৌক্তিক। তাই এক্সট্রাম্যারিটাল এফেয়ার, পর্ণগ্রাফি, প্রি ম্যারিটাল সেক্স, শালীনতা, ফ্যাশন বিজনেস, নগ্নতা, নারীবাদ - এই টপিকগুলোতে আমার এবং লাইফস্প্রিং এর প্রতিটি বক্তব্যে এরা খুব সহজে ট্রিগারড হন। </t>
  </si>
  <si>
    <t>এত সাহস পাচ্ছে কোথায় থেকে, প্রিয় পশ্চিমবঙ্গবাসী আপনারা ওর ইউটিউব চ্যানেল বন্ধ করার ব্যবস্থা করুন, অন্যথায় রাস্তায় নেমে পড়ুন ,</t>
  </si>
  <si>
    <t>তারপর খবর বেরোয় আজকে অমুক আত্মহত্যা করেছে, কালকে অন্যজন করেছে। সংবাদপত্রে নিউজ বের হয় বড় বড় হেডলাইনে, সবাই সমবেদনা জানায়, ফেসবুকে মাতম উঠে, চারিদিকে বেদনার গল্পতে ভরে উঠে, কেউবা আত্মহত্যাকারীর ফেসবুক প্রোফাইল ঘুরে আত্মহত্যার কারণ উদঘাটনের মিথ্যা প্রচেষ্টা চালায়!</t>
  </si>
  <si>
    <t>যারাই কোরআন অবমাননায় অংশ নিয়েছে বা নেবে তাদের প্রত্যেকের জন্য রয়েছে দুনিয়া ও আখিরাতে চরম দুর্ভোগ ও ভয়াবহ শাস্তি।</t>
  </si>
  <si>
    <t>যে অন্যায় করেছে, তা তার দিক থেকে করেছে,তাই বলে ইসলাম ধর্মের কোন ক্ষতি হয়নি।যে অন্যায় করেছে, তা পাপ,তার পাপ।যদি নিজে,নিজে কোন কারনে পুরে সেটা এক কথা,আর পুরিয়েছে, কোন ধর্ম কেউ পুরালে তা তার পাপ।তাই বলে নিজস্ব ধর্ম পুরে যায়না।তা তার মতোই থাকে প্রতিটা মানুষের মাঝে।</t>
  </si>
  <si>
    <t>প্রায় ৭৫ বছর ধরে মসজিদ আছে এটা এলাকার সকল হিন্দুও জানে যেটা একটা মীমাংসিত ইস্যু। তারপরে ২০১৫ সালে তৎকালীন সংসদ সদস্য মনোরঞ্জন শীল গোপাল সেই মসজিদে অনুদান দিয়েছিলেন যার প্রমান আছে। কিন্তু কিছু কুচক্রী মহল হিন্দু-মুসলিম দাঙ্গা বাধিয়েছে রাজনৈতিক ফায়দা হাসিলের জন্য এটাকে মন্দিরের জমিতে মসজিদ নির্মাণ করা হচ্ছে বলে প্রচার করছে।</t>
  </si>
  <si>
    <t>পশ্চিমা মিডিয়ায় যীশু ক্রিস্ট এবং ক্রিশ্চিয়ান ধর্মকে নিয়ে প্রচুর ব্যঙ্গ করা হয়, কিন্তু তার জন্য কোন ক্রিশ্চান গোষ্ঠী কিন্তু সেই পত্রিকার সাংবাদিকদের খুন করতে আসে না। এটাই হল সহনশীলতার পরিচয়। </t>
  </si>
  <si>
    <t>মহানবী (সা.)-কে নিয়ে মন্তব্যের জেরে গত সপ্তাহে ভারতের মুসলিম সম্প্রদায়ের বিক্ষোভ সহিংসতায় রূপ নেয়। এমন প্রেক্ষাপটে ইসলামি সংগঠনের শীর্ষ নেতারা এ আহ্বান জানালেন। সহিংসতার ঘটনায় দুজন নিহত, পুলিশসহ অন্তত ৩০ জন আহত হয়েছেন।</t>
  </si>
  <si>
    <t>২৫ শে মার্চ সন্ধ্যায়, পাকিস্তানি দখলদার সেনাবাহিনী অপারেশন সার্চলাইটটি চালু করে। সেনাবাহিনী যখন ঢাকা নিয়ন্ত্রণে নিয়েছিল এবং জেলাগুলির দিকে অগ্রসর হতে শুরু করে, স্থানীয় সহযোগীরা মুক্তিযোদ্ধাদের প্রতিহত করার জন্য আলবদর ও আল শামসের মতো পাকিস্তানপন্থী আধাসামরিক সংগঠন গঠন করে সংগঠিত করতে শুরু করে।</t>
  </si>
  <si>
    <t>শ্রোতাদের অনেকেই সমাবেশ শেষ হওয়ার পর ফেরার সময় হিন্দুদের উপর আক্রমণ ও হিন্দুদের দোকান লুট করা শুরু করেছিল বলে জানা যায়।[৩][২৯] পরবর্তীকালে, কলকাতায় হ্যারিসন রোডে ইট-পাটকেল সহ সশস্ত্র কট্টরপন্থী মুসলিম গুন্ডাদের বহনকারী লরি (ট্রাক) আসার খবর পাওয়া গিয়েছিল এবং হিন্দু মালিকানাধীন দোকানে আক্রমণ করেছিল।</t>
  </si>
  <si>
    <t>ফলে ২০১১ সালে তাকে জরিমানা করা হয়। পরে ওই নারী অভিযোগ করতে অস্ট্রীয়ার নিম্ন ও উচ্চ আদালতে যান। সেখানে আদালত তার অভিযোগ গ্রহণ না করায় পরবর্তী সময়ে মিসেস এস ইউরোপিয়ান কোর্ট অব হিউম্যান রাইটসে অভিযোগ করেন। দীর্ঘ কয়েক বছর বিচার বিশ্লেষণের পর ইইউ আদালত ওই নারীর বিরুদ্ধে রায় ঘোষণা দিয়ে মহানবী (সা.)-কে কটূক্তির অভিযোগ নিষ্পত্তি করে দেন।</t>
  </si>
  <si>
    <t>অসাম্প্রদায়িক ধর্মান্তরিত নাগরিক হিসেবেও তাদের এমন বিতর্কিত সিদ্ধান্ত দেখে অবাক লাগছে। কিন্তু তাই বলে আমরা হিন্দুরা কি করেছি যে রেফারেন্স এটাই টানতে হয়? এই জিনিসগুলো দেখলে আসলেই ভয়ও লাগে, হাসিও পায় যে এতকাল পরে এই যুগে এসেও মানুষজন এভাবে ভাবে।</t>
  </si>
  <si>
    <t>আহ আফসোস, মুসলিম প্রধান দেশের মুসলিম নাগরীক হয়েও ইসলামের হুকুম আদায়ে কথিত মুসলিমের হাতেই নির্যাতিত হতে হয়।</t>
  </si>
  <si>
    <t>এদিকে রমনা কালী মন্দিরের প্রধান পুরোহিত হরিচাদ চক্রবর্তী বলেন, সনাতন ধর্মের রীতিতে আত্মহত্যা মানেই মহাপাপ। </t>
  </si>
  <si>
    <t>যাত্রাপুর দক্ষিণপাড়া গ্রামের বিমল দাসের দূর্গা পূজামন্ডপে এ ঘটনা ঘটে সোমবার গভীর রাতে।</t>
  </si>
  <si>
    <t>মসজিদের ধ্বংসাবশেষের নীচে একটি "বিশাল কাঠামোর" ধ্বংসাবশেষ ছিল যা "উত্তর ভারতের মন্দিরগুলির সাথে জড়িত স্বতন্ত্র বৈশিষ্ট্যের অবশেষের ইঙ্গিত" ছিল। যা বাবরি মসজিদ নির্মাণের জন্য বিশেষভাবে ভেঙে ফেলা হয়েছিল।</t>
  </si>
  <si>
    <t>প্রকৃত ধার্মীক মনের অজান্তে ধর্ম রক্ষার নামে অধর্মের পথে পা বাড়ায়।পূর্বে বলেছি লোভ মানুষের সহজাত।জান্নাত,স্বর্গ লাভের আশায় চরমপন্থীরা হত্যা করতে কুণ্ঠিত হয়না।</t>
  </si>
  <si>
    <t>বরিশালের সে সময়কার মুসলিম প্রত্যক্ষদর্শীদের মতে,বরিশালে বেশ কয়েক হাজার হিন্দুকে হত্যা করা হয় এবং ২,০০০ হিন্দুর আর কোন হদিস পাওয়া যায়নি। গবেষক শুভশ্রী ঘোষের মতে, বরিশাল জেলায় কমপক্ষে ২,৫০০ জন হিন্দুকে হত্যা করা হয়।[২৮] তথ্যচিত্র নির্মাতা সুপ্রিয় সেন ধারণা করেন, ৬৫০,০০০ জন হিন্দু বরিশাল থেকে ভারতে পালিয়ে যায় এবং ওই শরণার্থীরা তাদের যাত্রা পথেও হত্যা,ধর্ষণ,অপহরণ ও লুটপাটের শিকার হয়।</t>
  </si>
  <si>
    <t> ১৯৭১ সালের ২১ এপ্রিল পাকিস্তান সেনাবাহিনী ফরিদপুরে প্রবেশ করে। তারা স্থানীয় সহযোগীদের সহায়তায় হিন্দু জনগোষ্ঠীকে হত্যা করতে শুরু করে। বকচর গ্রামে আক্রমণের পরিকল্পনা মূলত শান্তি কমিটির একটি বৈঠকে গৃহীত হয়েছিল।</t>
  </si>
  <si>
    <t>মিলের অভ্যন্তরে আশ্রয় নেয়া কেদারনাথ ঘোষ নামে এক ব্যক্তির বাড়িঘর লুটপাট করে মুসলিমরা।[১৭] বিকেল চারটার দিকে মাত্র ২০ জন পুলিশ এসে সেখানে উপস্থিত হয়।আধা ঘণ্টার মধ্যে পুলিশের সামনেই আবার মুসলিমরা হামলে পরে অসহায় হিন্দুদের উপর।</t>
  </si>
  <si>
    <t>আল্লাহ ও তার রাসুল সাঃ কে কটুক্তি করে কেউ পার পাবে না, </t>
  </si>
  <si>
    <t>রাউজান পুলিশ স্টেশনের অন্তর্গত লাম্বুরহাটের বৌদ্ধ জমিদার বাড়িটি পুড়িয়ে ছাই করে দেয় মুসলিমরা।[৩১] এর ফলে প্রচুর সংখ্যক ভীতসন্ত্রস্ত বৌদ্ধ সম্প্রদায়ের মানুষ জীবন বাঁচাতে ভারতের লুসাই পাহাড়ে আশ্রয় নেয়।</t>
  </si>
  <si>
    <t>ঘটনা যতটুকুই হোক আমাদের মিডিয়া একে মহাপ্রলয়ের রূপ দিয়ে ফেলেছে। যদি বলা হয়, ঘটনাটি ক্ষুদ্র তবে সত্য বলা হবে না, আর যদি বলা হয়, মহাপ্রলয় ঘটে গেছে তবে তা-ও সত্য নয়। কিম' আমাদের ‘সংবেদনশীল’ মিডিয়া এসব ক্ষেত্রে সাধারণত অনুপাত রক্ষায় অভ্যস্ত নয়। দিনের পর দিন উপসম্পাদকীয়গুলো ভারাক্রান্ত হয়ে আছে  ক্ষোভ, বেদনা, ঘৃণা ও হতাশায়! </t>
  </si>
  <si>
    <t>১৯৯২ সালে অযোধ্যায় বাবরি মসজিদ ভেঙে ফেলা হলে দেশজুড়ে হিন্দু-মুসলিম সংঘর্ষ ছড়িয়ে পড়ে</t>
  </si>
  <si>
    <t>১৫ মার্চ শাল্লার পার্শ্ববর্তী উপজেলা দিরাই উপজেলায় হেফাজতে ইসলাম আয়োজিত সম্মেলনে সংগঠনটির যুগ্ম মহাসচিব মামুনুল হক বক্তব্য দেন। বঙ্গবন্ধুর ভাস্কর্য বিরোধিতাকারী হিসেবে তাকে আখ্যায়িত করে তার সমালোচনা করে ফেইসবুকে একটি পোস্ট দেন স্থানীয় হিন্দু যুবক ঝুমন দাশ।[</t>
  </si>
  <si>
    <t>ইরাকের উমাইয়া প্রশাসক হাজ্জাজ বিন ইউসুফ এর জবাব দেয়ার অজুহাতে রাজা দাহিরের সিন্ধু রাজ্য আক্রমণ করে। তখন ৭১২ সালে হাজ্জাজ ৬,০০০ অশ্বরোহী নিয়ে আক্রমণ চালায়,মন্দির ধ্বংস করে, </t>
  </si>
  <si>
    <t>২৬ এপ্রিল স্থানীয় সহযোগীদের সহায়তায় সেনারা হিন্দু-অধ্যুষিত কড়ই ও কাদিপুর গ্রামকে নিশানা করে। তারা গ্রামগুলোকে ঘিরে ফেলে এবং পুরুষদের জিম্মি করে নিয়ে যায়। তাদের সারি বেঁধে দাঁড় করানো হয় এবং হালকা মেশিনগানের ব্রাশফায়ারে হত্যা করে হয়।</t>
  </si>
  <si>
    <t>শুধু আল্লাহর সন্তুষ্টির জন্য নেক কাজ করতাম। আজ ৫ বছর হয়ে গেল। সেই সময় এই সিরিজটি দেখে যে অনুভূতি হয়েছিল তা কাউকে বোঝাতে পারবো না। এই সিরিজটি যে উপস্থাপন করেছেন, আল্লাহ উনাকে নেক হায়াত দান করুন।</t>
  </si>
  <si>
    <t>উত্তম বড়ুয়া নামে বৌদ্ধ সম্প্রদায়ের এক যুবকের ফেসবুকে কোরান অবমাননার ছবি কেউ ট্যাগ করে দেয়। এর জের ধরে রামুতে বৌদ্ধ স্থাপনা ও বৌদ্ধ সম্প্রদায়ের মানুষের বাড়িঘরে হামলা করা হয়। দশটিরও বেশি বৌদ্ধ বিহার ও প্রায় ২৫টি বাড়িতে হামলা হয়েছিলো।</t>
  </si>
  <si>
    <t>সাম্প্রদায়িক উত্তেজনার পটভূমিতে, বিক্ষোভটি কলকাতায় ব্যাপক দাঙ্গার সূত্রপাত করেছিল।[১৭][১৮] মাত্র ৭২ ঘন্টার মধ্যে কলকাতায় ৪,০০০ জনের বেশি সাধারণ মানুষ প্রাণ হারিয়েছিল ও ১,০০,০০০ জন বাসিন্দা গৃহহীন হয়েছিল।</t>
  </si>
  <si>
    <t>কুরআন অবমাননাকারী এবং যারা কুরআন সম্পর্কে বিরূপ ধারণা রাখেন তাদের প্রতি আমার বিনীত আবেদন, মনটাকে সম্পূর্ণ উন্মুক্ত রেখে একবার শুরু থেকে শেষ পর্যন্ত কুরআনের অনুবাদ পড়ুন। আমার বিশ্বাস, মক্কার মুশরিকদের মতো আপনার মনও সাক্ষ দেবে ‘এটা কোনো মানুষের কথামালা নয়’।</t>
  </si>
  <si>
    <t>ইফতারে আল্লাহ'র কাছে হাত তুলতে ভুল করবেন না ওদের বিরুদ্ধে সবাই।</t>
  </si>
  <si>
    <t>কুমিল্লার দেবিদ্বারে একটি মসজিদে নামাজরত মুসল্লিদের ওপর হামলা-ভাঙচুর চালানো হয়েছে। এ ঘটনায় মসজিদের সেক্রেটারিসহ চারজন আহত হয়েছেন।</t>
  </si>
  <si>
    <t>হিন্দুদের হাতে বৌদ্ধরা এতটাই নির্যাতিত ও নিপীড়িত হয়েছিল যে বখতিয়ার খিলজীর বাংলা বিজয়কে ভগবানের দান মনে বিজয়োল্লাসে মেতে উঠেছিল।</t>
  </si>
  <si>
    <t>নাচোল পুলিশ স্টেশনে নিয়ে তাদের উপর নৃশংস অত্যাচার চালানো হয় বাকি নেতাদের নাম জানার জন্য। পুলিশের এই বর্বর অত্যাচারে সেখানেই প্রায় ৭০-১০০ জন কৃষক মারা যায়।[১৩] ইলা মিত্রকে নওয়াবগঞ্জ পুলিশ স্টেশনে হস্তান্তরের আগে টানা চার দিন ধরে পাশবিক শারীরিক ও যৌন নির্যাতন করে পুলিশ বাহিনীর সদস্যরা।</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</si>
  <si>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 এদের মধ্যে জোরপূর্বক ধর্মান্তরকরণ, নথিভুক্ত গণহত্যা, মন্দির ও ধর্মীয় স্থান ধ্বংস করা, এবং শিক্ষা প্রতিষ্ঠান ধ্বংস করা উল্লেখিত।</t>
  </si>
  <si>
    <t>৭ জানুয়ারীর রাতে, মুখোশধারী মানুষরা যশোর জেলার মনিরামপুর উপজেলার হজরাইল ঋষিপল্লীর দুইটি হিন্দু বাড়িতে আক্রমণ চালায়। তারা পুরুষদের জিম্মি করে, নারীদের গণধর্ষণ করে।</t>
  </si>
  <si>
    <t>ভাষণ দিলে আপনিও আগে বলুন, হিন্দু ব্রাহ্মণরা যে বৌদ্ধ জৈনদের মন্দির ভেঙে দিয়েছিলো, সেগুলোর ইতিহাস কি মুছে ফেলতে পারবেন?</t>
  </si>
  <si>
    <t>ইসলাম যেখানে ঐক্য, ভ্রাতৃত্ব, আন্তরিকতা ও ভালোবাসার শিক্ষা দিয়েছে, সেখানে বর্তমান সমাজে আজ আমরা দেখছি কতিপয় ওলামার মাধ্যমে মুসলিম ঐক্য ও ভ্রাতৃত্ব নষ্ট হচ্ছে। ফলে মুসলিম শক্তি দুর্বল হচ্ছে। প্রজন্মের মধ্যে আনুগত্য, শৃঙ্খলা ও ভ্রাতৃত্ব বিলুপ্ত হচ্ছে।</t>
  </si>
  <si>
    <t>বাড়ির আরও চারজন পুরুষ সদস্যকেও একইভাবে হত্যা করে উল্লাস করে তারা।[১৬] নবাবপুরের বিখ্যাত দাস স্টুডিও লুটপাট করে তারা এবং আগুনে পুড়িয়ে সম্পূর্ণ ভস্মে পরিণত করে। ১৫ জানুয়ারি রাতে নগরখানপুরের প্রত্যেকটি হিন্দু বাড়িতে একই ভাবে আক্রমণ করে মুসলিমরা এবং লুটপাট-রাহাজানি শেষে ধ্বংস করে দেয় সেগুলো।[১৭] ১৫ জানুয়ারি প্রকাশ্য দিবালোকে টিকাটুলির রামকৃষ্ণ মিশন আক্রমণ করে মুসলিমরা। </t>
  </si>
  <si>
    <t>চট্টগ্রামে গোটা বায়েজীদ বোস্তামি পাহাড়কে হিন্দুরা তীর্থস্থান ঘোষণা করতে চায়, আর সীতাকুণ্ডের স্থানীয় মুসলমানরাও বাকবাকুম করে তাদের সমর্থন জানায়।</t>
  </si>
  <si>
    <t>হামলাকারীদের পুলিশ বাধা দিলে সংঘর্ষ শুরু হয়। সংঘর্ষে ৩ জন নিহত ও ১৭ জন পুলিশ সদস্য আহত হয়।[৩১] এরপরে প্রশাসন হাজীগঞ্জ পৌর এলাকায় ১৪৪ ধারা জারি করে। একই সঙ্গে বুধবার রাতে আইন-শৃঙ্খলা পরিস্থিতি স্বাভাবিক রাখতে দুই প্লাটুন বিজিবি মোতায়েন করা হয়।[</t>
  </si>
  <si>
    <t>লোহারা সাম্রাজ্যের শেষ হিন্দু রাজা হর্ষ (১০৮৯-১১০১) আরেকটি ধর্মীয় নিবর্তনমূলক নিয়ম চালু করেন। তিনি একাধারে হিন্দু মন্দির ও বৌদ্ধ মঠগুলো ধ্বংস করা শুরু করেন।</t>
  </si>
  <si>
    <t>আমার পোস্টের কমেন্ট বক্স আপনাদের ঝগড়া করার যায়গা না। আপনাদেরকে আমার কমেন্ট বক্স তর্ক বিতর্ক না করার জন্য অনুরোধ করলাম।</t>
  </si>
  <si>
    <t>ভারতের গুজরাটে ২০০২ সালের সাম্প্রদায়িক দাঙ্গায় যে ঘটনাগুলো সবথেকে বীভৎস বলে মনে করা হয়, তারই অন্যতম 'গুলবার্গ সোসাইটি গণহত্যা'। আহমেদাবাদের গুলবার্গ আবাসিক এলাকায় কংগ্রেস দলের সংসদ সদস্য এহসান জাফরিসহ ৬৯ জনকে জীবন্ত পুড়িয়ে মারা হয়েছিল।</t>
  </si>
  <si>
    <t xml:space="preserve">অদ্ভুত একটা বিষয় যেখানে সকল ধর্মের মানুষ সুখে শান্তিতে বসবাস করছে ঠিক তখনই রাজনীতিতে হেরে যাওয়া কিছু কতিপয় সাত ঘাটের ঘোল খাওয়া আজ-নিতিবিদ সম্প্রদায়িক খেতা আমাদের প্রিয় এলাকায় ধর্মীয় অনুভূতিতে আঘাত করে উস্কানি দিয়ে হিন্দু, মুসলিম, খিস্টান, আদিবাসী ক্ষুদ্র নৃ-গোষ্টীর মাঝে। </t>
  </si>
  <si>
    <t> গুজব ও মাইকে উস্কানিতে গত ১৬ অক্টোবর, রবিবার দিনভর আশেপাশের গ্রামগুলোতে উত্তেজনা বিরাজ করে। পুলিশ খবর পাওয়ার পর পরিস্থিতি আঁচ করতে পেরে পুলিশ পরিতোষ সরকারের বাড়িসহ আশপাশের বাড়িতে নিরাপত্তা দেয়। কিন্তু সন্ধ্যার পর থেকে গ্রামটি ঘিরে কয়েক হাজার মানুষ জড়ো হয়। রাত ৯টায় তারা অতর্কিত হামলা চালিয়ে রামনাথপুর ইউনিয়নের হিন্দু অধ্যুষিত মাঝিপাড়া, বটতলা ও হাতীবান্ধা গ্রামের হিন্দুদের বাড়িঘর, ব্যবসা প্রতিষ্ঠান ও মন্দিরে হামলা, ভাঙচুর, অগ্নি সংগোযোগ ও লুটপাট করে।</t>
  </si>
  <si>
    <t>দেশটির খ্রিস্টান মিলিশিয়া (Anti-Balaka) ও মুসলিম সশস্ত্র গোষ্ঠীর (Séléka) মধ্যে রক্তক্ষয়ী সংঘর্ষ চলে, যেখানে হাজার হাজার মানুষ নিহত ও বাস্তুচ্যুত হয়েছেন।</t>
  </si>
  <si>
    <t>মিয়ানমারে রোহিঙ্গা মুসলিমদের উপর নির্যাতনকে জাতিগত নিধন হিসেবে বিবেচনা করা হয়।</t>
  </si>
  <si>
    <t>যার যার ধর্ম সে সে নির্ভয়ে পালন করবেন। অবশ্যই কারোও ধর্মীয় অনুভূতিতে আঘাত করে নয়। এ বিষয়ে কঠোর আইন, আইনের প্রয়োগ অত্যন্ত জরুরী। অসংখ্য ধন্যবাদ মাননীয় আদালতকে।</t>
  </si>
  <si>
    <t xml:space="preserve">এরা নামে মুসলিম হলেও এদের কাছে হিন্দুত্ববাদী সংস্কৃতি ই বেশি আপন। এরা নিজেরা আলাদা একটা ধর্ম তৈরি করে ফেলেছে। </t>
  </si>
  <si>
    <t>২৮ ফেব্রুয়ারি ২০১৩, আন্তর্জাতিক অপরাধ ট্রাইব্যুনাল জামায়াতে ইসলামীর সহ-সভাপতি দেলাওয়ার হোসাইন সাঈদীকে একাত্তরের বাংলাদেশ মুক্তিযুদ্ধের সময় সংঘটিত যুদ্ধাপরাধের জন্য মৃত্যুদন্ডের সাজা প্রদান করে। এই সাজার পরে জামায়াতে ইসলামী এবং এর ছাত্র সংগঠন ইসলামী ছাত্র শিবিরের কর্মীরা দেশের বিভিন্ন স্থানে হিন্দুদের উপর হামলা চালায়।</t>
  </si>
  <si>
    <t>১৯৯২ সালের ৭ ডিসেম্বর বাংলাদেশের জাতীয় মন্দির ঢাকেশ্বরী মন্দিরে হামলা করে মুসলিমরা।বাবরী মসজিদ ভাঙ্গার গুজবকে কেন্দ্র করে ১৯৯০ সালেও এই মন্দিরে হামলা করেছিল মুসলিমরা।</t>
  </si>
  <si>
    <t>বয়কট ফ্রান্স আন্দোলন: ইসলাম নিয়ে এমানুয়েল ম্যাক্রঁর মন্তব্যে বাংলাদেশে কি ফরাসীদের ভাবমূর্তি ক্ষুন্ন হবে?</t>
  </si>
  <si>
    <t>বিবিসির সংবাদদাতা বলছেন, এই হত্যাকাণ্ডকে কেন্দ্র করে জাতীয় ঐক্যের বিরল এবং ‘নাটকীয় প্রদর্শন‘ দেখা গেলেও, এটা অস্বীকার করার উপায় নেই যে ধর্মনিরপেক্ষতা এবং মত প্রকাশের স্বাধীনতা নিয়ে ফরাসী সমাজের কিছু অংশের ভেতর আপত্তি তীব্র হচ্ছে।</t>
  </si>
  <si>
    <t xml:space="preserve">যে মানুষটি সবাইকে নিয়ে হিন্দু-মুসলিম শিখ, ইশাই,, আদিবাসী তপশিলি, খ্রিস্টান, মতুয়া নব শুদ্ধ, দলিত সমস্ত জনজাতি কে নিয়ে চলতে পারবে সেই দেশের আসল নেতা, আমরা পশ্চিমবঙ্গবাসী তার সাথে আছি। </t>
  </si>
  <si>
    <t>কিন্তু মুরাদনগর থানার ভারপ্রাপ্ত কর্মকর্তা মোহাম্মদ কামরুজ্জামান তালুকদার বলছেন, এখন পর্যন্ত যতটুকু তথ্য পাওয়া গেছে তাতে ধর্ম অবমাননার বিষয় নেই বরং স্থানীয় রাজনীতির উপাদান আছে। তবে পূর্নাঙ্গ তদন্ত শেষেই বলা যাবে কি হয়েছিলো বা কেনো হয়েছিলো।</t>
  </si>
  <si>
    <t>ইসলামি উগ্রবাদীরা অবশিষ্ট অল্প সংখ্যক হিন্দুদের উপত্যকা থেকে বিতাড়িত করে। হিন্দুরা গৃহহীন হয়ে জম্মু ও দিল্লিতে শরণার্থী হিসেবে আজও দুর্বিষহ জীবন যাপন করছে।</t>
  </si>
  <si>
    <t>যে যুক্তিতে একজন মানুষ সমকামীতাকে সাপোর্ট করে এবং এটাকে স্বাভাবিক বলে সেই একই যুক্তিতে তো ইনসেস্ট ও স্বাভাবিক হওয়া উচিৎ(নাউজুবিল্লাহ) ! আসলে কি তাই?</t>
  </si>
  <si>
    <t>আর ক্যামেরার সামনে মুন্না ধর্মের বাণী যদি দেয় ই, তাহলে আপনি ওর স্ট্যান্ডআপ কমেডি দেখেন নাই। ও কিভাবে কুসংস্কার গুলা তুলে ধরে। যার পোস্ট শেয়ার দিছেন, আপনিও তার মতই।</t>
  </si>
  <si>
    <t>আল্লাহর রাস্তায় নিহত ব্যক্তি ছাড়াও মহামারী, আগুনে পুড়ে, পানিতে ডুবে ও বিভিন্ন দুর্ঘটনায় মৃত্যুবরণকারীরাও শহীদের মর্যাদা লাভ করবেন। </t>
  </si>
  <si>
    <t>ধর্মের নামে মানুষ হত্যা কোন যুক্তিতে মেনে নেওয়া যায় না।। এটা খুবই দুঃখ জনক।।</t>
  </si>
  <si>
    <t>পুরো রমনা এলাকা পাকিস্তানি বাহিনীর সার্চলাইটে আলোকিত হয়ে ওঠে। এরই মধ্যে শুরু হয় কামানের গোলা বর্ষণ। রমনা কালী মন্দিরে প্রবেশ করেই পাকিস্তানি বাহিনী একধরনের বিস্ফোরক ছুড়তে থাকে। তবে কেউ কেউ বলেছেন, তারা কামান দিয়ে গোলা বর্ষণ করে।</t>
  </si>
  <si>
    <t>২২শে এপ্রিল, লেফ্টেন্যান্ট জেনারেল মহম্মদ আজম খান, যিনি সেসময় পূর্ববঙ্গের গভর্নর ছিলেন। সেই তিনি সাংবাদিক সম্মেলনে ভারতে মুসলিমদের ওপর অত্যাচারের কাল্পনিক গালগল্প বলতে থাকেন। </t>
  </si>
  <si>
    <t>যেকোনো ধর্মের অবমাননা করলেই কঠোর শাস্তি দেওয়া উচিত। যার যার ধর্ম সে পালন করবে। কারো ধর্মীয় অনুভূতিতে আঘাত দিয়ে এদেশে মানুষের একতা নষ্ট করতে যেন কেউ সাহস না পায়, তার জন্য আরো বেশি তৎপর হওয়া উচিত</t>
  </si>
  <si>
    <t>আমরা আধুনিক হয়ে যাচ্ছি মানে এই না যে ধর্মকে ভুলে যাব। দেশের এই ভয়াবহ করোনা মোকাবেলার সময় ও কি মৃত্যুর ভয় নেই। মুসলিম হয়েও অনেকে নাস্তিকের মতো জবাব দিচ্ছে।</t>
  </si>
  <si>
    <t>পূর্ব পাকিস্তানের পাঁচটি দৈনিক পত্রিকা তাদের ছাপানো বন্ধ করে দেয়।[১৬] আন্তর্জাতিক সংবাদ সংস্থা রয়টার্স একটি প্রতিবেদনে উল্লেখ করে যে,শুধুমাত্র ঢাকা শহরেই ১,০০০ এর উপর নিরীহ হিন্দুকে হত্যা করা হয়েছে। এ রিপোর্ট প্রকাশের পরে পাকিস্তান সরকার তীব্র প্রতিক্রিয়া প্রদর্শন করে।</t>
  </si>
  <si>
    <t>৫ জানুয়ারি, ১৯৫০ সালে নাচোল পুলিশ স্টেশনের নিয়ন্ত্রণাধীন চণ্ডীপুর গ্রামের সাঁওতাল অধিবাসীরা পুলিস স্টেশনের সামনে বিক্ষোভ শুরু করে কারণ পুলিশ বাহিনী বিনা কারণে একজন সাঁওতাল আদিবাসীকে আটক করে। কিন্তু পুলিশ ঐ জনসমাবেশের ওপর গুলি চালালে সাঁওতাল আদিবাসীরা সহিংস হয়ে ওঠে এবং পুলিশের সাথে তাদের হানাহানি শুরু হয়।</t>
  </si>
  <si>
    <t>১৭ অক্টোবর রবিবার রাত ১০টায় ফেসবুকে ইসলাম বিদ্বেষী মন্তব্য করার অভিযোগে ইসলাম ধর্মাবলম্বীরা রংপুর জেলার পীরগঞ্জ উপজেলার রামনাথপুর ইউনিয়নের হিন্দু অধ্যুষিত মাঝিপাড়া, বটতলা ও হাতীবান্ধা গ্রামে আক্রমণ করে।</t>
  </si>
  <si>
    <t>বোকা বাঙালি জানে না যে, এর পরিণতি কি? পাশ্ববর্তী ভারতে যেসব এলাকাকে তীর্থস্থান ঘোষণা করা হয়েছে, তার প্রতিটিকে হিন্দুরা আমিষ খাদ্য বিক্রয় নিষিদ্ধ করেছে।</t>
  </si>
  <si>
    <t>ভারতের পক্ষে বয়কট বাংলাদেশ: বাংলাদেশী অধ্যুষিত এলাকা ফাঁকা,  বাংলাদেশীদের ফ্রী রেশন ও ভাতা বন্ধ, অনুন্নত সুন্দরবন, অসম ও ত্রিপুরার উন্নতি, দেশীয় পণ্যের দাম কম</t>
  </si>
  <si>
    <t xml:space="preserve">প্রাচ্যের অক্সফোর্ড খ্যাত ঢাকা বিশ্ববিদ্যালয়ে ২০২২ সালের টিএসসিতে তারাবির নামাজ আদায়কালে মুসল্লিদের উপর আক্রমণ, </t>
  </si>
  <si>
    <t>কুষ্টিয়ার কুমারখালীতে একটি স্কুলের প্রধান শিক্ষককে ধর্মীয় অনুভূতিতে আঘাতের অভিযোগ এনে তার বাড়িতে হামলা ও ভাঙচুরের ঘটনায় উদ্বেগ জানিয়েছে হিউম্যান রাইটস ফোরাম বাংলাদেশ</t>
  </si>
  <si>
    <t>পাকিস্তান সশস্ত্র বাহিনী বরগুনা ত্যাগ করার পরে, পিস কমিটির সদস্যরা ঘোষণা করল যে এখন হিন্দুরা শহরে ফিরে আসতে পারে। বর্ণ হিন্দু ব্যতীত তাদের কাউকে হত্যা করা হবে ন।[৩] শান্তি কমিটির কাছ থেকে আশ্বাস পাওয়ার পরে অনেক বাঙালি হিন্দু বরগুনায় তাদের বাড়িতে ফিরে এসেছিল।</t>
  </si>
  <si>
    <t>মাইকে বেশ কিছু উগ্রপন্থী মুসলমানরা হামলা ঘোষণা দিয়ে হামলা চালায় এতে ৮৮টি বাড়িঘর এবং ৭/৮টি পারিবারিক মন্দির ভাংচুর এবং আসবাবপত্র তছনছ করা হয়েছে।[২] হামলা ও ভাংচুরে নেতৃত্বে ছিলেন দিরাই উপজেলার সরমঙ্গল ইউনিয়নের ৯ নম্বর ওয়ার্ডের নাচনী গ্রামের মেম্বার ও ওয়ার্ড যুবলীগ সভাপতি শহীদুল ইসলাম স্বাধীন ও তার আরেক সহকারী পক্কন মিয়া।[৩] এ ঘটনায় এখন পর্যন্ত ৩৮ জনকে গ্রেফতার করা হয়েছে এবং তদন্ত চলমান রয়েছে।[৩] তবে হামলার ঘটনায় কেউ কেউ হেফাজতে ইসলাম বাংলাদেশকে জড়িত বলেছেন।</t>
  </si>
  <si>
    <t>পাকিস্তানি পুলিশ,প্যারা মিলিটারি বাহিনী বাঙালি হিন্দুদের ওপর হত্যা, লুটপাট, অগ্নিসংযোগ, নির্যাতন,অপহরণ, ধর্ষণ চালায়।[১] ১৯৫০ সালের ফেব্রুয়ারি-মার্চ মাস জুড়ে এই দাঙ্গা অব্যাহত থাকে। অনেক হিন্দু বাঙালী পূর্ববঙ্গ থেকে প্রাণ হাতে পালিয়ে পশ্চিমবঙ্গে চলে আসেন।</t>
  </si>
  <si>
    <t>মহাশিবরাত্রির সকালে অর্থাৎ ২৬ ফেব্রুয়ারী, বুধবার সকালে তাড়াতাড়ি ঘুম থেকে উঠে স্নান ইত্যাদি করার পর হাতে জল-চাল নিয়ে ব্রত-পুজোর সংকল্প নিন। যে ব্রত আপনি করতে চান, সেই অনুযায়ী সংকল্প নিতে হবে।</t>
  </si>
  <si>
    <t>কুরআনের অবমাননা সব ধর্মীয় শিক্ষা এবং আন্তর্জাতিক রীতিনীতির পরিপন্থী। এ ধরনের অবমাননাকর কর্মকাণ্ড বন্ধ করার জন্য সৌদি সরকারের পক্ষ থেকে অনুরোধ করা হয়েছে।</t>
  </si>
  <si>
    <t xml:space="preserve">বোনেরা হিজাব, নিকাব যে যতটুকুই করছেন এক ধাপ আগে বাড়ুন। একসাথে ইফতার করুন, ঘোরাফেরা করুন। </t>
  </si>
  <si>
    <t>কয়েকটি ইউরোপীয় বিবরণ ভারতীয় সতীদাহের বিরল বর্ণনা প্রদান করে যার মধ্যে বিধবাকে তার মৃত স্বামীর সাথে কবর দেওয়া অন্তর্ভুক্ত ছিল।</t>
  </si>
  <si>
    <t>কোনো একটি ধর্মের উৎসব পালন করা অন্যায় অবিচার অপকর্ম হিসেবে গণ্য হয়, এমন মানসিকতার দেশে জন্মে আমি লজ্জিত..</t>
  </si>
  <si>
    <t>আমরা সবাই এর বিচার চাই চাই বলে এখন চিল্লা ফাল্লা করছি, তাহলে একে মারলো কে? ধর্মের নামে উগ্রবাদ এই দেশ থেকে বন্ধ করতে হবে।</t>
  </si>
  <si>
    <t>হে আল্লাহ আপনি পবিত্র কোরআনকে হেফাজত করুন এবং কোরআনের মাধ্যমে ওদেরকে ধ্বংস করে দেন। সমস্ত পৃথিবীর মানুষ দেখুক যে আল্লাহ কি পারে। তুমি নাস্তিকদেরকে ধ্বংস করে দাও।</t>
  </si>
  <si>
    <t>ধর্ম হচ্ছে মানুষের সর্বোচ্চ আবেগের জায়গা। যা মানুষের ঈমান বা বিশ্বাসের সর্বোচ্চ স্থান। এই ঈমান আবেগের সাথে যে বা যারা খেলা করছে তারা মনুষ্যত্বহীন। কারো ধর্মের উপর আঘাত কেউ সহ্য করতে পারেনা। হোক সে মুসলিম হিন্দু বা অন্যান্য ধর্মাবলম্বী।</t>
  </si>
  <si>
    <t>খতিয়ার খিলজীর বাংলা আক্রমণের আগেও নির্যাতিত বৌদ্ধদের পক্ষে অবস্থান নিয়েছিলেন বাংলার মুসলিমরা এবং তাঁদের বিভিন্নভাবে সাহায্য করেন</t>
  </si>
  <si>
    <t>যুক্তরাষ্ট্রে খ্রিস্টানদের দেশে, মানুষ স্বাধীনভাবে রাস্তায় নামাজ আদায় করার সুযোগ পাচ্ছেন।</t>
  </si>
  <si>
    <t>আমরা কারো ধর্ম নিয়ে কখনো কটুক্তি করে ফেসবুকে পোস্ট করি না কিন্তু আমাদের ধর্ম নিয়ে অন্যরা বাজে পোস্ট করে আর এই ধর্ম অবমাননার শাস্তি খুব কঠোর হওয়া উচিত আল্লাহ সর্বশক্তিমান</t>
  </si>
  <si>
    <t>ধর্ম আগে না মানুষ আগে। ধর্মের জন্য মানুষ এসেছে নাকি মানুষের জন্য ধর্ম। যতদিন ধর্মীয় বিশ্বাস দিয়ে মানুষকে বিচার করা হবে ততদিন সংখ্যালঘুরা বঞ্চনার শিকার হতে হবে।</t>
  </si>
  <si>
    <t>সারা পৃথিবীতে সন্ত্রাস সৃষ্টিকারী ইসলামী জঙ্গিরা।</t>
  </si>
  <si>
    <t>বিশ্বের অধিকাংশ দেশের ধর্ম নিরপেক্ষ শিক্ষানীতির আবহে এ ধরনের প্রজন্মের সূত্রপাত, যা নাস্তিক্যের দুয়ার খুলে দিয়ে দুনিয়া ও আখেরাতে ধ্বংসের এক আহবান।</t>
  </si>
  <si>
    <t xml:space="preserve">উনার উদ্দেশ্যে একটা বার্তা - বাংলাদেশে অহরহ ধর্ম ব্যাবসায়ী আছে যারা ধর্মের নামে দেশে নিজস্ব স্বার্থের জন্য দা`ঙ্গা ছড়িয়ে দেয়! </t>
  </si>
  <si>
    <t>লালমনিরহাট জেলায় বিরোধী দল দ্বারা হুমকি দেওয়া হয়েছিল, ভোট না দেওয়ার জন্য। প্রশাসন থেকে নিরাপত্তা না পাওয়ায় সেখানের হিন্দু ধর্মাবলম্বীরা ভোট দিতে যায়নি।</t>
  </si>
  <si>
    <t>২০২১ সালের ১৭ মার্চ সুনামগঞ্জের শাল্লা উপজেলার নোয়াগাঁওয়ে ৯১টি হিন্দু বাড়িতে হামলা ও লুটপাট করা হয়৷  হেফাজত নেতা মামুনুল হকের বিরুদ্ধে ঝুমন দাস নামের এক যুবকের কথিত ফেসবুক পোস্টে ধর্ম অবমাননার অজুহাত তোলা হয়৷ আর ওই পোস্ট যে ঝুমন দাস দিয়েছেন তার প্রমাণ এখনো মেলেনি৷</t>
  </si>
  <si>
    <t>দু‌'হাজার পনের সালে শার্লি এব্দো হত্যাকাণ্ডের মত নিহতদের স্মরণে দেশজুড়ে এক মিনিটের যে নীরবতা কর্মসূচি নেওয়া হয়েছিল, তাতে বেশ কিছু মুসলিম শিক্ষার্থী অংশ নিতে অস্বীকার করেছিল।</t>
  </si>
  <si>
    <t>আমরা সেই মুসলিম যারা আমাদের ইসলামের জন্য জীবন দিতে রাজি আছি ইসলাম যদি আমাদের দেহ হয় কোরআন আমাদের আত্মা আমাদের আত্মায় হাত দিলে কাওকে ছেরে কথা বলবো না ইনশাআল্লাহ</t>
  </si>
  <si>
    <t>গড়পার এলাকায় ভয়ানক হত্যাকাণ্ড শুরু হয়েছে। খালের পশ্চিমপাড়ে হিন্দুদেরকে পাইকারিভাবে হত্যা করা হচ্ছে। হিন্দুদের ঘর-বাড়ি জ্বালিয়ে দেওয়া হচ্ছে</t>
  </si>
  <si>
    <t>কুরআনের আয়াত অনুযায়ী, আল্লাহ মানুষকে একটি বৃহৎ পরিবার হিসেবে দেখেন, যেখানে প্রতিটি ধর্মের মানুষকে একে অপরকে শ্রদ্ধা ও ভালোবাসা প্রদান করা উচিত।</t>
  </si>
  <si>
    <t>কলকাতা দাঙ্গার রেশ ধরে এই ভয়াবহ দাঙ্গা ঘটে। যদিও এর পূর্ববর্তী কলকাতা দাঙ্গা ও পরবর্তী বিহার দাঙ্গার থেকে হতাহত সংখ্যা অপেক্ষাকৃত কম।</t>
  </si>
  <si>
    <t>খাগড়াছড়িতে বৌদ্ধ বিহারে তল্লাসী ও ভিক্ষুকে লাঞ্চিত করায় নিন্দা প্রকাশ</t>
  </si>
  <si>
    <t>আমার বান্ধবী এখন একজন সত্যিকারের বিলিভার। জায়নামাজে বসলেই আল্লাহর প্রতি কৃতজ্ঞতায় হাও মাও করে কাঁদে। অথচ এই বিশ্বাস এর ভীতটা গেড়ে দিয়েছিলেন একজন পাদ্রী।</t>
  </si>
  <si>
    <t xml:space="preserve">চন্দ্রনাথ পাহাড়ে আজান দিলে হয় উগ্রতা। আর মূর্তির পায়ে কুরআন রাখা হয় সম্প্রীতি...!!অবিলম্বে যদি অপরাধীদের প্রকাশ্যে দৃষ্টান্তমূলক শাস্তির ব্যবস্তা না করা হয় তাহলে গোটা বাংলাদেশে একযোগে আন্দোলনের দাবানল জ্বালানো হবে। ইনশাআল্লাহ </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</si>
  <si>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</si>
  <si>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 টঙ্গীপাড়া গ্রামের ভূঁইয়া বাড়ির মন্দির ভাঙচুর করা হয়। এই হামলায় ছয় জন আহত হয়।[১৪] সহিংসতা পর্যায়ক্রমে সন্ধ্যা অবধি অব্যাহত ছিল। সাড়ে ৬ টার দিকে পরিস্থিতি নিয়ন্ত্রণে আনতে র‌্যাপিড অ্যাকশন ব্যাটালিয়ন মোতায়েন করা হয়।[১৩] ২৩ শে মার্চ, ইসলামী উগ্রপন্থীরা কোম্পানীগঞ্জ উপজেলাধীন একটি মন্দিরে ভাঙচুর ও লুটপাট করেছে, ২৬ মার্চ দুর্বৃত্তরা বেগমগঞ্জ উপজেলার জির্তালি ইউনিয়নের হিন্দু বাড়িতে আগুন ধরিয়ে দেয়</t>
  </si>
  <si>
    <t>আমরা যদি ফেসবুকে সচেতনভাবে নিজস্ব ভাবনা ও মূল্যবোধ থেকে পোস্ট করি, তাহলে তা ইতিবাচক আলোচনার সৃষ্টি করবে। যদি আমরা সবাই যার যার ধর্ম সঠিকভাবে পালন করার চেষ্টা করি, তাহলে আমাদের মধ্যে সম্প্রীতি ও ঐক্য আরও দৃঢ় হবে।</t>
  </si>
  <si>
    <t>ধর্ম মানুষের মধ্যে শান্তির অনুভূতি তৈরি করে, যা তাকে জীবনে সব ধরনের অশান্তি থেকে মুক্তি দেয়। এটি মানুষকে একে অপরকে বুঝতে এবং সম্মান করতে শেখায়।</t>
  </si>
  <si>
    <t>বরিশালে খ্রিস্টান পরিবারের ওপর হামলা</t>
  </si>
  <si>
    <t xml:space="preserve">আন্তর্জাতিক সংবাদসংস্থা এ পি কে আহমেদাবাদে গতকাল সন্ধ্যায় জানান, গণকবরের অভ্যন্তরে পাওয়া এ পর্যন্ত ছয়টি নরকঙ্কাল বিষয়ে বিস্তারিত তেমন কিছুই জানা যায় নি৷ বোঝা যাচ্ছে না, ওই এলাকায় ২০০২ সালের সাম্প্রদায়িক দাঙ্গায় দাঙ্গাকারীরাই এদের হত্যা করে মাটিতে পুঁতে দিয়েছিল </t>
  </si>
  <si>
    <t>স্টিমারের নাবিকদল হিন্দু যাত্রীদের কাছ থেকে সর্বস্ব হাতিয়ে নিয়ে যায়। আনুমানিক রাত ৮টার দিকে উন্মত্ত মুসলিমরা স্টিমারের হিন্দু যাত্রীদের উপর চড়াও হয়,যদিও তখন স্টিমার ঘাটে নোঙ্গরকৃত অবস্থায় ছিল।তারা নিরস্ত্র হিন্দু যাত্রীদেরকে নৃশংসভাবে হত্যা করে এবং মৃতদেহ গুলো নদীতে নিক্ষেপ করে।কমপক্ষে ৩০ জন হিন্দু সেদিন নিহত হয় এবং ভাগ্যক্রমে তিন জন হিন্দু আহত অবস্থায় বেঁচে যায়।</t>
  </si>
  <si>
    <t>২০০১ এবং ২০০৫ সালের এপ্রিলের মধ্যে মন্দিরে হামলার একশটি মামলা পুলিশের কাছে নথিভুক্ত হয়েছে। মন্দির হামলার সংখ্যার আশঙ্কাজনক বৃদ্ধি হিন্দুদের মধ্যে ভয় ও আতঙ্ক ছড়িয়েছে । ফলে হিন্দুরা প্রতিবেশী অস্ট্রেলিয়া এবং নিউজিল্যান্ডে দ্রুত অভিবাসন করেছে। ফিজির মেথডিস্ট চার্চের মতো সংগঠিত ধর্মীয় প্রতিষ্ঠান বারবার খ্রিস্টান রাষ্ট্র গঠনের আহ্বান জানিয়েছে এবং হিন্দু বিরোধী মনোভাব প্রচার করেছে।</t>
  </si>
  <si>
    <t>১৯৮৭ সালের ২২ শে মে, ভারতের উত্তর প্রদেশ রাজ্যের মিরাট শহরে হিন্দু-মুসলিম দাঙ্গার সময় হাশিমপুরা গণহত্যা ঘটেছিল, যখন প্রাদেশিক সশস্ত্র কনস্টাবুলারি (পিএসি) -এর ১৯ জন সদস্যকে হাশিমপুরা মহল্লা ( লোকাল ) থেকে ৪২ জন মুসলিম যুবককে আটক করা হয়েছিল বলে অভিযোগ পাওয়া গেছে।</t>
  </si>
  <si>
    <t>যে দেশ হওয়ার কথা ছিলো সকল বর্ণের গোত্রের, ধর্মের, যে দেশের জন্য প্রাণ দিয়েছেন সকল ধর্ম বর্ণ নির্বিশেষে শহীদেরা, সে দেশের অগ্রগতি আর সমৃদ্ধি!</t>
  </si>
  <si>
    <t>যুগ যুগ ধরে এভাবেই মুসলিমদের রক্ত ঝরছে পৃথিবীর প্রান্তে প্রান্তে। মুসলিম বিরোধী এ আগ্রাসন প্রতিনিয়তই বৃদ্ধি পাচ্ছে। যা কোন ভাবেই শেষ বা বন্ধ হবার লক্ষণ দেখা যাচ্ছে না। আরাকান, কাশ্মীর, ফিলিস্তিন, পূর্ব-তুর্কিস্তান সর্বত্রই একই অবস্থা।</t>
  </si>
  <si>
    <t>পরের দিন ১১ই অক্টোবর সকাল বেলা করপাড়ার চৌধুরী বাড়িতে হামলা হয়। পরিবারটি প্রথম দিকে বন্দুক ব্যবহার করে হামলাকারীদের ঠেকিয়ে রাখলেও একসময় তাদের গুলি ফুরয়ে যায়।</t>
  </si>
  <si>
    <t>বাংলাদেশ কয়েকটি ধর্মনিরপেক্ষ মুসলিম-সংখ্যাগরিষ্ঠ দেশগুলির মধ্যে একটি এবং "ধর্মান্তরকরণ" অর্থাৎ একটি ধর্ম থেকে অন্য ধর্মে ধর্মান্তরিতকরণ সাধারণত এখানে গৃহীত হয় এবং সংবিধানের ৪১ অনুচ্ছেদের অধীনে আইন, জনশৃঙ্খলা এবং নৈতিকতা সাপেক্ষে আইন দ্বারা বৈধ করা হয়।</t>
  </si>
  <si>
    <t>আদিত্যপুর গণহত্যা বলতে বাংলাদেশের স্বাধীনতা যুদ্ধ চলাকালে পাকিস্তানি দখলদারি সেনাবাহিনীর দ্বারা বাংলাদেশের সিলেট জেলার আদিত্যপুর গ্রামে বাঙ্গালী হিন্দুদের উপর সংগঠিত একটি হত্যাকান্ডকে বুঝায়। ১৯৭১ সালের ১৪ই জুন, পাকিস্তানি হানাদার বাহিনী রাজাকারদের সহযোগিতায়, সিলেট জেলার আদিত্যপুর গ্রামে ৬৩ জন বাঙ্গালী হিন্দুকে হত্যা করে।</t>
  </si>
  <si>
    <t xml:space="preserve">পৃথিবী যখন সিরিয়ায় আহত-নিহত মানুষদের জন্য সীমান্তগুলি বন্ধ করে দিয়ে বসে ছিল, ঠিক তখন এক ভদ্রলোক নিজের দেশের সীমানায় সিরিয়ার তাড়া খাওয়া মানুষগুলির জন্য বর্ডার খুলে দিয়ে দাঁড়িয়ে ছিলেন। </t>
  </si>
  <si>
    <t>১ অক্টোবরে প্রায় ১,০০০ মুসলিম জনতার একটি সশস্ত্র দল ঢাকায় অবস্থিত ভারতীয় দূতাবাসে উপর হামলা চালায় এবং দূতাবাসের বাইরে অপেক্ষারত এক মধ্যবয়স্ক হিন্দু ভদ্রলোককে নির্মমভাবে পিটিয়ে আহত করে।[৫] এরপরে সমগ্র ঢাকা শহরে সান্ধ্য আইন জারি করা হয়।</t>
  </si>
  <si>
    <t>দাফনের পরে প্রত্যেক ব্যক্তিকে কবরে মুনকার এবং নকির নামে দুজন ফেরেশতা জিজ্ঞাসাবাদ করেন, মৃতদের জিজ্ঞাসা করার করার জন্য এবং তাদের বিশ্বাস পরীক্ষা করার জন্য ঈশ্বর তাদেরকে নিযুক্ত করেছিলেন। </t>
  </si>
  <si>
    <t>ইমাম নওয়াবী তাঁর মাজমুতে (আইনি বিধানের একটি বিস্তৃত সংকলন) ইমাম আল-শাফিঈর কিতাবুল-উম্ম (আইনশাস্ত্রের উপর তাঁর মৌলিক রচনা) থেকে উদ্ধৃতি দিয়েছেন যে, পাঁচটি রাত রয়েছে যখন দু'আ (প্রার্থনা) কবুল করা হয়, যার মধ্যে একটি হল ১৫ই শা'বানের রাত।</t>
  </si>
  <si>
    <t>কী নিকৃষ্ট, ঘৃণ্য ও বিভৎস দৃশ্য! হ্যা, এভাবেই ভারতের সংখ্যালঘু মুসলিম সম্প্রদায় বিভিন্ন সময় দাঙ্গা হাঙ্গামা, সাম্প্রদায়িক নির্যাতন ও হ্যারেজের স্বীকার হচ্ছে। রাষ্ট্রীয় সহায়তায় একেরপর এক মসজিদ ভেঙ্গে দেয়া, মুসলিম বসতি গুঁড়িয়ে দেয়া, মাদরাসা বন্ধ করে দেয়ার মত ন্যাক্কারজনক ঘটনা ঘটছে ভারতের মাটিতে। এভাবে চলতে থাকলে তাদের কাঙ্ক্ষিত লক্ষ্যে পৌঁছতে বেশি সময় লাগবে না!</t>
  </si>
  <si>
    <t>কুঞ্জ কুমার নামে বৃদ্ধকে জ্যান্ত পুড়িয়ে হত্যা করে দাঙ্গাকারীরা।[৩৪] ১৩ অক্টোবর দুপুর ১২টার সময় মারাত্মক অস্ত্রসস্ত্রে সজ্জিত ২০০-২৫০ জনের মুসলিমদের একটি দল চাঙ্গিরগাঁও এর হিন্দুদের উপর হামলে পড়ে। তারা হিন্দুদের ১,৫০০ মণ ধান পুড়িয়ে ভস্মে পরিণত করে দেয়। এলাকার সমস্ত মন্দির গুড়িয়ে দেয়া হয়। তারা সকল হিন্দু মহিলাদের শাঁখা ভেঙ্গে ফেলে, সিঁথির সিঁদুর মুছে দেয় আর হিন্দু পুরুষদের নামাজ পড়তে বাধ্য করে। [৩৫]</t>
  </si>
  <si>
    <t>জমিদার মোকলেছুর রহমান ছিলো খুবই ন্যায়পরায়ণ জমিদার দেশ ভাগের সময় সব জায়গায় হিন্দু মুসলিম দাঙ্গা লাগলেও তিনি তারা এলাকা রেখেছেন সবকিছু থেকে আলাদা এবং সম্প্রতির।এখনও এই বাড়ীর ভিতরে প্রবেশ অনেকটা নিষিদ্ধ আমরা টুরিস্ট বলায় তিনি আমাদের ভিতরে প্রবেশ করতে দেন কিন্তু মূল বাড়ির ভিতরে ঢুকে দেখার কোন অনুমতি পাইনি।</t>
  </si>
  <si>
    <t>যারা বিজ্ঞানকে ভালবেসে খবরাখবর রাখেন, সাথে সাথে প্রচন্ড রকম ধর্মভীরু (যেমন আমি) তারা জানে, জীবন মানে শুধুই উপরওয়ালাকে ইবাদৎ করা আর বিজ্ঞানচর্চা হচ্ছে সেই ইবাদতেরই একটা অংশ মাত্র।</t>
  </si>
  <si>
    <t>বড় পুলিশ অধীক্ষকের (SSP) কপালে একটা পাথরখন্ড লাগে এবং তিনি পড়ে যান। অতিরিক্ত জেলা দন্ডাধীশ (ADM) ডি.পি. সিংকে কয়েকজন লোক ধরে নিয়ে যায় এবং পরে তার মৃত্যু ঘটে। পুলিশ তখন ভিড়কে উদ্দেশ্য করে এলোপাথাড়িভাবে গুলি চালাতে থাকে।[৬] গুলি লেগে বেশ কয়েকজন মুসলমান ব্যক্তির মৃত্যু ঘটে। হুড়োহুড়িতে প্রায় ৫০জন লোকের প্রাণ যায়। পরে মুসলমান নেতা সৈয়দ সাহাবুদ্দিন এই ঘটনাকে জালিয়ানওয়ালাবাগ হত্যাকাণ্ড-এর সাথে তুলনা করেছিলেন।</t>
  </si>
  <si>
    <t> হিন্দুদের বাড়িঘরে ভাঙচুর, অগ্নিসংযোগ ও লুটের অভিযোগে। এই মামলায় ৪১ জনের নাম উল্লেখসহ অজ্ঞাতপরিচয় অনেককে আসামি করা হয়। দ্বিতীয় মামলাটি ডিজিটাল নিরাপত্তা আইনে ফেসবুকে ধর্ম অবমাননার মন্তব্য করার অভিযোগে অভিযুক্ত আসামি পরিতোষ সরকার (১৫) এর নামে। [৮০]পরিতোষকে ১৮ অক্টোবর রাতে জয়পুরহাট থেকে আটক করা হয়।</t>
  </si>
  <si>
    <t>মহানবী (সা.)-এর জীবনী পড়ে ইহুদি তরুণীর ইসলাম গ্রহণ একটি মার্কিন ইহুদি পরিবারে জন্ম মিশেলের। বাবার মৃত্যুর পর তাঁর মা ধর্মান্তরিত হলে তিনিও খ্রিস্টধর্ম গ্রহণ করেন। কিন্তু খ্রিস্টধর্মে মানসিক প্রশান্তি খুঁজে না পাওয়ায় ইহুদি ধর্মে ফিরতে চান। পরিশেষে ইহুদি ধর্মও তাঁকে আশ্বস্ত করতে ব্যর্থ হয়।</t>
  </si>
  <si>
    <t>জোরপূর্বক ইসলামে ধর্মান্তরিতদের কাছ থেকে জোর করে লিখিত সাক্ষ্য রাখা হয়েছিল যেখানে লেখা ছিল তারা স্বেচ্ছায় ধর্মান্তরিত হয়েছে। তাদেরকে একটি নির্দিষ্ট বাড়িতে বা ঘরে আবদ্ধ করে রাখা হয় এবং যখন কোন আনুষ্ঠানিক পরিদর্শক দল পরিদর্শনে আসে তখন তাদেরকে ওই নির্দিষ্ট বাড়িতে যাবার অনুমতি দেয়া হত। </t>
  </si>
  <si>
    <t>ধামরাইয়ে মন্দিরের জায়গা দখলে বাধা দেয়ায় বাড়িঘরে হামলা</t>
  </si>
  <si>
    <t>১৩ মে তারিখে পাকিস্তানি বাহিনী বকচর গ্রামের হিন্দু অধ্যুষিত অংশে আক্রমণ শুরু করে এবং নয়জন হিন্দু ব্যক্তিকে আটক করে নিয়ে যায়। আটক ব্যক্তিরা হলেন বীরেন্দ্র সাহা, নৃপেন সাহা, শানু সাহা, জগবন্ধু মিত্র, জলধর মিত্র, সত্যরঞ্জন দাস, নিরদবন্ধু মিত্র, প্রফুল্ল মিত্র এবং উপেন সাহা।[৩] উপেন মিত্রের স্ত্রী রাজাকারদের নিকট টাকা ও সোনার গয়নার বিনিময়ে তার স্বামীর মুক্তি চেয়েও ব্যর্থ হন।</t>
  </si>
  <si>
    <t>আমি জান্নাতে হারিয়ে যেতে চাই। হে আল্লাহ, আমি জান্নাতের পাখি হয়ে গোটা জান্নাত ঘুরে বেড়াতে চাই। তার জন্য আমাকে সঠিক পথে পরিচালিত করো</t>
  </si>
  <si>
    <t>আত্মহত্যা অনেক দেশে আইন দিয়ে বৈধতা দেওয়া হচ্ছে। আগামীতে এই সংখ্যা আরো বাড়বে।</t>
  </si>
  <si>
    <t>হিন্দু মুসলিমের মধ্যে সহযোগিতা এবং সহমর্মিতা একে অপরের প্রতি বিশ্বাস এবং ভালোবাসার চেতনা জাগিয়ে তোলে, এবং তাদের মধ্যে ভেদাভেদ সৃষ্টি না করে একটি সুস্থ এবং শান্তিপূর্ণ সমাজ গঠিত হয়।</t>
  </si>
  <si>
    <t>এই জরুরি অবস্থার পুরোটা সময় তাই সাধারণ জনগণের নিরাপত্তার স্বার্থে জনগণের থেকেই সকল ক্ষমতা কেড়ে নিয়ে রাষ্ট্র সকল ক্ষমতা কুক্ষীগত করে; যা সাধারণ নাগরিকদের মধ্যে থেকেই বদু মওলানাদের ক্ষমতা বাড়িয়ে দেয়। পরিণামে দেখা যায় ধর্ষণ, লুটপাট থেকে শুরু করে মহল্লার বাড়ির আঙ্গিনায় 'তুলসী গাছ নিধন'।</t>
  </si>
  <si>
    <t>লাঠি এবং অস্ত্র হাতে হিন্দুরা একজন মুসলিমের গলায় দড়ি বেঁধে টেনে নিয়ে যাচ্ছে এমন একটি ছবি ওই পোস্টারে আঁকা ছিল যার শিরোনাম ছিল : হিন্দুস্থানের মুসলমানদের ওপর হিন্দুদের নির্যাতন। লামডিং (আসামের একটা শহর) এবং কোলকাতায় মুসলিমদের রক্তের নদী প্রবাহিত হচ্ছে-এমন গুজব ছড়ানো হয়। </t>
  </si>
  <si>
    <t>গত সপ্তাহে বাংলাদেশের কুমিল্লায় একটি পূজা মণ্ডপে মুসলমানদের পবিত্র গ্রন্থ কোরআন পাওয়ার পর স্থানীয় হিন্দু সম্প্রদায়ের ওপর যে হামলা শুরু হয়, সেটা দ্রুত ছড়িয়ে পড়ে অন্যান্য জেলায়। নতুন অজুহাতে নতুন জায়গায় হিন্দু বসতবাড়িতে হামলা, অগ্নিসংযোগের ঘটনা ঘটে।</t>
  </si>
  <si>
    <t>জানা গেছে, সাতক্ষীরা সদর উপজেলার আগরদাঁড়ি গ্রামের পেশাদার প্রতিমাশিল্পী রঞ্জন কুমার পালের বাড়ির কারখানায় গত সোমবার রাতে প্রতিমা ভাঙচুরের ঘটনা ঘটে। এ সময় শতভাগ প্রস্তুত চারটি কালীমূর্তি এবং রঙপলিশের জন্য রাখা আরও ৪৯টি সরস্বতী প্রতিমা ভাঙা হয়।</t>
  </si>
  <si>
    <t>যদিও ইউরোপে ব্লাসফেমীর কারণে হত্যার বা ফাঁসিতে ঝোলানোর ইতিহাস তিন শতকের পুরনো ঘটনা কিন্তু ইউরোপের দেশে দেশে ব্লাসফেমী আইন গুলো বাতিলের আন্দোলন খুব সাম্প্রতিক, কেননা এখনও বেশ কিছু ইউরোপীয় দেশে বহাল তবিয়তে নানান রূপে রয়েছে ব্লাসফেমী আইন।</t>
  </si>
  <si>
    <t>বরাবর দেখেছি, বিবিসি বাংলা যেকোনো ধরনের সাম্প্রদায়িক সন্ত্রাসের খবরকে অধিকতর গুরুত্ব দিয়ে দিয়ে প্রচার করে থাকে। খেয়াল করেছি, এবারেও সনাতনী সম্প্রদায়ের ওপর উপর্যুপরি হামলার খবরও বিবিসি বাংলা যথাসাধ্য সময় দিয়ে প্রচার করেছে।</t>
  </si>
  <si>
    <t>এখন সবাই যদি সুইডেনের পার্লামেন্টের সামনে সুইডেনের পতাকা ও সুইডেনের সংবিধান পোড়ানোর অনুমতি চাই। আর একইভাবে, বিদেশে প্রতিটা সুইডিশ দূতাবাসের সামনে গিয়েও একই কাজ করার অনুমতি চাই, তাহলে কি ব্যক্তি স্বাধীনতা ও গণতন্ত্র রক্ষায় সুইডিশ সরকারের একই অবস্থান থাকবে?</t>
  </si>
  <si>
    <t>অতএব যারা দুনিয়ার বিনিময়ে আখিরাত ক্রয় করে তারা যেন আল্লাহর পথে সংগ্রাম করে; এবং যে আল্লাহর পথে যুদ্ধ করে, অতঃপর নিহত অথবা বিজয়ী হয়, তাহলে আমি তাকে মহান প্রতিদান প্রদান করব।</t>
  </si>
  <si>
    <t>মূল ধারার হিন্দু দর্শনের মধ্যে ছয়টি দার্শনিক শাখা বিদ্যমান, যাকে একত্রে ষড়দর্শন বলা হয়। এগুলো হল: সাংখ্য, যোগ, ন্যায়, বৈশেষিক, মীমাংসা ও বেদান্ত।[১] ষড়দর্শন বেদের প্রামাণ্যতা স্বীকার করে বলে একে আস্তিক দর্শনও বলা হয়।[</t>
  </si>
  <si>
    <t>মুজাফফরাবাদ গণহত্যা ১৯৭১ সালের ৩ মে পাকিস্তানের সেনাবাহিনী স্থানীয় সহযোগীদের সহায়তায় বাংলাদেশের চট্টগ্রাম জেলার পটিয়া উপজেলার খারনা ইউনিয়নের অধীনে মুজফফারাবাদের মূলত হিন্দু গ্রামের বাসিন্দাদের উপরে সংগঠিত হয়।</t>
  </si>
  <si>
    <t>রোববার ফরাসী একটি রেডিওতে ফাতিহা আগাদ বোঝালাত নামে মুসলিম এক ইতিহাসের শিক্ষক বলেন, “গত বছর এক ছাত্র আমাকে খোলাখুলি বলে যে নবীকে কেউ অশ্রদ্ধা করলে তাকে হত্যা করা পুরোপুরি বৈধ।“ ঐ শিক্ষক বলেন, “পরিবারের ভেতর যা শোনে, তার ভিত্তিতেই তাদের এ ধরণের মনোবৃত্তি তৈরি হয়।“</t>
  </si>
  <si>
    <t>মুসলমানদের ধর্মীয় অনুভূতিতে আঘাত দেবার যেসব ঘটনার কথা আপনি বলছেন, সেগুলো কি আসলেই কোন হিন্দু লোক করেছে? তা নিয়ে কিন্তু সন্দেহ আছে। </t>
  </si>
  <si>
    <t>যারা আমার প্রিয় নবীকে নিয়ে কটুবাক্য বলেছে তাদের অতিবিলম্বে শাস্তির আওয়াতায় আনা দরকার,,এবং কঠিন শাস্তির ব্যবস্থায় করতে হবে</t>
  </si>
  <si>
    <t>যারা তরুণ প্রজন্মকে টার্গেট করে ধর্মের অপব্যাখ্যা প্রচার করছেন ও ব্রেইন ওয়াশ করছেন। ধর্ম আজ তাদের কাছে ব্যাবসা।</t>
  </si>
  <si>
    <t>নূহ-তে হিন্দু ও মুসলিম বহু বহু বছর ধরে শান্তিতে পাশাপাশি বসবাস করছেন। এখন মনে হচ্ছে কেউ বা কারা সেই সম্পর্কের মধ্যে ইচ্ছে করে বিষ ঢেলে দিয়েছেন!</t>
  </si>
  <si>
    <t>ফ্রান্সে ইসলাম এবং ইসলামের নবীর কার্টুন নিয়ে দেশটির প্রেসিডেন্টের বক্তব্যের প্রতিবাদে অন্যান্য দেশের মতো বাংলাদেশেও প্রতিবাদ বিক্ষোভ হচ্ছে। কিন্তু সেই সুযোগ নিয়ে কোন কোন গোষ্ঠী গুজব ছড়িয়ে অস্থিরতা সৃষ্টির চেষ্টা করছে এবং পর পর দু'টি ঘটনায় সে ধরনের তথ্য সরকার পেয়েছে বলে তারা উল্লেখ করেছেন।</t>
  </si>
  <si>
    <t>ইসলামের মৌলিক বিশ্বাস ও অনুশীলন এবং ইসলামী বিশ্বের ধর্ম ও সমাজের সংযোগের সাথে সম্পর্কিত। ইসলাম গ্রহণকারী বিভিন্ন জাতির ইতিহাস ইসলামী বিশ্ব প্রবন্ধে রয়েছে ।</t>
  </si>
  <si>
    <t xml:space="preserve">মিথ্যা বলা,চুরি করা,অন্যর ক্ষতি করার কথা নিষেধ করে না? নিশ্চয়ই রোগী,দরিদ্র ব্যক্তি,বাবা মায়ের সেবা করতে,সৎ পথে চলার কথাই বলে। </t>
  </si>
  <si>
    <t>বিংশ শতাব্দীর ভারতে, জীবিত (জীবন্ত সতী) কে পূজা করার ঐতিহ্য গড়ে উঠেছিল। জীবিত হল এমন নারী যিনি একবার সতীদাহ করতে চেয়েছিলেন, কিন্তু তার মৃত্যুর ইচ্ছাকে বিসর্জন দিয়ে বেঁচে থাকেন। দুটি বিখ্যাত জীবিত ছিলেন বালা সতীমাতা, এবং উমকা সতীমাতা, উভয়েই ১৯৯০ এর দশকের শুরু পর্যন্ত বেঁচে ছিলেন।</t>
  </si>
  <si>
    <t>দেশ বা রাষ্ট্র বা জনগন এদের দিয়ে ধর্ষিত হবে, খুন হবে, নিশ্চিত হয়ে যাবে, নবপাকিস্তান কায়েম হবে - কিন্তু দেশের মানুষ তারপরও ধর্মীয় অন্ধত্ব নিয়ে আপোষের কিংবা বেঁচে আছি এ সন্তুষ্টির মাঝে দিন কাটাবে।</t>
  </si>
  <si>
    <t xml:space="preserve">১৯৪৬ সালের ২৯ আগস্ট ছিল ঈদ-উল-ফিতরের; মুসলিমদের সব থেকে বড় ধর্মীয় উৎসবের দিন। </t>
  </si>
  <si>
    <t>৫ ওয়াক্ত এর জায়গায় ৭ ওয়াক্ত কখনো পড়া যাবে না, ইবাদত এর নিয়ম আছে, নিয়ম সুন্নাহ বাহিরে কিছু করে আমলের আশা করা বোকামি ছাড়া কিছু না।</t>
  </si>
  <si>
    <t>দুর্গাপুজোও যেমন ধর্ম, ঈদও তেমনই ধর্ম। দুটোই থেকেছে পাশাপাশি চিরকাল। কিন্তু সেটাকে রাজনীতির প্রচারে নিয়ে আসা, ওতপ্রোতভাবে রাজনীতিতে জুড়ে দেওয়া, এটা একটু একটু করে শুরু হয়েছে ২০১৪ থেকেই। ২০১৬র বিধানসভা নির্বাচনেও সেই চেষ্টা হয়েছে, গতবছর পঞ্চায়েত ভোটেও হয়েছে। আর এবারে তো একেবারে সরাসরি নিয়ে আসা হচ্ছে ধর্মকে।</t>
  </si>
  <si>
    <t>ধর্মীয় সংস্কার এবং কুসংস্কারের বিষয়গুলো নিয়ে আলোচনা হলে সবার মধ্যে সচেতনতা তৈরি হবে।</t>
  </si>
  <si>
    <t>মুশফিকের কোরবানির ছবি পোস্ট করার জন্য কত হেনস্তার শিকার হইছে।যারা হেনস্তা করেছে তারাই আজ চঞ্চলের জন্য মায়াকান্না করছে।এরা নির্লজ্জ,বেহায়া।</t>
  </si>
  <si>
    <t>তিনিই তাঁর রাসূলকে হিদায়াত ও সত্যদ্বীন দিয়ে প্রেরণ করেছেন, যাতে তিনি সকল দ্বীনের উপর তা বিজয়ী করে দেন। যদিও মুশরিকরা তা অপছন্দ করে।</t>
  </si>
  <si>
    <t>কুরআন মানবতার সাথে গভীরভাবে সম্পৃক্ত, যা নিজেকে মানব জাতির জন্য একটি পথনির্দেশিকা হিসেবে উপস্থাপন করে। এতে আদম এর কাহিনী উল্লেখ আছে, যা ইহুদি ও খ্রিস্টান ধর্মেও পাওয়া যায়। তবে কুরআনে বলা হয়েছে যে ঈশ্বর আদমকে তার ভুলের জন্য ক্ষমা করেছিলেন, যা মূল পাপের ধারণার চেয়ে ভিন্ন এক দৃষ্টিভঙ্গি উপস্থাপন করে।"</t>
  </si>
  <si>
    <t>অথচ ইসলাম অনুরাগী স্যার সলিমুল্লাহ ৬০০ একর জমি দান করেছিলেন ঢাকা বিশ্ববিদ্যালয়ের প্রতিষ্ঠা করতে যেন মুসলিম ছাত্র ছাত্রীরা লেখাপড়া করতে পারে বৈষম্য ছাড়া !</t>
  </si>
  <si>
    <t>আপনি যদি ইসলাম ও বিজ্ঞান কে পরস্পর বিরোধী ভাবেন তবে হয় আপনি ইসলাম সম্পর্কে কম জ্ঞান রাখেন নয়ত বিজ্ঞান সম্পর্কে কম জ্ঞান রাখেন।</t>
  </si>
  <si>
    <t>সে মুনাওয়ারের মতো একজন মুসলিমকে সহ্য করতে পারে না, এইটা তার ব্যক্তিগত স্বার্থ ও কট্টর হিন্দুবাদী ব্রোসেনাদের মন রক্ষার চেস্টা।</t>
  </si>
  <si>
    <t>গোয়া ইনকুইজিশন জোর পূর্বক ধর্মান্তরিত গুপ্ত হিন্দুদের বিরুদ্ধে পরিচালিত হয়েছিল । এটিতে রেকর্ড করা হয়েছে যে কমপক্ষে ৫৭ গোয়ান হিন্দুদের ১৫৬০ সাল থেকে শুরু করে তিনশ বছরের মধ্যে মৃত্যুদণ্ড দেওয়া হয়েছিল।</t>
  </si>
  <si>
    <t>কুরআন অবমাননার অভিযোগে ২০২১ সালের ১৩ই অক্টোবর বুধবার সকালে প্রথমে কুমিল্লার নানুয়া দীঘির পাড়ের পূজামণ্ডপে হামলা চালানো হয়। এরপর আরও বেশকিছু পূজামণ্ডপে হামলা করা হয়।</t>
  </si>
  <si>
    <t>২১ আগস্ট, রাতে বগুড়া জেলার শিবগঞ্জ উপজেলার দুটি মন্দিরে হামলার ঘটনা ঘটে। একটি লক্ষী মন্দির এবং গ্রামের শেষ প্রান্তে থাকা হরি মন্দিরে একাধিক মূর্তি ভাঙা হয়। ঘটনায় অভিযুক্ত ব্যাক্তি রবিউল ইসলামকে গ্রেপ্তার করেছে পুলিশ।</t>
  </si>
  <si>
    <t>২০১২ সালে, সরকার হিন্দু বিবাহ নিবন্ধন আইন পাস করে, যা হিন্দুদের জন্য তাদের বিবাহ সরকারের কাছে নিবন্ধনের বিকল্প প্রদান করে। এই বিলের লক্ষ্য ছিল হিন্দু নারীদের অধিকার রক্ষা করা, যাদের অধিকার ধর্মীয় বিবাহের অধীনে সুরক্ষিত নয়।</t>
  </si>
  <si>
    <t xml:space="preserve">আজ ইফতার আটকে দিতে পারলে কাল ঈদের নামাজ আটকে দিবে। তারপর জুম্মা বন্ধ করবে। এই ধারাবাহিকতায় ইসলামকে ঘরের মধ্যে ঢোকাবে। ঘরে বসে ইসলাম পালনের কথা বলবে। সামাজিক ইসলামকে নিষিদ্ধ করবে। </t>
  </si>
  <si>
    <t>আওরঙ্গজেব ১৬৬৩ সালে আরেকটি আদেশ জারি করেন, কাশ্মীর থেকে ফিরে আসার পর শেখ মুহাম্মদ ইকরাম বলেন, "মুঘল নিয়ন্ত্রণাধীন সমস্ত জমিতে, কর্মকর্তারা আর কখনও একজন মহিলাকে পুড়িয়ে মারার অনুমতি দেবেন না"।</t>
  </si>
  <si>
    <t>ঢাকার লালবাগে অবস্থিত বাংলাদেশের জাতীয় মন্দির ঢাকেশ্বরী মন্দিরসহ তৎসংলগ্ন অন্যান্য ভবনগুলোতে মুসলিমরা লুটপাট চালায় এবং অগ্নি সংযোগ করে।</t>
  </si>
  <si>
    <t>যারা ঘটনা না জেনে তৃতীয় পক্ষের কথা বলেন, তাদেরকে আমরা হিন্দুত্ববাদের দালালই মনে করি, তারা কার কাছে অসাম্প্রদায়িক জানি না, কিন্তু আমি তাদের হিন্দুত্ববাদের দালালই বলব।</t>
  </si>
  <si>
    <t>রাইপুর থানার অন্তর্গত শায়েস্তাগঞ্জের চিত্তরঞ্জন দত্ত রায়চৌধুরীর বাড়িতে একদল মুসলিম হামলা করে। তিনি তার পরিবারের সকল সদস্যদেরকে বাড়ির ছাদে তুলে দেন এবং নিজে ছাদ থেকে রাইফেল দিয়ে গুলি করে আত্মরক্ষার সর্বাত্মক প্রচেষ্টা করেন; কিন্তু আক্রমণ কারীদের সংখ্যা ছিল অনেক বেশি অপরদিকে তার গোলাবারুদ প্রায় শেষ হয়ে গিয়েছিল। </t>
  </si>
  <si>
    <t>হোকডাঙা ভারতপাড়া সর্বজনীন দুর্গা মন্দিরের সাধারণ সম্পাদক কমলেন্দু রায় বলেন, রাত বারোটার দিকে লাঠি নিয়ে একদল লোক এসে মন্দিরে প্রতিমা ভাঙচুর চালায়। এছাড়াও পাশের বাড়িতে হামলা করে তারা।</t>
  </si>
  <si>
    <t>তারা নিয়মতান্ত্রিকভাবে হিন্দুদের সাথে দুর্ব্যবহার করে। তাদের কষ্ট দেয়,হত্যা করে,নারী ধর্ষণ ও অপহরণ করে, হয়রানি করে, ভয় দেখায়, ব্যথা দেয়,ধর্মা‌নুভূতিতে আঘাতের মিথ্যা অভিযোগে কারাবাস করায়।</t>
  </si>
  <si>
    <t>যারা খবর বলে তারাকি মুসলমান নয়,, নিজে কেন নিন্দা জানায় না,, নাকি তাদের কোন ধর্ম নেয়, তারা যার শক্তি আছে তাদের সাথেই তারা আছে,,, এটা কি তাদের আখেরাতে ধরা খাওয়ার কারন নয়?</t>
  </si>
  <si>
    <t>ভারতের উত্তর প্রদেশের অযোধ্যার 'রাম মন্দির' বিতর্ককে কেন্দ্র করে ১৯৮৯ সালে একটি হিন্দু বিরোধী প্রোগ্রাম শুরু হয় যার ফলশ্রুতিতে অত্যন্ত বৃহৎ পরিসরে হিন্দুদের মন্দির ধ্বংস ও হিন্দুদের উপর নির্যাতন শুরু হয়।</t>
  </si>
  <si>
    <t xml:space="preserve">বাংলাদেশ বলে ৯০% মুসলিম দেশ ভাই আজকে থেকে এইটা একটা ডাহা মিথ্যা কথায় প্রমাণিত হয়ে গেলো </t>
  </si>
  <si>
    <t>কক্সবাজারের রামু কিংবা ব্রাহ্মণবাড়িয়ার নাসিরনগরেও একই প্রবণতা দেখা যায়। প্রথমে ফেসবুকে এরপরে মুখে মুখে ঘটনা ছড়িয়ে পড়ে। যার পরিণতি হয়, সংখ্যালঘুদের উপর ব্যাপক বিদ্বেষ এবং এর পথ ধরে হামলা ও লুটপাট।</t>
  </si>
  <si>
    <t>এক গৃহপালিত অভিনেতাকে হিন্দু বলায়, তার জাতে লাগলো। যে পরিচয় তার অন্তরে আঘাত হানে, তাকে হিন্দু বললে যখন সমস্যা, তাহলে সে তার হিন্দু পরিচয় ত্যাগ করে না কেন? প্রতিটি ধর্মের মানুষ নিজ ধর্মীয় পরিচয় নিয়ে গর্ব করে৷ কিন্তু সে ভিন্ন কেন?</t>
  </si>
  <si>
    <t>নিশ্চয়ই আল্লাহ কাউকে ঠকায় না, আল্লাহ ভরসা, আমার রব অবশ্যই আমাকে দিবে। যে যাই বলুক, আমার বিশ্বাস, আমার রব উত্তম সময়েই আমার মনের আশা পূরণ করে দিবে।</t>
  </si>
  <si>
    <t xml:space="preserve">একটা ভিডিও তে দেখলাম কিছু মুসলিম মানুষ তালিবানের জয় জয়কার করছেন। তারা আনন্দিত যে এবারে ইসলাম জয় করবেই। </t>
  </si>
  <si>
    <t> দ্বিতীয় মামলাটি ডিজিটাল নিরাপত্তা আইনে ফেসবুকে ধর্ম অবমাননার মন্তব্য করার অভিযোগে অভিযুক্ত আসামি পরিতোষ সরকার (১৫) এর নামে। [১২]পরিতোষকে ১৮ অক্টোবর রাতে জয়পুরহাট থেকে আটক করা হয়। অপর মামলাটি ফেসবুকে দুই জনের বিরুদ্ধে নতুন করে ডিজিটাল নিরাপত্তা আইনে মামলা করা হয়। ডিজিটাল নিরাপত্তা আইনে গ্রেপ্তার দুজন হলেন মাঝিপাড়া বড়করিমপুর এলাকার পাশের বড় মজিদপুর গ্রামের উজ্জ্বল হাসান (২১) ও সদর ইউনিয়নের কিশোরগাড়ি গ্রামের আল আমিন (২২)।</t>
  </si>
  <si>
    <t>পুলিশের গুলিতে একজন নিহত এবং কয়েকজন আহত হন বলে তারা খবর পাচ্ছেন। তবে এখন পরিস্থিতি স্বাভাবিক।</t>
  </si>
  <si>
    <t>ইসলাম হলো এক ও অদ্বিতীয় আল্লাহ-এর কাছে আত্মসমর্পণ করা।</t>
  </si>
  <si>
    <t>ইসলাম প্রচার শুরু করার পর মুহাম্মাদ সা: মক্কার কুরাইশদের পক্ষ থেকে বিরোধীতার সম্মুখীন হন। মুসলিমদের উপর নির্যাতনের কারণে মুসলিমরা মদিনায় হিজরত করে। মুহাম্মাদ সা: নিজেও এক পর্যায়ে মদিনায় হিজরত করেন।</t>
  </si>
  <si>
    <t>দেশের বিভিন্ন অঞ্চলে ধর্মের নামে অধার্মিক ও অনৈতিক কার্যকলাপ গড়তে দেখা যায়। এক ধর্মের অনুসারীর অন্য ধর্মের অনুষ্ঠানের ওপর হামলা ও প্রতিবন্ধকতা সৃষ্টি করার প্রচেষ্টা দেখা যায়। এক পক্ষ অন্য ধর্মের অপর পক্ষের ওপর হামলা করতে দেখছি। এক পীরের মুরিদ অন্য পীরের মুরিদের ওপর হামলা করছে। </t>
  </si>
  <si>
    <t> চর ভদ্রাসনের হিন্দু অধ্যুষিত গ্রামগুলিতে আক্রমণ করে সেনাবাহিনী। মে এর মাঝামাঝি এক সকালে, প্রায় ৬ টার দিকে   হামলাকারীরা তিনদিক থেকে বৈদ্যডাঙ্গী, মাঝিদাঙ্গী এবং বালাদাঙ্গী এই তিনটি গ্রামকে ঘিরে রেখেছিল। তারা ৩০০-৩৫০ হিন্দু পরিবার এবং প্রায় ৫০ থেকে ৬০ জন নিরস্ত্র হিন্দু পুরুষ ও মহিলাকে হত্যা, লুট করে আগুন ধরিয়ে দেয়, জীবিত বাকিরা পালিয়ে যায়।</t>
  </si>
  <si>
    <t>অভিশ্রুতি শাস্ত্রী মুসলিম হয়েও হিন্দু ছেলের সাথে প্রেম,হিন্দু ধর্মের প্রতি আকর্ষণ,কথাবার্তা-লেখায় হিন্দু ধর্মালম্বীর মত;আর মৃত্যুর পর রমনা কালী মন্দিরের সভাপতি উৎপল সাহা,অভিশ্রুতি শাস্ত্রীকে হিন্দু দাবী করলেই দোষ?</t>
  </si>
  <si>
    <t>আরএসএস-এর দ্বিতীয় সরসঙ্ঘচালক (সঙ্ঘ-প্রধানকে এই সম্ভাষণ করা হয়ে থাকে) মাধব সদাশিব গোলওয়ালকার বিশ্বাস করতেন যে ভারতের সার্বিক উন্নয়ন ও অগ্রগতির জন্য সমাজের ঐক্য ও সংস্কৃতির পুনর্জাগরণ গুরুত্বপূর্ণ। তাঁর মতে, একটি সুসংহত ও শক্তিশালী সমাজ গঠনের মাধ্যমে ভারত বিশ্বের উন্নয়ন-প্রক্রিয়ায় গঠনমূলকভাবে অংশ নিতে সক্ষম হবে।</t>
  </si>
  <si>
    <t>হিন্দু/খ্রিস্টানরা বিশৃঙ্খলভাবে দৌড়ে পালানোর চেষ্টা করেছিল এবং সশস্ত্র জনতা তাদের উপর আঘাত করেছিল। তারা পুরুষদের নির্বিচারে হত্যা করে এবং প্রকাশ্যে দিনের আলোতে মহিলাদের সন্মানহানি করে। </t>
  </si>
  <si>
    <t>লালচাঁদপুর এলাকায়, মধু নমঃশূদ্রের বাড়িতে ৪০জন হিন্দুকে বেষ্টন করে রাখা হয়। তাদের সবকিছু লুটপাটের পর, তাদেরকে একই লাইনে দাঁড় করিয়ে বার্স্ট ফায়ারের মাধ্যমে হত্যা করা হয়। গোকুলনগরেও একই কায়দায় হিন্দুদের হত্যা করা হয়।</t>
  </si>
  <si>
    <t>সেখানে হিন্দু মহিলাদের মাটিতে চিৎ করে শুইয়ে মুসলিম লীগের গুণ্ডারা পায়ের বুড়ো আঙ্গুল দিয়ে সিঁথির সিঁদুর মুছে দিয়ে হাতের শাঁখা ভেঙ্গে তাদের স্বামী ও পুত্র ও শিশু কন্যাদের হত্যা করে ওই হিন্দু মহিলাদের জোর করে ইসলাম ধর্মে দীক্ষিত করে বিয়ে করত।</t>
  </si>
  <si>
    <t>ফেরেশতাগণ ও রূহ (হজরত জিবরাইল আলাইহিস সালাম) তাদের প্রভুর অনুমতি ও নির্দেশ সমভিব্যাহারে অবতরণ করেন। সব বিষয়ে শান্তির বার্তা নিয়ে। এই শান্তির ধারা চলতে থাকে ফজর পর্যন্ত।’</t>
  </si>
  <si>
    <t>গণহত্যা শুরুর দেড় মাসের মধ্যে পূর্ববঙ্গ থেকে ৭৫,০০০এর বেশি পীড়িত সর্বহারা শরণার্থী ভারতের আসামে জীবন বাঁচানোর তাগিদে আশ্রয় নেয় যাদের মধ্যে ৩৫,০০০ বেশি ছিল খৃস্টান ধর্মাবলম্বী।ময়মনসিংহের গারো, হাজং, ডালুস সহ অন্যান্য ক্ষুদ্র নৃগোষ্ঠী জাতি সমূহ সম্পূর্ণ অসহায় অবস্থায় আসামের গারো পাহাড়ে (বর্তমানে মেঘালয়ে) আশ্রয় নিয়ে জীবন রক্ষা করে।</t>
  </si>
  <si>
    <t>ধর্মবিরোধী পোস্ট করায় #সনাতনী_আর্মি_ভার্সন ৩.০ নামক #পেজ থেকে ৫টি #কন্টেন্টসহ পেজ চাপা দেওয়া হলো। নাস্তিকের কোনো ছাড় নেই।</t>
  </si>
  <si>
    <t>ধর্মের শিক্ষা অনুযায়ী, একে অপরের প্রতি শ্রদ্ধাশীল হওয়া এবং জীবনের প্রতি সহানুভূতির মনোভাব পোষণ করা খুবই গুরুত্বপূর্ণ।</t>
  </si>
  <si>
    <t>বগুড়া জেলায়, জামাতি ইসলাম ও বিএনপির কর্মীরা নন্দীগ্রাম উপজেলায় হিন্দুদের উপর আক্রমণ করে।[৬]জয়পুরহাট জেলায়, একজন হিন্দুর ঘরে অগ্নিসংযোগ করা হয়, একজন বদ্ধ ব্যক্তি, এরকম কোলাহলের দরুণ আতঙ্কে হৃদযন্ত্রের ক্রিয়া বন্ধ হয়ে মারা যান।</t>
  </si>
  <si>
    <t>কুমিল্লার মুরাদনগরের যাত্রাপুর গ্রামে একটি দূর্গা পূজামন্ডপে দুবৃর্ত্তরা হামলা চালানো চালিয়ে বেশ ক’টি প্রতিমা ভাংচুর করেছে।</t>
  </si>
  <si>
    <t>ভারতের প্রসঙ্গ টেনে তিনি বলেন, ভারত আমাদের সাম্প্রদায়িকতা শিখাতে আসে অথচ তারা গুজরাটের বাবরি মসজিদ ভেঙে মন্দির তৈরি করেছে। ভবিষ্যতে কেউ যদি এদেশের মাটির দিকে হাত বাড়ায় তাহলে তাদের দেশের মাটিও নিরাপদ থাকবে না বলে।</t>
  </si>
  <si>
    <t xml:space="preserve">আমরা মুসলিম আল্লাহর এবং রাসূলের প্রতি আমাদের অধীর বিশ্বাস আছে কিন্তু বেদরমী ভাইদেরকে বলবো ইসলামের প্রতি বিশ্বাস রাখার জন্য </t>
  </si>
  <si>
    <t>দুপুরের মধ্যে সেই বিক্ষোভ পরিণত হয় সহিংসতায়। লাঠিসোটা নিয়ে হিন্দুদের ব্যবসা প্রতিষ্ঠান, বাড়িঘর এমনকি মন্দিরে হামলা ও লুটপাট চালানো হয় এসব মিছিল থেকে।</t>
  </si>
  <si>
    <t>যেখানে হিন্দুদেরই বয়কট করা দরকার সেখানে এখন হচ্ছে ভারতীয় পণ্য বয়কট, আবার সেই পণ্য বয়কটের নেতৃত্ব দিচ্ছে এক হিন্দু যার মতে হিন্দুরা নাকি এই বয়কট যাত্রার সহযোগী!</t>
  </si>
  <si>
    <t>হামাস নিজেদের লড়াইটাকে ইসলামের লড়াই হিসাবে তুলে ধরেছে। আর তাই হিন্দুত্ববাদীরা ইসলাম-বিরোধী জায়গা থেকে ইসরাইলের পাশে দাঁড়াচ্ছে।</t>
  </si>
  <si>
    <t>এর মধ্যেই ২০২০ সালের ৩০ অক্টোবর সাম্প্রদায়িক সন্ত্রাসের ভয়ঙ্কর এক ঘটনা পুরো বাংলাদেশকে স্তম্ভিত করে দেয়। সেদিন সন্ধ্যায় ‘কোরআন অবমাননার’ অভিযোগ তুলে এসে লালমনিরহাটের পাটগ্রাম উপজেলার বুড়িমারী বাজারে পিটিয়ে ও আগুনে পুড়িয়ে হত্যা করা হয় আবু ইউনুস মো. সহিদুন্নবী জুয়েল নামের এক ব্যক্তিকে।</t>
  </si>
  <si>
    <t>বালাগঞ্জ পুলিশ স্টেশনের অন্তর্গত রুকানপুর গ্রামের দিগেন্দ্র সেন, গোপেশ সেন এবং শিব চরণ দাসের বসত বাড়ি লুট করা হয় এবং তাদের পরিবারের সদস্যরা নির্মম প্রহারের শিকার হয়।</t>
  </si>
  <si>
    <t>১৯৭১ সালে পাকিস্তান সেনাবাহিনী গণহত্যা শুরু করলে, এই অঞ্চলের বাঙালি হিন্দুরা ভারতে পালাতে শুরু করেন। ২৭ এপ্রিল অঞ্চলের বিভিন্ন গ্রামের সহস্রাধিক শরণার্থী কালিগঞ্জ বাজারে উপস্থিত হন।</t>
  </si>
  <si>
    <t>একজন সাইকোলজিস্ট যখন কোরআন ধর্ম আল্লাহ তায়ালার শ্রেষ্টত্বের বিষয়ে আত্নবিশ্বাসের জোর দিয়ে কথা বলে তখন নিজের আত্মবিশ্বাস অনেক বেড়ে যায়</t>
  </si>
  <si>
    <t>হিন্দুধর্ম ও জৈনধর্ম কেবল শ্মশানের অনুমতি প্রদানের জন্য নয় বরং নির্ধারিত করার জন্য উল্লেখযোগ্য। ভারতে শবদাহ প্রথম সেমেটারি এইচ সংস্কৃতিতে প্রত্যয়িত হয় (আনুমানিক ১৯০০ খ্রিস্টপূর্বাব্দ থেকে), যাকে সিন্ধু উপত্যকা সভ্যতার শেষ পর্যায় এবং বৈদিক সভ্যতার শুরু বলে মনে করা হয়। ঋগ্বেদের ১০.১৫.১৪ শ্লোকে উদীয়মান অনুশীলনের উল্লেখ রয়েছে, যেখানে পূর্বপুরুষদের “দাহ করা” (অগ্নিদগ্ধ) এবং “দাহ না করা” (অনাগ্নিদগ্ধ) উভয়কেই আহ্বান করা হয়েছে।</t>
  </si>
  <si>
    <t>মুলাদী ও আশেপাশের গ্রামগুলির বেঁচে থাকা লোকেরা গত দু'টি রাত আকাশের নীচে, জঙ্গলে ও অগ্নিসংযোগে পুড়ে যাওয়া বাড়িতে কাটিয়েছিল। ভারপ্রাপ্ত কর্মকর্তা ২০ ফেব্রুয়ারি সকালে ঘোষণা করেন, যে বন্দর এলাকায় একটি ত্রাণ শিবির খোলা হয়েছে।[৩] তিনি থানায় জড়ো হওয়া হিন্দুদের কাছ থেকে সমস্ত নগদ টাকা ও গহনা জব্দ করে তাদের বন্দরের দিকে নিয়ে যান। বন্দরে হিন্দুদের পঞ্চ তাহবিলের তিনটি গুদামে রাখার জন্য তিনটি গোষ্ঠীতে বিভক্ত করা হয়েছিল, যার মধ্যে একটি গুদাম মাধবলাল কুন্ডু ও সুখময় কুণ্ডুর ছিল।</t>
  </si>
  <si>
    <t>তারা যে তাদের ধর্মীয় বিশ্বাসটাকে একটা বিমূর্ত কিংবা কাল্পনিক চরিত্রকে কেন্দ্র করে গড়ে তুলেছে, এই বিষয়টিকে আমার কাছে অতটা জটিল বা কঠিন মনে হয় না।</t>
  </si>
  <si>
    <t>সকলকে জানাই শারদীয় দুর্গা পুজার প্রাণঢালা শুভেচ্ছা ও অভিনন্দন। অনেক অনেক আনন্দে ভরে উঠুক আপনাদের প্রতিটি প্রহর।</t>
  </si>
  <si>
    <t>বাড়িয়া গণহত্যা হল ১৯৭১ সালের ১৪ই মে পাকিস্তান সেনাবাহিনী কর্তৃক বাংলাদেশের বর্তমান গাজীপুর সদর উপজেলার বড়িয়া গ্রামে নিরস্ত্র বাঙালি হিন্দুদের উপর পরিচালিত নির্মম গণহত্যা।</t>
  </si>
  <si>
    <t>কান্তজী মন্দিরের জমিতে মসজিদ নির্মাণের কাজ তদন্ত মাধ্যমে সঠিক সিদ্ধান্ত নিবে প্রশাসন আশাকরি কিন্তু তথাপি আপনার এই পোষ্টের মাধ্যমে বুঝিয়ে দিলেন যুগ যুগ ধরে চলা তেলবাজিতে আপনিও কম নন।</t>
  </si>
  <si>
    <t>হাজার বছরের সাম্প্রদায়িক সহাবস্থান এবং সম্প্রীতির ঐতিহ্য অগ্রাহ্য করে মুসলমানদের রাজনৈতিক টাগের্টে পরিণত করার নানামুখী পদক্ষেপ ইতোমধ্যে বিশ্বের সামনে বড় ধরনের মানবাধিকার লঙ্ঘনের তৎপরতা হিসেবে চিহ্নিত হয়েছে। হিন্দুত্ববাদীদের উগ্র মুসলিম বিদ্বেষ ভারতে একটি মুসলিম গণহত্যার পূর্বাভাস হিসেবে বর্ণনা করেছেন মার্কিন যুক্তরাষ্ট্রভিত্তিক সংস্থা জেনোসাইড ওয়াচ। </t>
  </si>
  <si>
    <t>হিন্দু, খ্রিস্টান অথবা ইহুদীদের পবিত্র ধর্মীয় গ্রন্থ যদি এইভাবে পুড়ায় তাহলে তারা কেমন কস্ট পাবে ? ঠিক তেমন কস্ট পাচ্ছি আমরা মুসলিমরা। অন্য ধর্মকে এভাবে ছোট করে অন্য ধর্মের মানুষদেরকে এভাবে কস্ট দিয়ে তারা তাদের ধর্মকে কিভাবে বড় বলবে ?</t>
  </si>
  <si>
    <t>১৯৪৬ সালের ১৬ আগস্ট তদনীন্তন ব্রিটিশ ভারতের বাংলা প্রদেশের রাজধানী কলকাতায় সংঘটিত একটি সাম্প্রদায়িক দাঙ্গা ও নরহত্যার ঘটনা। এই দিনটিই ছিল "দীর্ঘ ছুরিকার সপ্তাহ" ("The Week of the Long Knives") নামে পরিচিত</t>
  </si>
  <si>
    <t>রাসুল (সা.)-এর শানে বেয়াদবিমূলক মন্তব্য, বক্তব্য বা তাঁর প্রতি ঠাট্টা-বিদ্রূপকারী এবং ধর্মীয় কোনো বিধান নিয়ে ব্যঙ্গকারী ব্যক্তি উম্মতের সর্বোচ্চ ঐকমত্যে মুরতাদ বলে সাব্যস্ত হবে। তার শাস্তি মৃত্যুদণ্ড।</t>
  </si>
  <si>
    <t>“শেষবার ধোয়ার সময় পানিতে একটু কর্পূর মিশাবে”। গোসল শেষে মৃতের গায়ের পানি মুছে ফেলে তাকে কাফনের কাপড় পরাতে হবে।</t>
  </si>
  <si>
    <t xml:space="preserve">দীর্ঘ কুড়ি বছর পর বন্দুকের ডগায় আফগানিস্তান দখল করেছে তালিবানরা। প্রেসিডেন্ট ঘানি আগেই পালিয়েছেন। মহিলারা কাঁপছেন ভয়ে, আবার বুঝি নিষেধাজ্ঞা জারি হয় পড়াশুনো থেকে বাইরে বেরনো, সবেতেই! বুঝি ঢেকে রাখতে হয় মাথার চুল থেকে পায়ের নখ! মনে পড়ে যাচ্ছে নব্বইয়ের দশকের সেই চিত্র, যেখানে বোরখা পরিহিতা এক নারীকে বেধড়ক পেটাচ্ছে তালিবানরা! </t>
  </si>
  <si>
    <t>তবে আমাদের ইসলাম ধর্ম এই শিক্ষা দেয় যে আমরা আমাদের ইবাদত সতর্কতার সাথে, শুধুমাত্র আল্লাহর জন্য করি, এবং তা প্রকাশ করা উচিত নয়।</t>
  </si>
  <si>
    <t>মৃত্যু সম্পর্কে বাস্তববাদী হওয়া আমাদের পূর্ণ এবং সার্থক জীবনযাপন করতে সক্ষম করে তোলে। ভয়ে মরে যাওয়ার পরিবর্তে আমরা সুখে মৃত্যুকে বরণ করতে পারি কারণ তখন আমরা আমাদের জীবনের বেশীর ভাগ অংশ ব্যবহার করে ফেলব।</t>
  </si>
  <si>
    <t>রাতের কোনো এক সময়ে ধনতলা ইউনিয়নের সিন্দুরপিণ্ডি এলাকার আটটি, পাড়িয়া ইউনিয়নের কলেজপাড়া এলাকার তিনটি ও চাড়োল ইউনিয়নের সাহবাজপুর নাথপাড়া এলাকার একটি মন্দিরের ওই ১৪টি প্রতিমা ভাঙচুর করেছে দুর্বৃত্তরা।</t>
  </si>
  <si>
    <t>খ্রিস্টান ধর্মে বলা হয়েছে যে, প্রেমের মাধ্যমে মানুষের জীবনকে সুন্দর ও অর্থপূর্ণ করা উচিত, কারণ সত্যিকারের ভালোবাসা কোনো ধরনের ক্ষতি বা অশান্তি সৃষ্টি করে না, বরং এটি মানুষকে একত্রিত করে, শান্তি ও ঐক্য প্রতিষ্ঠা করতে সহায়ক হয়।</t>
  </si>
  <si>
    <t>পুলিশ দাঙ্গাবাজদের অন্য একটি মন্দিরে আগুন লাগাতে বাধা দেয়।[১৭] দুটি হিন্দু মঠে আগুন ধরিয়ে দেওয়া হয়।[১৬] ১ মার্চ দুর্বৃত্তরা রামগতি উপজেলার চর সীতা এলাকায় একটি হিন্দু বাড়িতে আগুন ধরিয়ে দেয়।[১৮] ১১ মে, দুষ্কৃতীরা রামগঞ্জ উপজেলার একটি হিন্দু মন্দিরে আগুন ধরিয়ে দেয়।</t>
  </si>
  <si>
    <t>সনাতন ধর্মে কোন নির্দিষ্ট ব্যক্তিই সনাতন ধর্মের সংজ্ঞায়ক নন, একমাত্র বেদবিহিত ধর্ম ই সনাতন ধর্ম।</t>
  </si>
  <si>
    <t>সহিষ্ণুতার অভাব ও ধর্মীয় ভেদাভেদ মানুষকে বিভক্ত করে তুলেছে, যার ফলে অসংখ্য নিরীহ প্রাণ অকালে ঝরে গেছে।</t>
  </si>
  <si>
    <t>ইসলাম কখনো জঙ্গী ধর্ম নয়, একই সাথে ধর্মের নামে কেবল ইসলামেই উগ্রতা আর জঙ্গীবাদ আছে এমন নয়, সব ধর্মেই আছে, তাহলে মুভিতে কেনো ইসলাম আর কলেমার পতাকারই শুধু ব্যাবহার?"</t>
  </si>
  <si>
    <t>ইসলামের পূর্ণাঙ্গ অর্থ শান্তি সম্প্রিতী বজায় রাখা তবে কিছু জনগোষ্ঠী নিজস্ব স্বার্থ হাসিলে ইসলাম ধর্ম-কে ব্যাবহার করে</t>
  </si>
  <si>
    <t>গুরুদাসপুরের আনসার সদস্যকে মারধর করে দুর্গাসহ ছয়টি প্রতিমা ভাংচুরে অভিযুক্ত বিকাশ চন্দ্র কর্মকারকে (৩৬) শনিবার নাটোর শহর থেকে আটক করেছে পুলিশ। ঘটনার সময় পাহারারত আনসার সদস্যের আদালতে দেওয়া স্বীকারোক্তির পর তাকে আটক করা হয়।</t>
  </si>
  <si>
    <t>মসজিদে ঢুকে ইসরায়েলি বাহিনীর বর্বর হামলা, রক্তাক্ত আল-আকসা</t>
  </si>
  <si>
    <t>মিয়ানমারের রাখাইন রাজ্যে সেনাবাহিনী এবং বৌদ্ধ চরমপন্থীদের দ্বারা রোহিঙ্গা মুসলমানদের উপর ব্যাপক নিপীড়ন চালানো হয়, যেখানে হাজারো মানুষ নিহত ও বাস্তুচ্যুত হন।</t>
  </si>
  <si>
    <t>আমরা গৌড়ীয় ব্রহ্ম মাধব সম্প্রদায়। ইসকনের ভাবাদর্শ হলো এই বাংলার যে বৈষ্ণব মতবাদ, অর্থাৎ গৌড় অঞ্চলের বৈষ্ণব ধারা, সেটাই আমরা বিশ্বে ছড়িয়ে দিই।</t>
  </si>
  <si>
    <t>দীনকৃষ্ণ ঠাকুর সনাতনধর্ম নিয়ে যে-ই ধরনের কটুক্তি বা বাজে মন্তব্য করেছেন,</t>
  </si>
  <si>
    <t>পবিত্র রমজানের জন্য কি অনুষ্ঠান চাইতেছেন আপনি? এর হে স্বাধীনতা নিয়ে এতো সমস্যা হলে যেখান শান্তি মিলবে ওখান চলে যান।</t>
  </si>
  <si>
    <t>যে ব্যক্তি আল্লাহর নির্দেশনা অনুসরণ করে, তার জীবন সুন্দর এবং সফল হয়, এবং আল্লাহ তাকে দুনিয়াতে শান্তি ও আখিরাতে পুরস্কৃত করেন।</t>
  </si>
  <si>
    <t>বৌদ্ধ ধর্ম থেকে আইএসে নাম লেখানো নীল প্রকাশ 'বেঁচে আছে'</t>
  </si>
  <si>
    <t>দাদা তুমি একটু আমাদের শাস্ত্রের বেসিক জিনিস গুলো পড়ো ।। জ্ঞান যিনি দিচ্ছেন তাকে কি প্রশ্ন করে খুঁটিয়ে সব বিষয় টা পরিষ্কার করতে হয় সেটা জানার জন্য বেসিক জ্ঞান থাকা টা দরকার ।। যেটা তোমার নেই দেখলাম।। একটু নিজে পড়ো।। গোলোকের ধারণা টাও তোমার নেই দেখলাম।।</t>
  </si>
  <si>
    <t>শশাঙ্ক বোধি গয়াতে গিয়ে বোধি বৃক্ষকে উপড়ে ফেলেন – যার নিচে বসে ধ্যান করে গৌতম বোধি প্রাপ্ত হন। পাশের বৌদ্ধ বিহারে থাকা বৌদ্ধের প্রতিকৃতি তিনি সরিয়ে ফেলে তার জায়গাতে শিবের প্রতিকৃতি ঝুলিয়ে দেন। এরপরে বলা হয়ে থাকে যে শশাঙ্ক কুশিনগরের সব বৌদ্ধ ভিক্ষুদের নির্বিচারে হত্যা করেন।</t>
  </si>
  <si>
    <t>প্রকৃত ধর্ম আমাদের শিখায় ভালো মানুষ হতে, অন্যদের প্রতি সহানুভূতিশীল হতে, এবং সকলের কল্যাণে কাজ করতে।</t>
  </si>
  <si>
    <t>ধর্মীয় অনুভূতিতে আঘাত ও মহানবী হজরত মুহাম্মদ সাল্লাল্লাহু আলাইহি ওয়া সালামকে কটূক্তিমূলক অপরাধের সর্বোচ্চ সাজার বিধান প্রণয়নে ব্যবস্থা গ্রহণে সংশ্লিষ্টদের লিগ্যাল নোটিশ পাঠানো হয়েছে।</t>
  </si>
  <si>
    <t>মানুষ কখনো ভগবান হতে পারে না না এই পৃথিবীতে একটা মানুষ যতই শক্তিশালী হোক। ঈশ্বরের সঙ্গের সাথে যদি না মেলে তাহলে সে ভগবান না ঈশ্বর সবার উপরে।</t>
  </si>
  <si>
    <t xml:space="preserve">আপনাদেরকে রোজ চিৎকার দিয়ে বলতে ইচ্ছে করেনা যে আমরা যাই জামা কাপড় পড়ি, বা কুরআন হাদিস এর কথা শেয়ার করি, কাবার ছবি দেই- আমরা কোন ধর্মীয় দলভূক্ত নই। </t>
  </si>
  <si>
    <t>লক্ষ্মী রানীর বিয়ে হয়েছিল ঢাকায় এবং তিনি স্বামীর সাথে রমনা কালী মন্দিরের পাশে থাকতেন। পাকিস্তানিরা কিশোরী বাবুকে তার বাড়ি থেকে তুলে নিয়ে যায়, লাইনে দাঁড়াতে বাধ্য করে এবং গুলি করে হত্যা করে।</t>
  </si>
  <si>
    <t>১৯৭১ সালের ২১ এপ্রিল পাকিস্তান সেনাবাহিনী ফরিদপুরে প্রবেশের পর শ্রীঅঙ্গনে গণহত্যা চালায়। খবরটি ফরিদপুরব্যাপী ছড়িয়ে পড়লে হিন্দুরা আতঙ্কিত হয়ে পড়েন। হিন্দুরা তাৎক্ষণিকভাবে ফরিদপুর শহর ত্যাগ করে জেলার অন্যান্য স্থানে নিরাপদ আশ্রয়ের সন্ধানে বের হন।</t>
  </si>
  <si>
    <t>ভারতীয় কর্তৃপক্ষের এক হিসাব থেকে জানা যায়,শুধুমাত্র পশ্চিমবঙ্গেই কমপক্ষে ১,৩৫,০০০ হিন্দু শরণার্থী প্রবেশ করেছে।[৩৯] এই জীবন-মৃত্যুর সন্ধিক্ষণে নারায়ণগঞ্জের পানাম নগরের সকল হিন্দু পালিয়ে ভারতে চলে যায়।</t>
  </si>
  <si>
    <t>পবিত্র কোরআন পোড়ানোর অনুমতি প্রদান নিয়ে সুইডেন ও তুরস্কের মধ্যে উত্তেজনা সৃষ্টি হয়েছে। তুরস্ক এই সিদ্ধান্তের বিরুদ্ধে strongly প্রতিবাদ জানিয়ে, যে কোনো মূল্যে এটি বাতিলের দাবি করছে।</t>
  </si>
  <si>
    <t>যেখানে মুসলিম নেতারা হিন্দু ও খ্রিস্টানদের সুরক্ষার আশ্বাস দেন। আশ্বাস সত্ত্বেও ১৫ই ফেব্রুয়ারি কাজীরচর ও কাশেরহাটে আক্রমণ করা হয়। ১৬ তারিখ রাতে সাতানি গ্রামে আক্রমণ করে আগুন ধরিয়ে দেওয়া হয়।</t>
  </si>
  <si>
    <t>হিন্দু মেয়েদেরকে মুসলিমরা অপহরণ করে এবং অনেককে জোরপূর্বক বিয়ে করে। হরেন্দ্রনাথ করের মেয়ে মিলা করকে সুলতান মিয়াঁ নামক একজন সিভিল সাপ্লাই কন্ট্রাক্টর অপহরণ করে এবং জোর করে বিয়ে করে।</t>
  </si>
  <si>
    <t>ক্লাসে মত প্রকাশের স্বাধীনতা শেখাতে ইসলামের নবীর কার্টুন দেখানোর পর থেকে হুমকির ভেতরে ছিলেন প্যারিসের উপকণ্ঠে এক স্কুলের ইতিহাস ও ভূগোলের শিক্ষক স্যামুয়েল প্যাটি।</t>
  </si>
  <si>
    <t>হিন্দুদের ওপর হামলা: সরকারের দায়, গোয়েন্দা ব্যর্থতা আর বাংলাদেশে সাম্প্রদায়িকতা নিয়ে প্রশ্ন</t>
  </si>
  <si>
    <t>অকে বুঝলাম,জগন্নাথ হল সনাতন ধর্মাবলম্বীদের জন্য, পূজা সেখানেই হইছে।কিন্তু ইফতার পার্টি তো কেউ জগন্নাথ হলে যাইয়া করতে চায়না।তার মানে এই না যে মুসলিম ধর্মের তারা ঢাবির অন্য কোথাও করতে পারবেনা।</t>
  </si>
  <si>
    <t xml:space="preserve">গণহত্যার পরে অনেক বাঙালি হিন্দুরা গ্রাম ছেড়ে চলে যেতে বাধ্য হয়েছিল। বাংলাদেশ স্বাধীন হওয়ার পরে পরিবারগুলি তাদের বাড়িতে ফিরে এসেছিল। ১৯৭২ সালের ১৯ এপ্রিল যজ্ঞেশ্বর বড়ুই নামে একজন বেঁচে যাওয়া ব্যক্তি পিরোজপুরের মহকুমা আদালতে মামলা দায়ের করেন। আবদুল জব্বার ইঞ্জিনিয়ারকে প্রধান আসামি করে এই মামলায় ২৫৯ জন সহযোগী নামকরণ করা হয়েছে। </t>
  </si>
  <si>
    <t>বাংলাদেশে ধর্মীয় কারণে সংখ্যালঘুদের ওপর হামলা হচ্ছে বলে মনে করেন না ভারতের লোকসভার সদস্য ও দেশটির বর্তমান রাষ্ট্রপতি প্রণব মুখার্জির ছেলে অভিজিৎ মুখার্জি।</t>
  </si>
  <si>
    <t>বাংলাদেশের রক্তক্ষয়ী স্বাধীনতা যুদ্ধ প্রমাণ করেছে দ্বিজাতিতত্ত্বের কারণে দেশ ভাগ হওয়াটা ছিল একটি ভুল সিদ্ধান্ত। ভাষা ,সংস্কৃতি এবং ইতিহাসই জাতিসত্তার মূল ভিত্তি। বাঙালির প্রথম পরিচয় সে একজন বাঙালি ।</t>
  </si>
  <si>
    <t>২৮ ফেব্রুয়ারি রাতে বাগেরহাট জেলার মোড়েলগঞ্জ উপজেলার চিংড়িখালী ইউনিয়নের পিংজৌর গ্রামে দুর্বৃত্তরা একটি হিন্দু মন্দিরে ভাঙচুর করে। রামচন্দ্রপুর ইউনিয়নের ডুমুরিয়া সর্বজনীন মন্দিরেও আগুন দেওয়া হয়।</t>
  </si>
  <si>
    <t>ইহুদি ধর্ম কখনো অন্যের ক্ষতি বা রক্তপাতের সমর্থন করে না এবং শান্তিপূর্ণ সহাবস্থানের কথা বারবার উঠে আসে র‍্যাবাই ওয়ায়েসের কথায়। মাত্র দেড়শো বছর আগে আসা জায়নবাদ গণতন্ত্র প্রতিষ্ঠা করেছে - সেটি একটি রাজনৈতিক অবস্থান, যেটা ধর্ম নয় বলে উল্লেখ করেন তিনি।</t>
  </si>
  <si>
    <t>ভারতের হরিয়ানায় হিন্দু-মুসলিম দাঙ্গায় নিহত তিন, মসজিদে অগ্নিসংযোগ</t>
  </si>
  <si>
    <t>আমার কথা হলো হিন্দু ধর্মলম্বী ভাইরা তাদের ধর্ম বা উৎসব পালন করবে এতে আমাদের কোন আপত্তি নেই।</t>
  </si>
  <si>
    <t>নবীজি সাল্লাল্লাহু আলাইহি ওয়াসাল্লামের জীবদ্দশায় তাকে নিয়ে ঠাট্টা মশকরা,তাকে উন্মাদ বলা,</t>
  </si>
  <si>
    <t>রাষ্ট্রের বা ক্ষমতা যখন ধর্মের উপড়ে ভিত্তি করে রচিত হয় তখন রাষ্ট্রের সমালোচনাকেও ব্লাসফেমী হিসাবে বিবেচনা করা হয়, অর্থাৎ কখনো কখনো রাষ্ট্রদ্রোহিতাও ব্লাসফেমী হতে পারে। </t>
  </si>
  <si>
    <t>ঢাকা বিশ্ববিদ্যালয়ের আইনের ছাত্র,সংগীতকার ও বাংলাদেশ সরকারী কর্ম কমিশনের নিয়োগপ্রাপ্ত জজ ও ম্যাজিস্ট্রেট। আকর্ষণীয় সেই কর্মজীবন ছেড়ে তিনি চলে এলেন ভিক্ষু জীবনে</t>
  </si>
  <si>
    <t>ভালো কাজের মধ্যে অনেক বাঁধা থাকে এটা পৃথিবীর সৃষ্টির শুরু থেকেই, সেই ভালোটা যদি ইসলাম হয় তাহলে তো শত্রুর অভাব নেই, আপনারা যেভাবে বললেন, আমাদের উচিত আরো মিডিয়াতে অগ্রসর হওয়া।।। আপনাদের দু'জনকেই আল্লাহ তাআলার ভালো কাজ করার জন্য এগিয়ে নিয়ে যাক, আমিন</t>
  </si>
  <si>
    <t>08/03/2023 সালে কমেন্ট করে গেলাম।।।।। পরবর্তী প্রজন্ম রা যখন আসবে তোমাদের মন খারাপ থাকলে, এই কথাগুলো শুনবে ইনশাল্লাহ তোমার মন ভাল হয়ে যাবে।।।।।।। সবসময় মাথায় রাখবে তারাই সফলগামী যারা আল্লাহর রহমতে জান্নাতে যেতে পারবে।।।।।</t>
  </si>
  <si>
    <t>ইসলাম অবমাননার গুজবে পাবনার সাঁথিয়ায় শতাধিক হিন্দু বাড়িতে অগ্নিসংযোগ করা হয় এবং অনেককে বাস্তুচ্যুত করা হয়।</t>
  </si>
  <si>
    <t>ন্ধ্যায় অভিযুক্ত ব্যক্তির গ্রেপ্তারের দাবিতে মানববন্ধন করা হয়। সন্ধ্যা সাড়ে সাতটার দিকে এ মানবন্ধন থেকে লোক জড়ো করে সুযোগ সন্ধানীরা দিঘলিয়া বাজারের হিন্দু সম্প্রদায়ের ১০টিরও বেশি দোকান ভাঙচুর ও লুটপাট করে।</t>
  </si>
  <si>
    <t>ভারতের বাবরি মসজিদ ভেঙেছিলো হিন্দু ধর্মোন্মাদ উগ্ৰপন্থীরা। আফগানিস্তানের বামিয়ানের ঐতিহাসিক বুদ্ধমূর্তি ভেঙেছিলো তালিবানরা। এখন ওপার বাংলাতেও মূর্তি ভাঙে জামাতী সন্ত্রাসীরা।</t>
  </si>
  <si>
    <t>ভারতের পশ্চিমবঙ্গ রাজ্য সরকার এই ঘৃণ্য গনহত্যার বিরুদ্ধে শক্ত প্রতিবাদ করে পাকিস্তান সরকারের কাছে। ভারতের প্রধানমন্ত্রী জহরলাল নেহেরু কোলকাতার বেশ কয়েকটি শরণার্থী শিবির পরিদর্শন করেন ৬ মার্চ এবং ১৬ মার্চ তারিখে। তিনি পাকিস্তানের তৎকালীন প্রধানমন্ত্রী লিয়াকত আলি খানের নিকট এই অমানবিক নৃশংসতা বন্ধের আহবান জানান।</t>
  </si>
  <si>
    <t>কুমিল্লায় মহাগ্রন্থ পবিত্র কোরআন শরীফ কে অবমাননা। খুবই নিষ্কৃষ্ট ভাবে দেবতার পায়ের উপর রাখছে।</t>
  </si>
  <si>
    <t>কিছু সাম্প্রদায়িক ছ্যাঁচড়া নেতা এটার রটাচ্ছে সাধারণ মানুষের কাছে একটাই আবেদন বুঝে শুনে মন্তব্য অথবা তর্ক করবেন। নিজেদের মধ্যে মানুষ হিসেবে পরিচিত হন। সাধারণ মানুষকে নিয়ে নোংরা ধর্ম রাজনীতি করা ঠিক নয়।</t>
  </si>
  <si>
    <t>ইউক্রেন নিয়ে সারা বিশ্ব যেমন আগ্রহ দেখিয়েছে, ফিলিস্তিনি নিয়ে তাদের এতো টা মাথা ব্যাথা নেই কারণ এরা যে মুসলিম।যত আক্রমণ মুসলিম দের উপরই হয়।আল্লাহ তুমি ফিলিস্তিনি ভাই ও বোন দের হেফাজত করো</t>
  </si>
  <si>
    <t>লেখকদ্বয় চতুর্থ অধ্যায়ে দেখিয়েছেন কিভাবে পূর্ব বাংলায় দাঙ্গার বিস্তর ঘটে এবং তার প্রতিক্রিয়ায় পশ্চিমবঙ্গে সংখ্যালঘুদের উপর দাঙ্গা শুরু হয়।</t>
  </si>
  <si>
    <t>বিশ্বের অনেক দেশে ধর্মীয় অবমাননা, বিশেষ করে ইসলাম ধর্মের অবমাননার বিরুদ্ধে কঠোর আইন রয়েছে। যুক্তরাষ্ট্রের 'কমিশন অন ইন্টারন্যাশনাল রিলিজিয়াস ফ্রিডম'এর ২০১৭ সালের রিপোর্টে ৭১টি দেশের তালিকা উঠে আসে যেখানে ব্লাসফেমি আইন রয়েছে।</t>
  </si>
  <si>
    <t>একজন লোক অসহায় অবস্থায় নির্যাতিত হয়ে নিজ প্রাণ ও দিবে সেই কারণে তাকে পাপী সার্টিফিকেট দেয়া অদ্ভুত বৈ কী!</t>
  </si>
  <si>
    <t>বাংলাদেশ অসম্প্রদায়িক দেশ এদেশে মুসলিম,হিন্দু ও অনান্য ধর্মালম্বী সকলের সমান অধিকার আছে।যে দেশে ৯৫% মুসলিম প্রায় সেদেশে একটা মসজিদ নির্মাণে এতো নাটক কেন???আজ যারা মসজিদ নির্মাণে বাঁধা দিচ্ছে তারা সাম্প্রদায়িক দাঙ্গা সৃষ্টি করে ঘোলা পানিতে মাছ শিকার করা তাদের মুল উদ্দেশ্য।</t>
  </si>
  <si>
    <t>তামিলনাড়ুতে এক ধর্মীয় অনুষ্ঠানের মঞ্চ দাঁড়িয়ে হঠাৎই উদয়নিধির মুখে শোনা যায় সনাতন ধর্মকে নির্মূল করার কথা।</t>
  </si>
  <si>
    <t>, দাঙ্গাসমূহ কলকাতা সহ হিন্দু-অধ্যুষিত পশ্চিম বাংলা ও মুসলিম-অধ্যুষিত পূর্ব বাংলার (অধুনা বাংলাদেশ) মধ্যে বাংলার বিভাজনের একটি পথ উন্মুক্ত করেছিল।</t>
  </si>
  <si>
    <t>যখন মন খারাপ থাকে, চারদিকে অন্ধকার দেখি, তখন ওনার লেকচার শুনি। আলহামদুলিল্লাহ, পুনরায় আশার আলো খুঁজে পাই। তিনিসহ যারা তার কথাগুলো তুলে ধরার নিখুঁত চেষ্টা করে যাচ্ছে, আল্লাহ সবাইকে নেক হায়াত ও উত্তম বিনিময় দান করুন।</t>
  </si>
  <si>
    <t>৩০এ অক্টোবর ২০১৬-তে এক হিন্দু জেলে রসরাজ দাস দ্বারা ইসলামের বিরুদ্ধে [২] পোস্ট করার অভিযোগ করে এই হামলা করা হয়। এতে ১৯টি মন্দির হামলার শিকার হয়</t>
  </si>
  <si>
    <t>আজ মুসলিম বিশ্বের বড় নেতাদের ধিক্কার জানাই</t>
  </si>
  <si>
    <t> ফেনী শহরের হিন্দুদের উপর নির্মম তাণ্ডব চালানোর পর তা ছড়িয়ে ফেনী এবং ছাগলনাইয়া পুলিশ স্টেশন এলাকার গ্রামগুলোতে যেখানে মুলত হিন্দু নাথ সম্প্রদায়ের অধিবাসীরা বসবাস করত।</t>
  </si>
  <si>
    <t>প্রিয় শাইখ, এই ভিডিওটা কতোবার শুনেছি তা জানি না, যত শুনি ততই নতুন লাগে। মন ভালো হয়ে যায়, ভালো কাজ করার প্রতি ইচ্ছা জাগে।</t>
  </si>
  <si>
    <t>প্যাগোডায় প্যাগোডায় চলতে থাকে বৌদ্ধ ধর্মাবলম্বীদের দিবস উদ্‌যাপনের যাবতীয় কার্যক্রম। এছাড়া বিভিন্ন গ্রাম ও বিহারে এই দিনে মেলা বসে। সবচেয়ে বড় মেলাটি বসে চট্টগ্রামের বৈদ্যপাড়া গ্রামে, যা বোধিদ্রুম মেলা নামে সমধিক পরিচিত।</t>
  </si>
  <si>
    <t>আল্লাহর আদেশ মেনে চললে জীবনে প্রতিটি পদক্ষেপ সঠিকভাবে নিয়ন্ত্রিত হয়, এবং আমরা সত্যিকারের সুখ এবং শান্তি অনুভব করি।</t>
  </si>
  <si>
    <t>হিন্দু হোক বা মুসলিম, সেই জালিমের ক্ষমা নাই, পবিত্র কুরআন রেখেছিলো যে, দূর্গাদেবীর পায়। সম্প্রীতির এই দেশটাতে যারা, দাঙ্গা হানিতে চায়, সেই সব নরপিশাচদের, কাটা-মস্তক আমি চাই।</t>
  </si>
  <si>
    <t>ধর্মকে যদি আগে গুরুত্ব দিই তাহলে সর্ব প্রথম প্রোপাইল পিকে বেপর্দা ছবি ব্যবহার করা উচিত নয়</t>
  </si>
  <si>
    <t xml:space="preserve">মাইকেল জ্যাকশনের মৃত্যুর পর তার লাশ নিয়ে নেচে গেয়ে সমাহিত করার প্ল্যান ছিলো। কিন্তু তার ভাই বাধা দেন৷ একটা লাশ নিয়ে কনসার্ট করা অনুচিত। </t>
  </si>
  <si>
    <t>শ্রীঅঙ্গন গণহত্যা ১৯৭১ সালের ২১ এপ্রিল ফরিদপুরের শ্রীঅঙ্গন মঠের বাংলা হিন্দু সন্ন্যাসীদের গণহত্যার কথা উল্লেখ করে। পাকিস্তানি সেনাবাহিনী কর্তৃক গণহত্যার শিকারে আট জন সন্ন্যাসী নিহত হন।</t>
  </si>
  <si>
    <t>২১ মার্চ, সোমবার দুপুরে ইজাজুল ইসলাম খান নামে এক উগ্রবাদী মুসলিম ব্যক্তি খিলগাঁওয়ের তিলপাপাড়ার ৭ নম্বর কালভার্ট রোডের দেবমন্দিরে গেট টপকে এসে প্রতিমা ভাঙচুর চালান এবং জিনিসপত্র তছনছ করেন। পরবর্তিতে পুলিশ সিসিটিভির ফুটেজ ও অন্যান্য তথ্য বিশ্লেষণ করে ইজাজুল ইসলাম খানকে গ্রেপ্তার করেন। পুলিশ আরও জানায়, হামলাকারী একজন মানসিক ভারসাম্যহীন।</t>
  </si>
  <si>
    <t>আল কুরআন এবং রাসুলুল্লাহ সাঃ এর বলে যাওয়া হাদিসগুলোর বৈজ্ঞানিক গবেষণা ও এ যুগের বিজ্ঞানীদের পাওয়া তথ্যসমূহ ও বিশ্লেষন মিলে যাওয়া সকল তথ্যগুলো এতো সুন্দর করে সুস্পষ্ট শব্দচয়ণের মাধ্যমে বিশ্লেষণ করার জন্য আপনাকে আন্তরিক ভাবে ধন্যবাদ। আল্লাহ পাক আপনাকে সুস্বাস্থ্যে ও নেক হায়াত দান করুক, আমিন।</t>
  </si>
  <si>
    <t>সতী শব্দটি দেবী সতীর নাম থেকে উদ্ভূত হয়েছে, যিনি তার স্বামী শিবের প্রতি তার পিতা দক্ষের অপমান সহ্য করতে না পারার কারণে আত্মহনন করেছিলেন।</t>
  </si>
  <si>
    <t>ঢাকাদক্ষিণ এবং কাচুয়ারি থেকে অনেক প্রখ্যাত ব্রাহ্মণ পরিবারের মেয়েদের জোরপূর্বক অপহরণ করে মুসলিমরা। হবিগঞ্জ সাব-ডিভিশনের চুনারঘাট পুলিশ স্টেশনের নিয়ন্ত্রণাধীন এলাকার কেতন দাস, অশ্বিনী নাথ, বীরেন্দ্র নাথ সহ নাম না জানা আরও অনেক হিন্দু পরিবারের সকল সদস্যদেরকে ঘৃণ্য উপায়ে ধর্মান্তর করে মুসলিমরা।</t>
  </si>
  <si>
    <t>কৌশল সারানকে একটি সিটি পার্ক এবং ফায়ারহাউসের কাছে সেন্ট্রাল অ্যান্ড ফেরি অ্যাভেনিউতে অজ্ঞান অবস্থায় পাওয়া যায়। তিনি ভারতের একজন লাইসেন্সধারী চিকিৎসক যিনি যুক্তরাষ্ট্রে লাইসেন্সের অপেক্ষায় ছিলেন। তাকে পরে নেওয়ার্কের বিশ্ববিদ্যালয় হাসপাতাল থেকে ছেড়ে দেওয়া হয়।[৬০] বিনা প্ররোচনায় আক্রমণের ফলে তার মাথার খুলি ও মস্তিষ্ক মারাত্মক ক্ষতিগ্রস্ত হয়। ফলে এক সপ্তাহেরও বেশি সময় ধরে তিনি আংশিক কোমায় ছিলেণ।</t>
  </si>
  <si>
    <t>হে আল্লাহ আপনি পবিত্র কোরআন শরীফকে হেফাজত করুন এবং খুব শীঘ্রই এই নাস্তিকদের উপর আপনার গজব নাযিল করুন।</t>
  </si>
  <si>
    <t>তারা তাদের মুখের ফুৎকারে আল্লাহর নূরকে নিভিয়ে দিতে চায়, কিন্তু আল্লাহ তাঁর নূরকে পূর্ণতাদানকারী। যদিও কাফিররা তা অপছন্দ করে। তিনিই তাঁর রাসূলকে হিদায়াত ও সত্যদ্বীন দিয়ে প্রেরণ করেছেন, যাতে তিনি সকল দ্বীনের উপর তা বিজয়ী করে দেন। যদিও মুশরিকরা তা অপছন্দ করে।</t>
  </si>
  <si>
    <t>অপারেশন সার্চলাইটের অংশ হিসাবে পাকিস্তানি দখলদার সেনা যখন ঢাকা থেকে বাকি জেলাগুলির দিকে ছড়িয়ে পড়ে তখন লোকেরা তাদের বাড়িঘর ছেড়ে পালাতে শুরু করে। হিন্দুরা বাংলাদেশ ছেড়ে পালিয়ে যেতে শুরু করেছিল প্রতিবেশী দেশ ভারতে । </t>
  </si>
  <si>
    <t>ইন্তেকাল করা আর আত্মহত্যা করা বিষয়টা এক না।</t>
  </si>
  <si>
    <t>শুধুমাত্র মিথ্যা অহংকারের আত্মপ্রতিফলন মারামারি আর হানাহানি!! মানুষ মানুষের জন্য ধর্ম...পরকালের জন্য" আর অহংকার পতনের জন্য।</t>
  </si>
  <si>
    <t>তখন উপলব্ধি করতে পেরেছি যে এই সেক্যুলারদের সাথে তাল মেলানো মানে বোকামি। এই গোষ্ঠী প্রায় পুরোটাই ইতর, ছোটলোক এবং শুধুই ইসলামবিদ্বেষী।</t>
  </si>
  <si>
    <t>১৯৯২ সালের ৬ ডিসেম্বর বিশ্ব হিন্দু পরিষদ এবং তাদের সহযোগী সংগঠনের কর্মীরা বাবরি মসজিদ গুড়িয়ে দেয়। যার ফলে সমগ্র ভারত উপমহাদেশে দাঙ্গা ছড়িয়ে পড়ে। এই দাঙ্গা সমগ্র উপমহাদেশজুড়ে প্রায় ২০০০ - ৩০০০ মানুষ মারা যায়।</t>
  </si>
  <si>
    <t> কিছুদিন পরপর এখানে যারা অশান্তি সৃষ্টি করে সম্প্রীতি নষ্ট করতে চায় তাদের চিহ্নিত করে কঠিন শাস্তির আওতায় আনতে হবে । মুসলমানরা শান্তিতে বিশ্বাসী, যারা কুরআন অবমাননা করে দাঙ্গা লাগানোর চেষ্টা করছে তাদের অনতিবিলম্বে গ্রেফতারপূর্বক বিচার করা হোক ।</t>
  </si>
  <si>
    <t>মিনহাজ-ই-সিরাজের মতে যে বৌদ্ধ ভিক্ষুদের হত্যা করা হয়েছিল তাদের ব্রাহ্মণ বলে ভুল করা হয়েছিল । [৭৫] প্রাচীর ঘেরা শহর, ওদন্তপুরী মঠও তার বাহিনীর দ্বারা জয় করা হয়েছিল। সুম্পা 1200 সালে মগধে থাকা শাক্যশ্রীভদ্রের বিবরণের উপর ভিত্তি করে বলেছেন যে ওদন্তপুরী এবং বিক্রমশীলার বৌদ্ধ বিশ্ববিদ্যালয় কমপ্লেক্সগুলিও ধ্বংস করা হয়েছিল এবং ভিক্ষুদের হত্যা করা হয়েছিল।</t>
  </si>
  <si>
    <t>আমি তো মনে করি সেই বেশি খারাপ যে নিজের স্বার্থে অন্যের দোষ খুঁজে বের করে জনতার মাঝে প্রকাশ করে।</t>
  </si>
  <si>
    <t>প্রত্যক্ষ সংগ্রাম দিবস (১৬ আগস্ট ১৯৪৬), এছাড়াও ১৯৪৬-এর কলকাতা হত্যাকাণ্ড হিসাবে পরিচিত, দেশব্যাপী সাম্প্রদায়িক দাঙ্গার একটি দিন ছিল। সবচেয়ে জঘন্যতম হত্যাকাণ্ড ১৭ আগস্ট দিনের বেলায় ঘটেছিল।</t>
  </si>
  <si>
    <t>হে আল্লাহ যে তোমার পবিত্র কুরআন শরীফকে আগুনে পুড়িয়েছে, তার দ্বারাই তুমি কুরআনের কাজগুলো করিয়ে নাও। আল্লাহ তাকে হেদায়াত দান করো। আমিন</t>
  </si>
  <si>
    <t>আমি মনে করি না হিন্দু সম্প্রদায়ের কোনো ব্যক্তি এই কাজে জড়িত, তবে যদি ধরা হয় যে কেউ জড়িত, তবে দেশে আইন, পুলিশ এবং গোয়েন্দা সংস্থা আছে যারা এর সত্যতা বের করবে এবং অপরাধীকে আইনের আওতায় আনবে, এটাই হওয়া উচিত।</t>
  </si>
  <si>
    <t>২৪ এপ্রিল রাতে সান্তাহার থেকে ট্রেনে পাকিস্তান সেনাবাহিনীর আগমন ঘটে এবং তারা জয়পুরহাট মহকুমা সদর দখল করে নেয়। ২৫ এপ্রিল সকাল থেকে সৈন্যরা হত্যাকাণ্ড শুরু করে এবং লুটপাট ও অগ্নিসংযোগ করতে থাকে।</t>
  </si>
  <si>
    <t>আর কেউ জানে না আগামীকাল সে কি উপার্জন করবে এবং কেউ জানে না কোন মাটিতে তার মৃত্যু হবে। নিশ্চয়ই আল্লাহ সর্বজ্ঞ, সর্ববিষয়ে সম্যক অবহিত।’ </t>
  </si>
  <si>
    <t>হামলা-অগ্নিসংযোগের ঘটনাটি সংঘটনে নেতৃত্ব দেন রংপুর কারমাইকেল কলেজের দর্শন বিভাগের স্নাতকোত্তর শ্রেণির ছাত্র ও ওই বিভাগে ছাত্রলীগের কমিটির ১ নং সহ-সভাপতি এসএম সৈকত মণ্ডল (২৪)। তবে তার সম্পৃক্ততার বিষয়টি প্রকাশ পেলে গত ১৮ অক্টোবর তাঁকে অব্যাহতি দেওয়া হয় এবং তাকে আটকের পর অব্যহতির বিষয়টি প্রচার করা হয়।</t>
  </si>
  <si>
    <t>এর পর সারা দেশ জুড়েই গো-হত্যা নিষিদ্ধ করার সরকারি ফরমান‌ ওই উগ্রবাদী অপশক্তিকেই যে আরও উৎসাহিত করেছে, তার প্রমাণ গত সপ্তাহে জুনায়েদ খানের হত্যা৷ ঈদের বাজার করে বাড়ি ফিরছিল জুনায়েদ৷ ভাই এবং পরিবারের লোকেদের সঙ্গে৷ প্রথমে তাঁদের ‘‌গোখাদক’ এবং ‘‌দেশদ্রোহী’ বলে গালি-গালাজ করা হয়৷ তার পর শুরু হয় প্রবল মারধর৷ একটা সময় ছুরি দিয়ে কোপানো হয় ১৬ বছরের জুনায়েদকে</t>
  </si>
  <si>
    <t>আমরা কখনো হিন্দু-মুসলমান নিয়ে আলোচনা করি না। আমার স্ত্রী হিন্দু, আমি একজন মুসলমান।</t>
  </si>
  <si>
    <t>শিক্ষক বলে কি আমার ধর্ম নিয়ে বাড়াবাড়ি করা আপনাকে মানায়? আর এটা কি শুধু বাড়াবাড়ি ছিলো?? আল্লাহর রসুল নিয়ে যখন ব্যাঙ্গ করেছে</t>
  </si>
  <si>
    <t>আল্লাহর শিক্ষা অনুসারে, ধর্মের মূল উদ্দেশ্য মানুষের হৃদয়ে শান্তি প্রতিষ্ঠা করা এবং তাদের জীবনে সঠিক পথের সন্ধান দেয়া, যাতে তারা একে অপরকে ভালোবাসতে ও সহযোগিতা করতে পারে, এটি কখনোই অন্যদের ওপর জোরাজুরি বা আক্রমণ করার উদ্দেশ্যে নয়।</t>
  </si>
  <si>
    <t>নবী সাল্লাল্লাহুআলাইহিওয়াসাল্লামকে কটুক্তি করছে। এইটা নিয়া প্রতিবাদ তো হবেই। মানুষ ফেসবুকে ভিডিও দিচ্ছে। বলতেছে যে এইটা ভালো না।</t>
  </si>
  <si>
    <t>পবিত্র ইসলাম ধর্ম নিয়ে উগ্রবাদী মনোভাবে ভিত্তিহীন পোস্ট করার অভিযোগে অভিযুক্ত সোশ্যাল মাধ্যম অপঃসারণ।</t>
  </si>
  <si>
    <t>মুসলিম দেশে মুসলমানরা আইডেন্টিটি ক্রাইসিসে ভুগছে মনে হচ্ছে! সবাই মিলে হিন্দুত্ববাদের দালাল সরকারকে প্রতিহত না করলে সামনে আরও বিপদ আসবে।</t>
  </si>
  <si>
    <t>একইসাথে তিনি বলেন, যে গ্রামে হামলা হয়, সেই দীঘলিয়া গ্রামে ইউনিয়ন পরিষদ নির্বাচনে প্রার্থিতা নিয়ে তাদের দলে দ্বন্দ্ব ছিল।</t>
  </si>
  <si>
    <t>মানুষ যত অন্যের বিপদে পাশে থাকবে,সেটা সমাধানের দায়িত্ত্ব নিবে তার ভেতর থেকে ততই অলৌকিক প্রশান্তি আসবে ও ডিপ্রেসন কেটে যাবে। পাশাপাশি সে স্রষ্ঠার প্রতি ও কৃতজ্ঞ ও থাকবে যে এইরকম বিপদে তিনি পড়েন নাই বা বুঝতে পারবে তার চেয়েও অনেক মানুষ অনেক কঠিন সমস্যার মাঝে আছে। ইসলাম একটি পূর্ণাঙ্গ জীবন ব্যবস্থা।</t>
  </si>
  <si>
    <t>এ দেশে এখন ভিন্নমতে ধর্মপরায়ন, লাঞ্ছিত, ঠাট্টাতামাসা, টিটকারি, হেয় করা তখন তো কেউ আওয়াজ তুলো না - বৈধ করে দিয়েছে - অঞ্জন দত্ত,মুন্নি সাহা,শ্যামল দত্ত, রানা দাস গুপ্ত, গোবিন্দ প্রমাণিক সহ সংগঠক এবং মিডিয়া কর্মী আজ এ পরিস্থিতি জন্য তোমরা দায়ী।।।</t>
  </si>
  <si>
    <t>এবার তাকে জিজ্ঞেস করি, ফেসবুকে যে সত্যি সত্যিই একজন হিন্দু সম্প্রদায়ের কেউ ইসলামের অবমাননা করেছে, সেটা তিনি কিভাবে নিশ্চিত হচ্ছেন?</t>
  </si>
  <si>
    <t>জন্মদিন পালন করা,থার্টি ফাস্ট নাইট উৎযাপন করা,সুদ-ঘুষ,যেনা করা ইত্যাদি নিয়ে তো এসব অল্প পানির পুঁঠি মাছ বা হুজুরদের কোন পোস্ট,প্রতিবাদ বা বাড়াবাড়ি তো দেখি না</t>
  </si>
  <si>
    <t>যে আদি শঙ্কর অধিকৃত বৌদ্ধ আশ্রমের জায়গাতে হিন্দু শ্রীঙ্গেরী মঠ বানিয়েছিলেন। অযোধ্যার অনেক হিন্দু তীর্থস্থান, যেমন সবরীমালা, বদ্রীনাথ কিংবা পুরীর মত প্রসিদ্ধ ব্রাহ্মণ্য মন্দির আদতে একসময় ছিল বৌদ্ধ মন্দির।</t>
  </si>
  <si>
    <t>মরক্কোর উদ্বেগ টা ভালো লাগলো দেশটা নিন্দার পাশাপাশি একটা পদক্ষেপও নিলো এইখানে শুধু নিন্দা জানিয়ে লাভ নাই  সুইডেনের উপর পদক্ষেপও নিতে হবে</t>
  </si>
  <si>
    <t>শুক্রবারই পুলিশের গুলিতে প্রধান সন্দেহভাজন আব্দুলাখ এ নামে ১৮ বছরের এক তরুণ পুলিশের গুলিতে মারা যায়। চেচেন বংশোদ্ভূত মুসলিম এই তরুণের বাবাসহ আরো ১৪ জনকে আটক করা হয়েছে।</t>
  </si>
  <si>
    <t>আসিরীয় খ্রিস্টানদের ভাষায়, ঈশ্বর বা সৃষ্টিকর্তার জন্য আরামাইক শব্দ হলো ʼĔlāhā, বা en:Alaha। খ্রিস্টান এবং ইহুদিরা সহ আব্রাহামীয় সকল ধর্মের আরবি-ভাষী লোকই, ঈশ্বরকে বুঝাতে আল্লাহ শব্দ ব্যবহার করে থাকে।</t>
  </si>
  <si>
    <t>হুবলিতে ঈদগাহ ময়দানের মালিকানা নিয়ে হিন্দু-মুসলিম সংঘর্ষ হয় এবং বহু লোক হতাহত হয়।</t>
  </si>
  <si>
    <t>অদৃশ্য সম্পর্কে তোমাদেরকে আল্লাহ অবহিত করার নয়; তবে আল্লাহ তাঁর রাসুলদের মধ্যে যাকে ইচ্ছা মনোনীত করেন।</t>
  </si>
  <si>
    <t>মুসলিম দাঙ্গাকারিদের হাতে নোয়াখালীর হিন্দুদের অসহায়ত্বের সংবাদ জানার পরে হিন্দু মহাসভার সাধারণ সম্পাদক আশুতোষ লাহিড়ী দ্রুত চাঁদপুরে চলে আসেন।</t>
  </si>
  <si>
    <t>স্থানীয় খ্যাতনামা ব্যবসায়ী নবদ্বীপচন্দ্র নাথ থানা থেকে বের হতে শেষ পর্যন্ত অস্বীকৃতি জানালে, মুসলিমরা তাকে থানার ভিতর থেকে টেনে হিঁচড়ে বের করে নিয়ে যায়। তাকে সেখানেই প্রকাশ্যে নৃশংস ভাবে প্রহার ও ছুরিকাঘাত করে হত্যা করে এবং মৃতদেহ রশিতে বেঁধে টানতে টানতে উত্তর দিকে নিয়ে যায়।</t>
  </si>
  <si>
    <t>"সম্প্রতি ধর্ম সংক্রান্ত বেশ কয়েকটি ঘটনা ভারতের পরিস্থিতিকে আলোচনার কেন্দ্রবিন্দুতে পরিণত করেছে।"</t>
  </si>
  <si>
    <t>বাসুদেব শর্মা নামে একজন অত্যন্ত সজ্জন হিন্দু গুরু ছিলেন,যিনি সেখানকার হাজার হাজার হিন্দু শ্রমিকদের নিকট অত্যন্ত শ্রদ্ধার পাত্র ছিলেন।ঈদ-উল-ফিতরের দিনে নিরীহ এই মানুষটিকে মুসলিমরা জোর করে গো-মাংস ভক্ষণে বাধ্য করে।</t>
  </si>
  <si>
    <t> ইসলামী আইন ও বিধানে আত্মহত্যাকে হারাম করা হয়েছে এবং তার পরিণতিতে বলা হয়েছে, আত্মহত্যাকারী ব্যক্তির আত্মহত্যা করার পদ্ধতি অনুযায়ী তার যন্ত্রণাকে অব্যাহত রাখা হবে। </t>
  </si>
  <si>
    <t xml:space="preserve">বিষয়টা খতিয়ে দেখলে বুঝবেন - মেক্সিমাম উসকানীগুলা দেয় পোগতিশীল , সুশীল দাবীদার মহা মাডার্সোঢগুলা। এরা বেশিরভাগই মুসলিম । এরাই একটা বিশেষ দলের গোলামী করতে করতে নিজের চুটকি ( শুদ্ধ ভাষায় বললে - নিতম্ব ) বিকিয়ে দিয়েই ক্ষান্ত হয়নি , ধর্মীয় দাঙ্গা বাঁধাতে মহা উৎসাহী। </t>
  </si>
  <si>
    <t>আবার সংখ্যালঘু হিন্দু সম্প্রদায়ের বাড়িতে আগুন লাগিয়ে দেয়া কি উচিত? আসলে কোনটিই সত্যিকার অর্থে মানুষের কাজ হতে পারে না৷ সামান্য কিছু বিশৃঙ্খলা সৃষ্টিকারীদের জন্যেই হিন্দু মুসলিম উভয় ধর্মের মানুষের মাঝে সাম্প্রদায়িক সম্প্রীতি বিনষ্ট হচ্ছে ৷</t>
  </si>
  <si>
    <t>এই মুভিতে দেখাবে ইসলামি জঙ্গিবাদ দমনে নায়ক দেব এসে হাজির হয়েছে। আর জঙ্গিদের সিম্বল হিসাবে কালিমা খচিত পতাকা ব্যবহার করা হয়েছে। এখানে সুস্পষ্টভাবে ইসলামকে ডিমোনাইজ করা হচ্ছে। ভিলেন বানিয়েছে ইসলামকে । যা ইচ্ছাকৃত ইসলাম বিদ্বেষ"।</t>
  </si>
  <si>
    <t>মুসলিম হওয়ার কিছুদিনের মধ্যে মা ক্যান্সারে আক্রান্ত হয়ে মারা যান। কিন্তু ইসলাম আমাকে ধৈর্যধারণে সাহায্য করে। দুঃখ-ব্যথার সময় আমরা শুধু আল্লাহর কাছে যেতে পারি। ইসলামই চূড়ান্ত সত্য ও পূর্ণাঙ্গ জীবনধারা। আল্লাহর পক্ষ থেকে মানুষ জাতির প্রতি প্রেরিত শেষ সত্য এবং শেষ সুযোগ।</t>
  </si>
  <si>
    <t>ধর্মীয় ভিন্নতা থাকা সত্ত্বেও, হিন্দু মুসলিম একত্রে শান্তিতে জীবন কাটালে তারা একে অপরের সংস্কৃতি ও ঐতিহ্যকে সম্মান জানিয়ে সমাজে সহমর্মিতা এবং সমঝোতার পরিবেশ সৃষ্টি করতে পারে।</t>
  </si>
  <si>
    <t>এটা সবচেয়ে বড় মিথ্যা কথা, কারণ বাংলাদেশের ৯৯% হিন্দু ই চাই যে বাংলাদেশ ভারতের অংশ হয়ে যাক। এরা সব কিছু তেই ভারতের পক্ষে থাকে।</t>
  </si>
  <si>
    <t>বিমলা সুন্দরী পাল নামের এক মহিলাকে ধরে নিয়ে নির্মম ভাবে হত্যা করে তারা।[৩২] মইমান ইউনিয়ন পরিষদের সভাপতি বরদা প্রসাদ রায় এবং তার পরিবারের ১৬ জন সদস্যকে নির্মম ভাবে হত্যা করে উন্মত্ত মুসলিমরা।[</t>
  </si>
  <si>
    <t>আল্লাহ যারা আমাদের পবিত্র আল কোরআন পড়েছে তাদেরকে হেদায়েত দাও না হয় গজব দিয়ে ধ্বংস করে দাও</t>
  </si>
  <si>
    <t>পূর্ব পাকিস্তানের উত্তরসূরি রাষ্ট্র বাংলাদেশে আংশিকভাবে বহাল রাখা মুসলিম লীগ পক্ষের দৃষ্টিভঙ্গি হল বাস্তবে কংগ্রেস ও হিন্দুরা কলকাতায় মুসলমানদের একটি শিক্ষা প্রদানের জন্য সরাসরি সংগ্রাম দিবসের প্রস্তাবিত সুযোগটি ব্যবহার করেছিল এবং তাদের প্রচুর সংখ্যায় হত্যা করেছিল।</t>
  </si>
  <si>
    <t>তিনি লিখেছেন, ‘অ্যাডভোকেট সাইফুল ইসলাম আলিফকে যেসব সাম্প্রদায়িক সন্ত্রাসীরা হত্যা করেছে তাদের অবশ্যই কঠোর শাস্তি হবে। অন্তর্বর্তীকালীন সরকার শুরু থেকেই সংখ্যালঘু সম্প্রদায়ের দাবিদাওয়া আন্তরিকভাবে বিবেচনা করেছে। কিন্তু চিন্ময় কৃষ্ণ দাস বিভিন্ন সভা সমাবেশে মিথ্যা ও উসকানিমূলক বক্তব্য দিয়ে সাম্প্রদায়িক বিভাজন তৈরি করার চেষ্টা করে যাচ্ছিল।’</t>
  </si>
  <si>
    <t>একটির পর একটি মিছিলে লোকে লোকারণ্য হয়ে পড়ে দৈনিক বাংলা মোড় থেকে পল্টন হয়ে বিজয় নগর পর্যন্ত বিশাল এলাকাজুড়ে। আবার কোনো কোনো সংগঠন রাস্তায় অস্থায়ী মঞ্চ বানিয়ে জমায়েত করেছে ওই সড়কের বিভিন্ন প্রান্তে। মিছিলকারীরা বলছিলেন ইসলামের নবীর অবমাননা তারা কোনোভাবেই মেনে নিতে রাজি নন।</t>
  </si>
  <si>
    <t>মহারাষ্ট্রের মালেগাঁও শহরে একটি মসজিদের বাইরে বিস্ফোরণে ছয়জন নিহত হন, যা হিন্দুত্ববাদী সংগঠনের সদস্যদের দ্বারা পরিচালিত বলে তদন্তে উঠে আসে।</t>
  </si>
  <si>
    <t>মিডিয়া জগতে নারীত্ববাদকে আশ্রয় করে তরুণীদের কাছে এক ধরনের উগ্র অপসংস্কৃতি তুলে ধরা হয়। যার দরুন সৃষ্টি হয় মিশ্র সংস্কৃতি। স্বকীয়তা কিংবা নিজস্বতা বিকিয়ে দিয়ে ধার করা এ অপসংস্কৃতি পুরোটাই পাশ্চাত্যদের বিজনেস পলিসি।</t>
  </si>
  <si>
    <t>শহরজুড়ে উত্তেজনা ছড়িয়ে পড়েছে, দোকানপাট বন্ধ করতে বাধ্য করা হচ্ছে, এবং পাথর ও ইটপাটকেল ছোঁড়াছুঁড়ি, ছুরিকাঘাতের খবর পাওয়া গিয়েছে। এই ঘটনাগুলো প্রধানত রাজাবাজার, কলাবাগান, কলেজ স্ট্রিট, হ্যারিসন রোড (বর্তমানে মহাত্মা গান্ধী রোড), কলুটোলা এবং বড়বাজারের মতো শহরের উত্তর-মধ্য অংশগুলোতে কেন্দ্রীভূত ছিল।</t>
  </si>
  <si>
    <t>পাশ্ববর্তী ভারতে কাগজপত্র সব ঠিক থাকার পরও মসজিদ-মাদ্রাসা বুলডোজার দিয়ে ভেঙে দিয়েছে, তার বহু উদাহরণ রয়েছে। ঠিক সেভাবেই বাংলাদেশেও কাগজপত্র ঠিক থাকার পরও মুসলমান তার মসজিদ রক্ষা করতে পারছে না।</t>
  </si>
  <si>
    <t>পাকিস্তানে টেলিযোগাযোগ নিয়ন্ত্রণ কর্তৃপক্ষ অনলাইন বিশ্বকোষ উইকিপিডিয়া থেকে ধর্ম অবমাননাকর বিষয় অপসারণ করতে ব্যর্থ হওয়ার অভিযোগে ওয়েবসাইটটি ব্লক করে দিয়েছে।</t>
  </si>
  <si>
    <t>‘ঔরঙ্গজেবের চেয়ে বেশি মন্দির ধ্বংস করেছেন মোদী’</t>
  </si>
  <si>
    <t>আইএস (ISIS) জঙ্গিরা ইয়াজিদি সম্প্রদায়ের উপর গণহত্যা চালিয়ে হাজারো মানুষ হত্যা করে এবং বহু নারীকে দাসত্বের জন্য বন্দি করে।</t>
  </si>
  <si>
    <t xml:space="preserve"> অন্যান্য প্রতিবেদনে মৃতের সংখ্যা প্রায় ১০০ জন বলে উল্লেখ করা হয়েছে এবং ৪০ জনেরও বেশি নারীকে যৌন নির্যাতনের শিকার হওয়ার পরামর্শ দেওয়া হয়েছে এবং অনেক খ্রিস্টানকে সহিংসতার হুমকি দিয়ে হিন্দু ধর্মে ধর্মান্তরিত করতে বাধ্য করা হয়েছে।</t>
  </si>
  <si>
    <t>শুধু কোনো অপকর্ম হলে তার প্রতিবাদ করবে সবাই। কোনো নেশার আড্ডা, ছিনতাই, ধর্ষণ এসবের প্রতিবাদ হবে প্রকাশ্যে। কিন্তু কারও ধর্মচর্চায় বাধা দেয়া চলবে না।</t>
  </si>
  <si>
    <t>আল্লাহর বিধান অনুসারে, প্রাণীদের প্রতি যত্নশীল হওয়া উচিত, কারণ তারা খাদ্য, পরিবহন ও সঙ্গ দানের মাধ্যমে মানুষের উপকার করে।</t>
  </si>
  <si>
    <t>মেসিয়াহ বলতে কেমব্রিজ ডিকশনারি অনুযায়ী ইহুদিদের জন্য রাজা বোঝানো হয় যাকে সৃষ্টিকর্তা পাঠাবেন। আবার খ্রিস্টানদের জন্য মেসিয়াহ হচ্ছে যীশুখ্রিস্ট যিনি মুসলমানদের কাছে নবী ঈসা (আ) নামে পরিচিত।</t>
  </si>
  <si>
    <t>পৃথিবীর মাটি বেশিদিন অন্যায় অত্যাচার মেনে নেয় না। যে কোনো নির্যাতিত মানুষ এবং জাতি তাদের শরীরে এক বিন্দু রক্ত থাকা পর্যন্ত নির্বোধের মতো অন্যায় অত্যাচার মেনে নেবে না।</t>
  </si>
  <si>
    <t>১৯৯০ সালে ভারতের উত্তর প্রদেশের গোন্ডা জেলায় মসজিদ ও মন্দির সংক্রান্ত বিতর্কের জেরে বড় আকারের সাম্প্রদায়িক দাঙ্গা ঘটে।</t>
  </si>
  <si>
    <t>মন্দিরের ওই লোক যেভাবে এর বাবাকে বললো যে আপনি বাবা না। ইভেন লাশ তারা নিতে চাচ্ছিলো বেনারস বাড়ি বলে। এগুলো কেন হলো অনেক প্রশ্নের উত্তর নেই।</t>
  </si>
  <si>
    <t>মৃত্যু হচ্ছে জাগতিক জীবনের পরিসমাপ্তি এবং আখিরাত জগতের প্রবেশদ্বার।</t>
  </si>
  <si>
    <t xml:space="preserve">নাস্তিকরা আরেকজন নারীকে মুহাম্মাদ (সা.)-এর দাসী অপবাদ দিয়ে থাকে। তিনি হলেন সমস্ত মুসলিমের মাতা হযরত রায়হানা (রা.)। </t>
  </si>
  <si>
    <t>ইসলামিক স্টেট জঙ্গিরা ব্রাসেলসের বিমানবন্দর ও মেট্রো স্টেশনে আত্মঘাতী হামলা চালিয়ে ৩২ জনকে হত্যা করে।</t>
  </si>
  <si>
    <t>সকল সম্মানিত সদস্যদের বিনীতভাবে অনুরোধ জানাচ্ছি, বিতর্কের সৃষ্টি হয় এমন কোন ধর্মীয় পোস্ট আমরা এখানে শেয়ার না দেয়ার চেষ্টা করবো সেটা যেকোন ধর্মেরই হউক</t>
  </si>
  <si>
    <t>বাংলাদেশ হিন্দু বৌদ্ধ খ্রিস্টান ঐক্য পরিষদ গত বছরের শেষ পাঁচ মাসে সাম্প্রদায়িক সহিংসতায় ২৩ জন নিহত হওয়ার যে তথ্য দিয়েছে তা নিয়ে সম্প্রতি সংবাদ সম্মেলন করে প্রধান উপদেষ্টার দপ্তর৷ সেখানে দাবি করা হয়, একটি ঘটনার বিস্তারিত তথ্য পাওয়া যায়নি</t>
  </si>
  <si>
    <t>হিজরী প্রথম বছরের অষ্টম মাস অর্থাৎ শাবান মাসে রোজা বাধ্যতামূলক করার আয়াত নাজিল হয়, এবং তখন নবম মাস অর্থাৎ রমজান মামে একমাস সিয়াম সাধনাকে ফরজ করা হয়</t>
  </si>
  <si>
    <t>প্রতিবাদ আসতে হবে দেশের আপামর মেজরিটি মুসলমানদের পক্ষ থেকে সবার আগে, তাহলে নির্যাতিতরা সাহস পাবে এই ঘোরতর অন্ধকারে নতুন করে বাঁচবার ।</t>
  </si>
  <si>
    <t>হিন্দু ধর্মে সব প্রাণীকে সমান সম্মান দেওয়া হয়, যা প্রাণীকুলের প্রতি ভালোবাসা এবং দয়ার পথকে উদ্ভাসিত করে।</t>
  </si>
  <si>
    <t>ওসামা বিন লাদেন মার্কিন যুক্তরাষ্ট্রের বিরুদ্ধে একটি পবিত্র যুদ্ধের ঘোষণা দেন এবং প্রতিশোধমূলকভাবে মার্কিনীদের হত্যার জন্য বিন লাদেন ও অন্যান্যদের ১৯৯৮ সালে প্রকাশিত একটি ফতোয়ার স্বাক্ষরকে তদন্ত কর্মকর্তারা তার উদ্দেশ্য হিসেবে উল্লেখ করে থাকে।</t>
  </si>
  <si>
    <t>সংঘাতের এই নিদর্শনগুলি দেশভাগের পর থেকেই সুপ্রতিষ্ঠিত হয়েছে, কয়েক ডজন গবেষণা সংখ্যালঘু গোষ্ঠীর বিরুদ্ধে গণ-সহিংসতার ঘটনাগুলির দলিল করেছে। [১৬] ১৯৫০ সাল থেকে হিন্দু-মুসলিম সাম্প্রদায়িক সহিংসতায় ১০,০০০ জনেরও বেশি মানুষ মারা গেছে।</t>
  </si>
  <si>
    <t>আহারে কী ভিডিও বানাই, আরেকবার বল, ইশ্বর আল্লাহ নাকি আবার বৌদ্ধ আল্লাহ? এক তা কী বলে, উনি পাগল?</t>
  </si>
  <si>
    <t>প্রথমত হযরত মুহাম্মদ মোস্তফাকে (সা.) অবমাননা করে কোনো কিছু, সেটি আমরা কোনোভাবেই সমর্থন করি না। এতে ধর্মপ্রাণ মুসলমানদের অনুভূতিতে আঘাত লেগেছে।</t>
  </si>
  <si>
    <t>কুমিল্লায় পুজামন্ডপে পবিত্র কুরআনুল কারীম অবমাননার তীব্র নিন্দা ও প্রতিবাদ জানাই। পাশাপাশি জড়িতদের দৃষ্টান্তমূলক শাস্তি দাবী করছি। কোরআনের পবিত্রতা রক্ষা করা আমাদের মুসলমানদের ঈমানি দায়িত্ব।।।</t>
  </si>
  <si>
    <t>ইহুদিরা কি বলে দিয়েছিল আমাদের ফেসবুক চালাতে কোনো ধর্মের প্রচার করা যাবেন? এইরকম কোনো শর্ত আমার চোখে পড়ে নি৷ আপনার পড়ে থাকলে দেখান</t>
  </si>
  <si>
    <t>পিরোজপুর জেলার বান্দরবান উপজেলায়, ৫ জানুয়ারীর জাতীয় নির্বাচনের পর ১২ তারিখ ইসলামী মৌলবাদীরা প্রাচীন দুর্গা মন্দিরে অগ্নিসংযোগ করে। সেইসব মৌলবাদীরা মন্দিরকে ভষ্মীভুত করে দেয়।</t>
  </si>
  <si>
    <t>পালদের পরে ত্রয়োদশ শতকের বখতিয়ার খিলজি বাংলার শাসন অধিগ্রহণের আগে হিন্দু সেন রাজারা (১০৯৭-১২০৩) বাংলার অধিপতি ছিলেন। আর সেন’দের সময়ে শৈব হিন্দুরা পায় শাসকদের আনুকুল্য, আর ঐদিকে বৌদ্ধদের তিব্বতের দিকে ঠেলে সরিয়ে দেয়া হয়। পুরান গ্রন্থগুলো নিয়ে সামান্য গবেষণা করলেই দেখা যায়, এই ব্রাহ্মণ্য আখ্যানগুলো কীভাবে বৌদ্ধদের প্রতি শ্লেষ আর অবর্ণনীয় ভাষিক বর্বরতায় ভরা, যেখানে বৌদ্ধদের ক্ষতিকর আর ভয়ানক হিসেবে চিত্রিত করা হয়েছে।</t>
  </si>
  <si>
    <t>ইমান না হলেও মানবিকতার খাতিরে হলেও ইসরায়েলি প্রোডাক্ট বর্জন করতে হবে।আর নিজের স্বার্থে ভারতীয় প্রোডাক্ট বর্জন করা ফরজ।</t>
  </si>
  <si>
    <t>যেখানে রাসূল পাক (সাঃ) নিজেই বলেছেন যে, যারা নির্দোষ বা সংখ্যাগরিষ্ঠ নয় এমন বিধর্মীদের কষ্ট দেবে, আমি নিজেই আল্লাহর কাছে তাদের বিরুদ্ধে নালিশ করব কিংবা তাদের বিরুদ্ধে প্রতিকার চাইব।</t>
  </si>
  <si>
    <t>বাংলাদেশে মুসলিম সংখ্যাগরিষ্ঠ হলেও, সেক্যুলারিজমের প্রভাব রয়েছে, যেখানে সরকার ও প্রশাসন কিছু সীমাবদ্ধতার মধ্যে থেকে কাজ করে।</t>
  </si>
  <si>
    <t>স্থানীয় একজন কর্মকর্তা বিবিসিকে বলেছেন, "চারটি মসজিদ, ৩৭টি বাড়িঘর, ৪৬টি দোকান এবং ৩৫টি গাড়িতে ভাঙচুর ও আগুন দেওয়া হয়েছে।"</t>
  </si>
  <si>
    <t>ভারতের গোরুরা শুধু ইসরায়েলের পক্ষে থাকবে না, যেখানে মুসলিমদের অত্যাচার করা হবে, সেই অত্যাচারীদের পক্ষ নেবে, অতএব গোরুরা কার পক্ষে গেল আর না গেল, তাতে মুসলিমদের কিছু আসে যায় না, কারণ সব অমুসলিমের পাছার শিকড় এক।</t>
  </si>
  <si>
    <t>হামাসের রকেট আর ফিলিস্তিনি যোদ্ধাদের আকস্মিক গেরিলা হামলায় ব্যাপক ক্ষয়ক্ষতি হয়েছে ইসরায়েলের। শনিবার ইহুদি বসতি লক্ষ্য করে প্রায় ৫ হাজার রকেট ছোঁড়ে হামাস।</t>
  </si>
  <si>
    <t>কুষ্টিয়ার পর জয়পুরহাটে সহিংসতার দ্বিতীয় ঘটনা ঘটেছে। বাংলাদেশ হিন্দু ঐক্য পরিষদ একই সপ্তাহে দ্বিতীয় ঘটনাটি নথিভুক্ত করার সময় বাংলাদেশের আইন-শৃঙ্খলা ব্যবস্থার শক্তি নিয়ে প্রশ্ন তোলে।</t>
  </si>
  <si>
    <t>তার বক্তব্য হচ্ছে, যেখানে যুগ যুগ ধরে তারা সম্প্রীতির সাথে বসবাস করছেন, সেখানে একটি ফেসবুক পোস্টকে কেন্দ্র করে এ ধরনের হামলার ঘটনা ঘটতে পারে না। তার ধারণা - ধর্মকে ব্যবহার করে পরিকল্পিতভাবে ঘটনাটি ঘটানো হয়েছে ।</t>
  </si>
  <si>
    <t>যখন একজন হিন্দু মেয়ে ধর্মান্তরিত হয়ে মুসলিম হয়,তখন সে মারা গেলে আপনি চাইবেন মেয়েটার দাফন হোক।আর একজন মুসলিম মেয়ে ধর্মান্তরিত হয়ে হিন্দু বা হিন্দুদের রীতিনীতি ফলো করলে,তাহলে তারা চাইবে না কেন তার দাহন হোক!</t>
  </si>
  <si>
    <t>তিনি তাঁর আত্মজীবনীতে লিখেছেন, "আমাকে লোকে প্রায়ই জিজ্ঞাসা করে যে, আমি কখন এবং কীভাবে মুসলিম হলাম।"</t>
  </si>
  <si>
    <t>কড়ই কাদিপুর গণহত্যা হলো ১৯৭১ সালের ২৬ এপ্রিল পাকিস্তান সেনাবাহিনী ও রাজাকার কর্তৃক নিরস্ত্র হিন্দু বাঙালিদের ওপর চালিত একটি গণহত্যা।[১][২][৩] কড়ই, কাদিপুর ও আশেপাশের গ্রামের প্রায় ৩৭০ জন হিন্দু গণহত্যায় প্রাণ হারান।</t>
  </si>
  <si>
    <t>আপনাকে শত চেষ্টা করেও একটা গুষ্টি...ব্যাক্তি কিংবা ধর্মের বিরুদ্ধে লিখানোর চেষ্টায় ওরা বিফল হয়েছে</t>
  </si>
  <si>
    <t>তীর্থযাত্রীরা সীতাকুন্ড যাওয়ার আগে চাটগাঁয় এসে পৌঁছুলে তাদের ওপর আনসাররা আক্রমণ করে।[২] ১৪ই ফেব্রুয়ারির সন্ধেবেলার মধ্যেই চাটগাঁয় অবস্থিত সমস্ত তীর্থযাত্রীকে হত্যা করা হয়।[২] ১৫ই ফেব্রুয়ারির সকালে প্রচুর তীর্থযাত্রী সীতাকুন্ড স্টেশনে নামে। নামার সাথে সাথেই আনসাররা তাদের ওপর আক্রমণ করে।</t>
  </si>
  <si>
    <t>কোরআন আমাদের জান প্রাণ আল্লাহ আপনি কুরআন অবমাননা কারীকে ধ্বংস করে দেন ইহুদি হাত থেকে আমাদের পবিত্র কোরআনকে রক্ষা করুন আমিন।</t>
  </si>
  <si>
    <t xml:space="preserve">ফেসবুকে অনেকেই শাইখুল হাদিস বা পুরোহিত পন্ডিত বা ফাদার সাজার চেষ্টা করি কিন্তু বস্তুত ধর্ম নিয়ে আমাদের অনেকেরই জানার পরিধি অনেক সীমিত, </t>
  </si>
  <si>
    <t>যেসব দেশ ধর্মের ধারধারেনি তারা অনেক ভালো আছে। তারাই আজ বিশ্বে উন্নত জাতি। সহজ সরল সত্য কথা হলো ধর্মহীনরাই মানবিক ও হৃদয়বান হয়।</t>
  </si>
  <si>
    <t>চাঁদপুর, হাজীগঞ্জে পুলিশের গুলিতে ৮ জন নিহত।হে আল্লাহ কোরআনের জন্য শহীদ হওয়া ৮ জন ভাইকে জান্নাতের উচ্চ মাকাম দান করুন।</t>
  </si>
  <si>
    <t>হামলাকারীরা ৩০টির বেশি হিন্দুদের দোকানপাট ও ৫টির বেশি বাড়িতে ভাংচুর ও লুটপাট করে। তারা ইটপাটকেল ছুঁড়ে ৫০ জন হিন্দুদের আহত করে। সকাল ১০টা থেকে বিকেল ৩টা পর্যন্ত ৫ ঘন্টা ব্যাপী এই আক্রমণ চলে।</t>
  </si>
  <si>
    <t>মন্দির ও আশ্রমের বাসিন্দারা আগের রাতের সেই ভয়ঙ্কর, আমরা সাধারণ মানুষ ফিলিস্তিনের জন্য সাহায্য করতে পারি, এগুলো বয়কট করে আমরা শান্তিপূর্ণভাবে আমাদের অবস্থান প্রকাশ করতে পারি।</t>
  </si>
  <si>
    <t>আগে তালেবানদের ঠিক হতে বল,, দোষ করে তালেবানরা আর দোষ হয় হিন্দুদের,, এই আইন বাংলাদেশে চলে না,, আর হিন্দুদের উপর যদি ধর্মীয় আঘাত হানে তার কি বিচার হবে,, পাগল বলে চালিয়ে দেয়া নাকি</t>
  </si>
  <si>
    <t>আপনাকে অনেক অনেক নেক হায়াত দান করুক আল্লাহ তায়ালা। এত সুন্দর একটা ক্লাস দেওয়ার জন্য আর খুব সুন্দর করে উপস্থাপন করেছেন।</t>
  </si>
  <si>
    <t xml:space="preserve">ইসলামের রাজনৈতিক ব্যবহার বন্ধ করুন। ধর্মীয় জোরজবরদস্তী বন্ধ করুন। - তাহলে আমরা আর কিছু বলবোনা। ধর্মকে পারজগতিক বিষয় এবং একান্ত ব্যক্তিগত বিষয় হিসাবে রাখুন। </t>
  </si>
  <si>
    <t>পূজার সময় শঙ্খ বাজিবে, নামাযের সময় আযান, সাম্প্রদায়িক সম্প্রীতি রবে, থাকতে বাঙ্গালির প্রাণ। ধর্ম যার, উৎসবও তার, এইটাই হবে নীতি, ধর্ম রবে ধর্মের স্থানে, মানবতাতেই সম্প্রতি</t>
  </si>
  <si>
    <t>রেনুকা বালার হত্যাকারী শনাক্ত করতে পারেনি পুলিশ : এলাকার হিন্দুরা আতঙ্কে</t>
  </si>
  <si>
    <t>অ্যান্টি সেমিটিজম বা ইহুদি-বিদ্বেষ বলতে ইহুদিদের বিরুদ্ধে কুসংস্কার, বৈষম্য এবং ধর্মীয় গোঁড়ামি থাকাকে বোঝায় যা শত শত বছর ধরে অনেকের মধ্যে বিদ্যমান রয়েছে।</t>
  </si>
  <si>
    <t>হামলার সময় প্রতিমা, পূজামণ্ডপ ভাঙচুর ও হিন্দু ধর্মাবলম্বীদের মারধর করা হয়।[৭][৮][৯]হামলাকারীরা বুধবার সন্ধ্যায় কুমিল্লার নানুয়া দিঘির উত্তরপাড় পূজামণ্ডপের দুর্গা প্রতিমাটি পার্শ্ববর্তী একটি পুকুরে ফেলে দেয়।</t>
  </si>
  <si>
    <t> ঊনবিংশ শতাব্দীর মধ্যে সতীদাহ হিন্দু ধর্মগ্রন্থ দ্বারা সমর্থিত বলে বিশ্বাস করা হয়েছিল; সতীদাহকে অসৎ প্রতিবেশীদের দ্বারা উৎসাহিত করা হয়েছিল </t>
  </si>
  <si>
    <t>আমি বৌদ্ধ ধর্মের এবং গৌতম বুদ্ধের প্রত্যেকটা কথা সঠিক যা আমাদের জীবনকে অনেক সহজ করে তোলে। সাধু, সাধু, সাধু। বুদ্ধের শাসন চিরজীবি হোক।</t>
  </si>
  <si>
    <t>"আর অল্প কিছুদিন পরেই বাংলার মুসলমানরা ফিলিস্তিনিদের মতো সাহস এবং সহানুভূতির সঙ্গে এগিয়ে যাবে।"</t>
  </si>
  <si>
    <t>তখন কোথায় ছিল ধর্মপালনের স্বাধীনতা।অথচ এখন তেনারা গুটিকয়েক মন্তব্য নিয়ে এক্কেবারে দেশ উল্টিয়ে ফেলছেন।তথাকথিত অসাম্প্রদায়িক সুশীলদের সমস্যা আসলে ইসলামে। ৯০ ভাগ মুসলিমের দেশে সরাসরি বলতে পারেননা এই আরকি</t>
  </si>
  <si>
    <t>নোয়াখালী, বিহার, যুক্তপ্রদেশ (অধুনা উত্তরপ্রদেশ), পাঞ্জাব ও উত্তর-পশ্চিম সীমান্ত প্রদেশে আরও ধর্মীয় দাঙ্গার সূত্রপাত করেছিল। এই ঘটনাসমূহ শেষ পর্যন্ত ভারত বিভাজনের বীজ বপন করেছিল।</t>
  </si>
  <si>
    <t>বটবৃক্ষের নিচে কুরআনুল কারিম তিলাওয়াতের প্রোগ্রাম না হয়ে যদি একটা "Bar” খোলার ব্যবস্থা করা যেত তাহলে চেতনা রক্ষা পেত! লজ্জা পেতে হতো না।</t>
  </si>
  <si>
    <t>এ সময় শতভাগ প্রস্তুত চারটি কালীমূর্তি এবং রঙপলিশের জন্য রাখা আরও ৪৯টি সরস্বতী প্রতিমা ভাঙা হয়। পুলিশ জানায় অপরাধিকে শনাক্ত করা সম্ভব হয়নি।</t>
  </si>
  <si>
    <t>এছাড়া মিথ্যা মামলায় সম্প্রদায়টির ৯৬ জনকে গ্রেপ্তার, বরখাস্ত, চাকরিচ্যুত ও জেল-জরিমানা, ৮০২টি পরিবারকে অবরুদ্ধ করা, ৫৭টি ধর্মীয়প্রতিষ্ঠান অপবিত্রকরণ, ৬০টি ধর্মীয় অনুষ্ঠান পালনে বাধা, ১০০ জনকে ধর্মীয় নিষিদ্ধ গরুর মাংস খাওয়ানোর ঘটনা ঘটেছে। মোট ৬৩৮টি আলাদা ঘটনায় ক্ষতি হয়েছে ১৫২ কোটি ৩৫ লাখ ৫৫ হাজার টাকার।</t>
  </si>
  <si>
    <t>৭ ই মার্চ, লালমনিরহাটের হাতীবান্ধা উপজেলায় হিন্দু দেবী কালী'র একটি মূর্তি নষ্ট করা হয় এবং একটি হিন্দু মন্দিরে আগুন দেওয়া হয়।</t>
  </si>
  <si>
    <t>আল্লাহ সাক্ষ্য দিয়েছেন যে, তাঁকে ছাড়া আর কোন উপাস্য নেই। ফেরেশতাগণ এবং ন্যায়নিষ্ঠ জ্ঞানীগণও সাক্ষ্য দিয়েছেন যে, তিনি ছাড়া আর কোন ইলাহ নেই। তিনি পরাক্রমশালী প্রজ্ঞাময়।</t>
  </si>
  <si>
    <t xml:space="preserve">কুরআন ব্যক্তি ও সম্প্রদায় কিংবা তাদের সন্তান-সন্ততি, পরিবার-পরিজনকে কুরআনের আলোয় আলোকিত করার চেষ্টা করা কর্তব্য, আজ প্রত্যেক সামর্থ্যবান মুসলিম নিজ নিজ এলাকায় কুরআনী মকতব কায়েমের দৃঢ় সংকল্প করতে পারেন এবং কুরআনী শিক্ষা বিস্তারের সর্বাত্মক প্রচেষ্টায় আত্মনিয়োগ করতে পারেন। </t>
  </si>
  <si>
    <t>আত্মজিজ্ঞাসা: এতগুলো রাষ্ট্র, এত সম্পদ, বিশ্বের দ্বিতীয় বৃহত্তম ধর্মীয় জনগোষ্ঠী হওয়ার পরও কেন আমরা ফিলিস্তিন, কাশ্মীর, চেচনিয়া, বসনিয়া, মায়ানমার, চীনে—পৃথিবীর প্রান্তে প্রান্তে বারবার নির্যাতিত, মজলুম, পরাজিত?</t>
  </si>
  <si>
    <t>ঘটনার সূচনা পয়েন্টটি ছিল গোদরা ট্রেন পোড়ানো যা মুসলমানরা করেছিল বলে অভিযোগ ছিল। [৭৬] এই ঘটনার সময়, অল্প বয়সী মেয়েদের যৌন নির্যাতন করা হয়েছিল, পোড়ানো বা কুপিয়ে হত্যা করা হয়েছিল।</t>
  </si>
  <si>
    <t>ইসলামাবাদে ফেরার প্রাক্কালে ঢাকা বিমানবন্দরে পাকিস্তানের রাষ্ট্রপতি আইয়ুব খান ঘোষণা করেন যে, হজরতবাল ঘটনার পরিপ্রেক্ষিতে পাকিস্তানের মুসলিমদের মধ্যে অনুভূতির সৃষ্টি হলে তা শান্তিপূর্ণ এবং সংযমের মাধ্যমে প্রকাশ করার আহ্বান জানান।</t>
  </si>
  <si>
    <t>হিংসা করা যাদের পিছু ছাড়েনা, তারা কোনো ধর্মের লোকনা, এরা সবসময় আবেগপ্রবণ, যুকতি র ধার ধারে না , সারা পৃথিবীর সতনিরীহ। মানুষের উগ্র পন্থীদের একজোট হয়ে রুখে দেয়া সম্ভব।</t>
  </si>
  <si>
    <t>কোনো কারণে পড়াশুনায় খারাপ করা, চাকরি চলে যাওয়া, মানসিক চাপ, প্রেমে বিফলতা নানা কারণেই অনেকে আত্মহত্যা করছেন। বিশেষ করে মহামারি করোনা শুরু হওয়ার পর এটা আরো বেড়ে গেছে। এটা থেকে বাঁচতে হলে পারিবারিক বন্ধন একটা বড় ইস্যু।</t>
  </si>
  <si>
    <t xml:space="preserve">নাটোরে ছাত্রকে বিয়ে করা কলেজ শিক্ষিকা খাইরুন নাহার আত্মহত্যা করেছেন। </t>
  </si>
  <si>
    <t>জান্দী গণহত্যা হলো ১৯৭১ সালের ২রা মে বাংলাদেশের স্বাধীনতা যুদ্ধ চলাকালে ফরিদপুরের জান্দী গ্রামে স্থানীয় রাজাকারদের সহায়তায় পাকিস্তান সেনাবাহিনী কর্তৃক বাঙালি হিন্দুদের বিরুদ্ধে সংঘটিত গণহত্যা।[১][২][৩] বিভিন্ন সূত্র অনুযায়ী, জান্দী গণহত্যায় মোট ৩১ জন হিন্দু প্রাণ হারান।</t>
  </si>
  <si>
    <t>"মানুষের মাঝে ভেদাভেদ সৃষ্টি করে যে ধর্ম, নিজের মধ্যে শ্রেষ্ঠত্ববাদের চেতনা জন্ম দেয় যে ধর্ম, সেই ধর্ম দিয়ে আপনি নিজেকে ভালো মানুষ প্রমাণ করতে পারবেন না। আপনি বরং সত্য এবং সুন্দরের পক্ষে অবস্থান নিন।"</t>
  </si>
  <si>
    <t>ঊনবিংশ শতাব্দীর মাঝামাঝি লম্বক, আজকের ইন্দোনেশিয়ার দ্বীপে, স্থানীয় বালীয় অভিজাতরা বিধবা আত্মহত্যার অনুশীলন করত; কিন্তু শুধুমাত্র রাজকীয় বংশোদ্ভূত বিধবারাই নিজেদের জীবন্ত পুড়িয়ে ফেলতে পারত (অন্যদের প্রথমে কিরিচ দিয়ে ছুরিকাঘাতে হত্যা করা হয়েছিল)।</t>
  </si>
  <si>
    <t>সারা দেশে গত এক বছরে সাম্প্রদায়িক সহিংসতা-নির্যাতন-নিপীড়নের ঘটনা ঘটেছে ১ হাজার ৪৫টি। এসব ঘটনায় ধর্মীয় ও জাতিগত সংখ্যালঘু সম্প্রদায়ের ৪৫ জন হত্যাকাণ্ডের শিকার হয়েছেন।</t>
  </si>
  <si>
    <t>সেই বেজন্মার উদ্দেশ্য সফল হবে (আমরা বিস্বাস করি যে আল্লাহ ছাড় দেন, কিন্তু ছেড়ে দেন না) প্রকৃত দোষীকে খুঁজে বের করে তাকে দুই ধর্মকেই অবমানিত করায় ও দেশের অরাজকতা সৃষ্টি করায় দেশদ্রোহীর সাজা দেওয়া হোক। অবশেষে বলবো ইসলাম শান্তির ধর্ম, একের দোষে অন্যকে আঘাত করা নিষেধ আছে।</t>
  </si>
  <si>
    <t>১৯৭১ সালের ২ মে পাকিস্তানি বাহিনী ও দেশীয় সহযোগীরা জান্দী গ্রামে পৌঁছায় এবং গ্রামবাসীরা যাতে পালাতে না পারে, সেজন্য গ্রামটিকে ঘিরে ফেলে। গ্রামের সকল হিন্দুদের ধরে পুরুষদের ব্রাশফায়ারে মারা হয় ও নারীদের ধর্ষণ করে হত্যা করা হয়।</t>
  </si>
  <si>
    <t>সাধারণ মানুষ প্রথাগত ভাবনার উপর ভর করে লবদ্ধ ধর্মীয় মৌলবাদী রাজনৈতিক নেতার কূনাট‍্যে,কূযুক্তি র মোহে পড়ার পরিনতি হিংসা, দ্বেশের মতো ঘটনায় জড়িয়ে পড়ে।তার সাথে যুক্ত হয় ব‍্যাক্তি আকাঙ্খা, নিজের অস্তিত্ব খুজে পাওয়ার আপ্রান চেষ্ঠা।</t>
  </si>
  <si>
    <t>রাসুল অবমাননা সবদিক থেকে ধিক্কার ও ঘৃণা যোগ্য। এটি এমন একটি অপরাধ যার শাস্তি আল্লাহপাক স্বয়ং নিজের হাতে নিয়েছেন। তাই এই অপরাধের কারণে বাহ্যিক ভাবে কাউকে শাস্তি প্রদানের অধিকার আল্লাহ তায়ালা কারো হাতে প্রদান করেন নি।</t>
  </si>
  <si>
    <t>হিন্দু ধর্মে পৃথিবী এবং জীবজগতের প্রতি সুসম আচরণ এবং সৌম্য মনোভাব গুরুত্ব পায়।</t>
  </si>
  <si>
    <t>গৌতম বুদ্ধ তাঁর প্র্যাকটিক্যাল জীবন ও তাঁর নিজস্ব বাস্তবতা থেকে ঈশ্বরের অস্তিত্বের উপলব্ধি পাননি</t>
  </si>
  <si>
    <t>মিল্লার একটি পূজামণ্ডপে কোরআন শরিফ রাখার গুজব ছড়িয়ে দেশজুড়ে হিন্দুদের মন্দির, বাড়িঘর ও ব্যবসা প্রতিষ্ঠানে হামলা করা হয়, যেখানে বেশ কয়েকজন নিহত হন।</t>
  </si>
  <si>
    <t>বাহাই ধর্মের সদস্যদের সম্পর্কে যেকোনো এবং সমস্ত তথ্য সংগ্রহ করা হয়। ২০ মার্চ ২০০৬ সালের একটি প্রেস বিজ্ঞপ্তিতে চিঠিটি আন্তর্জাতিক সম্প্রদায়ের নজরে আনা হয়েছিল, যেখানে ধর্ম বা বিশ্বাসের স্বাধীনতা সম্পর্কিত জাতিসংঘের মানবাধিকার কমিশনের বিশেষ র‍্যাপোর্টার আসমা জাহাঙ্গীরের উল্লেখ ছিল।</t>
  </si>
  <si>
    <t>ধর্ম মানুষের জীবনে নৈতিক মূল্যবোধ তৈরি করে এবং তার মাধ্যমে মানুষের সঠিক পথ অনুসরণের অনুপ্রেরণা পাওয়া যায়।</t>
  </si>
  <si>
    <t>মৃত মানুষের পোস্ট মর্টেম করে বয়স নির্ধারণ করা যায়। জেন্ডার নির্ধারণ করা যায়।</t>
  </si>
  <si>
    <t>জনসংখ্যা গবেষণা পণ্ডিত আশীষ বসুর মতে ১৯৮০ এর দশকের পর আফগানিস্তানে ইসলামী মৌলবাদের উত্থানের সাথে সাথে হিন্দুরা "তীব্র ঘৃণার" শিকার হয়ে ওঠে। </t>
  </si>
  <si>
    <t>পরস্থিতির আরও অবনতি হতে শুরু করে যখন ১৬ই ডিসেম্বরে বরিশাল জেলার অন্তর্গত গৌরনদী, ঝালকাঠি, নলছিটি সাব-ডিভিশন গুলোতে নির্বিচারে হিন্দুদের উপর হত্যা, লুটপাট, অগ্নিসংযোগ শুরু করা হয়।</t>
  </si>
  <si>
    <t>আল্লাহ্ আপনি আমাদের পবিত্র কোরআনেক হেফাজত করুন আর যে জালেমেরা আমাদের পবিত্র কোরআনক পুড়ানোর চেষ্টা করছে তাদেরকে আপনি কঠিন থেকে কঠিন জন্যতোনা দায়‍ৌক শান্তির দিন আমিন</t>
  </si>
  <si>
    <t> শীঘ্রই বাংলাদেশ স্বাধীন হওয়ার পর সেদেশে হিন্দুদের উপর পুনরায় নিপীড়ন শুরু হয়। ১৯৭১ সালের পর অনেক বাঙালি হিন্দু ভারতে শরণার্থী হিসেবে চলে আসে মুসলমানদের অত্যাচার সহ্য করতে না পেরে।</t>
  </si>
  <si>
    <t>ইরানের ইসলামিক বিপ্লবের পর বহু ভিন্নধর্মী ব্যক্তি ও বিরোধী মতাদর্শীদের মৃত্যুদণ্ড দেওয়া হয়, যা ধর্মীয় দমননীতির প্রতিফলন।</t>
  </si>
  <si>
    <t>পূজার সাথে পলিটিক্যাল এক্টিভিটি জড়িত না, ইফতার পার্টির সাথে জড়িত। তাই ধর্মীয় দৃষ্টিকোণ থেকে এটি নিয়ে সাম্প্রদায়িক ক্ল্যাশ তৈরির কোনো প্রয়োজন নেই।</t>
  </si>
  <si>
    <t>ইসলামের শিক্ষায় আল্লাহ বলেন যে, পরকালে প্রতিটি মানুষের কর্মকাণ্ডের জন্য তাকে হিসেব দিতে হবে, এবং তাতে সৎকর্মীরা পুরস্কৃত হবে।</t>
  </si>
  <si>
    <t>ধর্ম মানবেন নিজের জন্য, নিজের পরিবারের জন্য, সমাজ এবং রাষ্ট্রের জন্য। ঠিক আছে ,,,,</t>
  </si>
  <si>
    <t>আবারও রক্তাক্ত হলো পবিত্র আল-আকসা। ফজরের পর মসজিদের ভেতরে ঢুকে মুসল্লিদের ওপর হামলা চালিয়েছে ইসরায়েলি বাহিনী। দফায় দফায় চলে সংঘর্ষ। এতে আহত হয়েছে দেড় শতাধিক ফিলিস্তিনি। মসজিদ প্রাঙ্গণ থেকে আটক করা হয়েছে প্রায় চারশ' মানুষকে। রমজানের পবিত্রতা নষ্ট করতে পরিকল্পিতভাবে এ হামলার অভিযোগ তুলেছে আল-আকসা কর্তৃপক্ষ</t>
  </si>
  <si>
    <t>ভারত এখানে মারেফত দিয়ে কাজ করেনা। হিন্দুদের দিয়েই হিন্দুত্ববাদ প্রতিষ্ঠা করছে।তাই ভারত বিরোধিতা করতে হলে এখানে হিন্দু বিরোধিতাও লাগবে।</t>
  </si>
  <si>
    <t>১০ টাকার জন্য সাম্প্রদায়িক হামলা! সেটাও সম্ভব হয়েছে এই দেশে। ঘটনাটি আবার ঘটেছে ১০ জানুয়ারি, বঙ্গবন্ধুর স্বদেশ প্রত্যাবর্তন দিবসে। দিবসটি পালনে মাতোয়ারা দেশ, সন্ধ্যায় জানা যায়, বরিশালে সাম্প্রদায়িক হামলা।</t>
  </si>
  <si>
    <t>কিন্তু এই রমজান বা ইফতারকে কেন্দ্র করে যেন কোন উগ্র ধর্মান্ধ গোষ্ঠী বিষয়টিকে ভিন্ন দিকে নেওয়ার চেষ্টা করতে না পারে তাই ঐসকল ব্যাক্তিদের আলোচনা সভা যা রাজনৈতিক উদ্দেশ্য প্রসূত এবং তাকে ধর্ম দ্বার উদ্ধারের চেষ্টা করা হচ্ছে সেই বিষয়টাকে নিয়ন্ত্রণ করার চেষ্টা করা হচ্ছে।</t>
  </si>
  <si>
    <t>বারবার শুধু এই কথাটাই মাথায় আসছে। কেন এই তালিবান শাসন, কারা এই জঘন্য মুসলিম মৌলবাদের পৃস্টপোষক। আরো হতাশ লাগছে - আপামর উন্নত-অনুন্নত সমস্ত বিশ্বের কোনও দেশই এর বিরুদ্ধে কোনরকম পদক্ষেপ গ্রহণ করেনি।</t>
  </si>
  <si>
    <t>রাজাপুরে কালি মন্দির পুড়িয়ে দিয়েছে সন্ত্রাসীরা</t>
  </si>
  <si>
    <t>ও হিন্দুতো নাইই ও একটা মানুষ ই না । সব ধর্মের নীতিকথা মানুষকে ভালোবাসো কাওকে আঘাত দিয়ে নই ভালোবেসে তার মন জয় করো । ও হিন্দু ধর্মের নাম খারাপ করছে ।</t>
  </si>
  <si>
    <t>কোরআন অবমাননাকারীকে কঠিন থেকে কঠিন শাস্তি দেওয়ার জোর দাবী জানাচ্ছি। যেন এমন দুঃসাহস আর কেউ না দেখাতে পারে।</t>
  </si>
  <si>
    <t>চারদিকে যে পরিমাণে ইসলাম বিদ্বেষী ঢুকে পড়েছে, তাতে আমাদের ক্যাম্পাস কতদিন অনুকূলে থাকবে এটাই দেখার বিষয়</t>
  </si>
  <si>
    <t>সর্বকালের সর্বশ্রেষ্ঠ মহামানব, ইসলামের শেষ নবী হযরত মোহাম্মদ (সা.) এর প্রতি ভারতের ক্ষমতাসীন বিজেপি’র মুখপাত্রদের অসম্মান ও কটূক্তিপূর্ণ মন্তব্যের জেরে বিশ্বজুড়ে তোলপাড়। অথচ আমাদের সরকার নিরব। আমরা এ ব্যাপারো কোনো আপস করতে চায় না। কারণ তারা আমদের অন্তরে আঘাত করেছে।</t>
  </si>
  <si>
    <t>দুর্ভোগ প্রত্যেক ঘোর মিথ্যাবাদী মহাপাপীর, যে আল্লাহর আয়াতের আবৃত্তি শোনে অথচ ঔদ্ধত্যের সঙ্গে (নিজ মতবাদে) অটল থাকে। যেন সে তা শোনেইনি। সুতরাং ওকে মর্মন্তুদ শাস্তির সুসংবাদ দাও।</t>
  </si>
  <si>
    <t>যুগে যুগে সাবরা, শাতিলায় ফিলিস্তিনিরা স্বাধীনতার জন্য শহীদ করেছে লক্ষ প্রাণ, তবে কি বিশ্ব মুসলিম আজ নিরবে মেনে নিবে ইহুদিদের হাতে ইসলামের এই অপমান</t>
  </si>
  <si>
    <t>ভারতের রাজনীতিতে ধর্ম অনেক রাজ্যেই একটি গুরুত্বপূর্ণ ইস্যু হয়ে থেকেছে অনেকদিন থেকেই। কিন্তু বামপন্থীদের শক্ত ঘাঁটি ছিল যে পশ্চিমবঙ্গে, সে রাজ্যে রাজনীতিতে ধর্মের প্রভাব ছিল বিরল।</t>
  </si>
  <si>
    <t>দুঃখজনক হলো সেই ঘটনায় তৎকালীন বিহারের হিন্দু চিফ মিনিস্টার দাঙ্গাকারী উগ্র হিন্দুদের দমন করতে ব্রিটিশ সৈন্যদের ভূমিকা রাখার অনুমতি দানে অস্বীকার করেছিলেন এমনকি উক্ত ন্যক্কারজনক ঘটনার একটি তদন্ত কমিটি পর্যন্ত গঠন করা হয়নি। </t>
  </si>
  <si>
    <t>হিন্দু ধর্ম অনুসারে, অন্য ধর্মের মানুষের সাথে খাওয়ার ক্ষেত্রে অনেক সময় আলাদা পাত্রে রান্না করা এবং আলাদা জায়গায় খাওয়ার পরামর্শ দেওয়া হয়, যাতে সবার জন্য উপযুক্ত পরিবেশ নিশ্চিত হয়।</t>
  </si>
  <si>
    <t>সংঘাতের এই নিদর্শনগুলি দেশভাগের পর থেকেই সুপ্রতিষ্ঠিত হয়েছে, কয়েক ডজন গবেষণা সংখ্যালঘু গোষ্ঠীর বিরুদ্ধে গণ-সহিংসতার ঘটনাগুলির দলিল করেছে। [১৬] ১৯৫০ সাল থেকে হিন্দু-মুসলিম সাম্প্রদায়িক সহিংসতায় ১০,০০০ জনেরও বেশি মানুষ মারা গেছে।</t>
  </si>
  <si>
    <t>১৮ই ফেব্রুয়ারি শনিবার সকালে, অনেক হিন্দু ও খ্রিস্টান তাদের লুট করা, ধ্বংস করা ও পুড়ে যাওয়া বাড়িগুলিতে ফিরে আসে। সন্ধ্যায়, তারা আবার থানায় সমবেত হয়। এবার তাদের নগদ টাকা ও গহনার বদলে ভিতরে প্রবেশের অনুমতি দেওয়া হয়। এরই মধ্যে আনসাররা মুলাদিতে লাউডস্পিকারে ঘোষণা করে হিন্দুদের মুলাদি থানায় জড়ো হতে বলে। </t>
  </si>
  <si>
    <t> জামাত-ই-ইসলামের অনুগত মুসলিম শিক্ষার্থীরা প্রকাশ্যে হিন্দু শিক্ষার্থীদেরকে ভারতীয় অনুচর আখ্যা দিয়ে সাধারণ মুসলিমদের মাঝে ঘৃণার চাষ শুরু করে। জানুয়ারির ১৬ তারিখে সেন্ট্রাল ব্যাংকে কর্মরত কৃষ্ণ দে, ইউনাইটেড ইন্ডাস্ট্রিয়াল ব্যাংকে কর্মরত প্রাণ কুমার দে, বরদা ব্যাংকে কর্মরত আরও একজন হিন্দু কর্মকর্তা ব্যাংক চত্বরে দুই দিন লুকিয়ে থাকার পর গাড়িতে করে পালানোর সময় মুসলিমরা তাদের গাড়ি থামিয়ে নির্মম ভাবে হত্যা করে।[</t>
  </si>
  <si>
    <t xml:space="preserve">কবর চাইলে, আগে নিজে জায়গা কিনে বা কোথায় নিজের বডি রাখবেন সেটা সিওর করে গর্ত করে বিষ খেয়ে শুয়ে পড়বেন। অন্যান্যদেরও প্রায় একই অনুরোধ। </t>
  </si>
  <si>
    <t>তারা পুজায় ইফতার এর চেয়ে বেশি খরচ করে। যেই মূর্তি ডুবিয়েই দিবে তা লক্ষ লক্ষ টাকা দিয়ে না কিনে গরীবদের মাঝে বিলিয়ে দিক।</t>
  </si>
  <si>
    <t>এ উৎসবকে ঘিরে বৌদ্ধবিহারগুলো সাজানো হয়েছে নতুন সাজে। সন্ধ্যার পর পাড়ায় পাড়ায় উৎসবমুখর পরিবেশে উড়ানো হয়ে থাকে ফানুস বাতি। </t>
  </si>
  <si>
    <t>ইহুদী-খ্রিস্টিয় ইতিহাস বলে যা কিছু ঈশ্বর ও তার বাণী বিষয়ে কোনও ধরনের সমালোচনা, ধৃষ্টতা প্রদর্শন করে তাই’ই ব্লাসফেমাস বা ব্লাসফেমি সংক্রান্ত অপরাধ।</t>
  </si>
  <si>
    <t xml:space="preserve"> কিন্তু শেষ পর্যন্ত পলপটের আদেশে তা রূপ নেয় চ্যাম মুসলমানবিরোধী সর্বাত্মক এক গণহত্যায়। অস্ট্রেলীয় অধ্যাপক পল আর. বার্ট্রপের (Paul R. Bartrop) অভিমত- এই গণহত্যা অভিযান পুরো চ্যাম সংখ্যালঘু মুসলমানদের নিঃশেষ করে দিত, যদি না ১৯৭৯ সালে খেমার রোজ সরকার কম্বোডিয়ার শাসনক্ষমতা থেকে উৎখাত হতো।</t>
  </si>
  <si>
    <t>বাংলাদেশী বৌদ্ধ সমাজের জন্য এটা কলঙ্কজনক একটা অধ্যায় হয়ে থাকবে(বৌদ্ধ সমিতি বিহার পরিচালনার কেউ নই বলে আদালত রায় দিছে)। বিহার দখলে নিয়ে নিজেদের স্বার্থ উদ্ধারে ব্যস্ত অবৈধ দখলদার সংগঠন বৌদ্ধ সমিতির পতন হোক!</t>
  </si>
  <si>
    <t>"উত্তরে আমি শুধু এটুকুই বলতে পারি যে, আমি আসলেই জানি না প্রথম কখন ইসলামের আলো আমাকে ছুঁয়েছে।"</t>
  </si>
  <si>
    <t>ঠিক এরকমই দামি দামি আপু আধুনিকতার নামে বেহায়া, পতিতার মত কথা বলে আর সেটা অনেক সময় দেখা যায় ভার্সিটির পড়া উচ্চশিক্ষায় শিক্ষিত</t>
  </si>
  <si>
    <t>তুমি একটা কাজ করতে পারো প্রথমে হিন্দু ধর্ম গ্রন্থের সম্পর্কে জ্ঞান অর্জন করো পরে ইসলাম ধর্মগ্রন্থ সম্পর্কে জানো তারপর নিজে নিজে বিশ্লেষণ করো আসলে কোন ধর্ম সত্য</t>
  </si>
  <si>
    <t>অস্ট্রেলিয়ায় নিহত ২ পুলিশ কর্মকর্তা ‘ধর্মীয় উগ্রবাদী’ হামলার শিকার</t>
  </si>
  <si>
    <t xml:space="preserve">হিন্দু মুসলিম করে বিদ্বেষের বিষ ছড়াবেন, একে অপর থেকে দূরে সরে যাবেন ততবেশী গভীর খাদের কিনারে গিয়ে পড়বেন । </t>
  </si>
  <si>
    <t>চলতি বছরের ৩০ জুন পর্যন্ত দেশের সংখ্যালঘু হিন্দু সম্প্রদায়ের ৭৯ জনকে হত্যা করা হয়েছে জানিয়ে বাংলাদেশ জাতীয় হিন্দু মহাজোটের মহাসচিব গোবিন্দ চন্দ্র প্রামাণিক দাবি করেছেন, এ সময়ে আরও ৬২০ জনকে হত্যার হুমকি, ১৪৫ জনকে হত্যার চেষ্টা, ১৮৩ জনকে জখম-আহত ও ৩২ জন নিখোঁজ হয়েছেন।</t>
  </si>
  <si>
    <t>একজন ধার্মিক মানুষ সর্বক্ষেত্রে পরকালীন জীবনকে সবকিছুর ওপর প্রাধান্য দেয়। সে পার্থিব জীবনকে তুচ্ছজ্ঞান করতে শেখে। সে উপলব্ধি করতে শেখে, মানব সৃষ্টি কেবল আল্লাহতায়ালার সন্তুষ্টির জন্য এবং ইহ-জাগতিক সব বিষয়-আসয় হলো গৌণ।</t>
  </si>
  <si>
    <t>ধর্মীয় বিতর্কিত স্ট্যাটাস সরবরাহ করে বিভেদ করার মানসিকতা প্রতিফলিত হচ্ছে বিবিসি বাংলা নিউজ এর। এসব স্ট্যাটাস নিয়ে সবাই গালাগালি আর বিতর্ক করছে, অন্য কিছু নয়...</t>
  </si>
  <si>
    <t xml:space="preserve">ভারতের মহাত্ম গান্ধী ও জুহুর লাল নেহরু বৃটিশদের সাথে গোপন আঁতাতে এভাবেই দেশ ভাগ করেছেন।যার ফলশ্রুতিতে পৃথিবীর ইতিহাসে কোন দেশ ভাগের সময় এমন নৃশংস হিন্দু মুসলিম দাঙ্গা আর কোথাও হয়নি। যেটা ভারতের দাদা বাবুরা হিন্দু মুসলিম দাঙ্গা লাগিয়ে আজ বৃহত্তর ভারত বানিয়েছে। </t>
  </si>
  <si>
    <t>ভিন্নধর্মী হওয়ার কারণে বহু মানুষ বিদ্বেষমূলক আক্রমণের শিকার হয়েছে, যা ইতিহাসে নির্মম অধ্যায় হিসেবে রয়ে গেছে।</t>
  </si>
  <si>
    <t>শোধ। পতাকা আর ধর্মগ্রন্থ পোড়ানো একই অপরাধ। এবার ধর্মগ্রন্থ নিয়ে বাড়াবাড়ি আর কথা বললে বুঝবো আসলেই মুসলমানরা ধর্মান্ধ</t>
  </si>
  <si>
    <t>সব প্রতিকূল পরিস্থিতিতে দৃঢ় মনোবল, মজবুত ঈমান ও বিরল বীরত্বের স্বাক্ষর রাখতেন। তাঁর সমরজীবনের বীরত্ব ছিল স্বভাবজাত। প্রত্যেকটা স্তরে বীরত্বের বহিঃপ্রকাশ ছিল অকল্পনীয়। কৈশোরকালীন বয়সে চাচাদের সাথে ফিজারের যুদ্ধে অংশগ্রহণ করেন।</t>
  </si>
  <si>
    <t>ধর্ম মানুষের মধ্যে নৈতিকতা এবং আদর্শের বিকাশ ঘটায়। এটি তাকে সঠিক পথে চলতে এবং জীবনের প্রতি সচেতন থাকতে সহায়তা করে।</t>
  </si>
  <si>
    <t>রাঙ্গামাটিতে সাম্প্রদায়িক সহিংসতা ও অনিক কুমার চাকমা হত্যা মামলায় তিনজনকে গ্রেফতার করেছে পুলিশ। শুক্রবার (৪ অক্টোবর) গ্রেফতারকৃত এক আসামিকে আদালতে তোলা হলে তিনি স্বীকারোক্তিমূলক জবানবন্দি দেন। </t>
  </si>
  <si>
    <t>ইসলাম ধর্মের বিজ্ঞানের সব তথ্য গুলো যখন সত্য দেখে তখন কিছু লোকের জ্বলে।</t>
  </si>
  <si>
    <t>মেহেদি গেজালি এবং মুরাত কুরনাজ মুসলিমদের মধ্যে ছিলেন যারা গুয়ানতানামো বে বন্দিশিবিরে বন্দী ছিলেন, কিন্তু তাদের সন্ত্রাসবাদের সাথে কোন সংযোগ পাওয়া যায়নি , কারণ তারা পূর্বে তাদের ধর্মীয় স্বার্থের জন্য আফগানিস্তান ও পাকিস্তান ভ্রমণ করেছিল ।</t>
  </si>
  <si>
    <t>বেঁচে যাওয়া হিন্দুরা দুই ধাপে নোয়াখালী ও ত্রিপুরা(বর্তমান কুমিল্লা) ছেড়েছিল। গনহত্যা,ধর্ষণ এবং জোরপূর্বক ধর্মান্তকরন শুরুর হওয়ার সাথে সাথেই প্রথম পর্যায়ে হিন্দুরা কলকাতা পালিয়ে বেঁচেছিল।</t>
  </si>
  <si>
    <t>আমরাতো খৃষ্টান বা অন্যান্য ধর্মালম্বীদের ধর্মগ্রন্থ অবমাননা করি না তবে তোমরা কেনো ধৃষ্টতা দেখাও???</t>
  </si>
  <si>
    <t>পীড়িত ক্ষুদ্র খৃস্টান নৃতাত্ত্বিক গোষ্ঠীর দেশত্যাগে বাধ্য হয়ে ভারতে গমন সে সময়ে বৈশ্বিক রাজনীতিতে একটি আলোড়ন সৃষ্টিকারী ঘটনা ছিল।[৩৯] খৃস্টান আদিবাসী জনগোষ্ঠীর উপর মুসলিমদের অমানবিক নিষ্ঠুর অত্যাচারের বৈশ্বিক ফলাফল অনুধাবন করতে পেরেছিল পাকিস্তান সরকার। </t>
  </si>
  <si>
    <t>দিনাজপুরের ঘোড়াঘাট উপজেলা নির্বাহী কর্মকর্তার বাসায় ঢুকে দুর্বৃত্তরা হামলা করে তাকে এবং তার বাবাকে কুপিয়ে আহত করেছে জেনে বিস্মিত হইনি। এও বলবো না একজন ইউএনও'র সরকারি বাসায় ঢুকে দুর্বৃত্তরা হামলা যদি করতে পারে তাহলে আমরা সাধারণ জনগণ কোথায় নিরাপদ? কেননা, আমাদের দেশের বিচার ব্যবস্থা যথাযথ নয়।</t>
  </si>
  <si>
    <t>ভাই, অল্প জেনে কখনো মন্তব্য করবেন না, এই আওরঙ্গজেব পরিপূর্ণ মুসলিম শাসক ছিলেন না, আমাদের মুসলিম শাসকদের দিকে তাকিয়ে দেখুন, তারা কখনো তাদের আপন মানুষ তো দূরে থাক, একটি শাসনাধীন মানুষকেও হত্যা করেননি,</t>
  </si>
  <si>
    <t>মুসলমানরা বিশ্বাস করে যে আল-ইঞ্জিলকে বিকৃত করা হয়েছিল বা খ্রিষ্টান নতুন নিয়ম গঠনের জন্য পরিবর্তন করা হয়েছিল। </t>
  </si>
  <si>
    <t>১৪০০ বছরের মুসলিম ইতিহাস সমান গতিতে আগায়নি। কখনো মুসলিমরা বিজয়ী ছিলো, কখনো পরাজিত। বইপত্রে আমরা শুধু বিজেতা মুসলিম জাতির ইতিহাস পড়ি। এই বইয়ে দুটো দিক উঠে এসেছে। মুসলিমদের উত্থান এবং পতন। মুসলিম জাতি বর্তমানে যে জায়গায় দাঁড়িয়ে আছে, কীভাবে এখানে আসল এই ইতিহাস জানতে ডক্টর ইয়াসির ক্বাদির লেকচার থেকে অনূদিত ‘মুসলিম ইতিহাসে উত্থান-পতন’ বইটি।</t>
  </si>
  <si>
    <t>হিন্দু নিধন হচ্ছে হিন্দুদের ধর্মীয় বিশ্বাসের কারণে তাদের (ব্যক্তি বা গোষ্ঠীর) সাথে পদ্ধতিগত ও বিভিন্ন ভাবে দুর্ব্যবহার বা অত্যাচার।</t>
  </si>
  <si>
    <t>এরপরও কি এদেশের হিন্দু সম্প্রদায়ের নেতারা দুঃখপ্রকাশের সৌজন্যটুকুও রক্ষা করেছেন? এসব যে কিছু লম্পট দুষ্কৃতকারীর কাজ, এর প্রতি যে বৃহত্তর হিন্দুসমাজের কোনো সমর্থন নেই দুটো বাক্য খরচ করে একথাটা তাদের কেউ কি বলেছেন?</t>
  </si>
  <si>
    <t>১০ই ফেব্রুয়ারী নোয়াখালী জেলার হিন্দুদের ওপর হত্যাকাণ্ড শুরু হয়। ১৩ই ফেব্রুয়ারি বিকাল বেলায় প্রকাশ্য দিবালোকে ফেনী জেলার হিন্দুদের উপর পাশবিক বর্বরতা চালানো হয়; যদিও মাত্র ২০০ ইয়ার্ডের(৬০০ ফুট) মধ্যে ফেনীর এস.ডি.ও পুলিশ স্টেশন ও আদালত অবস্থিত ছিল।</t>
  </si>
  <si>
    <t>মানুষের মৃত্যুর সন্তানদের ক্ষমা করুক, এবং প্রভুর নিকট তাদের আত্মত্যাগ করুক।</t>
  </si>
  <si>
    <t>বকচর গণহত্যা হলো ১৯৭১ সালের ১৩ মে তারিখে তৎকালীন পূর্ব পাকিস্তানের ফরিদপুর জেলার বকচর গ্রামে আলী আহসান মুহাম্মদ মুজাহিদের নেতৃত্বে রাজাকার বাহিনী কর্তৃক বাঙালি হিন্দু জনগোষ্ঠীর ওপর সংঘটিত গণহত্যা। </t>
  </si>
  <si>
    <t>সেতুর ওপর একটা বিশেষ পদ্ধতিতে পরিকল্পনা করে পলায়নরত হিন্দুদের হত্যা করা হয়। আনসাররা সেতুর দুপ্রান্তে ভৈরব বাজার জংশন বা আশুগঞ্জ স্টেশন থেকে ট্রেনে উঠে পড়তো। ট্রেনটা হাইজ্যাক করে ভেতর থেকে দরজা-জানালা বন্ধ করে দিতো। সম্পূর্ণভাবে সেতুর ওপর উঠে পড়লে চালক ট্রেনটা থামিয়ে দিতো। এরপর আনসাররা প্রত্যেক হিন্দুকে এক এক করে টেনে বের করে এনে তাদের হত্যা করে মৃতদেহটা সেতুর ওপর থেকে নদীর জলে ফেলে দিতো।[</t>
  </si>
  <si>
    <t>আল্লাহর আদেশ মেনে চলার ফলে আমাদের দুনিয়ায় সফলতা ও আখিরাতে জান্নাত লাভের পথ খুলে যায়।</t>
  </si>
  <si>
    <t>২০০৮ সালের পর থেকে শুরু করে আজ পর্যন্ত বাংলাদেশে ধারাবাহিকভাবে সাম্প্রদায়িক সহিংসতা ঘটছে, হিন্দুদের সম্পত্তি দখল হয়েছে। আর এর সবই করেছে আওয়ামী লীগের নেতারা।</t>
  </si>
  <si>
    <t>মন্দিরের পুরোহিত পরমানন্দ গিরি মন্দির এবং আশ্রমের বাসিন্দাদের আশীর্বাদ এবং আশ্বাস দিয়েছিলেন যে এই পবিত্র এবং আধ্যাত্মিক স্থানটি নিরাপদ থাকবে। এখানে কোনো সমস্যা হবে না। তিনি আশা করেছিলেন একাত্তরের পাকিস্তানি বাহিনী মন্দিরগুলো রক্ষা করবে।</t>
  </si>
  <si>
    <t xml:space="preserve">বাংলাদেশের সর্বোচ্চ বিদ্যাপীঠ ঢাকা বিশ্ববিদ্যালয় ২০২২ সালে তারা কাওয়ালী সন্ধ্যাতে হামলা চালিয়েছিল। </t>
  </si>
  <si>
    <t>এই দেশে সাম্প্রদায়িকতা,রেসিজম আর উগ্রতায় আজকেই প্রথম কেউ আক্রান্ত হয়নি। কিন্তু লক্ষনীয় বিষয় হচ্ছে এ কু অভ্যাসে আক্রান্তদের পাশে দাঁড়ানো,সহমর্মি হওয়া সব কিছুই সিলেক্টিভ ব্যাপার হয়ে দাড়িয়েছে।</t>
  </si>
  <si>
    <t>বাংলাদেশ সরকার কি করেছে সেটাও একটু জানান। অথচ আমরা নাকি মুসলিম অথবা মুসলিম সংখ্যাগরিষ্ঠ দেশ!!! আমি এই ঘটনার তীব্র নিন্দা ও প্রতিবাদ জানাচ্ছি।</t>
  </si>
  <si>
    <t>যেন সময়ের সাথে সেই সৌহার্দ্যটাও পাল্টাতে থাকলো! পরিচয় পালটে গেল আমাদের। বন্ধু থেকে আমরা হিন্দু-মুসলমান হয়ে গেলাম! মন থেকে আমরা বন্ধু হলেও সমাজ আমাদের চোখে আঙ্গুল দিয়ে দেখাতে লাগলো আমাদের পরিচয় আলাদা। ঈদ-পূজো ঠিকই থাকলো, শুধু মানুষগুলো আলাদা আলাদা হয়ে এগুলোকে সামাজিক থেকে ধর্মীয় উৎসবে রূপ দিলো!</t>
  </si>
  <si>
    <t>৮ ডিসেম্বরে কক্সবাজার জেলার কুতুবদিয়া উপজেলার হিন্দুরা আক্রান্ত হয়।১৪ টি হিন্দু মন্দির লুটপাট,অগ্নিসংযোগ ও ধ্বংসের শিকার হয়। ৫১ টি হিন্দু বাড়ি ধ্বংস করা হয় আলী আকবর ডালে ও ৩০ টি ধ্বংস করা হয় চৌফলদানিতে। </t>
  </si>
  <si>
    <t>ধর্মের মাধ্যমে মানুষ জীবনের উদ্দেশ্য এবং উদ্দেশ্যভিত্তিক জীবনযাপন সম্পর্কে জ্ঞান লাভ করে, যা তাকে সঠিক পথে পরিচালিত করে।</t>
  </si>
  <si>
    <t xml:space="preserve">মানুষ কোনো কিছু ধ্বংসের জন্য নয়, বরং সৃষ্টির সুরক্ষার জন্য। প্রতিটি মানুষের দায়িত্ব হলো জীবনের সুরক্ষা, সম্পদের সুরক্ষা, জ্ঞানের সুরক্ষা, প্রজন্মের পবিত্রতা বা বংশপরম্পরা সুরক্ষা এবং ধর্মীয় মানবিক বিধান বা মানবাধিকার সুরক্ষা। </t>
  </si>
  <si>
    <t>আমি নিউ ইয়র্কের একটি ইহুদি পরিবার থেকে এসেছি। আমার মা দক্ষিণ আফ্রিকা থেকে যুক্তরাষ্ট্রে এসেছিলেন। তবে তিনি ইহুদি ছিলেন। তিনি কাউকে ইহুদি পরিচয় দিতে স্বস্তিবোধ করতেন না। আমার বাবা মারা যাওয়ার পর তিনি একজন ক্যাথলিককে বিয়ে করেন এবং খ্রিস্টধর্মে দীক্ষিত হন। তিনি আমাদেরও খ্রিস্টান হিসেবে গড়ে তোলেন। </t>
  </si>
  <si>
    <t> মুজফফারাবাদ অন্যতম প্রধান হিন্দু গ্রাম ছিল। ১ এপ্রিল পাকিস্তানি হানাদার বাহিনী পটিয়ায় বোমা মেরে এবং পরবর্তীকালে চট্টগ্রাম জেলার দক্ষিণাঞ্চল নিয়ন্ত্রণে নেয়। তারা দোহাজারী ও পটিয়ায় শিবির স্থাপন করে। পটিয়ায় পাকিস্তানি দখলদার সেনা প্রাথমিক প্রশিক্ষণ ইনস্টিটিউটে শিবির স্থাপন করেছিল। নিরস্ত্র গ্রামবাসীদের গ্রেপ্তার এবং শিবিরে তাদের জ্বালিয়ে দিত। পিটিআই মাঠের নিচে অনেককে মেরে কবর দেওয়া হয়েছিল।</t>
  </si>
  <si>
    <t>মানুষের ধর্ম বা ধর্মচর্চা নিয়ে এত চুলকানি কেন রে ভাই? এদের কারনে জীবন অতিষ্ট হয়ে গেল।</t>
  </si>
  <si>
    <t>ধর্মের স্বাধীনতা হচ্ছে বাংলাদেশের সংবিধান দ্বারা নিশ্চিত মৌলিক কাঠামো, যেখানে ধর্মীয় পার্থক্য নির্বিশেষে সকল নাগরিকের সমান অধিকারের আহ্বান জানানো হয় এবং বিভিন্ন ক্ষেএে ধর্মের বৈষম্য নিষিদ্ধ করা হয়। </t>
  </si>
  <si>
    <t>ড় অপরাধী গুলোকে যেমন দর্শকদের যদি সর্বোচ্চ শাস্তি মৃত্যুদণ্ড কার্যকর করা হয় তাহলে বাংলাদেশে ধর্ষণের হার 90% কমে যাবে। এবং যারা ধর্মকে অবমাননা করে তাদেরকে উপযুক্ত শাস্তির আওতায় আনা হলে</t>
  </si>
  <si>
    <t>যতোই বোঝানো হোক আর নিষেধাজ্ঞা লাগানোর কথা হোক না কেনো কিছু লোক তাদের ধর্মীয় জ্ঞানের ভাণ্ডার মেলে ধরবেই ধরবে</t>
  </si>
  <si>
    <t>কিছু জানোয়ার একজন অসহায় কে আত্নহত্যা করতে বাধ্য করবে। আর জুলুমের স্বীকার হয়ে লজ্জায় অপমানে বাধ্য হয়ে কেউ আত্নহত্যা করলে তা নাকি মহাপাপ! অদ্ভুত!</t>
  </si>
  <si>
    <t>গোলাহাট গণহত্যা ছিল বাংলাদেশে মুক্তিযুদ্ধ চলাকালে ১৯৭১ সালের ১৩ জুন তারিখে সংগঠিত একটি নৃশংস হত্যাযজ্ঞ যাতে ৪৪৭ জন হিন্দু মারোয়াড়ি আবালবৃদ্ধবণিতাকে নির্বিচারে পাকিস্তানি সেনাবাহিনী এবং তাদের সহযোগী অবাঙ্গালী বিহারী ও বাঙ্গালি রাজাকার, আলবদর, আল শামস বাহিনী সম্মিলিতভাবে হত্যা করে।</t>
  </si>
  <si>
    <t>কুরআনে আল্লাহ মানুষের মধ্যে প্রেম ও সহানুভূতি বৃদ্ধির জন্য তাদের একে অপরকে সম্মান এবং সাহায্য করতে নির্দেশ দিয়েছেন, অবিশ্বাসীদেরও অন্তর্ভুক্ত করে।</t>
  </si>
  <si>
    <t>‘ধর্মীয় অনুভূতিতে আঘাতের’ অভিযোগে শিক্ষকের বাড়িতে হামলা, এইচআরএফবির উদ্বেগ</t>
  </si>
  <si>
    <t>গীতা পাঠ করুন ঈশ্বরের বানী মানব তথা সকল জীবের মুক্তির পথ হিসেবে। আর বেদ হল সনাতন তথা হিন্দুদের ঈশ্বরকে জানার প্রধান মাধ্যম।</t>
  </si>
  <si>
    <t>ইদানিং কিন্তু কিছু বিধর্মী মুসলিম নাম দিয়ে ফেসবুক আইডি খুলে ইসলাম বিরোধী অপপ্রচার এবং ইসলাম ধর্ম নিয়ে পোস্টে নানারকম কূ-মন্তব‍্য করে যাচ্ছে।</t>
  </si>
  <si>
    <t>সেলাঙ্গোর রাজ্যের সুবাং এবং শাহ আলমের ভোক্তা সমিতির সভাপতি মুসলিম অধ্যুষিত শহর শাহ আলমের স্থানীয় কর্তৃপক্ষকে ১০৭ বছরের পুরনো হিন্দু মন্দির ভেঙে ফেলতে সাহায্য করে। মালয়েশিয়ার ক্রমবর্ধমান ইসলামীকরণ অনেক মালয়েশিয়ানদের জন্য উদ্বেগের কারণ যারা হিন্দু ধর্মের মত সংখ্যালঘু ধর্ম অনুসরণ করে।</t>
  </si>
  <si>
    <t>ফ্রান্সে ইসলাম এবং নবীর কার্টুন নিয়ে প্রেসিডেন্ট এমানুয়েল ম্যাক্রঁর সাম্প্রতিক কিছু বক্তব্যের প্রতিবাদে বাংলাদেশের রাজধানী ঢাকায় আজ জুমার নামাজের পর ব্যাপক মিছিল ও সমাবেশ করেছে ইসলামপন্থী অনেকগুলো সংগঠন।</t>
  </si>
  <si>
    <t>যখন হিন্দু এবং মুসলিম একসাথে শান্তিপূর্ণভাবে বসবাস করেন, তারা নিজেদের ধর্মীয় পরিচয়ের প্রতি শ্রদ্ধাশীল থেকে একটি সবার জন্য উন্মুক্ত, বন্ধুত্বপূর্ণ এবং শান্তিপূর্ণ পরিবেশ সৃষ্টি করেন।</t>
  </si>
  <si>
    <t xml:space="preserve">আজ থেকে ছিয়াত্তর-সাতাত্তর বছর আগের সময়কালে ভারতবর্ষ জুড়ে স্বাধীনতা আন্দোলন, তেভাগা আন্দোলন যেমন দানা বেঁধেছিল, তেমনই সাম্প্রদায়িক বিদ্বেষের মনোভাবও একাংশের মানুষের মধ্যে জন্মাতে শুরু করে। এই পরিস্থিতিতেই ১৬ অগস্ট থেকে ২০ অগস্ট পর্যন্ত চলে 'দ্য গ্রেট ক্যালকাটা কিলিং'। </t>
  </si>
  <si>
    <t>অবমাননা একজন মুসলমান হিসেবে কিছুতেই মেনে নেওয়া যায় না কুমিল্লায় পূজা মন্ডপে মূর্তির পায়ে পবিত্র কুরআন রাখায় তীব্র নিন্দা জানাচ্ছি,,এবং দৃষ্টান্তমূলক শাস্তির দাবি।</t>
  </si>
  <si>
    <t>ফেইসবুকে ধর্মীয় পোস্ট করা মানে নিজেকে কঠোর ধার্মিক প্রকাশ করা নয়। সনাতন ধর্মের বার্তা কে সবার মধ্যে ছড়িয়ে দেওয়া।</t>
  </si>
  <si>
    <t>মুসলিম সন্তানদের এক হওয়া খুব জরুরি। নামে মুসলিম নয় কাজে ও মুসলিমের পরিচয় দিতে হবে।</t>
  </si>
  <si>
    <t>সুইডেন সরকার এবং এবং আইন-শৃঙ্খলা বাহিনীকে রাষ্ট্রীয় এবং আইন-শৃঙ্খলা বাহিনীর ছত্রছায়ায় পবিত্র কোরআন শরীফ পোড়ানোর ঘটনায় ঘৃণাভরে প্রত্যাখ্যান করছি।</t>
  </si>
  <si>
    <t>সুন্দর কথা বলেছেন ভাই,আপনি একটু চিন্তুা করুন যদি অন্য কোন দেশ ক্ষমতা পেত তারা কি সাধারন ক্ষমা ঘোষনা দিত।কাউকে মারা হয় নি,আঘাত পর্যন্ত করা হয়নি।এর চাইতে বিরল দৃষ্টান্ত আপনি আর কি দেখতে চান।অথচ আপনি ভারতে কাশ্মীর দেখেন যেখানে ভারতের নিয়ন্ত্রণে সেখানে ১০০০০ উপরে নারীদের কে ধর্ষণ করা হয়েছে।তাহলে বুজুন ইসলাম কি।আপনি যদি ক্ষমতায় যেতেন তাহলে আপনি কি করতেন একটু ভেবে দেখবেন ভাই।</t>
  </si>
  <si>
    <t>মুসলমানদের কোণঠাসা করে কিংবা রাসুল সা.-এর প্রতি কটূক্তি করে শান্তিপূর্ণ, স্থিতিশীল ও মানবিক ভারত প্রতিষ্ঠা করা সম্ভব নয়। বরং আরো অস্থিতিশীল পরিস্থিতি হবে</t>
  </si>
  <si>
    <t>রাত ৮টায় সিলেট থেকে মাত্র ছয় মাইল দূরে নওগ্রামের গুরুচরণ ধরের পরিবারের উপর আক্রমণ করা হয়। পরের দিন সকাল ৭টায় ভারী অস্ত্রশস্ত্রে সজ্জিত মুসলিমরা গ্রামটি ঘিরে ফেলে। কমকরে ১,৫০০ হিন্দু প্রাণভয়ে বাড়িঘর ছেড়ে পাশের জঙ্গলে লুকিয়ে পড়ে। </t>
  </si>
  <si>
    <t>হিন্দু ধর্মে বিশ্বভ্রাতৃত্বের বার্তা দেয়, যেখানে সবার মধ্যে পারস্পরিক সহানুভূতি ও প্রেম প্রতিষ্ঠিত হয়।</t>
  </si>
  <si>
    <t>স্থানীয়রা আগুনের শিখা ছড়িয়ে দেওয়ার আগেই তা নিয়ন্ত্রণ করে।[২৩][৩৩] প্রথমদিকে, পটুয়াখালী জেলার পটুয়াখালী সদর উপজেলার কুড়িপাইকা গ্রামে একটি রাধা গোবিন্দ মন্দিরটি ভেঙে মদনমোহন প্রতিমা এবং সোনার ২.৫ ভরি গহনা চুরি করে নিয়ে যায়।[৩৪] ৪ এপ্রিল, ইসলামী ধর্মান্ধরা ঝালকাঠি জেলার অন্তর্গত কাঁঠালিয়া উপজেলায় একটি হিন্দু মন্দিরে আগুন ধরিয়ে দেয়।</t>
  </si>
  <si>
    <t>আল্লাহ যদি মানুষের যুলুমের কারণে তাদের সাথে সাথেই পাকড়াও করতেন, তবে পৃথিবীতে কোনো প্রাণীই বেঁচে থাকতো না। তবে তিনি সবাইকে একটি নির্দিষ্ট সময় পর্যন্ত অবকাশ দেন। যখন সেই সময় আসে, তখন এক মুহূর্তও আগে বা পরে হয় না।</t>
  </si>
  <si>
    <t xml:space="preserve"> ইসলামিক স্টেটের অনুগত বিদ্রোহীরা মারাউই শহরে ব্যাপক ধ্বংসযজ্ঞ চালায়, যেখানে হাজারো মানুষ নিহত হয়।</t>
  </si>
  <si>
    <t>হিন্দুদের যত কারখানা ও দোকান আছে, তা ধ্বংস করতে হবে এবং লুঠ করতে হবে এবং লুঠের মাল মুসলিম লীগ অফিসে জমা দিতে হবে।</t>
  </si>
  <si>
    <t>কোরআন তেলাওয়াত করতে গেছে, তাই এসব নিয়ে বিতর্ক না করে সবার মঙ্গল চিন্তা করাই ভালো।</t>
  </si>
  <si>
    <t>আল্লাহ, আপনি তো সব জুলুম দেখছেন, আপনি ছাড়া আপনার দয়া ছাড়া উপায় নেই, আপনি পারেন এই জুলুমকারী সবাইকে শেষ করতে।</t>
  </si>
  <si>
    <t>আমরা হিন্দু,মুসলিম, বৌদ্ধ, খ্রিস্টান ও অন্যান্য ধর্মের অনুসারীরা সবাই সবার ধর্ম নিয়ে সাম্প্রদায়িক সম্প্রীতি বজায় রেখে কাঁধে কাঁধ মিলিয়ে সুখে শান্তিতে বাঁচতে চাই এবং আমাদের সোনার বাংলা কে সামনে এগিয়ে নিতে চাই ।</t>
  </si>
  <si>
    <t>ভারতীয় উপমহাদেশের বিভাজনের সময় ধর্মীয় দাঙ্গার ফলে লক্ষাধিক মানুষ প্রাণ হারায়, যা সাম্প্রদায়িক বিভেদের এক নির্মম উদাহরণ।</t>
  </si>
  <si>
    <t>২০১৬ সালের ৩০ অক্টোবর ব্রাহ্মণবাড়িয়ায় নাসির নগরে হিন্দুদের বাড়িঘর ও মন্দিরে হামলা হয় রসরাজ নামে এক তরুণের ফেসবুক পোস্টের অজুহাত তুলে৷ কিন্তু তদন্তে জানা যায় রসরাজ এক নিরক্ষর জেলে৷ তার নামে ভুয়া আইডি খোলা হয়েছিলো৷</t>
  </si>
  <si>
    <t>ভ্লাদিমির ফিওডরের বিশপ কিছু লোককে ক্রীতদাসে পরিণত করেছিলেন, অন্যদের কারাগারে বন্দী করেছিলেন, তাদের মাথা কেটেছিলেন, চোখ পুড়িয়েছিলেন, জিভ কেটেছিলেন বা দেয়ালে ক্রুশবিদ্ধ করেছিলেন। কিছু বিধর্মীকে জীবন্ত পুড়িয়ে হত্যা করা হয়েছিল। খান মেঙ্গুয়াল-তেমিরের একটি শিলালিপি অনুসারে, মেট্রোপলিটান কিরিলকে অর্থোডক্স চার্চের বিরুদ্ধে ব্লাসফেমি বা ধর্মীয় বিশেষাধিকার লঙ্ঘনের জন্য মৃত্যুদন্ডের সাথে ভারী শাস্তি দেওয়ার অধিকার দেওয়া হয়েছিল।</t>
  </si>
  <si>
    <t>মৃত স্বামীর অন্ত্যেষ্টি চিতায় স্ত্রীর জীবিত আত্মহননের অনুশীলনের জন্যও প্রার্থনা করা হয়েছিল।</t>
  </si>
  <si>
    <t>লাইন করে দাঁড় করিয়ে পিছন দিক থেকে ব্রাশ ফায়ার করে হত্যা করা হয় এবং যারা বেঁচে যান তাদের ধারালো অস্ত্র দিয়ে কুপিয়ে ও খুঁচিয়ে নির্মম ভাবে হত্যা করা হয়। একে একে তাদের লাশ ঢাপঢুপ বিলে ফেলে লাশের ওপর সামান্য মাটি ছিটিয়ে দেওয়া হয়। পুরুষদের বেছে বেছে হত্যা করা হয়েছিল।[৪] ঢাপঢুপ বিল থেকে পাঁচশো গজ দক্ষিণে শুখানপুখুরি গ্রাম। যা বর্তমানে বিধবা পল্লী বা বিধবা গ্রাম হিসেবে পরিচিত।</t>
  </si>
  <si>
    <t>আমাদের বিশ্ব নবীকে নিয়ে বাজে/ভুয়া/বানোয়াট কথা বলার অধিকার বা সাহস তোর কি করে হয়।</t>
  </si>
  <si>
    <t>এখানে অবশ্যই আমি আমাদের বাংলাদেশের মহামান্য হাইকোর্টের এই রায়কে অভিনন্দন জানাই পাশাপাশি বলতে চাই যে আমাদের এই বাংলাদেশে কখনোই ইসলাম বিরোধী কর্মকান্ড অথবা ধর্মীয় অনুভূতিতে আঘাত সহ্য করা হবে না ধন্যবাদ</t>
  </si>
  <si>
    <t>আক্রমণে কালী এবং মহাদেবের চিত্রগুলি ধ্বংস হয়ে যায়।[৩১][৩২] সন্ধ্যা সাড়ে সাতটার দিকে বরগুনা জেলার বামনা উপজেলার অন্তর্গত বাতাজোর গ্রামে একটি রাধা কৃষ্ণ মন্দিরে আগুন দেওয়া হয়। ১২ মার্চ ভোর আড়াইটার দিকে বরিশালের নিউ ভাটিখানা রোডে দুটি হিন্দু বাড়িতে অজানা অপরাধীরা আগুন ধরিয়ে দেয়।</t>
  </si>
  <si>
    <t>জগন্নাথ হল হিন্দুদের, সেখানে তারা পূজা করবে। পুরো ঢাকা বিশ্ববিদ্যালয়ে তারা পূজার জন্য বরাদ্দ করে না।</t>
  </si>
  <si>
    <t>পরিকল্পিতভাবে সৃষ্ট দাঙ্গার নারকীয়তা-বীভৎসতা দেখে গান্ধী-নেহেরু তথা কংগ্রেস নেতৃত্ব জিন্নাহের নেতৃত্বে থাকা মুসলিম লীগের ভারত ভাগের দাবী মেনে নেন।[৮০] ফলে ভারত বিভাগের মাধ্যমে ভারত ও পাকিস্তান নামে নতুন দুটি রাষ্ট্রের সৃষ্টি হয়।</t>
  </si>
  <si>
    <t xml:space="preserve"> ২০০৬ সালের এপ্রিল থেকে মে মাসের মধ্যে সহিংসতার সঙ্গে এই দেশের সিটি হল কর্তৃপক্ষ বেশ কয়েকটি হিন্দু মন্দির ভেঙে ফেলে ।[৪১]২০০৬ সালের ২১ এপ্রিল কুয়ালালামপুরের মালাইমেল শ্রী সেলভা কালিয়াম্মান মন্দির ধ্বংসস্তূপে পরিণত হয় যখন সিটি হল কর্তৃপক্ষ বুলডোজার দিয়ে মন্দিরটি ভেঙে ফেলে।</t>
  </si>
  <si>
    <t>২০০৭ সালে মালয়েশিয়ার সরকার মুসলিম ব্যতীত অন্য কোনো ক্ষেত্রে আল্লাহ শব্দটির ব্যবহার নিষিদ্ধ করে, কিন্তু ২০০৯ সালে মালয়ান হাইকোর্ট আইনটি বাতিল করে এবং এটিকে অসাংবিধানিক বলে রায় দেয়।</t>
  </si>
  <si>
    <t> ৬২৭ খ্রিষ্টাব্দে খন্দকে মুসলিম সৈন্য তিন হাজার জন। কাফির সৈন্য ২৪ হাজার জন। ৬২৯ খ্রিষ্টাব্দে খায়বারে মুসলিম সৈন্য এক হাজার ৪০০ জন। আর কাফির সৈন্য ২০ হাজার জন। ৬৩০ খ্রিষ্টাব্দে মক্কা বিজয়ে মুসলিম সৈন্য ছিল ১০ হাজার জন। বিপক্ষদল ছিল মক্কার সব অমুসলিম। ৬৩০ খ্রিষ্টাব্দে হুনাইনের যুদ্ধে মুসলিম সৈনিক ১২ হাজার জন। বিপক্ষ দল ছিল হাওয়াজিন ও সাকিফ গোত্রের লোকজন। ৬৩১ খ্রিষ্টাব্দে তাবুকের যুদ্ধে মুসলিম ছিল ৩০ হাজার জন। বিপক্ষে ছিল লক্ষাধিক অমুসলিম।</t>
  </si>
  <si>
    <t>যে পশ্চিমবঙ্গ দীর্ঘদিন ধরে বামপন্থীদের শক্ত ঘাঁটি ছিল - যারা নিজেরা ধর্মাচরণ থেকে দূরে থাকার চেষ্টা করতেন এবং ধর্মের বিষয়টা সেভাবে নিয়ে আসেন নি রাজনীতিতে, সেই রকম একটা রাজ্যের রাজনীতিতে ধর্ম কীভাবে ঢুকে পড়ল?</t>
  </si>
  <si>
    <t>লিবারেল মুসলিম বইলা কথা!! এরকম বিশাল একটা গোষ্ঠী মুসলিম সমাজে সবার অজান্তেই বেড়ে উঠছে কারো কোন হুশ নেই।</t>
  </si>
  <si>
    <t>মুসলমান ও মুসলমান শাসকরা বহিরাগত ব্রাহ্মণ সৃষ্ট বর্ণবাদের শিকার এদেশের অপামর জনসাধারণকে মুক্তির নিঃশ্বাস দিয়েছিল।</t>
  </si>
  <si>
    <t> নারী-পুরুষ উভয়কে গুলি করে হত্যা করা হয়েছিল এবং তাদের বাড়িতে আগুন দেওয়া হয়েছিল। কয়েকজন বেঁচে যাওয়া লোক পরদিন সকালে একটি গণকবরে মৃতদেহ ফেলে রেখে যায়। [৪] বাশগাড়ি গ্রামের প্রায় ৩৫০ জন হিন্দু নিহত হয়েছিল। </t>
  </si>
  <si>
    <t>সমালোচনায় কান দিবেন না আপনি যা করছেন অনেক ভালো করছেন আয়াতুল কুরসির উপরে একটা এপিসোড চাই</t>
  </si>
  <si>
    <t> ত্রিনিদাদ ঐপনিবেশিক শাসন থেকে স্বাধীন হওয়ার পর আফ্রিকান-ভিত্তিক পিপলস ন্যাশনাল মুভমেন্ট দলের দ্বারা হিন্দুদের প্রান্তিকে পরিণত করা হয়। বিরোধী দল পিপলস ডেমোক্রেটিক পার্টিকে হিন্দুদের প্রতি সহানুভূতিশীল হওয়ায় "হিন্দু গোষ্ঠী" হিসেবে চিত্রিত করা হয়। হিন্দুদেরকে নানা ভাবে হেনস্তা করা করা হয়।</t>
  </si>
  <si>
    <t>পৃথ্বীশ দাস নামে একজন হিন্দু যুবককে জিন্দাবাজারে ছুরি দিয়ে কোপানো হয়। ১৪ ফেব্রুয়ারি গুজব ছড়ানো হয় আসামের করিমগঞ্জে মুসলিমদেরকে হত্যা করা হচ্ছে। আইনজীবীদের একটি সমাবেশে সিলেটের ডেপুটি কমিশনার তার বক্তব্যে ইচ্ছে করে উল্লেখ করেন, করিমগঞ্জে ৫,০০০ মুসলিমকে হত্যা করা হয়েছে এবং সেখানকার বিশাল সংখ্যক মুসলিম জনগোষ্ঠী সিলেটে আশ্রয়ের জন্য এসেছে। সেদিনই সন্ধ্যায় মতি দাস নামক একজন হিন্দুকে জালালপুরের কাছে হত্যা করা হয়। তিনজন মনিপুরীকে কোপানো হয়, যাদের মধ্যে দু’জন মৃত্যুর কোলে ঢলে পড়ে।</t>
  </si>
  <si>
    <t>লোপপুর বাজারে আব্দুস সবুর খান অন্য একটি জনসভায় সদর্পে ঘোষণা করে, সে হিন্দুদের পৃষ্ঠদেশ থেকে চামড়া তুলে পায়ের জুতো তৈরি করবে। হিন্দুদের উপর মাত্রা ছাড়া গণহত্যার ভিত রচনা করে সবুর খান তার ভ্রাতুষ্পুত্রীর বিয়ের জন্য এক রাজকীয় অনুষ্ঠান আয়োজন করে। </t>
  </si>
  <si>
    <t>প্রতিমা, পূজামণ্ডপ, মন্দিরে ভাংচুর ও অগ্নিসংযোগের ঘটনা ঘটেছে ১ হাজার ৬৭৮টি। এসব হামলায় আহত হয়েছে ৮৬২ জন হিন্দু ধর্মাবলম্বী। নিহত হয়েছে ১১ জন।</t>
  </si>
  <si>
    <t> শুধুমাত্র একটি ইসলামী ধর্মীয় প্রতিষ্ঠান নয় বরং একটি ইসলামী আইন , রাষ্ট্র এবং সমাজ পরিচালনাকারী অন্যান্য প্রতিষ্ঠানও রয়েছে । 20 শতকের আগ পর্যন্ত ধর্মীয় (ব্যক্তিগত) এবং ধর্মনিরপেক্ষ (সর্বজনীন) কিছু মুসলিম চিন্তাবিদদের দ্বারা আলাদা করা হয়নি এবং তুরস্কের মতো নির্দিষ্ট স্থানে আনুষ্ঠানিকভাবে আলাদা হয়ে গেছে ।</t>
  </si>
  <si>
    <t>১৪ই ফেব্রুয়ারির বিকেলে লামাবাজার নামের এক বিপণীকেন্দ্র মুসলিমরা লুট করে। ১৫ই ফেব্রুয়ারি সকাল থেকেই গ্রামাঞ্চলে লুটপাট এবং হত্যা শুরু হয়। সকাল নটায় মূর্তি নামক গ্রামে আক্রান্ত হয়। হাজার হাজার মুসলিম হিন্দুবিদ্বেষী স্লোগান সহকারে সেনাপতি পরিবারের উপর ঝাপিয়ে পড়ে। </t>
  </si>
  <si>
    <t>১৯৯২ সালে বাবরি মসজিদ ধ্বংসের পর ভারতের বিভিন্ন অঞ্চলে সংঘটিত দাঙ্গায় হাজারো মানুষ নিহত হয়, যা ধর্মীয় উত্তেজনার চরম বহিঃপ্রকাশ।</t>
  </si>
  <si>
    <t>সিলেটের ৩৫ টি চা বাগানের সকল হিন্দু শ্রমিকদেরকে ইসলাম গ্রহণের জন্য হুমকি দেয়া হয়।তাদেরকে গো-মাংস ভক্ষনে বাধ্য করা হয়।</t>
  </si>
  <si>
    <t>বাংলাদেশের অবস্থা এখন বিদেশী হয়ে গেছে ঠিক আছে সব মেয়েরা বিড়ি খায় তাও রোজার দিনে ও মাই গড</t>
  </si>
  <si>
    <t>ইসকন একটি আন্তর্জাতিক সংগঠন, যা গৌড়ীয় বৈষ্ণব ধর্মীয় আদর্শ ও সনাতনী মূল্যবোধকে ধারণ করে শান্তিপূর্ণভাবে ধর্মীয় চর্চা এবং মানবকল্যাণমূলক কার্যক্রম পরিচালনা করে। আমরা সর্বদা শান্তি, সম্প্রীতি ও সৌহার্দ্যের পক্ষে কাজ করেছি। ভবিষ্যতেও একই আদর্শে কাজ করতে অঙ্গীকারবদ্ধ</t>
  </si>
  <si>
    <t>১৯৪৬ এর শেষ ভাগে পূর্ববঙ্গের (বর্তমান বাংলাদেশ) নোয়াখালী এবং ত্রিপুরা জেলার বাঙালী হিন্দুরা ধারাবাহিক ভাবে নির্মম গনহত্যা, ধর্ষণ, লুটপাট, অগ্নিসংযোগ, ধর্মান্তরকরণের শিকার হয় মুসলিমদের দ্বারা, যা নোয়াখালী দাঙ্গা নামে পরিচিত।</t>
  </si>
  <si>
    <t>ভারত এতবছর ধরে আমাদের গরিব মানুষের করের টাকা দিয়ে ওদের অনেক উন্নতিও করেছে। অনেক হয়েছে। এবার ওদের ভালোটা ওরা নিজেরা বুঝে নিক। যারা নিজেরা তালিবান শাসন চাইছে, তাদের নিয়ে ভারতের অত মাথাব্যথা কেন ???</t>
  </si>
  <si>
    <t>খিলগাঁওয়ে মন্দির জ্বালিয়ে দিয়েছে সন্ত্রাসীরা</t>
  </si>
  <si>
    <t>মানুষ কতটুকু নিকৃষ্ট পর্যায়ে চলে গেলে ধর্ম নয়েও ফানি পোস্ট করতে পারে! খেয়াল করে দেখবেন মানুষ আজকাল ধর্মকে কুলষিত করতে যাররা পরিমাণ চিন্তা করে না!</t>
  </si>
  <si>
    <t>ভারতে অবৈধ জমির উপরে স্থাপিত - এই অজুহাত দিয়ে কত মসজিদ ভেঙ্গে ফেলা হয়েছে জানেন তো?</t>
  </si>
  <si>
    <t>সহিষ্ণুতার অভাব এবং ধর্মীয় উগ্রপন্থার বিস্তার সমাজকে বিভক্ত করেছে, যার ফলে অনেকের জীবন অকালে শেষ হয়েছে।</t>
  </si>
  <si>
    <t>উল্লেখযোগ্যভাবে, আটজন ডাবগার হিন্দু সম্প্রদায়ের একটি পরিবারকে জীবন্ত পুড়িয়ে মারা হয়েছিল এবং আগুন নেভানোর জন্য আসা দমকল বাহিনীকে আগুন নেভানোর কাজ করতে বাধা দেওয়া হয়েছিল।[১] এর প্রতিক্রিয়ায় আশেপাশের হিন্দুরা মুসলমানদের মালিকানাধীন দোকানপাট লুটপাট ও পুড়িয়ে দেয়।</t>
  </si>
  <si>
    <t>খুলনা লঞ্চঘাটে কমপক্ষে ২০০-৩০০ হিন্দুকে নির্মমভাবে হত্যা করে মুসলিম হত্যাকারীরা।[৯] খুলনা থেকে চালনা পর্যন্ত রাস্তার দু’দিকে থাকা প্রতিটি হিন্দু জনপদ,গ্রাম ধ্বংস করে দেয় মুসলিমরা।[১০] ৪ জানুয়ারি মোংলায় হিন্দু হত্যাযজ্ঞের বিস্তার লাভ করে।[৭] মোংলা বন্দরে ৩০০ হিন্দুকে নির্মমভাবে হত্যা করা হয়।</t>
  </si>
  <si>
    <t>পুরান ঢাকার হোসেনি দালানে শিয়া সম্প্রদায়ের তাজিয়া মিছিলের প্রস্তুতির সময় বোমা হামলা চালানো হয়, যাতে বেশ কয়েকজন নিহত হন।</t>
  </si>
  <si>
    <t>দেশের সেরা সেরা মাদ্রাসাগুলোর কোন রিপোর্ট নেই। কিন্তু দেশের সেরা পাবলিক বিশ্ববিদ্যালয়ের গুলোর অনেক শিক্ষকের নামেই যৌন কেলেঙ্কারির রিপোর্ট পাবেন। তাহলে এখন ভার্সিটিফোবিয়া হয়ে যান না কেন!</t>
  </si>
  <si>
    <t>অনেকেই হয়ত আমার সাথে একমত হবেন যে, বর্তমান বিশ্বের সবচাইতে ভয়াবহ মানবসৃষ্ট দুর্যোগের নাম সহিংস ধর্ম সন্ত্রাস বা লুকানো রিলিজিয়াস রেসিজম । এর বিষাক্ত ধোঁয়ায় আজ বাংলার আকাশও আচ্ছাদিত ।</t>
  </si>
  <si>
    <t>উদ্ভট ধর্মতত্ত্ব এমনই পরিব্যপ্ত হয়ে গিয়েছিল যে, যখন মুসলিম সুফী সাধক কবির ১৫১৮ সালে কুশিনগরের কাছে মঘরে মারা যান, তখন তার হিন্দু ভক্তকুল কোনো স্থানীয় স্মৃতি স্থাপনা বানাতে অস্বীকৃতি জানায়। তারাই আবার কাশিতে গিয়ে তার নামে একটি স্মৃতি স্থাপনা গড়ে তোলে। কবিরের মুসলিম ভক্তরা এদিক থেকে কম কুসংস্কারাচ্ছন্ন ছিল। তারা মঘরেই তার মাজার গড়ে তোলে।</t>
  </si>
  <si>
    <t>এ-র তিব্র নিন্দা জানাচ্ছি আর পবিত্র কুরআন শরীফ পোড়ানোর জন্য ওকে জিনদা পোড়ানো হোক</t>
  </si>
  <si>
    <t>জওহর মূলত যুদ্ধে পরাজিত মহীয়সী মহিলাদের জন্য স্ব-নির্বাচিত মৃত্যু ছিল এবং বিশেষ করে যোদ্ধা রাজপুতদের মধ্যে অনুশীলন করা হয়েছিল।</t>
  </si>
  <si>
    <t>সশস্ত্র বাহিনী এবং বাংলাদেশের আধাসামরিক বাহিনী তাদের যে সহায়তা করেছিল সেগুলি গণহত্যা এবং জাতিগত নির্মূল হিসাবে আদিবাসীদের দ্বারা অনুমান করা হয়েছিল।</t>
  </si>
  <si>
    <t>কোন তৃতীয় পক্ষ হয়তো ষড়যন্ত্র করে বিভেদ সৃষ্টির চেষ্টা করছে। কোন মুসলিম যেমন চাইবে না মসজিদে বেদ গ্রন্থ রাখতে আবার কোন হিন্দু ও চাইবে না তার ভগবানের পায়ে কোরআন শরীফ রাখতে। যেহেতু এটি ধর্মীয় স্পর্শ কাতর বিষয় তাই এর সুষ্ঠু তদন্ত হোক। ধর্মীয় অরাজকতা সৃষ্টি করে থার্ড পার্টি যেন ফায়দা হাসিল করতে না পারে সেদিকে সজাগ দৃষ্টি রাখতে হবে।</t>
  </si>
  <si>
    <t>আল্লাহর কিতাব আল্লাহ রক্ষা করবেন ইনশাআল্লাহ।যারা এই গুলা করতে চায় আল্লাহ তাদেরকে হেদায়েত দান করুন আর হেদায়েত না থাকলে কঠিন গজব দিয়ে ধ্বংস করে দিন।</t>
  </si>
  <si>
    <t>বৌদ্ধরা তাঁদের ধর্মের রীতি পালনের জন্য নেড়া হতেন সেজন্য তাঁদের কটাক্ষ করে ‘নেড়ে’ বলা হত। এই বৌদ্ধ ধর্মাবলম্বীরা ইসলামের ধর্মান্তরিত হলে সেইসব ধর্মান্তরিত বৌদ্ধদের সাথে সাথে মুসলিমদেরকেও ‘নেড়ে’ বলা হতে থাকে।</t>
  </si>
  <si>
    <t>মনে আছে, মুশফিক একবার কোরবানির ছুরি হাতে ছবি দেয়ায় তাকে এই ইসলামবিদ্বেষী অসাম্প্রদায়িকরা তুলোধুনো করে ছাড়ে।শেষ পর্যন্ত তিনি ছবিটি সরিয়ে নেন।তখন কোথায় ছিল তেনাদের অসাম্প্রদায়িকতা।</t>
  </si>
  <si>
    <t>বাংলাদেশের সর্বত্রই মন্দির গির্জা প্যাগুডা নিরাপদ থাকবে,,, কোন মুসলাম ধর্মে বিশ্বাসী কেউ অন্য ধর্মে আঘাত হানতে পারে না।</t>
  </si>
  <si>
    <t>হে আল্লাহ তুমি এদের দৃষ্টান্ত মুলক শাস্তি দাও।এদের কে তুমি ধংস করে দাও।তুমি বোজিয়ে দাও তোমার খেয়ে তোমার পরে তোমার সাথে বেয়াদবি করার কি পরিণতি হতে পারে।তুমিই আমাদের জন্য যতেষ্ট।</t>
  </si>
  <si>
    <t>মার্কিন যুক্তরাষ্ট্রের নিউ ইয়র্কের একটি মসজিদের ইমামসহ দুইজন বাংলাদেশিকে গুলি করে হত্যা করেছে অজ্ঞাত সন্ত্রাসী। নামায শেষে হেটে এ সময় তারা বাড়িতে ফিরছিলেন।</t>
  </si>
  <si>
    <t>আরে তেলবাজ সাংবাদিক, আল আকসা মুসলিম ছাড়া আর কারো নয়, ভালো করে ইতিহাস পড়িস তারপর রিপোর্ট করিস, সহজ একটা বাজে উদাহরণ দিয়ে বোঝাই, আচ্ছা আমি যদি বলি যে আপনার সতীত্ব আমার, সেটা আমি যেভাবে পারি ব্যবহার করবো, তাহলে কি আপনি এবং আপনার স্বামী মেনে নেবেন?</t>
  </si>
  <si>
    <t>নৃশংস এবং ব্যাপক মাত্রার গনহত্যার ফলাফল হিসেবে পূর্ববাংলা বা তৎকালীন পূর্ব পাকিস্তান থেকে বিশাল সংখ্যক নিপীড়িত এবং আর্ত বাঙ্গালী হিন্দু শরণার্থী নিজের আবাসভূমি ছেড়ে ভারতের বিভিন্ন অংশে বিশেষ করে পশ্চিমবঙ্গ,আসাম এবং ত্রিপুরাতে আশ্রয় নেয়।</t>
  </si>
  <si>
    <t>১৪ জানুয়ারি নারায়ণগঞ্জের নামকরা ব্যবসায়ী গোষ্ঠবিহারী সাহাকে নির্মমভাবে হত্যা করার পর তার বিখ্যাত ‘সত্যসাধন ছাপাখানা’ লুটপাট করে আগুনে পুড়িয়ে দেয় মুসলিমরা।[১৬] পঞ্চসার গ্রামের (বর্তমান মুন্সীগঞ্জ জেলায়) দুটি দুগ্ধপোশ্য শিশু সন্তান সহ রেনুবালা পাইন নামক এক গৃহবধূকে নিষ্ঠুর উপায়ে হত্যা করে তারা।</t>
  </si>
  <si>
    <t>কেন্দ্রীয় সরকারে হিন্দু আধিপত্যের ভয়ে মুসলিম লীগের রাজনীতিবিদরা জিন্নাহকে "তার পূর্বের অনমনীয় অবস্থান" ফিরিয়ে নিতে বলেন।</t>
  </si>
  <si>
    <t>৯ আগস্ট, কুড়িগ্রামের ফুলবাড়ী উপজেলার নাওডাঙ্গা ইউনিয়নের নাগডাঙ্গা গ্রামে মাঝরাতে হিন্দু দেবতা শিব ও মনসার দুটি মূর্তি ভাংচুর ও একটি মন্দিরে আগুন দেওয়া হয়।</t>
  </si>
  <si>
    <t>উঁচু বর্ণের ব্রাহ্মণরা ধর্ম বিতর্কে গুরুত্বপূর্ণ ভুমিকা রাখতেন। তারা বুদ্ধের দার্শনিক ভাবশিক্ষার বিরুদ্ধে ততটা সোচ্চার ছিলেন না। তবে ব্রাহ্মণ্যবাদের ভিত্তিপ্রস্তর অর্থাৎ, প্রাচীন কাল থেকে রক্ষা করে আসা বেদে দেয়া ব্রাহ্মণদের দৈবত্ব, প্রভুত্ব ও কর্তৃত্বকে যখন বৌদ্ধবাদে প্রশ্নবিদ্ধ করা হলো তখন তারা তার সর্বাঙ্গীন বিরোধিতা করলেন।</t>
  </si>
  <si>
    <t>সভাপতির বক্তব্যে ডিবেট ফর ডেমোক্রেসির চেয়ারম্যান হাসান আহমেদ চৌধুরী কিরণ বলেন, মতিঝিলের শাপলা চত্বরে ৫ মে গভীর রাতে হেফাজতে ইসলামের গণসমাবেশে যৌথ বাহিনীর অভিযানে যে হত্যাকাণ্ড ঘটেছিল, তা বাংলাদেশের ইতিহাসে এক কলঙ্কময় অধ্যায়। ঘুমন্ত মুসল্লিদের ওপর এই বর্বর গণহত্যার বিচার এখন সময়ের দাবি। </t>
  </si>
  <si>
    <t>মৃত্যু ধর্ম বোঝে না, মৃত্যু পবিত্রগ্রন্থ বোঝে না, মৃত্যু কেবলই মানুষ বোঝে।</t>
  </si>
  <si>
    <t>ওইতাইতো কথা মনে করবেন না। অনুগ্রহ করে আপনারা সামি, ভাই, বাবা, আপনাদের মা, মেয়ে, বোউ, বোন, এদের ঘরে রেখে পরকীয়া করবেন। বাজে কাজ করবেন তাইলে আমরা কি শিখবো? আমাদের সামি, বাবা, ভাইদের খাচ থেকে।</t>
  </si>
  <si>
    <t>ধর্ম হচ্ছে যা ধারণ করে সৃষ্টি সুশৃঙ্খল ভাবে টিকে থাকে । সনাতন ধর্ম কোনো নির্দিষ্ট ধর্মগ্রন্থের উপর নির্ভরশীল নয় ।</t>
  </si>
  <si>
    <t>এদেশে মুসলমানরা স্রেফ সংখ্যায় বেশি, কিন্তু তোরজোর মুনাফেক, অমুসলিমদের বেশি।</t>
  </si>
  <si>
    <t>মধ্যযুগীয় সময়ে, হজযাত্রীরা সিরিয়া, মিশর এবং ইরাকের বড় শহরগুলোতে মক্কায় দলে দলে এবং হাজার হাজার হজযাত্রীদের সমন্বয়ে কাফেলা নিয়ে জড়ো হতেন,[২৮] যা প্রায়শই রাষ্ট্রীয় পৃষ্ঠপোষকতায় করা হতো।</t>
  </si>
  <si>
    <t>সিনেমার টিজার নিয়ে ধর্ম অবমাননার যে অভিযোগ উঠেছে সেটা নিয়ে এই সিনেমার প্রযোজক সেলিম খানের সাথে যোগাযোগ করা হলে তিনি বিবিসি বাংলাকে বলেছেন, যখনই তিনি দেখেছেন এটা নিয়ে বিতর্ক হচ্ছে তখনি টিজারটি সরিয়ে ফেলার নির্দেশ দিয়েছেন তিনি।</t>
  </si>
  <si>
    <t>শবে বরাতকে ক্ষমার রাত বা প্রায়শ্চিত্তের দিনও বলা হয়। মুসলমানরা মধ্য শা'বানকে ইবাদত ও মুক্তির রাত হিসেবে পালন করে। ইমাম শাফিঈ, ইমাম নওয়াবী, ইমাম গাজ্জালী এবং ইমাম সুয়ুতীর মতো পণ্ডিতরা মধ্য শা'বানের রাতে প্রার্থনা গ্রহণযোগ্য বলে ঘোষণা করেছেন।</t>
  </si>
  <si>
    <t>তারা মূলত বলেছে, কোরআন অবমাননার ঘটনা সহিংসতায় উসকানি দেয়ার পর্যায়ে পড়ে এবং এজন্য সংশ্লিষ্ট দেশগুলোর সরকারের প্রতি জবাবদিহিতা নিশ্চিতের আহ্বান জানিয়েছে। এ ছাড়া বেশ কয়েকটি দেশে রাস্তায় নেমে বিক্ষোভ দেখিয়েছে সাধারণ মুসলিমরা।</t>
  </si>
  <si>
    <t>আপনারা হিন্দু-মুসলমান সম্প্রীতির জন্য ‘প্রতিবেশীকে চিনুন’-এর মতো উদ্যোগের কথা ভাবেন, গল্পের মাধ্যমে ইতিহাসের নিরপেক্ষ প্রচারের জন্য ‘কিস্সাওয়ালা’ কর্মসূচি পালন করেন, পুত্রের মরদেহের সামনে দাঁড়িয়ে শান্তির আহ্বান জানান। আর আমরা হিন্দু উচ্চ বর্ণের নাগরিকরা আপনাদের এই উদ্যোগে নিজেদের নাম জুড়ে দিয়ে সহানুভূতি এবং একতার বার্তা পৌঁছাই, ইমাম রশিদি!</t>
  </si>
  <si>
    <t>বিবৃতিতে বলা হয়েছে, নাইজেরিয়ার দক্ষিণাঞ্চলের ডেল্টা রাজ্যে স্থানীয় একটি সম্প্রদায়ের সহিংসতা দমন করতে গিয়ে তাদের হামলার শিকার হয় সেনা সদস্যরা। ওই রাজ্যের সাম্প্রদায়িক সহিংসতায় জড়িত কয়েকজন তরুণ সেনাবাহিনীর সদস্যদের ঘিরে তাদের ওপর হামলা চালায়।</t>
  </si>
  <si>
    <t>উনি তো শুধু খ্রিস্ট ধর্ম নিয়ে কথা বলছেন না। মানবীয় যে মূল্যবোধ, নৈতিকতার বিষয়গুলো যার মধ্য দিয়ে মানুষ সুখে শান্তিতে বসবাস করতে পারবে, সে বিষয়গুলো উনি বলেন।</t>
  </si>
  <si>
    <t>বাংলাদেশে খ্রিষ্টমণ্ডলীর ইতিহাস' বইয়ে ফাদার মাইকেল ডি'রোজারিও লিখেছেন, ফাদার বার্বিয়ার ১৭১৫ সালে বাংলাদেশের খ্রিস্টানদের সম্পর্কে যে রিপোর্ট দিয়েছিলেন, সেখানে তিনি উল্লেখ করেছেন, বাংলাদেশে তিন ধরনের খ্রিস্টান ছিল:</t>
  </si>
  <si>
    <t>ইরান, মিশর,তুরস্ক এরা কি এখনও বসে বসে দেখবে? নাকি তাদেরও কোন সার্থ আছে তাই মাঠে না নেমে মুখে বয়ান দিচ্ছে।</t>
  </si>
  <si>
    <t>আমরা ধর্মনিরপেক্ষতায় বিশ্বাস করি। পরধর্ম সহিষ্ণুতায় বিশ্বাস করি আমরা। আমি হিন্দু ধর্মের। অন্যরা অন্য ধর্মীয় বিশ্বাসের হতেই পারেন। আমাদের উচিত সব ধর্মকে সম্মান করা।</t>
  </si>
  <si>
    <t>পুলিশের কাউন্টার টেরোরিজম ইউনিটির প্রধান ঢাকা মহানগর পুলিশের অতিরিক্ত কমিশনার মো. মনিরুল ইসলাম বলেন, “বছরজুড়ে জঙ্গি হামলার আশঙ্কা ছিল এবং হামলা হয়েছেও, বিচ্ছিন্নভাবে টার্গেটেড কিলিং হয়েছে। হলি আর্টিজেনের মতো হামলা হয়েছে, যা বাংলাদেশের মানুষ কখনও কল্পনাও করেনি।</t>
  </si>
  <si>
    <t>মুহাম্মদ তোমাদেরকে কুরআন শুনিয়ে নামায, রোযা এবং ধর্মের জন্য প্রাণ বিসর্জন দেওয়ার কথা বলে</t>
  </si>
  <si>
    <t>যে কোন বিনিময়ে মসজিদের নির্মাণ কাজ বন্ধ না হয় সে ব্যাপারে মুসলিম সমাজকে সজাগ থাকতে হবে।এমপি মহোদয়কে এ ব্যাপারে কঠোর থেকে আরও কঠোর হয়ে নির্মাণ কাজ শেষ করে একটা মডেল মসজিদ আমাদের উপহার দিবেন ইনশাআল্লাহ।।</t>
  </si>
  <si>
    <t>কি বলবো আর এখন হামাস নেতা গুলো কোথায় গেল সাধারণ নিরীহ মানুষকে ভোগান্তি মধ্যে রেখে । আর নেতা গুলো হাওয়া ঘুরে ভালো একটা পদক্ষেপ গ্রহণ করতে পারে না। শুধু নিরীহ মানুষকে কষ্ট দিয়ে কি লাভ যদি নিজে লড়াই করা সক্ষমতা না থাকে।</t>
  </si>
  <si>
    <t>1535 এবং 1681 সালের মধ্যে ইংরেজ সরকার 300 টিরও বেশি রোমান ক্যাথলিককে রাষ্ট্রদ্রোহিতার জন্য মৃত্যুদণ্ড দেওয়া হয়েছিল, এইভাবে তাদের ধর্মীয় অপরাধের পরিবর্তে ধর্মনিরপেক্ষতার জন্য আনুষ্ঠানিকভাবে মৃত্যুদণ্ড দেওয়া হয়েছিল । </t>
  </si>
  <si>
    <t>খ্রিস্টান ধর্মে মানুষকে সবসময় শান্তিপূর্ণভাবে জীবনের পথে চলার শিক্ষা দেওয়া হয়, যেখানে তারা ঈশ্বরের আদেশ অনুসরণ করে, একে অপরকে সাহায্য করে, ভালোবাসা ও সহযোগিতা প্রদান করে, এবং কখনোই অন্যদের বিরুদ্ধে অশান্তি বা সহিংসতা সৃষ্টি করার কোনো প্রচেষ্টা করেন না</t>
  </si>
  <si>
    <t>মদ খাওয়া নিয়ে কোন সমস্যা নাই এই ধর্মে যত সমস্যা মাছ আর গোসত খাওয়া নিয়ে।</t>
  </si>
  <si>
    <t>২০২২ সালের ২৪ জানুয়ারি সোমবার রাতে, সাতক্ষীরা সদর উপজেলার আগরদাঁড়ি গ্রামের পেশাদার প্রতিমাশিল্পী রঞ্জন কুমার পালের বাড়ির কারখানায় প্রতিমা ভাঙচুরের ঘটনা ঘটে।</t>
  </si>
  <si>
    <t>ওদের সাথে মুসলিমদের যুদ্ধ টা অনেক টা পারিবারিক ধরে নিতে পারেন,,,, মানে যেমন বাবার সম্পত্তি নিয়ে সন্তান রা করে,,,,, পবিত্র ভূমি নিয়ে আব্রাহামিক রিলিজিয়ন এর বিরোধ ঠিক তেমনই ,,,।</t>
  </si>
  <si>
    <t>মানুষ ধর্মীয় পোশাক যেভাবে দেহে পরিধান করে, যদি ধর্মীয় আচরণ সেভাবে হৃদয়ে ধারণ করতো, তাহলে পৃথিবীতে এত সংঘাত, এত বিবেদ সৃষ্টি হতো না</t>
  </si>
  <si>
    <t>২৬ আগস্ট, সাতক্ষীরা সদরের শিবপুর ইউনিয়নের ১নং ওয়ার্ডের শিবপুর কানারডাঙা সার্বজনীন দুর্গা মন্দিরের নির্মাণাধীন দুর্গা প্রতিমা ভাঙচুর হয়। শুক্রবার রাত ১১টার পর ভাঙচুর চালানো হয় বলে অভিযোগ।</t>
  </si>
  <si>
    <t>কালীগঞ্জ পুলিশ স্টেশনের নিয়ন্ত্রণাধীন পারুল্লা গ্রামের সব হিন্দু বাড়ি লুট করা হয়।[২২] খোসলা,গজারিয়া, কারার চর, চর সিন্দুর, পলাশ, সদরচর গ্রামগুলোর প্রতিটি হিন্দু বাড়ি লুটপাট করে মুসলিমরা। ভারত সরকারের সুত্র থেকে জানা যায়, প্রথম দু’দিনের মধ্যেই নৃশংসতার শিকার কমপক্ষে ২০০ জন হতভাগ্য হিন্দুর মৃতদেহ পুড়িয়ে ছাই করে ফেলা হয়।[২৩] সূত্র থেকে আরও জানা যায় যে, ৮০,০০০ হতভাগ্য হিন্দু (যাদের মধ্যে ৫০,০০০ ঢাকার) জীবন বাঁচাতে তাদের বাড়িঘর ছেড়ে পালিয়ে চলে যায়।[</t>
  </si>
  <si>
    <t>গভর্নর ফ্রেডেরিক বারোজের মতে, "জনসমাবেশ অনুষ্ঠিত হওয়ার পর রামগঞ্জ থানার একটি বাজারে লুটপাটই ঝামেলা শুরু হওয়ার তাত্ক্ষণিক ঘটনা ছিল।"[৫৪] সুরেন্দ্রনাথ বসু এবং হিন্দু মহাসভার বিশিষ্ট নেতা রাজেন্দ্রলাল রায় চৌধুরীর ব্যবসার জায়গায় হামলা হয়েছিল।</t>
  </si>
  <si>
    <t>হিন্দু মেয়েই বিয়ে করতে হবে দেখছি মুসলিম বানিয়ে, দাদাদের জ্বালা আরও বাড়িয়ে দিব।</t>
  </si>
  <si>
    <t>মহাকুম্ভ মেলা ২০২৫ সালে ভারতীয় ধর্মীয় ইতিহাসে এক গুরুত্বপূর্ণ ইভেন্ট হিসেবে সমাপ্ত হয়, যেখানে কোটি কোটি মানুষ একত্রিত হয়েছিলেন, এবং এর মধ্যে একটি বড়ো সংখ্যক পুণ্যার্থী গঙ্গা, ইয়ামুনা এবং সরস্বতী নদীর তীরে স্নান করতে আসেন।</t>
  </si>
  <si>
    <t>তৃতীয় কিয়ামত, অর্থাৎ শিঙায় দ্বিতীয় ফুত্কারের পর হাশর ও নশর তথা পুনরুত্থান ও মহামিলন বা মহাসম্মিলন অনুষ্ঠিত হবে। এটিই চূড়ান্ত কিয়ামত। এই দিনই বিচারের দিন এবং আখিরাত বা পরকালের অনন্ত জীবনের সূচনা এদিন থেকেই হবে, যে জীবনের আর কোনো শেষ নেই, নেই কোনো সীমা। এটি মানবজীবন চক্রের চতুর্থ বা শেষ জগৎ। এই জগৎের কোনো পরিসমাপ্তি নেই।</t>
  </si>
  <si>
    <t>শুনে খুশি হলাম এই নিয়ম সকল ধর্মাবলম্বি দের করা উচিত নিজের ধর্ম ও অন্য সকল ধর্ম কে নিয়ে কুটুক্তি মূলক বক্তব্য বন্ধ হোক</t>
  </si>
  <si>
    <t>প্রথমত হামলার মূল প্রসঙ্গটি নিয়ে আমাদের প্রধান কথা হচ্ছে, কোনো সংখ্যালঘু সম্প্রদায় কিংবা ইসলামের কোনো বিচ্যুত অথবা বের হয়ে যাওয়া উপদলের ধর্মীয় কেন্দ্র অথবা উপাসনালয়ে হামলা করা কোনোভাবেই শরীয়তসিদ্ধ কাজ নয়। কোনো মুসলমানের জন্যই এটা ইসলাম নির্দেশিত অথবা অনুমোদিত কোনো কাজ নয়। ইসলামের দৃষ্টিতে এ ধরনের হামলা নিন্দনীয় ও শাস্তিযোগ্য অপরাধ।</t>
  </si>
  <si>
    <t>‘বুদ্ধ’ শব্দের অর্থ মহাজ্ঞানী।বৌদ্ধ ধর্মানুসারে তিনিই ‘বুদ্ধ’ যিনি জগতের সার সত্য সম্বন্ধে অবগত হয়েছেন এবং নিজে নির্বাণলাভের পূর্বে পৃথিবীর সকল জীবকে নির্বাণলাভের উপায় উপদেশ করে গেছেন।</t>
  </si>
  <si>
    <t>এই কুলাঙ্গার কে কঠিন শাস্তি দেওয়া হোক,আমাদের নবী সর্বশেষ্ঠ নবী আপনি আমি সেই নবীর উম্মত, আমার প্রিয় নবীকে নিয়ে এবং ইসলাম ধর্মকে নিয়ে, যে বাজে কথা বলবে তাকে এই কুলাঙ্গারে মত আইনের আওতায় আনবেন এবং কঠিন সাজা দিবেন।</t>
  </si>
  <si>
    <t>এই দিন বৌদ্ধা পরম শ্রদ্ধায় কাগুজে ফানুস তৈরি করে ধর্মীয় রীতি-নীতি মেনে চুলামনি চৈত্যকে পূজা করার উদ্দেশ্যে আকাশ-প্রদীপ হিসেবে ফানুস বাতি উত্তোলন করে থাকেন। </t>
  </si>
  <si>
    <t>৪ জুলাই, সোমবার দিবাগত রাতে গাইবান্ধার গোবিন্দগঞ্জ উপজেলার তালুককানুপুর ইউনিয়নের দামোদরপুরের হিন্দুপাড়া গ্রামে চারটি পারিবারিক পূজা মন্দিরে হামলা ও প্রতিমা ভাঙচুরের ঘটনা ঘটে।</t>
  </si>
  <si>
    <t>মনে ভরে যায় কথাগুলো শুনলে।অশান্ত মনটাও প্রশান্ত হয়ে যায়। মনে হয় এই দুনিয়াতে আর কিছুই চাইবার নেই।</t>
  </si>
  <si>
    <t>আমার একটু বেশি লাগছে এই কারনে যে আমার বাবার বন্ধুরা প্রায় হিন্দু, আমার বন্ধুরা প্রায় হিন্দু</t>
  </si>
  <si>
    <t>ইসলামিক কোনো গ্রুপ বা দল গঠন করা হলে সবাই জঙ্গি বলে আখ্যা দেয়</t>
  </si>
  <si>
    <t>মহারাষ্ট্রের মালেগাঁওয়ে হিন্দু-মুসলিম সংঘর্ষে বহু মানুষ নিহত হন এবং সম্পত্তি ধ্বংস করা হয়।</t>
  </si>
  <si>
    <t>আমাদের ধর্মীয় উৎসব ঈদের কুরবানির ছবি আপলোডের কারণে মুশফিককে নিয়ে কতো নোংরা ভাষায় আক্রমণ করা হলো।</t>
  </si>
  <si>
    <t>আমি এখনো মসজিদে যাই না ৫ওয়াক্ত। যাকাত আদায়ের বেলায় কার্পন্য করি।মিথ্যা বলা ছাড়ি নাই।অহংকার মনের মধ্যে বাসা বেধেছ, জিনার মত পাপাচার থেকে বিরত হই নাই।</t>
  </si>
  <si>
    <t>১২ মার্চ দুপুরে মৌলভীবাজার জেলার জুড়ী উপজেলার একটি মন্দিরের আশপাশে দুর্বৃত্তরা আগুন ধরিয়ে দেয়। তবে মন্দিরের আশেপাশের লোকেরা দ্রুত আগুন নিয়ন্ত্রণে নিয়ে আসে।</t>
  </si>
  <si>
    <t>ব্রাহ্মণপাড়াতে হিরেন বাবু, ধীরেন রায়, মন্টুসহ পাঁচজনের বাড়িতে আগুন লাগিয়ে দেয়া হয় ও ১০টি বাড়িতে ভাংচুর করা হয়।[১৮] প্রশাসনের সামনে হামলাকারীরা লুটপাট চালায়। </t>
  </si>
  <si>
    <t>আপনি পত্রিকায় হেডলাইন ও বিস্তারিত ভালো করে পড়েন। মন্দির অঙ্গনে মসজিদ কেন হবে? জায়গার কি অভাব পড়ছে?</t>
  </si>
  <si>
    <t>আপনি বললেন সাধুদেরকে কখন অশ্লীল গান বাজনা শোনা যাবে না, কিন্তু বাংলাদেশে একটা দূর্গা পূজা মন্ডবদেখাবেন যেখানে অশ্লীল মেয়েদের কে নিয়ে নাচ গান এবং নিত্য দেওয়া হয় না। তাহলে আপনিই বলেন আপনার কথাটি কতটুকু সত্য যাচিত হইল???</t>
  </si>
  <si>
    <t>মহাত্মা গান্ধী এবং জওহরলাল নেহেরু সহ ভারতীয় জাতীয় কংগ্রেসের সদস্যরা দাঙ্গার বিষয়ে নেতিবাচক প্রতিক্রিয়া জানিয়ে শোক প্রকাশ করেছিলেন। দাঙ্গার ফলে হিন্দু, শিখ এবং মুসলমানদের মধ্যে আরও দাঙ্গা ও অসম্প্রীতি বৃদ্ধি পেয়েছিল।</t>
  </si>
  <si>
    <t>হত্যাযজ্ঞের সময় মেশিনগান দিয়ে পুরুষ, নারী ও শিশুদের হত্যা করা হয় এবং তারপর আগুন লাগানো হয়।[২] পাকিস্তানি সেনাবাহিনী পেট্রোল ও গানপাউডার দিয়ে মন্দিরটি পুড়িয়ে দেয়। মন্দিরে তখন প্রায় ৫০টি গরু বাধা ছিল, তারা গরুসহ মন্দিরটিতে আগুন ধরিয়ে দেয়। এতে রমনা কালী মন্দিরের পুরোহিতসহ ১০১ জন হিন্দু নিহত হন।[</t>
  </si>
  <si>
    <t>জৈনধর্ম সম্ভবত ৫ম শতাব্দীতে বঙ্গ অঞ্চলে পৌঁছায়। পাল ও সেন রাজবংশের সময় এটি বিকশিত হয়, এবং মন্দির ও সম্প্রদায় গড়ে ওঠে। ১৯৪৭ সালে দেশভাগের পর বহু জৈন ভারতে চলে যায়, ফলে বাংলাদেশে তাদের সংখ্যা কমে যায়।</t>
  </si>
  <si>
    <t>সাজার পর দেশের বিভিন্ন স্থানে হিন্দুদের ওপর হামলা চালানো হয়। হিন্দু সম্পত্তি লুট করা হয়, হিন্দুদের বাড়িঘর পুড়িয়ে ছাই করা হয় এবং হিন্দু মন্দির অপবিত্র করা হয় এবং আগুন দেওয়া হয়। </t>
  </si>
  <si>
    <t>মুসলিম বিদ্বেষী হিন্দুরা ভারত মুসলিম বিজেতাদের ভাবমর্যাদা ক্ষুণ্ণ করার জন্য ইতিহাসের তথ্য বিকৃত করতেও কুণ্ঠিত নয়।</t>
  </si>
  <si>
    <t>বিশ্বজুড়ে উইঘুরেরা প্রতি বছর ৫ ফেব্রুয়ারিকে ঘুলজা গণহত্যার বার্ষিকী হিসেবে পালন করে। ১৯৯৭ সালের এই দিনে, চীনা বাহিনী ধর্মীয় ও সাংস্কৃতিক স্বাধীনতা এবং সমান অধিকারের দাবিতে জিনজিয়াং উইঘুর স্বায়ত্তশাসিত অঞ্চলের একটি শান্তিপূর্ণ বিক্ষোভে অংশ নেওয়ার সময় হাজার হাজার নিরীহ উইঘুরদের হত্যা ও বন্দী করে।</t>
  </si>
  <si>
    <t>বাস্তবে বুদ্ধ এ ধরণের কোনো প্রশ্নের উত্তর প্রদান করেননি। এসব প্রশ্নের ক্ষেত্রে বুদ্ধ অবান্তর বলে মৌন ছিলেন, এরূপ লেখা ত্রিপিটক শাস্ত্রে উল্লেখ রয়েছে।</t>
  </si>
  <si>
    <t>২০১৬ সালের ২৯ অক্টোবর ব্রাহ্মণবাড়িয়ার নাসিরনগরে ‘রসরাজ দাস নামে এক যুবক ফেসবুকে ধর্ম অবমাননাকর ছবি পোস্ট করেছে’—এমন অভিযোগ তুলে তাকে পিটিয়ে পুলিশে দেয় একদল যুবক।</t>
  </si>
  <si>
    <t>স্থানীয় রাজাকারেরা আটকে নিকটবর্তী খালের ধারে নিয়ে যায় এবং গুলি করে হত্যা করে। গুলি থেকে বাঁচতে যারা পানিতে ঝাঁপিয়ে পড়ে এবং ডুবে যায় কিংবা স্রোতে ভেসে চলে যায়।</t>
  </si>
  <si>
    <t>পৃথিবীর যেকোনো ভূখণ্ডে শান্তি-শৃঙ্খলা, স্থিতিশীলতা, সাম্প্রদায়িক সম্প্রীতি বজায় রাখার স্বার্থে ধর্ম, ধর্মীয় গ্রন্থ, নবী ও সাহাবিদের সম্মান রক্ষার্থে অত্যন্ত কঠোর আইন অত্যাবশ্যক।</t>
  </si>
  <si>
    <t>তার উত্তর 'হাজার হাজার, লক্ষ লক্ষ মানুষ এটা নিয়া কথা বলতেছে, আন্দোলন করতেছে। সত্য না হইলে কি এতো লোক নামতো?'</t>
  </si>
  <si>
    <t>৩০ অক্টোবর মধ্যরাতের পরে প্রায় ২,০০০ মুসলিম ছুরি,লোহার রড, রাম দা,খোন্তা সহ বিভিন্ন ধরনের মারণাস্ত্রসহ কৈবল্যধাম মন্দিরের চারপাশের প্রায় ৩০০ হিন্দু বাড়িঘরের উপর উন্মত্তভাবে হামলে পড়ে এবং আগুন ধরিয়ে দেয়।</t>
  </si>
  <si>
    <t xml:space="preserve">সেই মানুষগুলো মুসলিমদের নিয়ে আলোচনা করার সময় যখন বলবে- ❝সব হুজুরই খারাপ❞, সেই খারাপের দায়টা কিন্তু বর্তায় আপনার উপর, আমার উপর, যারা কারো সাথে খারাপ আচরণ/ অনৈসলামিক কোন কাজ করার সময় মনে মনে ভেবেছিলাম- এখানে আমাকে আর কে চিনছে? আমাদের কাছে কার স্বার্থ বড়, আমার নিজের, না ইসলামের? </t>
  </si>
  <si>
    <t>কুরআন মূলত একক "আল্লাহর রাসূল" কে সম্বোধন করেছেন, যাকে বেশ কয়েকটি আয়াতে মুহাম্মাদ হিসাবে উল্লেখ করা হয়েছে।</t>
  </si>
  <si>
    <t>শার্লি এব্দো ফ্রান্সের একটি চরম বিতর্কিত পত্রিকা। পত্রিকাটি স্বাধীন মত প্রকাশের নামে প্রতিষ্ঠান বিরোধী ব্যঙ্গ কার্টুন প্রকাশ করে থাকে এবং তারা ক্যাথলিক ক্রিশ্চিয়ান ও ইহুদী ধর্ম এবং ইসলামের বিভিন্ন বিষয় নিয়েও ব্যঙ্গাত্মক কার্টুন প্রকাশ করে দীর্ঘদিন ধরেই নানা সময়ে বিতর্কের কেন্দ্রে এসেছে।</t>
  </si>
  <si>
    <t>পূর্ব-পাকিস্তানের অভ্যন্তরে থাকা ভারতীয় ছিটমহল গুলোতে পাকিস্তান রাইফেলস বাহিনীর অকথ্য নির্যাতনের ফলে বিশাল পরিমানে হিন্দু শরণার্থী ভারতের জলপাইগুড়িতে প্রবেশ করতে বাধ্য হয়। ঢাকার হাজার হাজার নিরুপায় হিন্দু ভারতে যাবার জন্য তীর্থের কাকের মত অপেক্ষা করছে।</t>
  </si>
  <si>
    <t>১২ অক্টোবর, চট্টগ্রামের চকবাজার এলাকার করুণাময়ী কালীবাড়ির পূজা মণ্ডপে আরতি চলাকালীন একটি সাম্প্রদায়িক হামলার খবর পাওয়া যায় যেখানে অপরাধীদের মধ্যে একজন ধরা পড়ে এবং তাকে পুলিশের হাতে তুলে দেওয়া হয়।</t>
  </si>
  <si>
    <t>পরিবারের পুরুষ সদস্যদেরকে হত্যা করে নারীদেরকে বিভিন্নজনের কাছে ভাগ করে দিত ঐ এলাকার মৌলোভী ও মুরব্বিরা।মুসলিম পরিবারের নারীরাও এসব অপহৃত ভাগ্যহত হিন্দু মেয়েদের ধর্ষণ করতে ও লুকিয়ে রাখতে সমানভাবে সাহায্য করত পুরুষ সদস্যদেরকে।</t>
  </si>
  <si>
    <t>ইসরাইল সরকার সেদেশে শুকর পালন করা নিষিদ্ধ করেছে।আর আমাদের দেশে সেনাবাহিনী পরিচালিত হোটেলে শুকরের মাংস বিক্রির জন্য তাকে সাজানো থাকে।</t>
  </si>
  <si>
    <t>বাংলাদেশের হিন্দু সম্প্রদায়ের শান্তিকামী জনগোষ্ঠীর উচিত পশ্চিম বাংলায় মমতার বিজয় এবং উগ্রবাদী মুসলিম বিদ্বেষী দাঙ্গাবাজ বিজেপির পরাজয়ে যারা এদেশে হা হুতাশ করেছেন, ওপার বাংলায় মুসলিম কোপানি হাতছাড়া হয়ে গেল বলে আফসোস করেছেন তাদের উপর কড়া নজর রাখা, আর বাংলাদেশের শান্তিকামী মুসলমানদের উচিত ধর্মনিরপেক্ষতার লেবাস নিয়ে থাকা ক্ষমতাসীন এবং তাদের এজেন্সী গুলোর উপর কড়া নজর রাখা । জগতের সকল প্রাণী সুখী হোক ।।</t>
  </si>
  <si>
    <t>২০১২ সালে কক্সবাজারের রামুতে এক বৌদ্ধপল্লীতে একই অভিযোগ তুলে হামলা চালিয়ে আগুন ধরিয়ে দেয়া হয়েছিল। আর গত বছর ব্রাহ্মণবাড়িয়ার নাসিরনগরে অনেকটা একই কায়দায় একটি হিন্দু পল্লীতে হামলা চালানো হয় একই ধরণের অভিযোগ তুলে।</t>
  </si>
  <si>
    <t>চীনের পশ্চিমাঞ্চলে উইঘুর মুসলমানদের বিরুদ্ধে নির্যাতন চালানো হয়, তাদের ধর্মীয় পোশাক পরা ও রোজা রাখার জন্য বিভিন্নভাবে হেনস্তা করা হয়।</t>
  </si>
  <si>
    <t>বক্তারা আগামী ২৪ ঘন্টার মধ্যে কোরআন পোড়ানোর ঘটনায় সুইডেন সরকারকে ক্ষমা চাওয়ার আহ্বান জানানো হয়। এটা না করলে এ দেশটির সাথে বাংলাদেশের কোনো কূটনৈতিক সম্পর্ক না রাখার হুঁশিয়ারি দেন তারা।</t>
  </si>
  <si>
    <t>সঠিক সিদ্ধান্ত। পাশাপাশি, আমাদের সকলকে একে অপরের ধর্মের প্রতি শ্রদ্ধাশীল থাকতে হবে। ইসলাম ধর্ম আমাদের শিক্ষা দিয়েছে, যেন আমরা কোনো ধর্মের প্রতি কটুক্তি না করি এবং সকলের ধর্ম পালনে সহযোগিতা করি।</t>
  </si>
  <si>
    <t>বাংলাদেশ মুসলিম প্রধান দেশ। তাই, মোটামোটি সব কিছু এর প্রধান বা গুরুত্বপূর্ণ মানুষরা মুসলিম। তাই, ঢাকা বিশ্ববিদ্যালয়ের কর্তৃপক্ষ প্রতিবন্ধক প্রণয়ন করে। তার সাথে তুলনা করে আর সমস্যা তৈরি হলো হিন্দু ধর্মের!!</t>
  </si>
  <si>
    <t>অপহরণের আগে মিলা করের বাবা, ঠাকুরদাদা এবং তার ছানাকে তার সামনেই জবাই করে মুসলিম জনতা। বারিক মিয়াঁ নামের একজন সম্মানিত ম্যাজিস্ট্রেটের ছেলে রহমত আলী, রেণুবালা নামের একজন বিবাহিত মেয়েকে জোরকরে বিয়ে করে।</t>
  </si>
  <si>
    <t>এই রমজান মাসে প্রায় সকল শিক্ষার্থীরাই নিজেদের মতো করে ইফতার মাহফিল আয়োজন করছে। তাতে কেউই বাধা দিচ্ছে না।</t>
  </si>
  <si>
    <t>কারণ কোনো হিন্দু যখন কুরআন অবমাননার নিন্দা করছে না, হিন্দুদের সংগঠনগুলোও বলছে না তারা এ ঘটনায় জড়িত নয়, তারা এ ঘটনার বিরোধী, তখন দালালের বাচ্চারা কোন কারণে বলে এটি তৃতীয় পক্ষের কাজ?</t>
  </si>
  <si>
    <t>আল্লাহ! তিনি ছাড়া অন্য কোনো উপাস্য নেই, তিনি জীবিত, সবকিছুর ধারক। তাঁকে তন্দ্রাও স্পর্শ করতে পারে না এবং নিদ্রাও নয়।</t>
  </si>
  <si>
    <t>বিশ্বাসের পার্থক্য সহ্য করতে না পারার মানসিকতা একাধিক সহিংস ঘটনার জন্ম দিয়েছে, যেখানে বহু মানুষের জীবন অকালে শেষ হয়েছে।</t>
  </si>
  <si>
    <t>বর্তমান সময়ে ইহুদি-খৃস্টানরা তাদের কর্মকাণ্ডের মাধ্যমে নিজেদের পরিচয় প্রকাশ করছে, তাই মুসলিম উম্মাহর কর্তব্য তাদেরকে বুঝে রাখা এবং চিন্তা ও কর্মে তাদের অনুসরণ না করে নিজস্ব মূল্যবোধে দৃঢ় থাকা।</t>
  </si>
  <si>
    <t xml:space="preserve">কোরআন আমাদের অক্সিজেন। কোরআনের জন্য আমরা জিবন দিতে প্রস্তুত। যারা যারা আমাদের কোরআন অবমাননা করেছে পুড়িয়ে দিয়েছে তাদের বিচার দুনিয়াতে হবে </t>
  </si>
  <si>
    <t>ধর্মীয় ও সাংস্কৃতিক বিষয়ে কৃত্রিম বুদ্ধিমত্তা তৈরির জন্য মানুষের মনস্তত্ত্ব বোঝা আমাদের জন্য গুরুত্বপূর্ণ হয়েছে। কারণ ধর্ম ও সংস্কৃতি মানুষের মানসিক ধ্যানধারণার ওপর ভিত্তি করে গড়ে ওঠে।</t>
  </si>
  <si>
    <t xml:space="preserve">ধর্মে কর্মে মন নেই বলে লাঞ্ছনার শেষ নেই। কালাচাঁদ! কী করে বোঝাব প্রাতিষ্ঠানিক ধর্ম এবং ঈশ্বরের মধ্যে একচুলও সম্পর্ক নেই। </t>
  </si>
  <si>
    <t>হে নবী! তুমি তোমার স্ত্রীদেরকে, তোমার কন্যাদেরকে আর মু’মিনদের নারীদেরকে বলে দাও- তারা যেন তাদের চাদরের কিছু অংশ নিজেদের উপর টেনে দেয় (যখন তারা বাড়ীর বাইরে যায়), এতে তাদেরকে চেনা সহজতর হবে এবং তাদেরকে উত্যক্ত করা হবে না। আল্লাহ অতি ক্ষমাশীল, পরম দয়ালু।</t>
  </si>
  <si>
    <t>রাষ্ট্র-অনুমোদিত কার্য্যক্রমের আকার নিয়েছে। [২][৩] 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হয়েছেন। [৪]</t>
  </si>
  <si>
    <t>কলা অনুষদের এত পাওয়ার!!তাহলে আরবী বিভাগেরও নিজস্ব পাওয়ার বজায় রাখা উচিত।কোনো উত্তরই দেওয়া উচিত না।</t>
  </si>
  <si>
    <t>নড়াইলেই গত ১৭ জুন মির্জাপুর ইউনাইটেড ডিগ্রি কলেজের ভারপ্রাপ্ত অধ্যক্ষ স্বপন কুমার বিশ্বাসের গলায় জুতার মালা পরানো হয় ডিসি, এসপি ও সরকার দলীয় নেতাদের সামনে ধর্ম অবমাননার অভিযোগ তুলে৷ </t>
  </si>
  <si>
    <t>১৯৫০ সালে শ্রীলঙ্কায় অনুষ্ঠিত ‘ওয়ার্ল্ড ফেলোশিপ অফ বুদ্ধিস্ট’ এর প্রথম কনফারেন্সে বৈশাখ মাসের এই পূর্ণিমা তিথিটিতে বুদ্ধের জন্মদিবস পালন করার সিদ্ধান্ত গৃহীত হয়।</t>
  </si>
  <si>
    <t>খায়বার যুদ্ধের পর পর এক ইহুদী মহিলা মুহাম্মাদকে আমন্ত্রণ করে ছাগলের মাংসের ভিতরে বিষ মিশিয়ে মুহাম্মাদকে হত্যা করতে চেয়েছিল।</t>
  </si>
  <si>
    <t>ভারতে মুসলিমরা নির্যাতিত হলে বাংলাদেশে হিন্দুদের ওপর হামলা হবে, সে বক্তব্য যেমন সমর্থনযোগ্য নয়, তেমনি বাংলাদেশে হিন্দুরা নির্যাতিত হলে ভারতে মুসলিমদের ওপর অত্যাচার করা হবে, সেটাও গ্রহণযোগ্য হতে পারে না। একটি অপরাধ দিয়ে আরেকটি অপরাধ ব্যাখ্যা করা যায় না।</t>
  </si>
  <si>
    <t>ফেসবুকে ধর্ম অবমাননার গুজবে কুমিল্লার মুরাদনগরে হিন্দু ধর্মবলম্বীদের কয়েকটি বাড়িতে ভাঙচুর এবং অগ্নিসংযোগের ঘটনা ঘটেছে গত রোববার। এই ঘটনার পেছনে সংঘবদ্ধ কোন গোষ্ঠী রয়েছে বলে সেখানকার পুলিশ ধারণা করছে।</t>
  </si>
  <si>
    <t>যে মেয়েগুলো আত্মহত্যা করে তাদের নিয়ে নানারকম কথা শোনা যায়। গায়ের রঙ কালো হওয়ায় বিয়ে হচ্ছেনা এরকম তুচ্ছ কারণেও এদেশে আত্মহত্যার ঘটনা ঘটেছে।</t>
  </si>
  <si>
    <t>মহান আল্লাহ যদি আমাকে ক্ষমা করেন, তাঁর অপার অনুগ্রহ দান করেন, তবে অবশ্যই আমি আমার প্রিয়তম আম্মার সাথে, তাঁর স্নেহছায়ায় জান্নাতে থাকতে চাই। (রাব্বির হামহুমা কামা রাব্বায়ানি সগীরা)।</t>
  </si>
  <si>
    <t>যখানে তালাক বা ডিভোর্স ধর্মীয় ভাবে স্বীকৃত সেখানে তোমাকে ত্যাগ করবে এটাই স্বাভাবিক।</t>
  </si>
  <si>
    <t>ঈমানী দুর্বলতার কারণ-ঈমানী পরিবেশ থেকে দীর্ঘদিন দূরে থাকা। সৎ ও অনুকরণযোগ্য ব্যক্তি হতে দূরে থাকা। শরীয়তী জ্ঞান ও ঈমানী বই হতে দূরে থাকা। গুনাহগারদের মাঝে অবস্থান করা। দুনিয়ার মোহে মগ্ন হওয়া।</t>
  </si>
  <si>
    <t>মুহাম্মাদের জীবন সম্পর্কে গুরুত্বপূর্ণ তথ্যের উৎস পাওয়া যায় হিজরি দ্বিতীয় ও তৃতীয় শতাব্দীতে (খ্রিস্টীয় অষ্টম ও নবম শতাব্দীর আশেপাশে) লেখকদের ঐতিহাসিক রচনাবলীতে।[৪১] এর মধ্যে রয়েছে নবী মুহাম্মাদের প্রথাগত মুসলিম জীবনীগ্রন্থসমূহ, যেগুলো তার জীবন সম্পর্কে অতিরিক্ত তথ্য সরবরাহ করে।</t>
  </si>
  <si>
    <t>জেলা পুলিশ সুপারিনটেনড সশস্ত্র পুলিশ কন্টিনজেন্ট এবং আনসার বাহিনী সহযোগে কালশিরা ও এর আশেপাশের হিন্দু গ্রামগুলোতে নির্দয় ভাবে আক্রমণ শুরু করে।[৯][১০] তারা আশেপাশের গ্রামগুলোর মুসলিম অধিবাসীদেরকে হিন্দু সম্প্রদায়ের বাড়িঘর এবং সম্পত্তি লুটপাটে উৎসাহ দিতে থাকে।</t>
  </si>
  <si>
    <t>আপনি কি কোরআন পড়েন? কোরআন পড়লে আয়াত দিয়ে কী করবেন?</t>
  </si>
  <si>
    <t>তাসকিনের স্ত্রীর বোরকা নিয়ে নোংরামি করা হলো। তখন এই সুবিধাবাদীরা প্রতিবাদ না করে উল্টো ওদের আক্রমণের সাথে তাল দিয়েছিল।</t>
  </si>
  <si>
    <t>কিছু জামায়াতে ইসলামীর উগ্রপন্থীরা তার পোস্টের স্ক্রিনশট নিয়ে কালার প্রিন্ট করে কয়েক দিন ধরে রংপুরের গঙ্গাচড়া, তারাগঞ্জ, নীলফামারী জেলার উপজেলায় মসজিদে মানুষদের উত্তেজিত করে। পরে তারা গংগাচড়া উপজেলায় হিন্দুদের উপর হামলা করে।</t>
  </si>
  <si>
    <t>বিভিন্ন সম্প্রদায়ের মধ্যে বিদ্যমান ধর্মীয় উত্তেজনা সহিংস রূপ ধারণ করলে বহু ব্যক্তি নির্মম হত্যার শিকার হয়েছে।</t>
  </si>
  <si>
    <t>মৃতকে গোসল দেওয়া ফরযে কেফায়াহ। যারা মৃত ব্যক্তিকে শর‘ঈ পদ্ধতিতে অর্থাৎ ইসলামের প্রতিষ্ঠিত বিধান অনুযায়ী গোসল দিতে জানেন, তারাই মৃতদের গোসলের দায়িত্ব নিবেন। </t>
  </si>
  <si>
    <t>হিন্দু এবং মুসলিমের মধ্যে শান্তিপূর্ণ সহাবস্থান সমাজের জন্য একটি অনুকরণীয় উদাহরণ হয়ে ওঠে, যেখানে তারা একে অপরের পারস্পরিক সম্মান এবং ভালোবাসা দিয়ে জীবনের প্রতিটি ক্ষেত্রে একে অপরকে সহযোগিতা করেন।</t>
  </si>
  <si>
    <t>মহান আল্লাহ এ রাতটিকে ‘লাইলাতুল কদর’ হিসেবে আখ্যায়িত করেছেন। কদর নামে একটি সুরা নাজিল করেছেন। এ রাতের বৈশিষ্ট্য ও ফজিলত বর্ণনা করেছেন।</t>
  </si>
  <si>
    <t>জামায়াতে ইসলামী নেতা একেএম ইউসুফের বিরুদ্ধে আন্তর্জাতিক অপরাধ ট্রাইব্যুনালের বিরুদ্ধে যুদ্ধাপরাধের অভিযোগ আনা হয়েছে বাংলাদেশ সরকার। [৫][৬] ইউসুফকে হিন্দুদের গণহত্যার অভিযোগে অভিযুক্ত করা হয়েছে এবং দাক্ষার গণহত্যার জন্য সরাসরি দায়ী করা হয়েছে।</t>
  </si>
  <si>
    <t>"দুনিয়াতে তুমি এমনভাবে থাকো যেন তুমি অপরিচিত বা পথিক।"</t>
  </si>
  <si>
    <t>গত রোববার রাতে দেশটির কাদুনা রাজ্যের তুদুন বিরি গ্রামে ঈদে মিলাদুন্নবী উদযাপনের অনুষ্ঠানকে লক্ষ্য করে এই হামলা চালানো হয়। সেখানকার স্থানীয় মুসলিমরা নবী মোহাম্মদের জন্মদিন পালনের জন্য জমায়েত হয়েছিলেন।</t>
  </si>
  <si>
    <t>এদের সৃষ্টিকর্তা নিজ হাতে বিচার করুক। যারা মানুষের নরম হৃদয়কে কচলাতে বসে যায়।</t>
  </si>
  <si>
    <t>কোরআন অবমাননা করার সাথে সাথে যারা অমানবিক পৈশাচিক কর্মকাণ্ডের সাথে জড়িত সবার দৃষ্টান্তমূলক শাস্তির দাবি জানাচ্ছি।</t>
  </si>
  <si>
    <t>গবেষক এ রায় এর মতে, ৫,০০,০০০(পাঁচ লক্ষ) হিন্দুকে ঐ গণহত্যায় হত্যা করা হয় এবং৪৫ লক্ষ হিন্দু প্রাণ বাঁচাতে ভারতে পালিয়ে আসে।[৪৭] ঠিক একই সময়ে আরও প্রায় ১০ লক্ষ পাকিস্তানি হিন্দু তৎকালীন পশ্চিম পাকিস্তানের সিন্ধু থেকে শরণার্থী হয়ে ভারতে পালিয়ে আসে।</t>
  </si>
  <si>
    <t>কোনো হিন্দুর মুসলমান হয়ে যাওয়ার মানে শুধু হিন্দু সমাজের একজন সদস্য কমে যাওয়া নয়, একজন শত্রু বৃদ্ধি পাওয়া</t>
  </si>
  <si>
    <t>গালিমপুর গণহত্যা হচ্ছে ২০শে মে ১৯৭১ সালে পাকিস্তানি সেনাবাহিনীর দ্বারা সিলেট জেলার গালিমপুর গ্রামের হিন্দু জনগণের উপর সংগঠিত একটি হত্যাকাণ্ড।</t>
  </si>
  <si>
    <t>মুলাদি হত্যাকাণ্ড ছিল আনসার ও পুলিশের সক্রিয় যোগসাজশে বন্দুকধারী সশস্ত্র জনতা কর্তৃক ১৯৫০ সালের ১৭ ফেব্রুয়ারি থেকে ২০ ফেব্রুয়ারি মধ্যে মুলাদি নদী বন্দরে নিরস্ত্র হিন্দু ও খ্রিস্টান পুরুষ ও বৃদ্ধ মহিলাদের গণহত্যার একটি ধারাবাহিক ঘটনা।</t>
  </si>
  <si>
    <t>যারা ইসলাম ধর্ম থেকে নিজেকে দুরে রাখেন-- বিপদের সময় তারা আল্লাহ্‌র সাহায্য থেকে বঞ্চিত হন-- আল্লাহ্‌ আমাদের একমাত্র সহায়ক !!!</t>
  </si>
  <si>
    <t>পশ্চিমা লিবারেল চিন্তাধারা বর্তমানে এমন এক পরিবর্তনের মধ্য দিয়ে যাচ্ছে, যেখানে মানুষ নিজেদের লিঙ্গ পরিচয় নিয়ে নতুনভাবে ভাবছে এবং উত্তর খুঁজছে।</t>
  </si>
  <si>
    <t>স্থানীয় পত্রপত্রিকায় খবর অনুযায়ী, বাবরি মসজিদ ভাঙ্গার প্রতিবাদে ৮ই ডিসেম্বর সারাদেশে হরতাল ডাকে জামায়াতে ইসলামী এবং আরো কয়েকটি ইসলামী দল।</t>
  </si>
  <si>
    <t>হিন্দু মুসলিম বিবেধ ও রেশারিশি বাড়বে , এভাবেই হিন্দু মুসলিম দাঙ্গার ক্ষেত্র সৃষ্টি করা হচ্ছে । যারাই এসব করছে তাদের হোতাদের চিহ্নিত করে আইনের আওতায় আনা দেশের শান্তি বজায় রাখার জন্যে অপরিহার্য । গুরুত্বপুর্ন কথা হল ভারতের দাঙ্গা গুলো এভাবেই বাধানো হয়েছে ।</t>
  </si>
  <si>
    <t>যারা মানুষের ওপর জুলুম করে এবং প্রাপ্য অধিকার থেকে বঞ্চিত করে তাদের ব্যাপারে রাসুল (সা.) বলেছেন, ‘নিশ্চয়ই যারা মানুষকে অন্যায়ভাবে কষ্ট দেয়, আল্লাহ তাআলা তাদের শাস্তি প্রদান করবেন।</t>
  </si>
  <si>
    <t>আর একশ্রেণীর লোক আছে, যারা অজ্ঞতাবশত খেল-তামাশার বস্তু ক্রয় করে বান্দাকে আল্লাহর পথ থেকে উদাসীন করার জন্য।</t>
  </si>
  <si>
    <t>সুত্রাপুরে প্রত্যেকটি হিন্দু বাড়ি,ব্যবসাপ্রতিষ্ঠান লুটপাট, ভাংচুর ও অগ্নিসংযোগ করে তারা।[৬] ১০০ টিরও বেশি বাড়িঘর ও দোকানপাটে লুটপাট চালানো হয় এবং সবগুলো ক্ষেত্রে লুটপাটের পরে আগুন ধরিয়ে দেয়া হত।</t>
  </si>
  <si>
    <t>প্রধানমন্ত্রী হিন্দু সম্প্রদায়কে স্মরণ করিয়ে দিয়ে বলেন, দেশটি সবার, কারণ, জাতি-ধর্ম-বর্ণ নির্বিশেষে ১৯৭১ সালে পাকিস্তানি হানাদার বাহিনীর বিরুদ্ধে নয় মাস যুদ্ধের মাধ্যমে দেশ স্বাধীন হয়েছে।</t>
  </si>
  <si>
    <t>আহ ভাষা হারিয়ে ফেলিছি কি বলবো মুসলমান তো কখনও অন্য ধর্মকে ছোট করে এমন ভয়াবহ পদক্ষেপ নেয়নি তাহলে তারা কেন আমাদের কুরআন পুড়লো</t>
  </si>
  <si>
    <t>এক ব্যাক্তি তার মা ও বোনকে নিয়ে কোন জরুরী কাজে যাচ্ছেন। অমনি তাদের ঘিরে হলি খেলা শুরু করে দিয়েছে একদল হিন্দু সাম্প্রদায়িক জঙ্গি।</t>
  </si>
  <si>
    <t>একটি ধর্মনিরপেক্ষ রাষ্ট্র দাবি করে যে সেই রাষ্ট্রে, ধর্ম নির্বিশেষে তার সমস্ত নাগরিকের সাথে সমান আচরণ করা হয় এবং দাবি করে যে একজন নাগরিকের ধর্মীয় বিশ্বাস, সংযুক্তি বা অন্য পরিচয়ের উপর ভিত্তি করে অগ্রাধিকারমূলক আচরণ এড়ানো সেই রাষ্ট্র এড়িয়ে চলে।</t>
  </si>
  <si>
    <t>ভারতের পশ্চিমবঙ্গ, অরুণাচল প্রদেশ, আসাম ও অন্যান্য রাজ্যে যেখানে থেরবাদী হীনযানী বৌদ্ধ সম্প্রদায়ের বিশেষ করে বিহারের বুদ্ধগয়াতে প্রধান মন্দির ও থেরবাদী বিভিন্ন মন্দিরে বিহারে এই অনুষ্ঠান সাড়ম্বরে পালন করা হয়।</t>
  </si>
  <si>
    <t>যাক আলহামদুলিল্লাহ। ইসলামের বিরুদ্ধে কথা বললে অন্তত পক্ষে আমাদের সরকার হস্তক্ষেপ করতেছে এটাতেই আমরা শুকরিয়া।</t>
  </si>
  <si>
    <t>ইসলাম সত্যিকারের ধর্ম,এটা বুঝার জন্য ইসলাম সম্পর্কে পড়ুন, জ্ঞান অর্জন করুন। নিজ ধর্মের গ্রন্থ পড়ুন, দোয়া করুন সঠিক ধর্মের আলো পাবার জন্য, ইন্সাআল্লাহ আল্লাহ রব্বুল আলামীন আপনাকে পথ দেখাবেন।</t>
  </si>
  <si>
    <t>আজকের মসজিদে মসজিদে প্রোগ্রাম তথাকথিত আহলে হাদিসের কাছে মরিচের গুড়ার মত জ্বলবে</t>
  </si>
  <si>
    <t>কোনো ধর্মকেই ছোট করা বা সেই ধর্মকে নিয়ে কুটূক্তি করা উচিত নয়। যারা এসব করে তাদের বিরুদ্ধে প্রশাসনের কঠোর ব্যবস্থা নেয়া উচিত সে যে ধর্মের লোকই হোকনা ক্যানো।</t>
  </si>
  <si>
    <t>শ্রীলঙ্কার গৃহযুদ্ধে তামিল ও বৌদ্ধ সংখ্যাগরিষ্ঠ সেনাবাহিনীর মধ্যে সংঘর্ষে ধর্মীয় উত্তেজনা সহ বহু প্রাণহানি ঘটে।</t>
  </si>
  <si>
    <t>১৫৭২ সালে, নিম্নলিখিত শহরগুলিতে - প্যারিস, আইক্স, বোর্দো, বুর্জেস, লিওঁ, মিউ, অরলিন্স, রুয়েন, তুলুজ এবং ট্রয়েসে সাম্প্রদায়িক সহিংসতার সময় হাজার হাজার প্রোটেস্ট্যান্ট ক্যাথলিকদের দ্বারা নিহত হন।</t>
  </si>
  <si>
    <t>আলহামদুলিল্লাহ অনেক সুন্দর করে বুঝিয়েছেন আল্লাহ আপনি এনাকে ইসলাম প্রচার করার জন্য কবুল করুন আর মেধা শক্তি আরো বৃদ্ধী করেদিন আমিন</t>
  </si>
  <si>
    <t>অন্তত কোরানের মাসে কোন মুসলমানের বাচ্চা এসব আয়োজন করে না।</t>
  </si>
  <si>
    <t>বাংলাদেশের এক খতিব ধর্ম অবমাননার অভিযোগ তোলার পর সামাজিক যোগাযোগ মাধ্যম ফেসবুক ও ইউটিউব থেকে সরিয়ে নেওয়া হয়েছে বাংলাদেশের নির্মাণাধীন সিনেমা 'কমান্ডো'র টিজার।</t>
  </si>
  <si>
    <t>পশ্চিমবঙ্গে এক কোটিরও বেশি শরণার্থী বাঙালি হিন্দু আসে।[২৪] ভারতীয় সেনাবাহিনী মুক্তিবাহিনীকে সহায়তা করে ১৯৭১ সালে বাংলাদেশকে স্বাধীন করে।</t>
  </si>
  <si>
    <t>আরব ও আফ্রিকান জাতিগোষ্ঠীর মধ্যে ধর্ম ও জাতিগত সংঘাতের কারণে লক্ষাধিক মানুষ বাস্তুচ্যুত হয়েছে।</t>
  </si>
  <si>
    <t>আজকে আমাদের দেশে এই বাস্তবতা তৈরি হয়েছে যে, ইসলাম ধর্মের বিরুদ্ধে কেউ কিছু বলেছে এ কথাটি যদি প্রচার করা যায়, তাহলে কিন্তু যে কোন বিপর্যয় করা সম্ভব।</t>
  </si>
  <si>
    <t>হরিপদ চৌধুরী ও বিমল ভট্টাচার্যের বসত বাড়ি সহ পুরো গ্রামের সব হিন্দু বাড়ি ঘর লুট করে। ১৭ই ফেব্রুয়ারি মুসলিম গুণ্ডারা বাড়ি বাড়ি গিয়ে হিন্দুদেরকে আক্রমণ করে। তারা ব্রাহ্মণদের পৈতে টেনে ছিঁড়ে ফেলে, পা দিয়ে মাড়িয়ে, জোর করে ইসলামে ধর্মান্তরিত করে।</t>
  </si>
  <si>
    <t>খ্রিস্টান ধর্মের অনুসারীরা বিশ্বাস করেন যে, পৃথিবীতে শান্তি ও ভালোবাসা প্রতিষ্ঠিত করতে হলে আমাদের নিজেদের মাঝে সহানুভূতি, সহমর্মিতা এবং সদ্ভাবনা থাকতে হবে, এবং কখনোই আমাদের ধর্মের নামে কোনো ধরনের আক্রমণ বা সহিংসতা করা উচিত নয়।</t>
  </si>
  <si>
    <t>ঠিক দাদা একদম।এরা এখন হিন্দু মুসলমানদের মধ্যে বিভেদ সৃষ্টি করতে চাচ্ছে নিজেরদের স্বার্থ হাসিলের জন্য।</t>
  </si>
  <si>
    <t>সামাজিক যোগাযোগমাধ্যমে ধর্মকে নিয়ে বাজে মন্তব্য বন্ধ করা সম্ভব নয় তাই, আমরা কিন্তু সামাজিক যোগাযোগমাধ্যমকে নিয়ন্থন করতে পারি</t>
  </si>
  <si>
    <t>ধর্ম হল এমন একটি পথ যা মানুষকে সত্য, ন্যায় এবং শান্তির দিকে পরিচালিত করে, এবং এটি কখনোই সহিংসতা বা বিতর্ক সৃষ্টি করার উদ্দেশ্যে নয়, বরং সকল মানুষের মধ্যে সহমর্মিতা, শ্রদ্ধা এবং ভালোবাসা ছড়িয়ে দিতে চায়।</t>
  </si>
  <si>
    <t>যারা প্যালাস্টাইনের দুঃখে উপচে পড়েছিল তাদের চোখ আজ কানা হয়ে গেছে। আফগানিস্তান এর আঁচ ভারতে যেকোনো সময়ই লাগতে পারে। কারণ তালিবানদের না আছে জাত , না আছে শিক্ষা। দেবারতি ম্যাডাম আমার মনে পড়ে যাচ্ছে আপনার "অঘোরে ঘুমিয়ে শিব" এর সেই "অস্ত্র ব্যবসা" - র বিষয়ে লেখাটি।</t>
  </si>
  <si>
    <t>মসজিদে যাওয়া আসলে বয়স্ক এবং বিভিন্ন রোগে আক্রান্তদের করোনা ভাইরাসে সংক্রমণের ঝুঁকি বেশি থাকে। তাদের নিরাপদ থাকা খুবই প্রয়োজন। আলেম ওলামাগণও তাই বলছেন। দুই একজন বিচ্ছিন্নভাবে কিছু ব্যতিক্রম কথা বলছেন।</t>
  </si>
  <si>
    <t>আর যারা আল্লাহর পথে নিহত হয়েছে তাদেরকে কখনোই মৃত মনে করো না; বরং তারা জীবিত এবং তাদের রবের কাছ থেকে তারা জীবিকা-প্রাপ্ত হয়ে থাকে।</t>
  </si>
  <si>
    <t>মার্কিন যুক্তরাষ্ট্রের মোট জনসংখ্যার ০.৭% হিন্দু।[৫৫] তারা আমেরিকার সবচেয়ে সমৃদ্ধ ধর্মীয় গোষ্ঠী। [৫৬][৫৭] আমেরিকায় হিন্দুদের আইনী এবং মৌলিক উভয় অধিকার রয়েছে। কিন্তু তা সত্ত্বেও হিন্দুরা সেখানে হিন্দু বিদ্বেষের শিকার হয়। </t>
  </si>
  <si>
    <t>পাকিস্তানি হানাদার বাহিনী গণহত্যা শুরুর আগে, রমনা কালী মন্দির এবং মা আনন্দময়ী আশ্রমের প্রত্যেককে "পাকিস্তান জিন্দাবাদ" বলতে বাধ্য করে। তাদের "লা-ইলাহা ইল্লাল্লাহ" বলতে বলা হয়। লাইনে দাঁড়িয়ে থাকা নারী-পুরুষ সবাই একজোট কন্ঠে ওই কথাগুলো উচ্চারণ করলে শুরু হয় হত্যাযজ্ঞ।</t>
  </si>
  <si>
    <t>দিন শেষে বুঝতে পারি এসবই পঁচে যাওয়া রাজনীতির খেলা। এই উপমহাদেশে রাজত্ব টিকিয়ে রাখতে ব্রিটিশরা যেমন সাম্প্রদায়িকতার বিষ ঢেলেছিল, বর্তমান সময়েও ঠিক একই কায়দায় রাজনীতিতে এই বিষ কাজে লাগানোর নোংরা খেলায় সবাই মত্ত।</t>
  </si>
  <si>
    <t>ইসলামের নীতিমালা অনুযায়ী, শালীনতা এবং সম্মান প্রদর্শন করতে বলা হয়, যা পরস্পরের মধ্যে শান্তিপূর্ণ সহাবস্থানের ভিত্তি।</t>
  </si>
  <si>
    <t>৯১% মুসলিমের দেশ সেখানে সব জায়গায় ই ইসলামের বিরোধিতা। </t>
  </si>
  <si>
    <t>একজন মুসলিম হিসাবে তীব্র নিন্দা ও প্রতিবাদ জানাচ্ছি। হে আল্লাহ তুমি এই জালিমদের বিচার করো।</t>
  </si>
  <si>
    <t>বাখরাবাদ গণহত্যা পাকিস্তানি সেনাবাহিনী দ্বারা বাংলাদেশ মুক্তিযুদ্ধের সময় আল বদর ও আল শামসের সহায়তায় ১৯৭১ সালের ২৪ মে কুমিল্লা জেলার বখরাবাদ গ্রামের হিন্দু জনগোষ্ঠীর উপরে একটি গণহত্যার ঘটনা ঘটেছিল।</t>
  </si>
  <si>
    <t>পবিত্র রাত উপলক্ষে বিভিন্ন সমাবেশ এবং মাহাফিল-ই-নাতের আয়োজন করা হয়, অন্যদিকে উলামা ও ধর্মীয় পণ্ডিতরা তাদের খুতবায় ইসলামের শিক্ষা তুলে ধরেন ।</t>
  </si>
  <si>
    <t>বাংলাদেশের দিনাজপুরে মসজিদ করতে দিচ্ছে না মন্দিরের লোকজন। একজন স্থানীয় সাংবাদিক লিখেছে-আমাদের মসজিদ কোথায় নির্মাণ হবে তার ডিসিশন আসে প্রতিবেশী দেশের হাইকমিশন থেকে</t>
  </si>
  <si>
    <t>বাংলাদেশের সংবিধানে ইসলামকে রাষ্ট্রধর্ম ঘোষণা করা হয়েছে । বাংলাদেশ চতুর্থ বৃহত্তম মুসলিম জনসংখ্যার দেশ।</t>
  </si>
  <si>
    <t>নিজের দেশে আমরা ধর্ম পালন করতে পারি না। সেখানে ফেসবুকে ফিলিস্তিন ইস্যু নিয়ে খুব মাতামাতি করি, পোস্ট, ভিডিও শেয়ার দেই।</t>
  </si>
  <si>
    <t>নাৎসিদের সমর্থনে আপনি সেখানে কিছু বলতে পারবেননা, আইন করে তা নিষিদ্ধ। আর্মেনিয়ায় গণহত্যা অস্বীকার করা আইন করে নিষিদ্ধ করা হয়েছে। মত প্রকাশের পূর্ণ স্বাধীনতা কি তাতে থাকে?</t>
  </si>
  <si>
    <t>তীব্র নিন্দা জানাই , বাংলাদেশ থেকে সরকারি ভাবে তীব্র নিন্দা জানানোর জন্য অনুরোধ করছি এমন ঘটনার জন্য দায়ী দের ফাঁসি কার্যকর করা হোক</t>
  </si>
  <si>
    <t>ভাল কাজ তুচ্ছজ্ঞান ও নেকীর কাজ গুরুত্ব না দেয়া। মুসলিমদের সমস্যার ব্যাপারে গুরুত্ব না দেয়া। ভ্রাতৃত্বের বন্ধন ছিন্ন করা। দ্বীনের কাজে দায়িত্বানুভূতি না থাকা।  বিপদাপদে ভীত সন্ত্রস্ত হওয়া।</t>
  </si>
  <si>
    <t>ধর্ম যার যার উৎসব সবার এটা একটা জগন্য কুফরি বাক্য। আল্লাহ মুসলিমদের সহি বুঝ দান করুন।</t>
  </si>
  <si>
    <t>মহাকুম্ভে মহা বিপর্যয়। পদপিষ্ট হয়ে মৃত্যুর ঘটনা। এবার সরকারি তরফে জানানো হল প্রয়াগরাজে মহাকুম্ভে পদপিষ্ট হয়ে মারা গিয়েছেন ৩০জন। ডিআইজি মহাকুম্ভ বৈভব কৃষ্ণ এই মৃত্যুর সংখ্য়া নিশ্চিত করেছেন।  </t>
  </si>
  <si>
    <t>নরেশ কুমার বলেন, “বুদ্ধের নাম কলুষিত করার পাশাপাশি এহেন ব্রাহ্মণ্য পুনর্জাগরণবাদীরা নিরপরাধ বৌদ্ধদের নিপীড়ন কিংবা এমনকি মেরে ফেলার তাগিদ হিন্দু রাজাদের দিতে থাকেন। বাংলার শৈব ব্রাহ্মণরাজা শশাঙ্ক শেষ বৌদ্ধ সম্রাট হর্ষবর্ধনের বড় ভাই রাজ্যবর্ধনকে ৬০৫ খ্রিষ্টাব্দে হত্যা করেন। </t>
  </si>
  <si>
    <t>কুমিল্লায় পুজা মন্ডপে মুর্তির পায়ের উপর সর্বশ্রেষ্ঠ মহাগ্রন্থ পবিত্র কুরআনুল কারিম রাখা হয়েছে। এই নোংরা অমানুষিকতার তীব্র নিন্দা জ্ঞাপন করছি। জড়িতদের অতি দ্রুত গ্রেফতারপূর্বক দৃষ্টান্তমূলক শাস্তি কার্যকরের জোড় দাবী জানাচ্ছি।</t>
  </si>
  <si>
    <t>রংপুরের পীরগঞ্জে এক ব্যক্তিকে ফাঁসাতে হিন্দু সম্প্রদায়ের মন্দিরে মূর্তি ভাঙচুর করা হয়েছে। বিষয়টি স্থানীয় প্রশাসনকে জানানো হলেও তারা নীরব রয়েছে। যে কোনো সময় রক্তক্ষয়ী সাম্প্রদায়িক সংঘর্ষের রূপ নিতে পারে বলে সুধীজনরা আশঙ্কা করছেন। উপজেলার পাঁচগাছী ইউনিয়নের জোতিডাঙ্গা গ্রামে এ ঘটনা ঘটেছে।</t>
  </si>
  <si>
    <t>প্রায় তিনশো পঁচিশ বছর আগে থোমাস এইকিনহেড কে ফাঁসিতে ঝুলিয়ে হত্যা করা হয়েছিলো, খ্রিস্টীয় ঈশ্বরের অস্তিত্ব কে অস্বীকার করার অপরাধে এবং ক্যাথলিক চার্চ এর শক্তি বা ক্ষমতাকে প্রশ্ন করার অপরাধে।</t>
  </si>
  <si>
    <t>বেরাত কান্দিলি হল মধ্য শা'বানের নাম এবং এটি তুরস্কে একটি পবিত্র দিন হিসেবে বিবেচিত হয়। অটোমান সাম্রাজ্যের সুলতান দ্বিতীয় সেলিমের সময় থেকে মুসলিম ছুটির দিনগুলিকে কান্দিল ( আরবি : কিন্দিল , তেলের প্রদীপ) বলা হয়ে আসছে , বিশেষ বরকতময় রাত্রি উপলক্ষে মিনার আলোকিত করার জন্য প্রদীপ জ্বালিয়ে ।</t>
  </si>
  <si>
    <t>বাংলার দুর্ভাগ্য যে আমরা চোর তাড়াতে গিয়ে এমন একটি ডাকাত কে ডেকে এনেছি উনি শুধু অসৎ নন উনি জালিয়াত উনি রাষ্ট্র দ্রোহী উনি মিথ্যা বাদি</t>
  </si>
  <si>
    <t>মহান আল্লাহ তাঁর আসমান ও পৃথিবীবাসী সবাইকে শাস্তি দিতে পারেন। তার পরও তিনি তাদের প্রতি অন্যায়কারী হবেন না। পক্ষান্তরে তিনি যদি তাদের সবাইকে দয়া করেন তাহলে তাঁর এই দয়া তাদের জন্য তাদের নেক আমল হতে উত্তম হবে। </t>
  </si>
  <si>
    <t>মুসলিমদের মধ্যে মানুষ দেখো না? মুসলিম নামক জীবগুলো মানুষ নয় বুঝি? মুসলিমরা তোমাদের চোখে নিকৃষ্ট অধম কোনো প্রাণীতে পরিণত হয়েছে!</t>
  </si>
  <si>
    <t>ধর্মের ব্যাখ্যা অপব্যাখ্যা দিয়ে কতো অন্যায় কে বৈধকরে নিচ্ছি।</t>
  </si>
  <si>
    <t>বাংলাদেশ হিন্দু বৌদ্ধ খ্রিস্টান ঐক্য পরিষদ ২০২৪ সালের শেষ সাড়ে চার মাসে সাম্প্রদায়িক সহিংসতায় ২৩ জন নিহত হয়েছে বলে যে তথ্য দিয়েছে তার বিপরীতে প্রধান উপদেষ্টার দপ্তরের বক্তব্যকে সর্বোচ্চ গুরুত্ব দিয়েছে ডয়চে ভেলে বাংলা বিভাগ৷</t>
  </si>
  <si>
    <t>সেন রাজাদের অত্যাচারে বৌদ্ধদের একটা অংশ নেপালে গিয়ে আশ্রয় গ্রহন করেন। যে কারণে চর্যাপদ নেপাল থেকে আবিস্কৃত হয়েছিল।</t>
  </si>
  <si>
    <t>আল্লাহ বলেন যে, মানুষের ধর্মীয় পার্থক্য থাকা সত্ত্বেও তাদের মধ্যে ভালোবাসা এবং শান্তিপূর্ণ সহাবস্থান প্রতিষ্ঠা করা সম্ভব, যা তাঁর ইচ্ছা।</t>
  </si>
  <si>
    <t>আমি বিশ্বাস করি শুধু সুইডেন না যারা যারা আল্লাহর দেয়া আমার এই পবিত্র কুরআন শরীফকে অপমান করেছেন সবাইকে আল্লাহ একদিন ধ্বংস করবেন ইনশাল্লাহ</t>
  </si>
  <si>
    <t>আম্রিকা আর দাদারা এদের ক্ষমতায় রেখেছে কেনো এত কিছু হওয়ার পরেও? তেমন কোনো নিষেধাজ্ঞা আসে নাই কেনো? বুঝলে বুঝ পাতা না বুঝলে তেজ পাতা।</t>
  </si>
  <si>
    <t>যদিও এটা এখন মুসলিম দেশ, বৌদ্ধ জাতি ইতিহাস ও সংস্কৃতিতে ছোট কোন খেলোয়াড় নয়। বাংলাদেশের বৌদ্ধধর্মের অধিকাংশ অনুসারী চট্টগ্রাম বিভাগে বাস করে। </t>
  </si>
  <si>
    <t>১৫ বছর ধরে হিন্দু নির্যাতনের কারণে কাউকে শাস্তি দেয়া হয়নি। এর আগে চট্টগ্রামের রাউজানে, কক্সবাজারের রামু, নাসিরনগর, যশোরের অভয়নগরসহ একের পর এক ঘটনা ঘটছে৷ এতকিছুর পর সরকার নীরব ভূমিকা পালন করে যাচ্ছে।’</t>
  </si>
  <si>
    <t>৭৫ বছর ধরে যেখানে মসজিদ আছে সেখানেই মসজিদ পুনঃনির্মাণ করতে বাঁধা দেওয়া হচ্ছে। এটা নাকি মুসলিম দেশ।</t>
  </si>
  <si>
    <t>তায়েফে সুদীর্ঘ ৪০ দিন অবরোধ করে রাখা, হুনাইনে দুঃসাহসিক উপমা স্থাপন করেছেন, মক্কা বিজয় ছিল তাঁরই সমরজীবনের দুর্দান্ত ফসল। বিনা রক্তপাতে বিশাল বিজয়। যা পৃথিবীর ইতিহাসে আর কোথাও লক্ষ্যিত হয়নি, হওয়ার সম্ভাবনাও নেই। মানুষ এমন বিস্ময় ইতোপূর্বে অবলোকন করেনি।</t>
  </si>
  <si>
    <t>তিনি দাবি করেন, চলতি বছরে ৫০১টি সংঘবদ্ধ হামলা, ৫৬টি মন্দিরে হামলা, ভাংচুর ও অগ্নিসংযোগ, ২১৯টি প্রতিমা ভাঙচুর, ৫০টি প্রতিমা চুরি, ৭৭ জনকে অপহরণ, ১৫ জনকে অপহরণের চেষ্টা করা হয়েছে।</t>
  </si>
  <si>
    <t>সেদিন ঢাকাসহ দেশের অন্তত ২১ টি জেলায় বিক্ষুব্ধ ইসলামী জনতার ব্যানারে হিন্দু ধর্মাবলম্বীদের বাড়িঘর, ব্যবসা প্রতিষ্ঠান এবং মন্দিরে হামলা চালানো হয়।</t>
  </si>
  <si>
    <t>তাদের কাছে এটা খুবই সাধারণ, তার একটা ফানি পোস্টে নেকি হচ্ছে না গুনাহ হচ্ছে  কোনো চিন্তা নেই</t>
  </si>
  <si>
    <t>কত নিষ্ঠুর হলে এই ধরনের হামলার করতে পারে এই যুদ্ধের মধ্য দিয়ে তাদের মুখোশ খুলে গেল।</t>
  </si>
  <si>
    <t>১৭ সেপ্টেম্বর শনিবার গভীর রাতে বরিশালের মেহেন্দিগঞ্জ উপজেলার কাশিপুর দুর্গা মন্দিরে নির্মাণাধীন প্রতিমা ভাঙচুর করা হয়। প্রতিমার হাত ও মাথা খুলে পায়ের কাছে ফেলে রাখা হয়।</t>
  </si>
  <si>
    <t>ধর্মীয় অসহিষ্ণুতার বিরুদ্ধে কথা বলার জন্য বহু লেখক ও সাংবাদিক হুমকি ও আক্রমণের শিকার হন, যাদের মধ্যে এম. এম. কালবুর্গি ও গৌরি লঙ্কেশ উল্লেখযোগ্য।</t>
  </si>
  <si>
    <t>আমরা বাংলাদেশের পক্ষ থেকে স্পষ্ট তীব্র নিন্দ পেলাম না। নিশ্চয়ই আল্লাহতায়ালাই কোরআনের একমাত্র হেফাজত করি।</t>
  </si>
  <si>
    <t>এই গাজা বাসীর উপর যে জুলুম করছে অন্যায় করছে তুমি তাদের কিছু করছোনা !!! তোমার কাছে বিচার দিলাম দেখি তুমি কি করো!!!</t>
  </si>
  <si>
    <t>রাষ্ট্র সংঘ প্রাচ্যের এই দেশের করুণ অবস্থায় নীরব! সারা বিশ্ব নীরব! বুঝতে পারছে না এই আঁচ দ্রুত এসে লাগবে নিজেদের গায়েও। হিন্দু, মুসলিম বা খ্রিস্টান, যে কোন ধর্মীয় সংকীর্ণতা, মৌলবাদ, উগ্রতাই মানুষকে পিছনে টানে। আর ইতিহাস সাক্ষী, সমস্ত দাঙ্গা, অত্যাচার, জোরজুলুমের প্রথম টার্গেট চিরকাল মহিলারা।</t>
  </si>
  <si>
    <t>উইঘুর মুসলমানদের বিরুদ্ধে চীনা নৃশংসতা ও চলমান গণহত্যা তুলে ধরে গাজীপুরে ঘুলজা গণহত্যার ২৬তম বার্ষিকী উপলক্ষে মানববন্ধন ও প্রতিবাদ বিক্ষোভের আয়োজন করে সঞ্চয়ন নাগরিক সমাজ।</t>
  </si>
  <si>
    <t>মুসলমানদের নিপীড়ন হল ধর্মীয় নিপীড়ন যা ইসলাম ধর্মের অনুসারীদের উপর করা হয়। মক্কায় ইসলামের প্রাথমিক দিনগুলিতে , নতুন মুসলমানরা প্রায়শই পৌত্তলিক মক্কানদের (প্রায়শই মুশরিকিন: অবিশ্বাসী বা মুশরিক বলা হয় ) দ্বারা নির্যাতন ও নিপীড়নের শিকার হয়েছিল।</t>
  </si>
  <si>
    <t xml:space="preserve">ধর্ম মানুষের শান্তির জন্য কিন্তু এখন সেটা পলিটিক্সে রূপান্তরিত হয়ে মানুষদের মারতেছে। আমি সেকুলার হলেও এটা মানে উপরওয়ালা ছাড়া আমাদের অস্তিত্ব নেই। </t>
  </si>
  <si>
    <t>পরে ইরান, সৌদি আরব ও ইন্দোনেশিয়ার পররাষ্ট্রমন্ত্রীরা বিলওয়ালের সঙ্গে একমত পোষণ করে বক্তব্য দেন। ইন্দোনেশিয়ার পররাষ্ট্রমন্ত্রী রেতনো মারসুদি বলেন, মত প্রকাশের স্বাধীনতার অপব্যবহার বন্ধ করুন। নীরবতার মানে সম্মতি দেওয়া।</t>
  </si>
  <si>
    <t>ধর্মের শিক্ষা এবং অনুশাসন মানুষকে সঠিক পথে পরিচালিত করে। এটি তাকে জীবনে সঠিক সিদ্ধান্ত গ্রহণে সহায়তা করে, যা তাকে জীবনের দিকে এগিয়ে নিয়ে যায়।</t>
  </si>
  <si>
    <t xml:space="preserve"> দাঙ্গার সময় একাধিক হিন্দু মন্দির এবং অজানা সংখ্যক হিন্দুও নিহত হয়েছিল, যাদের মধ্যে পাঁচজন হিন্দু সাধু (সরস্বতী সহ) বাদে যারা শুরুতেই নিহত হয়েছিল।</t>
  </si>
  <si>
    <t>বগুড়ায় মন্দিরের তালা ভেঙ্গে মূর্তি ভাঙচুর, মালামাল চুরি</t>
  </si>
  <si>
    <t>ধর্মের শ্রেষ্ঠত্ব হাজির বা প্রমাণ করা আর একটি লক্ষণীয় বিষয়। ধর্ম নিয়ে বাড়াবাড়ি প্রায় সব ধর্মের মানুষের মাঝেই দেখা যায়। এক পর্যায়ে আর কোনো ধর্ম থাকবে না, তার ধর্মই বিজয়ী হবে এবং সবাই এক ধর্মে চলে আসবে এ রকম অনেক বক্তব্য, মতামত বিভিন্নভাবে ছড়িয়ে দেওয়া হয়।</t>
  </si>
  <si>
    <t>মুসলিমরা বামে খালায়েক নামক স্থানকে রেখে আবদুল্লাহ গিরিপথ দিয়ে যাত্রা করে। এরপর বামের পথ দিয়ে ইয়ালইয়ালের সমভূমিতে পৌছার পর ইয়ালইয়াল ও দাবুরের সংযোগস্থলে যাত্রাবিরতি করে।</t>
  </si>
  <si>
    <t>আপনি যদি ঈমান দার হতেন তাহলে ভিডিও করতেন না,তাহলে বুঝিয়ে বলতে পারেন।ভিউ পেতে কি না করে মানুষ।</t>
  </si>
  <si>
    <t>বিশ্ব মিডিয়ার কাজ ছিল কি দর্শকের ভূমিকা পালন করা এবং আনন্দ পাওয়া। যখন নিজেদের রক্ষায় ফিলিস্তিন ইসরায়েলের উপর হামলা চালালো, এইবার বিশ্ব মিডিয়া তার খোলস খুলে বের হলো এবং নিউজ করল ফিলিস্তিনের এমন হামলা করা ঠিক হয়নি এবং উভয় দেশকে শান্তির পথ অনুসরণ করার জন্য বিশ্ব নেতাদের আহ্বান।</t>
  </si>
  <si>
    <t>এইসব শুয়োরছানারা ব্যক্তিস্বাধীনতা খুঁজে আবার কেউ ব্যক্তিগত পছন্দে পর্দা করলে, বোরকা পড়লে এদের গাত্রদাহ হবে। কেনরে ভাই! ব্যক্তিস্বাধীনতা মানে কি পশ্চিমাদের মত ল্যাংটা থাকতে হবে!</t>
  </si>
  <si>
    <t>কথার আগা গুড়া কিছু নাই ।পাগলের মতো কথা বলছে।মাথা নষ্ট। ডাক্তার দেখানো দরকার।</t>
  </si>
  <si>
    <t>ফিলিস্তিনি ছিটমহল গাজায় ত্রাণের জন্য অপেক্ষারত ফিলিস্তিনিদের ওপর ইসরাইলি সেনাদের ফের হামলায় অন্তত ২১ জন নিহত হয়েছে। এনিয়ে গাজায় ইসরাইলি আগ্রাসনে নিহত বেড়ে ৩১ হাজার ৩৪১ জনে দাঁড়ালো।</t>
  </si>
  <si>
    <t xml:space="preserve">রাশিয়া সবসময়ই প্রতিটি ধর্মকে শ্রদ্ধা এবং মূল্যায়ন করে। সেই সাথে বাংলাদেশকেও যথেষ্ট কেয়ার করে। </t>
  </si>
  <si>
    <t>সুন্নি ইসলামিক আইনশাস্ত্রের হাম্বলি মাযহাবের ব্যাখ্যা অনুসারে মূলত শরিয়ার উপর ভিত্তি করে। আইনের অধীনে ধর্মের স্বাধীনতা প্রদান করা হয় না।</t>
  </si>
  <si>
    <t>সারাটা জীবন উম্মতের জন্য কষ্ট করে গেছেন তাকে কেউ অপমান করার চেষ্টা করলে আপনার গায়ে লাগে না কেন?আপনার অপমান হয় না কেন?ঘৃণা হয় না কেন?</t>
  </si>
  <si>
    <t> তদন্তে তারা মতিউর রহমান নিজামীকে গণহত্যার মাস্টারমাইন্ডিংয়ের জন্য দোষী বলে মনে করেন। ২০১৬ সালে নিজামিকে দোষী সাব্যস্ত করা হয়েছিল এবং ফাঁসি দিয়ে মৃত্যুদণ্ড কার্যকর করা হয়েছিল।</t>
  </si>
  <si>
    <t>পূজামণ্ডপে পবিত্র কোরআন শরিফ রাখার ঘটনায় ক্ষুব্ধ হয়েছে মুসলিম জনগোষ্ঠী। এখন পুলিশের গণমামলার ভয় একদলের মনে, সেই দলের অব্যাহত আক্রমণের আতঙ্ক অন্য একদলের মনে। সবাই পরাজিত, অবনত, ভীত।</t>
  </si>
  <si>
    <t xml:space="preserve">আপনাদের স্যারকে ফিরিয়ে আনা ছাড়া প্রয়োজনে ক্লাসে বসবেন না ইনশাআল্লাহ। এই অন্যায় আজকে এই শিক্ষকের সাথে হবে তো কাল আপনাদের সাথে হবে! </t>
  </si>
  <si>
    <t>পুলিশ ও আদালত সূত্র জানিয়েছে, গত ২০ সেপ্টেম্বর রাঙ্গামাটি শহরে সাম্প্রদায়িক সহিংসতা ও অনিক চাকমা হত্যা মামলায় খাগড়াছড়ির মানিকছড়ি উপজেলা থেকে বৃহস্পতিবার দিবাগত রাতে এক আসামিকে গ্রেফতার করে কোতোয়ালি থানা পুলিশ।</t>
  </si>
  <si>
    <t>আকাশ ও ভূমিতে যা কিছু রয়েছে, সবই তাঁর। কে আছে এমন, যে সুপারিশ করবে তাঁর কাছে তার অনুমতি ছাড়া? দৃষ্টির সামনে কিংবা পিছনে যা কিছু রয়েছে সে সবই তিনি জানেন।</t>
  </si>
  <si>
    <t>মধ্যপালপাড়া এলাকায় ৮টি বাড়িঘরে হামলা হয়েছে। সেখানে পলাশ দাসের মুদি দোকানের মালপত্র লুট এবং ভাঙচুর করা হয়। ভজন কর্মকারের বাড়িঘর ভাঙচুর ও মন্দিরে প্রতিমা ভাঙা হয়</t>
  </si>
  <si>
    <t> ৬৩২ খ্রিস্টাব্দে বিদায় হজ্জ থেকে ফেরার কয়েক মাস পর তিনি অসুস্থ হয়ে পড়েন এবং মৃত্যুবরণ করেন। তার মৃত্যুর সময়, আরব উপদ্বীপের অধিকাংশ অঞ্চলে ইসলাম প্রতিষ্ঠিত হয়।</t>
  </si>
  <si>
    <t>ঘটনায় মোট ৯ জন মানুষ প্রাণ হারান। ২০১৩ সালের ১৭ জুলাই আন্তর্জাতিক অপরাধ ট্রাইবুনাল গণহত্যায় মুজাহিদের সম্পৃক্ততার জন্য তাকে মৃত্যুদণ্ড প্রদান করে। ২০১৫ সালে সুপ্রীম কোর্টের আপিল বিভাগের চারজন বিচারপতির বেঞ্চ মুজাহিদের সাজা কমিয়ে যাবজ্জীবন কারাদণ্ড প্রদান করে।[</t>
  </si>
  <si>
    <t>ভাবতেও লজ্জা লাগে যে আমাদের এই দেশের ৯৫ % নাকি মুসলিম।</t>
  </si>
  <si>
    <t>এছাড়া এই ঘটনার সূত্র ধরে ১৯৯৩ সাল পর্যন্ত বিভিন্ন মাত্রায় সমগ্র বাংলাদেশ জুড়ে হিন্দুদের উপর বিরামহীন অত্যাচার, নির্যাতন, লুটপাট, হত্যা, ধর্ষণ, অপহরণের মত জঘন্য নিষ্ঠুরতা চালাতে থাকে মুসলিমরা।[২] বিশেষ করে ১৯৯২ সালের পুরোটা সময় ধরে এই বীভৎসতার মাত্রা ছিল বর্ণনাতীত।</t>
  </si>
  <si>
    <t>খোজ নিলে দেখা যাবে এই সাংবাদিকের ঘরের মা বোনই বেশি অবাধ্য। পাপ পূন্যের হিসাব তো যে করার সেই করবে। এই সাংবাদিক তো আর করবে না। ভাইরাল হওয়ার জন্য কি অভিনয়!!!</t>
  </si>
  <si>
    <t>পাঠ্যটি সতীদাহের উৎপত্তি হিসাবে উল্লেখ করা হয়েছিল, বৈচিত্র্যপূর্ণ পাঠের মাধ্যমে কর্তৃপক্ষকে জোর দিয়েছিল যে বিধবা তার মৃত স্বামীর সাথে অন্ত্যেষ্টিতে যোগদান করে বাস্তবে আত্মত্যাগ করে।</t>
  </si>
  <si>
    <t>কি ভাবছেন মুসলিম সমাজ?এই কি আল্লাহর মর্জি, ধর্মপ্রাণ সাধারণ মানুষ আতঙ্কগ্রস্ত হয়ে ভিটামাটি ছাড়ুক,কষ্টে মরুক?</t>
  </si>
  <si>
    <t>হিন্দু ধর্মাবলম্বীদের উপাসনালয়ে আক্রান্ত হবার খবর পাওয়া যাচ্ছে, তবে এটা আমাদের শান্তিকামী মুসলমানদের কোন কাজ নয়। আকাশ থেকে কিছু লোক হঠাৎ করে হামলা করে আবার আকাশে চলে যাচ্ছে।</t>
  </si>
  <si>
    <t>নিউজিল্যান্ডের মসজিদ হামলার পর যুক্তরাষ্ট্রেও মুসলিম বিদ্বেষী কর্মকাণ্ড বৃদ্ধি পায়, বিশেষ করে মসজিদ ও মুসলিমদের লক্ষ্য করে হুমকি ও আক্রমণ ঘটে।</t>
  </si>
  <si>
    <t>প্রত্যক্ষ সংগ্রাম দিবস (১৬ আগস্ট ১৯৪৬), এছাড়াও ১৯৪৬-এর কলকাতা হত্যাকাণ্ড হিসাবে পরিচিত, দেশব্যাপী সাম্প্রদায়িক দাঙ্গার একটি দিন ছিল।[৫] এটি ব্রিটিশ ভারতের বাংলা প্রদেশের কলকাতা শহরে মুসলমান ও হিন্দুদের বৃহত্তর সহিংসতার দিকে পরিচালিত করেছিল।</t>
  </si>
  <si>
    <t>দেশে ইচ্ছে করেই একটা সাম্প্রদায়িক দাঙ্গা বাধানোর জন্যই এগুলা করা হচ্ছে। কারন সামনে ভারতের লোকসভা নির্বাচন।</t>
  </si>
  <si>
    <t>1990 সালের প্রথম দিকে, স্থানীয় উর্দু সংবাদপত্র আফতাব এবং আল সাফা কাশ্মীরিদের ভারতের বিরুদ্ধে জিহাদ করার আহ্বান জানিয়েছিল এবং কাশ্মীরে থাকা বেছে নেওয়া সমস্ত হিন্দুদের বহিষ্কারের আদেশ দেয়। </t>
  </si>
  <si>
    <t>বিশ্ব স্বাস্থ্য সংস্থার রিপোর্ট অনুযায়ী, বিশ্বে প্রতি বছর আত্মহত্যা করেন প্রায় ১০ লাখ মানুষ। সারা বিশ্বে যেসব কারণে মানুষের মৃত্যু ঘটে তার মধ্যে আত্মহত্যা হলো ত্রয়োদশতম প্রধান কারণ।</t>
  </si>
  <si>
    <t>আল্লাহ কুরআনে বলেছেন যে, অন্য ধর্মের প্রতি শ্রদ্ধা এবং ভালোবাসা প্রদর্শন করাও সঠিক বিশ্বাসের একটি অংশ, যা শান্তি ও সমৃদ্ধি আনে।</t>
  </si>
  <si>
    <t>ভাই, উল্টা পাল্টা নিউজ মিডিয়া র কথা শুনে, সত্য তা যাচাই না করে নাচনাচি বন্ধ করুন। বাংলাদেশ একটি সাম্প্রদায়িক সম্প্রীতির দেশ। আর ডি ইউ ও একই আদর্শে বিশ্বাসী। গুজব রটাবেন না।</t>
  </si>
  <si>
    <t>লাইট হাউস সিনেমার পাশের সমস্ত হিন্দু মালিকানাধীন দোকান ভাঙা ও লুঠপাট চলছে।</t>
  </si>
  <si>
    <t>গোপালগঞ্জের বানিয়াচং ক্যাথলিক চার্চে বোমা হামলায় ৯ জন নিহত হন, যা বাংলাদেশে সংখ্যালঘু খ্রিস্টান সম্প্রদায়ের উপর সংঘটিত অন্যতম বড় হামলা।</t>
  </si>
  <si>
    <t>মৃত্যু একটি বিনাশকারী সময়, যা মানুষের অন্তরের শান্তির অনুভুতি উপহার করে। জীবন পরিণতির সময়ে ধর্মীয় বিশ্বাস আপনাকে সহায়ক করতে পারে।</t>
  </si>
  <si>
    <t>চরভদ্রাসন পদ্মার দক্ষিণ তীরে অবস্থিত। এই অঞ্চলটি নদীর তীরবর্তী বালুময়, যা সময়ের সাথে সাথে তার গঠন পরিবর্তন করে। চর শব্দের আভিধানিক অর্থ একটি বালুময় স্থান। এই স্থানের উপর অবস্থিত বৈদ্যডাঙ্গী, মাঝিদাঙ্গী এবং বালাদাঙ্গী গ্রামগুলি কৃষক এবং জেলেদের বর্ণের হিন্দু গ্রাম ছিল।</t>
  </si>
  <si>
    <t>মুজিবনগরে তিন হাজার খ্রিস্টান পরিবার এক মৌলবাদী নেতার হাতে জিম্মি</t>
  </si>
  <si>
    <t>সম্প্রতি বিষু তার শ্বাশুড়িকে মারধোর করলে বিষয়টি নিয়ে দু’পরিবারের লোকজন বিরোধে জড়িয়ে পড়ে। এসময় বিমল দাস মারামারিতে একটি পক্ষের হয়ে অংশ নিয়েছিল। আর প্রতিপক্ষকে শায়েস্তা করতেই রাতের আধাঁরে প্রতিমা ভাংচুর হয়। নাম প্রকাশে অনিচ্ছুক সুত্র আরো জানায়,প্রতীমা ভাংচুরের বিষয়টি একেবারেই পারিবারিক বিভেদ,কোন সাম্প্রদায়িক ঘটনা না।</t>
  </si>
  <si>
    <t>বাংলাদেশে হিন্দু সম্প্রদায়ের উপর হামলা: অস্ট্রেলিয়ার বাংলাদেশি কমিউনিটির ক্ষুব্ধ প্রতিক্রিয়া</t>
  </si>
  <si>
    <t>মতের অমিলকে সহ্য করতে না পারার ফলে ধর্মীয় সংঘর্ষে অনেক পরিবার তাদের আপনজনকে হারিয়েছে, যা গভীর শোকের কারণ হয়েছে।</t>
  </si>
  <si>
    <t>"এটা একেবারে নতুন সংযোজন পশ্চিমবাংলার রাজনীতিতে। প্রত্যক্ষ আর আগ্রাসী ধর্মীয় রাজনীতি আগে কখনও দেখি নি। এটার মূল কিন্তু ভোট ব্যাঙ্কের রাজনীতিতে লুকিয়ে আছে। মুসলমানরা একটা ভোট ব্যাঙ্ক, আবার হিন্দুরা আরেকটা ভোট ব্যাঙ্ক</t>
  </si>
  <si>
    <t>প্রধানমন্ত্রী শেখ হাসিনা বাংলাদেশকে একটি অসম্প্রদায়িক রাষ্ট্র হিসেবে উল্লেখ করে এদেশে কাউকে ধর্ম নিয়ে বাড়াবাড়ি না করার আহ্বান জানিয়ে বলেছেন, তার ছোট ভাই রাসেলের মতো আর কোন শিশুকে যাতে হত্যার শিকার হতে না হয়, সেজন্য তাঁর সরকারের প্রচেষ্টা অব্যাহত থাকবে।</t>
  </si>
  <si>
    <t>১৬ আগষ্ট ভোরে উত্তেজনা শুরু হয় যখন লীগের স্বেচ্ছাসেবকেরা উত্তর কলকাতায় হিন্দু ব্যবসায়ীদের দোকানপাট বন্ধ রাখতে বাধ্য করে এবং হিন্দুরা এর সমুচিত প্রতিশোধ হিসেবে লীগের শোভাযাত্রাসমূহের পথে বাধার সৃষ্টি করে। সরকারি হিসাব মতে এ দাঙ্গায় ৪,০০০ লোক নিহত ও ১,০০,০০০  আহত হয়।</t>
  </si>
  <si>
    <t>পাকিস্তানের তৎকালীন কেন্দ্রীয় যোগাযোগমন্ত্রী আব্দুস সবুর খান ১৯৬০ সালে খুলনা জেলার মাটিখালীর একজন সম্ভ্রান্ত হিন্দু ভূমিধ্যিকারী রূপচাঁদ বিশ্বাসের ৩০ বিঘা জমি জোরপূর্বক দখল করে নেয় এবং সেখানে একটি তিনতলা ভবন নির্মাণ করে।</t>
  </si>
  <si>
    <t>হামলার পর একটি ভিডিও বার্তায় হামলাকারী বলেন, আল্লাহু আকবর। আমার নাম আবদেসালেম আল গিলানি এবং আমি আল্লাহর একজন যোদ্ধা।</t>
  </si>
  <si>
    <t>ধর্মান্তরিতদের চলাচল ছিল মুসলিমদের নিয়ন্ত্রণাধীন।কখনও গ্রামের বাইরে যেতে হলে স্থানীয় মুসলিম নেতাদের অনুমতি নিতে হত ।রামগঞ্জ পুলিশ স্টেশনের অন্তর্গত খালিশপাড়াতে মুসলিমরা ধর্মান্তরিত হিন্দুদের কাছ থেকে জোর করে লিখিত আদায় করে।[৪১]</t>
  </si>
  <si>
    <t>২০১৬ সালের ১ জানুয়ারি থেকে ২৯ ডিসেম্বর পর্যন্ত সারা দেশে ৯৮ জন হিন্দুকে হত্যা করা হয়েছে। হত্যার হুমকি দেয়া হয়েছে এক হাজার ৯ জনকে। হত্যার চেষ্টা করা হয়েছে ১৮ জনকে। ধর্ষণের ঘটনা ঘটেছে ২৬টি।</t>
  </si>
  <si>
    <t>উৎসবের সাথে দুটি বিশ্বাস জড়িত, প্রথম বিশ্বাস হল এই তিথিতে ভগবান শিব জ্যোতির্লিঙ্গ রূপে আবির্ভূত হয়েছিলেন, অন্যদিকে দ্বিতীয় বিশ্বাস হল এই তিথিতে শিব-পার্বতীর বিবাহ হয়েছিল।</t>
  </si>
  <si>
    <t>ইসলাম ঐক্য, ভ্রাতৃত্ব, আন্তরিকতা ও ভালোবাসার শিক্ষা দেয়, যা মানবতার কল্যাণে গুরুত্বপূর্ণ।</t>
  </si>
  <si>
    <t>সর্বশেষ ২৪ ডিসেম্বর দক্ষিণখান থানার পূর্ব আশকোনায় এক বাড়িতে অভিযানে এক নারী জঙ্গি গ্রেনেড ফাটিয়ে আত্মঘাতী হন, নিহত হয় এক কিশোর জঙ্গি।</t>
  </si>
  <si>
    <t>কোরআন অবমাননাকারীদের জন্য দুনিয়া ও আখিরাতে চরম দুর্ভোগ ও ভয়াবহ শাস্তির ঘোষণা দিয়েছেন আল্লাহ তায়ালা। </t>
  </si>
  <si>
    <t>পূজা কী ২০২৩ সালে বিশ্ববিদ্যালয় গুলোতে হয় নি?হয়েছে তো তখন তো কেউ কিছু বলে নি।এখন বলতেছে কারণ পূজা করতে পারলে ইফতারের আয়োজন কেন করতে পারবে না</t>
  </si>
  <si>
    <t>ব্যক্তিগত কঠিন শাস্তি তাকে দেয়া হোক আল্লাহর তরফতা অবশ্যই শাস্তি হবে ইনশাআল্লাহ</t>
  </si>
  <si>
    <t>বাকিতে সিগারেট না দেয়ায় নারকীয় হামলা, ভাঙ্গার ৫ সংখ্যালঘু বাড়িতে ভাঙচুর, লুটপাট, মন্দিরে অগ্নিসংযোগ, মহিলাদের শ্লীলতাহানি, আহত ১০</t>
  </si>
  <si>
    <t>যারা এমন ঘৃন্নতম কাজের সাতে জড়িত তাদের বিচার চাই তাও আবার সঠিক বিচার।</t>
  </si>
  <si>
    <t>মাদ্রাসা আর জেনারেল শিক্ষা প্রতিষ্ঠানের যৌন কেলেঙ্কারির কম্পেয়ার করলে আকাশ-পাতাল ফারাক দেখা যায়। জেনারেলে এর হার অনেক বেশি; কিন্তু গুক্লার[হলুদ] মিডিয়া হাইলাইট করে না জিনিসগুলো।</t>
  </si>
  <si>
    <t> ঢাকা বিশ্ববিদ্যালয়ে যদি ধুমধাম এর সাথে সরস্বতী পূজা উদযাপন করা হতে পারে, তাহলে কোরআন তেলাওয়াতে সমস্যাটা কোথায়?</t>
  </si>
  <si>
    <t>দাঙ্গা কবলিত গ্রামের পর গ্রাম জুড়ে হিন্দুদেরকে জোর করে ইসলামে ধর্মান্তরিত করার মত ঘৃণ্য পাশবিকতায় উন্মত্ত হয়ে ওঠে মুসলিমরা।</t>
  </si>
  <si>
    <t>আত্মহত্যা শুধু একটি জীবনকে শেষ করে দেয় না। বরং একটি পরিবার, সমাজ, রাষ্ট্র এমনকি পুরো মানবজাতিকে হুমকির ভেতর ফেলে দেয়।</t>
  </si>
  <si>
    <t>তিনি ধর্মীয় সূত্র লেখনিগুলোসহ বৌদ্ধ প্রার্থনালয় জ্বালিয়ে দেয়া ছাড়াও অসংখ্য বৌদ্ধ ভিক্ষুকে পাইকারী হারে হত্যা করেন।</t>
  </si>
  <si>
    <t>শুধু ইসলাম নয় কেউ কোন ধর্মকে অবমাননা করলে তাকে শাস্তির আওতায় আনতে হবে। সবাই সবার ধর্মকে শ্রদ্ধা করুক।</t>
  </si>
  <si>
    <t>চট্টগ্রামের লোহাগাড়া উপজেলার চরম্বা ইউনিয়ন বিবিবিলা শান্তি বিহারে হামলার ঘটনা ঘটেছে। হামলায় বিহারের একটি মূর্তি, সীমানা প্রাচীর ও জানালা-দরজা ভাঙচুর করা হয়েছে।</t>
  </si>
  <si>
    <t>আত্মহত্যা বা আত্মহনন হচ্ছে কোনো ব্যক্তি কর্তৃক ইচ্ছাকৃতভাবে নিজের জীবন বিসর্জন দেওয়া। সম্প্রতি ফেসবুক লাইভে এসে আত্মহত্যা করেন ব্যবসায়ী মহসিন খান।</t>
  </si>
  <si>
    <t>তীব্র নিন্দা জানাই সুইডেনের প্রেসিডেন্ট কে ও প্রশাসনকে আর এর সাথে ধন্যবাদ জানাই পুতিন প্রেসিডেন্ট কে মহান আল্লাহ তা'আলা যেন উনাকে হাজার বছর বাঁচিয়ে রাখুক</t>
  </si>
  <si>
    <t>হে আল্লাহ আপনি আপনার পবিত্র কোরআনকে রক্ষা করেন এবং এই নাস্তিকদের ওপরে গজব নাজিল করেন।</t>
  </si>
  <si>
    <t>তানজিম সাকিব কোথাও নিজেকে ধর্ম প্রচারক দাবী করছে? নাকি নিজেকে কোন ধর্মীয় গুরু হিসেবে পরিচয় দিয়েছে? কিংবা কারো উপর কোনো কিছু জোর করে চাপিয়ে দিয়েছে?</t>
  </si>
  <si>
    <t>পৃথীবি ও চন্দ্র সুর্য সহ সব গ্রহের ভিতরে এবং বাহিরে যা কিছু আছে সব কোরআনে নিখুঁত ভাবে বর্ণানা আছে।</t>
  </si>
  <si>
    <t>একটি ইসলামিক সেন্টারের বাইরে দাঁড়িয়ে থাকা ব্যক্তিদের উপর শারীরিক আক্রমণ চালানো হয়, এতে কয়েকজন মুসলমান আহত হন। ঘটনাটি ২০২১ সালে কানাডায় সংঘটিত।</t>
  </si>
  <si>
    <t>আপনার ধর্মে কি কোনো ভালো দিক নেই যা অন্য ধর্মে আছে? আপনার ধর্ম কি অন্যায় কাজ করার অনুমতি দেয়?</t>
  </si>
  <si>
    <t>বটতলায় কবিতা-কনসার্ট করা যাবে, কিন্তু একই বটতলায় আবার কুরআন তেলাওয়াত করলে আপনাদের গা জ্বলবে কেন?</t>
  </si>
  <si>
    <t>পবিত্র কোরআন শরীফ অবমাননার প্রতিবাদে বিক্ষোভকারীদের সাথে আইন-শৃংখলা রক্ষাকারী বাহিনীর সংঘর্ষ |</t>
  </si>
  <si>
    <t>আমরা মুসলিম ইন্ডিয়ান হয় বা বাংলাদেশি আমরা ভাই ভাই</t>
  </si>
  <si>
    <t>১৯৭০ সালে মহারাষ্ট্রের ভিওয়ান্ডিতে হিন্দু-মুসলিম সংঘর্ষে শতাধিক মানুষ নিহত হন।</t>
  </si>
  <si>
    <t>সতীদাহ বা সুত্তি হচ্ছে হিন্দু বিধবা নারীদের স্বামীর অন্ত্যেষ্টি চিতায় আত্মাহুতি দেওয়ার মাধ্যমে সহমরণের ঐতিহাসিক প্রথা।</t>
  </si>
  <si>
    <t>যুদ্ধ শেষ হওয়ার পর গণহত্যার স্থানটি গ্রামবাসীরা চিহ্নিত করে। কিন্তু অদ্যাবধি বধ্যভূমিতে কোনো স্মৃতিচিহ্ন স্থাপন করা হয়নি কিংবা গণহত্যার শিকার ব্যক্তিদের নাম খুঁজে বের করা হয়নি।</t>
  </si>
  <si>
    <t>বুয়েনোস আইরেসের ইহুদি সম্প্রদায়ের কেন্দ্র (AMIA) বোমা হামলায় ৮৫ জন নিহত হয়।</t>
  </si>
  <si>
    <t>২০২০ সালে নরওয়েতে ইসলাম বিরোধী গোষ্ঠীগুলো প্রকাশ্যে কোরআন পোড়ানোর মতো উসকানিমূলক কর্মকাণ্ড পরিচালনা করে।</t>
  </si>
  <si>
    <t>মাধুরাই এবং কাঁঠালখই এলাকার হিন্দুদেরকেও প্রহার করা হয় এবং তারা জোরপূর্বক ধর্মান্তরকরণের শিকার হয়। গোলাপগঞ্জ পুলিশস্টেশনের ফুলসাইন গ্রামের বৈকুণ্ঠ রায় এবং রাসবিহারী রায়ের বাড়িও লুট হয়।</t>
  </si>
  <si>
    <t>মুসলমানরা ঈদুল ফিতর, ঈদুল আযহা, মুহররম, মিলাদ উন নবী, শব -ই- বরাত ও চাদ রাত সারা দেশে উদ্‌যাপন করে। </t>
  </si>
  <si>
    <t>কিন্তু ইসলাম ধর্ম নিয়ে কাজ করেন এমন বিশেষজ্ঞরা বলেন, ইসলামে নারীকে পুরুষের অধস্তন করা হয়নি। সম্পত্তির উত্তরাধিকার এবং নিজের সম্পর্কে সিদ্ধান্ত নেয়ার অধিকার থেকে নারীকে বঞ্চিত করা হয়নি।</t>
  </si>
  <si>
    <t>ব্রাদ্ধ হরিত ঘোষণা করেন যে বৌদ্ধ মন্দিরে প্রবেশ করাই পাপ, যা কেবল আচারিক স্নানের মাধ্যমে স্খলিত হতে পারে। এমনকি সাধারণ জনগণের জন্যে লেখা নাটিকা কিংবা পুথিগুলোতেও ব্রাহ্মণ পুরোহিতেরা বুদ্ধের বিরুদ্ধে ঘৃণার অর্গল ছড়িয়েছেন।</t>
  </si>
  <si>
    <t>যেহেতু এই সাম্প্রদায়িক হানাহানির সাথে রাজনীতি জড়িত সুতরাং ধর্ম নিয়ে রাজনীতি যতদিন এদেশে থাকবে ততদিন এই সমস্যার সমাধান হবে না। তবে সরকার জানাসত্বেও পর্যাপ্ত নিরাপত্তা ব্যবস্থা নেয়নি এটা হয়তোবা তাদের রাজনৈতিক ফায়দা নেয়ার চেষ্টা হতে পারে।</t>
  </si>
  <si>
    <t>ভাইরে ভাই সামান্য কমেন্ট সেকশানে কিছু মানুষ চঞ্চল চৌধুরীর ধর্ম জানতে চাওয়ায় মিডিয়া আর ফেসবুকে তথাকথিত সুশীলরা যে অবস্থা শুরু করসেন!</t>
  </si>
  <si>
    <t>ধর্মে মৃত যেনো অসন্মানিত না হয়- এমন বলা থাকলেও অতি ধর্মপ্রানেরা নিয়ন্ত্রণ রাখতে পারেননা। অতএব যিনি শিল্পী তাঁর জন্য জীবিত ও মৃত উভয়কালে অসন্মানিত হওয়ার সুবন্দোবস্ত রয়েছে</t>
  </si>
  <si>
    <t>১৮ মার্চ র‍্যাবের মহাপরিচালক শাল্লায় উপস্থিত হয়ে অপরাধীদেরকে উপযুক্ত সাজার আওতায় আনার আশ্বাস দেন।[১৩] বিশিষ্ট ব্যক্তিবর্গ, এবং বিভিন্ন সংস্থা গুলো এক যুক্ত বিবৃতিতে ধর্মান্ধদের হামলার নিন্দা ও ক্ষতিগ্রস্তদের নিরাপত্তা নিশ্চিত করার দাবী জানান হয়। </t>
  </si>
  <si>
    <t>গাজিয়াবাদ জেলার মুরাদ নগরের নিকটে, উপকণ্ঠে নিয়ে যায়, যেখানে তাদের গুলি করা হয়েছিল এবং তাদের মৃতদেহ জলের খালে ফেলে দেওয়া হয়েছিল। কিছু দিন পরে খালগুলিতে লাশগুলি ভাসমান অবস্থায় পাওয়া গেল। </t>
  </si>
  <si>
    <t>বর্তমান সরকারের আমলে হিন্দু সম্প্রদায়ের মানুষ ইসলাম ধর্মের প্রতি যে পরিবর্তন লক্ষ্য করেছেন, তা আগের সময়ের তুলনায় ভিন্নধর্মী অভিজ্ঞতা সৃষ্টি করেছে।</t>
  </si>
  <si>
    <t>তাও আবার প্রধানমন্ত্রীর নির্দেশে, এই আওয়ামী সরকার সব সময়ে সাম্প্রদায়িক ভাবে উস্কে দিয়ে নিরবে বসে থাকে। হিন্দু মুসলিম দাঙ্গা বাঁধলে তারা ফায়দা নিতে পারে।</t>
  </si>
  <si>
    <t>সুইডেনে প্রকাশ্যে মুসলিম নারীদের মাথার স্কার্ফ টেনে ছিঁড়ে ফেলা হয় এবং তাদের শারীরিকভাবে লাঞ্ছিত করা হয়।</t>
  </si>
  <si>
    <t>অনেক ভয় ছিল যে কখনো জান্নাতে যেতে পারব কিনা, আপনার ভিডিও শুনে অনেক কনফিডেন্স বেড়ে গেছে আলহামদুলিল্লাহ।</t>
  </si>
  <si>
    <t>মরিয়ম নওয়াজ প্রথম থেকেই পাকিস্তানের প্রাক্তন প্রধানমন্ত্রী প্রসঙ্গে বিতর্কিত মন্তব্য করে থাকেন। ইমরান খান যে সকল নীতি প্রয়োগ করেছিলেন, তা আমাদের দেশের জন্য হিতে বিপরীত হয়েছে।”</t>
  </si>
  <si>
    <t xml:space="preserve">গতকাল ছিল ১৬ই আগস্ট। ৭৮ বছর আগের ইতিহাস। অধিকাংশ হিন্দু হয়তো জানলোই না দিনটির প্রাসঙ্গিকতা বর্তমান প্রজন্মের কাছে। তাই কফিনে বন্ধ এই ইতিহাসের পুনর্মূল্যায়ন একান্ত প্রয়োজন। মুসলিম লীগ ও বামপন্থীদের যৌথ উদ্যোগে খোদ কলকাতার রাজপথ রক্তাক্ত হয়ে উঠেছিল। </t>
  </si>
  <si>
    <t>১৮১৫ থেকে ১৮১৮ পর্যন্ত সতীদাহের মৃত্যু দ্বিগুণ হয়েছে। রামমোহন রায় সতীদাহের উপর আক্রমণ শুরু করেছিলেন যা "এমন ক্রোধ জাগিয়েছিল যে কিছুক্ষণের জন্য তার জীবন বিপদে পড়েছিল"।</t>
  </si>
  <si>
    <t>সবচেয়ে বেশি আঘাত হেনেছে হিন্দু সম্প্রদায়ের সদস্যদের যারা তাদের জমি ও দোকান লুণ্ঠন করা হয়েছে, পরিকল্পিতভাবে হত্যা করা হয়েছে, এবং কিছু জায়গায়, "H" চিহ্নিত হলুদ প্যাচ দিয়ে আঁকা। এই সবই ইসলামাবাদ থেকে সামরিক আইনের অধীনে সরকারীভাবে অনুমোদিত, আদেশ এবং প্রয়োগ করা হয়েছে</t>
  </si>
  <si>
    <t>সুইজারল্যান্ডে একদল উগ্রপন্থী মুসলিমদের একটি মসজিদে হামলা চালিয়ে জানালা-দরজা ভেঙে দেয় এবং ধর্মীয় গ্রন্থ অবমাননা করে।</t>
  </si>
  <si>
    <t>এই পদক্ষেপ এই রমজানের সবচেয়ে জঘন্য নিকৃষ্টতর ধৃষ্টতা,,,, বিশ্ববিদ্যালয়কি ইজরাইলের অধিনে পরিচালিত হয়?</t>
  </si>
  <si>
    <t>আপনার পন্ডিত রা সনাতন ধর্মেকে উন্মুক্ত করেদিন যাতে সবাই বুঝতে পারে,, সাধারণ লোককে সত্য জানতে দিতেন না আগে,,আপনারাই সতীদাহ প্রথার ব্যপারেও কত বড় জুলুম করতেন,,</t>
  </si>
  <si>
    <t>আমি অত্যন্ত দুঃখের সাথে জানাচ্ছি, আমি সহ আমার প্রতিষ্ঠান লাইফস্প্রিং এর মোট ৪ জন কন্সালট্যান্ট, ব্যক্তিগত ধর্মবিশ্বাসের জন্যে বেশ কয়েকটি কুচক্রী মহলের ক্রোধের শিকার।</t>
  </si>
  <si>
    <t>মানবতা আজ হারিয়ে গেছে মুসলিম বিশ্ব ঘুমিয়ে আছে,ঘুমাও তোমরা তোমাদের জাগার দরকার নেই, আল্লাহ আপনি হেফাজত করুন আপনি ছাড়া আমাদের কেও নেই আল্লাহ ফিলিস্তিনিদের রক্ষা করুন</t>
  </si>
  <si>
    <t>আসলে ধর্ম সম্পর্কে মানুষের যে ধারণা তৈরি হয়েছে সেটি সম্পূর্ণ ভ্রান্ত। যার ফলে এত সমস্যার সৃষ্টি ধর্ম বিষয়টা ঠিক এরকম নয়। আমরা এখন পর্যন্ত পৃথিবীর যত ধর্ম দেখছি।</t>
  </si>
  <si>
    <t>হতাশা থেকেই মানুষ জীবনের প্রতি বিতৃষ্ণ হয়ে ওঠে। অধৈর্য হয়ে নিজের মৃত্যু কামনা করে থাকে। নবীজি সাল্লাল্লাহু আলাইহি ওয়াসাল্লাম তার উম্মতকে জীবন থেকে নিরাশ হতে এবং মৃত্যু কামনা করতে স্পষ্ট নিষেধ করেছেন।</t>
  </si>
  <si>
    <t>৫ মার্চ দুর্বৃত্তরা উজিরপুর উপজেলার গুথিয়া ইউনিয়নের গুথিয়া সর্বজনীন কালী মন্দিরে আগুন দেওয়ার চেষ্টা করে। ৫ মার্চের প্রথম দিকে ভোলা জেলার বোরহানউদ্দিন উপজেলার অধীন পাকশিয়া ইউনিয়নে একটি কালী মন্দির ভাঙচুর করা হয়।</t>
  </si>
  <si>
    <t>দেশটির চরমপন্থী মুসলিম গোষ্ঠীগুলো আহমদিয়া মুসলিম সম্প্রদায়ের উপর হামলা চালিয়ে বেশ কয়েকজনকে হত্যা করে।</t>
  </si>
  <si>
    <t>পাকিস্তানের কাছ থেকে স্বাধীনতা পেলেও ভারতের কাছ থেকে আমরা স্বাধীনতা পাইনি।</t>
  </si>
  <si>
    <t>ইহুদী ও ইসলাম ধর্ম ব্যাপকভাবে সাদৃশ্যপূর্ণ। মূলত যীশু খ্রিষ্ট ও মুহাম্মদ (সাঃ)কে নবী হিসেবে আলাদাভাবে দেখে, যার কারণে ইহুদীরা মুসলিম সাদৃশ্য হয়েও মুসলিম নয়।</t>
  </si>
  <si>
    <t>যারা ইসলাম নিয়ে কটুকথা বলে তাদের গর্দান কেটে দেওয়া গুনাহের কাজ নয়..</t>
  </si>
  <si>
    <t>১ আগস্ট, পিরোজপুর সদর উপজেলার কাথুলিয়া এলাকায় শীতলা মন্দিরে একটি প্রতিমা ভাঙচুর করার অভিযোগে ৪ কিশোরকে আটক করেছে পুলিশ। তাদের সবার বয়স ১২ থেকে ১৭ বছর।</t>
  </si>
  <si>
    <t>২০ জুলাই আবারো মুসলমানদের পবিত্র ধর্মগ্রন্থ কুরআন পোড়ানোর অনুমতি দেওয়ায় ইরাকের প্রধানমন্ত্রী অবিলম্বে বাগদাদে নিযুক্ত সুইডিশ রাষ্ট্রদূতকে ইরাক ছাড়ার নির্দেশ দিয়েছেন। পাশাপাশি স্টকহোমে নিযুক্ত ইরাকি রাষ্ট্রদূতকেও দেশে ডেকে পাঠান তিনি। </t>
  </si>
  <si>
    <t>উইসকনসিনের একটি শিখ গুরদোয়ারে এক শ্বেতাঙ্গ শ্রেষ্ঠত্ববাদী বন্দুকধারী হামলা চালিয়ে ছয়জনকে হত্যা করে, যা ধর্মীয় বিদ্বেষ থেকে উৎসারিত সহিংসতার উদাহরণ।</t>
  </si>
  <si>
    <t>কটা মেয়ে সিগারেট খেতে পারবে না কোন আইনে আছে। সৌদিআরবে ৭০'/. মেয়ে সিগারেট খায়। আইছে সব হুজুরের বংশের লোক।</t>
  </si>
  <si>
    <t>ব্রিটিশ মুসলিম ধর্ম প্রচারক আনজেম চৌধুরীর বিরুদ্ধে তিনটি অপরাধের অভিযোগ আনা হয়েছে বলে সোমবার পুলিশ জানিয়েছে। তিনি গত সপ্তাহে লন্ডনে গ্রেপ্তার হয়েছিলেন। সোমবার তাকে লন্ডনের আদালতে হাজির করা হবে।</t>
  </si>
  <si>
    <t>২০২১ সালেও এই মন্দিরে প্রতিমা ভাঙচুর হয়েছিল বলে জানিয়েছেন স্থানীয়রা। ঘটনার নিন্দা করেছে সেদেশের হিন্দু বৌদ্ধ খ্রীস্টান ঐক্য পরিষদ।</t>
  </si>
  <si>
    <t>বৃটিশদের ডিভাইড এন্ড রুল পলিসির নেপথ্য ক‚টচালে ভারতে হিন্দু-মুসলিম বিদ্বেষ ও দাঙ্গার সূত্রপাত হলেও সাতচল্লিশের স্বাধীনতাত্তোর সংবিধান সব নাগরিকের সম অধিকারের নিশ্চয়তা দিয়েছে।</t>
  </si>
  <si>
    <t>আমার কেমন মুসলিম ভাই এক ভাই কে মারছে আর ভাই থাকিয়ে থাকছে।আজ আমার কোথায়। আল্লাহ তুমি এদের বিচার করো।</t>
  </si>
  <si>
    <t>যারা আল্লাহর আদেশ মেনে চলে, তারা দুনিয়া এবং আখিরাতে সফলতা অর্জন করে, কারণ আল্লাহ তাদের জন্য সঠিক পথ নির্দেশনা দেন।</t>
  </si>
  <si>
    <t>হিন্দু মুসলিম একসাথে শান্তিপূর্ণভাবে বসবাস করলে সমাজে একে অপরের সংস্কৃতি এবং ধর্মীয় বিশ্বাসের প্রতি শ্রদ্ধা এবং সমঝোতা প্রতিষ্ঠিত হয়, যা শান্তি ও সৌহার্দ্যকে উৎসাহিত করে।</t>
  </si>
  <si>
    <t>যশোর পূজা উদযাপন পরিষদের নেতাকে মারধর</t>
  </si>
  <si>
    <t xml:space="preserve">নবীজীর কথার উপরেরও আমল হবে: বিধর্মীদের সাথে বৈসাদৃশ্য অবলম্বন করো। </t>
  </si>
  <si>
    <t xml:space="preserve">দোভাষীর নাম ধর্ম নয়, ধর্ম হলো পরিপূর্ণ মেনে জীবন কে অতিবাহিত করা। </t>
  </si>
  <si>
    <t>যে যেভাবে মৃত্যু বরণ করবে কিয়ামত পযন্ত তার সেই আযাব হতে থাকবে !</t>
  </si>
  <si>
    <t>নিশ্চয়ই যারা আল্লাহ ও তাঁর রাসুলকে কষ্ট দেয়, আল্লাহ তাদের দুনিয়া ও আখিরাতে লানত করেন এবং তিনি তাদের জন্য প্রস্তুত রেখেছেন লাঞ্ছনাদায়ক শাস্তি।</t>
  </si>
  <si>
    <t>ফেসবুকে ধর্মীয় অবমাননাকর মন্তব্য করার জেরে রংপুরের পীরগঞ্জ উপজেলার রামনাথপুর ইউনিয়নের বড় করিমপুর কসবা হিন্দু জেলে পল্লীতে হামলা-অগ্নিসংযোগ ও লুটপাটের ঘটনা ঘটে। ওই সময় আগুনে ৩৯টি পরিবারের বসতঘর সম্পূর্ণ পুড়ে যায় এবং ভাঙচুর ও লুটপাটের ঘটনা ঘটে।</t>
  </si>
  <si>
    <t>আমার ধর্ম আমার কাছে সেরা।</t>
  </si>
  <si>
    <t>পৃথিবীতে হিন্দুধর্মই একমাত্র ধর্ম যে ধর্ম অন্য কোনো ধর্মকে অপমান বা অশ্রদ্ধা করেনা। কারণ আপনাদের ধর্ম আপনাদের ইসলাম ধর্মের মতো ভালো শিক্ষা দেয়।</t>
  </si>
  <si>
    <t>কোরআন শরিফ আমরা মুসলমানের জীবন কোরআন শরিফে আগুন দেওয়া মানে আমাদের গায়ে আগুন দেওয়া। আমারা সুইডেন কে নিন্দা জানাই</t>
  </si>
  <si>
    <t>বাংলাদেশে ইদানীংকালে বিভিন্ন হত্যা এবং আক্রমণের পর ধর্মের বিষয়টিকে সামনে এসেছে। সামাজিক যোগাযোগ মাধ্যমেও দেখা যাচ্ছে ধর্মকে ব্যবহার করে প্রতিপক্ষকে ঘায়েল করার চেষ্টা হচ্ছে।</t>
  </si>
  <si>
    <t>আমি চঞ্চল চৌধুরীকে পছন্দ করি তার অভিনয়ের মাধ্যমে,সে হিন্দু কি মুসলিম তা বিবেচনা করে নয়।</t>
  </si>
  <si>
    <t>কান্তজিও/ কান্তজির/ কান্তনগর মন্দিরের জমিতে ছলছাতুরি করে মসজিদ নির্মাণের চেষ্টা করা সংখ্যালঘুদের ধর্মীয় অনুভুতিতে আঘাত দেয়া এবং ধর্ম নিয়ে বাড়া বাড়ি করার প্রদর্শনী ছাড়াও স্থানীয় হিন্দু - মুসলিমের দাঙ্গা সৃষ্টি করার এক অজানা ভবিষ্যৎ পরিকল্পনা।</t>
  </si>
  <si>
    <t>ক্রুসেড যুদ্ধের সময় খ্রিস্টান ও মুসলিম বাহিনীর সংঘর্ষে লক্ষাধিক মানুষ প্রাণ হারায়, যা ধর্মের নামে পরিচালিত অন্যতম রক্তক্ষয়ী যুদ্ধ।</t>
  </si>
  <si>
    <t>দেশের যত মন্দিরে হামলা ও প্রতিমা ভাঙচুরের ঘটনা ঘটেছে, সেসব হয়েছে বিএনপির আন্দোলন সংগ্রামকে অন্যদিকে নেওয়ার জন্য, বিএনপির নেতাকর্মীদের নামে মামলা দেওয়ার জন্য।</t>
  </si>
  <si>
    <t>অভিমান আর বিষণ্ণতা থেকে আত্মহত্যা করলেন সংগীত শিল্পী সাদী মহম্মদ</t>
  </si>
  <si>
    <t>এটা হচ্ছে বনু দামরার জন্য আল্লাহর রাসুল মুহাম্মাদ এর দলিল। এই গোত্রের লোকেরা তাদের জীবন ও সম্পদের নিরাপত্তা লাভ করবে। যতক্ষণ না তারা আল্লাহর দ্বীনের বিরুদ্ধে বিরোধী কাজে লিপ্ত না হয় ততক্ষণ তারা শান্তিপূর্ণভাবে তাদের জীবন অতিবাহিত করবে।</t>
  </si>
  <si>
    <t>আল্লাহ তা'আলা আমাদের সকল মুসলমান ভাই-বোনদেরকে হেফাজত করুন এবং সেই সাথে সঠিক পথে চলার তাওফিক দিন, আমিন। এবং সেই সাথে কুরআন শরিফ নিয়ে যে বা যারা পুড়িয়েছে, আল্লাহ তাদেরকে ধ্বংস করে দিন, আমিন।</t>
  </si>
  <si>
    <t>সবার মূল সমস্যাটা আসলেই ইসলামের মধ্যে।।। মাঝে মাঝে এগুলা দেখলে খুব খুব খারাপ লাগে।।। সত্যি কি আমি একটা মুসলিম দেশে বাস করি??</t>
  </si>
  <si>
    <t xml:space="preserve">এই বয়সে এদের ধর্মান্তরিত হওয়া,সাধু হওয়া,গৃহত্যাগী হওয়ার বেরাম দেখা দেয়। কঠিন মাইরের উপর রাখলে দেখবেন সাধুগীরি ছুটে যাবে। </t>
  </si>
  <si>
    <t xml:space="preserve">আমার খুব খারাপ লাগে জখন দেখি কখোনও মসজিদের টাইস এ মুর্তি ছবি আবার কখোনও কুরানের পথম কাবারে মুর্তি ছবি আবারো দেখা জায় জে মুর্তির পায়ে কুরান এটা খুব দুঃখজনক </t>
  </si>
  <si>
    <t xml:space="preserve">মানুষ হিসেবে সবার একটি ধর্ম থাকে, সংস্কৃতিও থাকে; থাকে ইতিহাস ও ঐতিহ্য। সব মানুষের একটা ধর্ম থাকে। তিনি যে ধর্মেই অনুসরণ-অনুকরণ করেন, সেটা তার ধর্ম। </t>
  </si>
  <si>
    <t>হুম আন্টি , তালিবানদের জয় হয়েছে এবং ভবিষ্যতেও হবে ইন শা আল্লাহ। আপনারা নারীবাদীরা প্রস্তুতি নিয়ে রাখবেন.....</t>
  </si>
  <si>
    <t xml:space="preserve">সাম্প্রদায়িক সম্প্রীতি ও ভালোবাসার বন্ধনে আবদ্ধ বাংলাদেশের মানুষের মাঝে ইদানিং বিবাদ সৃষ্টির জন্য বিভিন্ন স্বার্থান্বেষী ব্যক্তি বা মহল চেষ্টা চালিয়ে যাচ্ছে । </t>
  </si>
  <si>
    <t>দুঃখজনকভাবে এই প্রবণতা অব্যাহত রয়েছে; বাংলাদেশে ইসলামপন্থী দলগুলি, বাঙালি হিন্দু গণহত্যার 50 তম বার্ষিকীর কাছাকাছি, 80 টি বাড়ি সহ বেশ কয়েকটি হিন্দু মন্দিরে আগুন লাগিয়ে এবং ভাংচুর করে।</t>
  </si>
  <si>
    <t>আপনার মনোভাব পরিষ্কারভাবে জানানো হয়েছে। অন্যের কথার ভিত্তিতে কোনো সিদ্ধান্ত না নিয়ে, সত্য-মিথ্যা যাচাই করার পরই কোন বিষয়ে মন্তব্য বা সিদ্ধান্ত নেওয়া উচিত। এটা সবসময় একে অপরকে সম্মান করার একটি ভালো পদ্ধতি।</t>
  </si>
  <si>
    <t>ইসলামী অনুশাসনের অন্যতম গুরুত্বপূর্ণ উৎস হলো হাদিস সংকলন, যেখানে নবী মুহাম্মাদের মৌখিক এবং আচরণগত শিক্ষা ও রীতিনীতির বিবরণ পাওয়া যায়।</t>
  </si>
  <si>
    <t>যীশু খ্রিস্টের জীবন ও শিক্ষা আমাদের শেখায় যে, ঈশ্বরের প্রতি অবিচল বিশ্বাস ও প্রেম আমাদের জীবনের প্রকৃত শান্তি এনে দেয়, এবং আমরা একে অপরের প্রতি সদয় এবং সহানুভূতিশীল হতে পারি, যাতে আমাদের সমাজে ভালোবাসা ও শান্তি স্থাপন হয়।</t>
  </si>
  <si>
    <t>মানব সমাজের আদলে তৈরি করা একটি সফটওয়্যার নিয়ে পরীক্ষানিরীক্ষা চলছে যে, সেটি ধর্মীয় সহিংসতা বন্ধ করতে সহায়তা করতে পারে কিনা।</t>
  </si>
  <si>
    <t xml:space="preserve">নাস্তিকদের অপব্যাখার খন্ডন করা হলো এবং ইসলামে যে দাসপ্রথা নেই, তা প্রমাণিত হলো। </t>
  </si>
  <si>
    <t>মুসলমানরা দেশের প্রধান সম্প্রদায় এবং তারা বাংলাদেশের ৮ টি বিভাগে সংখ্যাগরিষ্ঠ্য অবস্থানে আছে। বাংলাদেশের মুসলমানদের ৮৮ ভাগ বাঙালি মুসলমান এবং ২ ভাগ বিহারি মুসলমান। </t>
  </si>
  <si>
    <t>বাবরি মসজিদ (অনু. বাবরের মসজিদ) ভারতের উত্তরপ্রদেশের ফৈজাবাদ জেলার অযোধ্যা শহরের রামকোট পাহাড়ে অবস্থিত ছিল। যা হিন্দুধর্মের প্রধান দেবতা রামের অনুকল্পিত জন্মভূমি রাম জন্মভূমিতে নির্মিত হয়েছিল বলে মনে করা হয়। </t>
  </si>
  <si>
    <t>কান্ধামাল সহিংসতার ঐতিহাসিক প্রেক্ষাপট হল হিন্দুত্বের আদর্শের প্রসার... ২০০২ সালের গুজরাট গণহত্যার পর অপেক্ষার সময়কালে উড়িষ্যায় খ্রিস্টান সংখ্যালঘুদের উপর পরিকল্পিত আক্রমণ ছিল একটি ট্র্যাজেডি। এই হামলায় ২০০০ জনেরও বেশি মুসলিম নিহত এবং সম্প্রদায়টি ধ্বংস হয়ে যায়।</t>
  </si>
  <si>
    <t>বাংলাদেশে ধর্ম অবমাননার গুজবে সহিংসতা, সরকার পরিস্থিতিকে যেভাবে দেখছে</t>
  </si>
  <si>
    <t>মুসলিম শাসকেরা বৌদ্ধদের প্রতি এতটাই উদার ব্যবহার করেছিলেন ফলে পাইকারী হারে বৌদ্ধরা ইসলাম ধর্ম গ্রহণ করতে থাকে। পণ্ডিত হরপ্রসাদ শাস্ত্রী লিখেছেন, ‘বাংলার অর্ধেক বৌদ্ধ মুসলমান হইয়া গেলো।</t>
  </si>
  <si>
    <t>আচ্ছা, প্রাচীন কালে হিন্দু ধর্মে মূর্তি পূজা আবিষ্কার বা শুরু হওয়ায় আগে, বিভিন্ন দেব দেবীকে যন্ত্র এঁকে তাদের উপাসনা ও পুজা করা হতো , এই বিষয়ে একটি ডিটেইল podcast চাই।</t>
  </si>
  <si>
    <t> হাজার হাজার উগ্র মুসলিম বিশেষ করে বিহারীরা ভয়ঙ্কর সব মারণাস্ত্র হাতে নিয়ে এই উস্কানিমূলক বক্তব্য শ্রবণ করে। সবুর খান এই সুযোগে হিন্দু বিদ্বেষী এবং ভারত বিরোধী জ্বালাময়ী ভাষণ প্রদান করে।তৎক্ষণাৎ সেই সমাবেশ থেকে প্রায় ২০,০০০ মুসলিম জনতা সেনহাটি (দিঘলিয়া উপজেলা),</t>
  </si>
  <si>
    <t>হিন্দুদেরকে ক্রমাগত খুন করে যেতে হবে এবং তাদের সংখ্যা কমাতে হবে।</t>
  </si>
  <si>
    <t>তিনি ঢাকার নবাবপুর, সদরঘাট, পাটুয়াটুলি, ইসলামপুর, দিগবাজার, ইংলিশ রোড, বংশাল এবং চকবাজার ঘুরে দেখেন।[২০] ১২ ফেব্রুয়ারি তারিখে ভারতগামী ৬০ জন যাত্রীকে কুর্মিটোলা বিমানবন্দরে আক্রমণ করে মুসলিমরা।[১৮]তেজগাঁও বিমানবন্দরে আসা প্রত্যেক অমুসলিম যাত্রীকে ছুরি দিয়ে কোপানো হয়।[২১]</t>
  </si>
  <si>
    <t>কোরআনকে ভালোবাসেন এবং বাংলা তরজমা সহ পড়ার চেষ্টা করেন। বড়ো বড়ো আলেমদের লেকচার কান পেতে শোনেন, এরপর শবেবরাত কি ও কেন জানুন।</t>
  </si>
  <si>
    <t xml:space="preserve"> মুসলিমদের বিরুদ্ধে হিন্দুদের হামলা বেড়ে চলে গেছে</t>
  </si>
  <si>
    <t>ধর্মের প্রতি অবমাননা আমাদের মানবিকতার একটি নিখুঁত হানি। ধর্মের নামে সমাজের মধ্যে অপমান, বিভ্রান্তি এবং অস্তিত্ব সংকট নিয়ে আসতে দেখেছি।</t>
  </si>
  <si>
    <t>৩১ জুলাই রাত ৮.৩০টার দিকে ঝিনাইদহের শৈলকুপা উপজেলার কামারিয়া গ্রামে আট হিন্দু বাড়িতে হামলা ও লুটপাট চালানো হয়। এ ঘটনায় আহত হয়েছেন নারীসহ কমপক্ষে ১৫ জন হিন্দু ধর্মালম্বী।</t>
  </si>
  <si>
    <t>ইসলামের সকল ভিজিবল প্রকাশ্য দৃশ্যমান চিহ্নকে ধারণ করুন। যারা যেটুকু ধারণ করতেন, তার থেকে বাড়িয়ে দিন। নবীজীর কথার উপরেরও আমল হবে: বিধর্মীদের সাথে বৈসাদৃশ্য অবলম্বন করো।</t>
  </si>
  <si>
    <t>২০১২ সালের রামু সহিংসতা বলতে বোঝায়, বাংলাদেশের কক্সবাজার জেলার রামু উপজেলায়[১] স্থানীয় জনতা কর্তৃক ২০১২ সালের ২৯শে সেপ্টেম্বর মধ্যরাতে বৌদ্ধ বিহার, মন্দির ও ঘরবাড়িতে ধারাবাহিক হামলা।</t>
  </si>
  <si>
    <t> হিন্দু দের বাড়ি ঘর থেকে লোহার টিন ও দামি কাঠের খিলান খুলে নিয়ে আসে। হিন্দুদের মালিকানায় থাকা সিনেমা হল গুলো তারা বন্ধ করে দেয়ার চেষ্টা করে।মুসলিমরা শতকরা ৫০ ভাগ তাঁত দাবী করে যেখানে প্রায় সকল তাঁতের মালিক যোগী সম্প্রদায়ের হিন্দু।</t>
  </si>
  <si>
    <t xml:space="preserve">তোর মতন বেয়াদপ মুসলিমের বাচ্চা আমি জীবনে আর দেখি নাই, তোর উপর আল্লাহর গজব পড়ুক </t>
  </si>
  <si>
    <t>এর জন্য যারা দায়ী তাদের নিরপেক্ষভাবে চিহ্নিত করে শাস্তি দিতে হবে</t>
  </si>
  <si>
    <t>গাজীপুর জেলাতে মুসলিম জনতা ১৩ অক্টোবর কাশিমপুর সুবল দাশের পারিবারিক মন্দির ও কাশিমপুর বাজার কালী মন্দিরে ভাঙচুর ও লুটপাট করা হয়।[৩৬] কাশিমপুরের শ্রীশ্রী রাধা গোবিন্দ মন্দিরে ১৪ অক্টোবর সকালে হামলা চালানো হয়।</t>
  </si>
  <si>
    <t>মুসলিম দেশে বসবাস করে একটি উগ্রবাদী উগ্রপন্থী কিছু সংখ্যক লোক মুসলিম বিদ্বেষী ইসলাম বিদ্বেষী লেখালেখি করে যাচ্ছে সামাজিক যোগাযোগের মাধ্যম ফেসবুকে</t>
  </si>
  <si>
    <t>সিডনি নিবাসী অমল দত্ত মনে করেন, বাংলাদেশের ২২টি জেলায় পরিকল্পিতভাবে এই হামলা করা হয়েছে। তিনি বলেন, মহান মুক্তিযুদ্ধের মাধ্যমে অর্জিত এই বাংলাদেশ, হিন্দু-মুসলিম-বৌদ্ধ-খ্রিস্টানের রক্তে অর্জিত বাংলাদেশ। সেই বাংলাদেশ থেকে সংখ্যালঘুদের নিশ্চিহ্ন করার পরিকল্পনার অংশ হিসেবে এই হামলা করা হয়েছে।</t>
  </si>
  <si>
    <t>'চিন্তা করতে পারিস; নবমীর দিন ও আমার কোর্সের সেমিস্টার ফাইনাল দিয়ে রেখেছে। আমি আমার কোর্সের পরীক্ষা পিছিয়ে নিতে চেয়েছি; ডিপার্টমেন্ট বলেছে 'ছুটি নিলে পরে নিবেন। দশমীর দিন থেকে তো ছুটি পাবেনই</t>
  </si>
  <si>
    <t>স্যার আপনি দয়া করে কোর আন নিয়ে আল্লাহ কে নিয়ে, ইসলামের চোখে জীবন নিয়ে আলাদা সিরিজ বানান,রিসার্চ করেন আমাদের সাথে শেয়ার করেন। আমরাও উপকৃত হবো,আমরা কোরআনের মানুষ হতে চাই,আমাদের কে সাহায্য করুন ইনশাআল্লাহ আপনার অনেক রহমত দেবেন আল্লাহ। আমাদের ইমান মজবুত হবে কোরআন নিয়ে আরোও বিস্তারিত আলোচনা করলে।</t>
  </si>
  <si>
    <t>ইসলাম আমাদের এই শিক্ষাটা দেয় নাই কাউকে লজ্জা দেওয়া ।হাজার হোক উনি একজন নারী উনাকে সম্মান দেওয়া উচিত ছিল ।</t>
  </si>
  <si>
    <t>কিছুক্ষনের মাঝেই মারাত্মক প্রাণঘাতী অস্ত্র হাতে ২,০০০ উন্মত্ত মুসলিম ঝাঁপিয়ে পড়ে নিরস্ত্র অসহায় হিন্দুদের উপরে।সেখানে ৩ জন ভাগ্যহত হিন্দু নির্মম ভাবে নিহত হয় এবং আর ১২ জনের বেশি আহত হয়।</t>
  </si>
  <si>
    <t>হাশরের মাঠে উঠেছে আমার বাবার সাথে আপনাকে দেখি অনেক বার। আমার গুনাহ নেই, আল্লাহ ছাড়া কোনো মাবুদ নেই, আল্লাহ ছাড়া কোনো মাবুদ নেই, আল্লাহ লা ইলাহা ইল্লাল্লাহু মোহাম্মাদুর রাসুলুল্লাহ। আসমান সৃষ্টি, জমীন সৃষ্টি করেছেন এক আল্লাহ, নেই কেউ, নেই আল্লাহর ছাড়া। লা ইলাহা ইল্লাল্লাহু মোহাম্মাদুর রাসুলুল্লাহ।</t>
  </si>
  <si>
    <t>শনিবার 'সনাতন ধর্ম' নিয়ে বিতর্কিত মন্তব্যের অভিযোগে উদয়নিধির বিরুদ্ধে পুলিশের দ্বারস্থ হয়েছেন ওই আইনজীবী।</t>
  </si>
  <si>
    <t>হিন্দুত্ববাদীরা মুসলিম বিরোধিতার কারণে ইসরাইলের পক্ষে দাঁড়াচ্ছেন।</t>
  </si>
  <si>
    <t>মুসলিমরা হিন্দু ধর্মীয় সংখ্যালঘু সম্প্রদায়ের নাগরিককে নির্মমভাবে হত্যা করে ফেলবে</t>
  </si>
  <si>
    <t>পৃথিবীতে জন্ম নেওয়া প্রত্যেকটি মানুষের মৃত্যু অবধারিত। পবিত্র কোরআনে আল্লাহ তায়ালা বলেন, তোমরা যেখানেই থাক না কেন, মৃত্যু তোমাদের নাগাল পাবেই; যদিও তোমরা সুউচ্চ সুদৃঢ় দুর্গে অবস্থান কর।</t>
  </si>
  <si>
    <t>চাঁদপুর জেলার হাজীগঞ্জ উপজেলার মনিনাগ এলাকা থেকে একটি মিছিল এসে ১৩ই অক্টোবর রাত ৮টার পর লক্ষ্মীনারায়ণ জিওর আখড়ায় (মন্দির) হামলা চালায়।[৩১] বাজারের ওই মন্দির ছাড়াও ত্রিনয়নী সংঘের পূজামণ্ডপ, লহ্মীনারায়ণজী আখড়া,রামকৃষ্ণ মিশন আশ্রম,জমিদারবাড়ি দুর্গা মন্দির, শ্মশান কালী মন্দির, নবদুর্গা সংঘ পূজামণ্ডপ, দশভূজা সংঘ পূজামণ্ডপ, সোনাইমুড়ি গ্রামের পূজামণ্ডপ, হাজীগঞ্জ শহর পূজামণ্ডপ, রামপুর লোকনাথ মন্দির, ভদ্রকালী মন্দির, ত্রিশুল সংঘ পূজামণ্ডপ, রামপুর বলক্ষার বাজার পূজামণ্ডপ, হাজীগঞ্জ রাধাগোবিন্দ মন্দির, বাজারগাঁও মুকুন্দ সাহার বাড়ির দুর্গা মন্দির, হাটিলা গঙ্গানগর দূর্গা মন্দিরও কয়েকটি মন্দিরে হামলা হয়।</t>
  </si>
  <si>
    <t>হিন্দু মুসলিম একত্রে শান্তিতে বাস করলে, তাদের সমাজে একে অপরের জন্য সহানুভূতি ও সহযোগিতা সৃষ্টি হয়, যা দুঃসময়ে একে অপরকে সহায়তার হাত বাড়িয়ে দেয়।</t>
  </si>
  <si>
    <t>ভিডিওটা তৈরীতে আপনার পরিশ্রম ও পড়াশোনা সত্যি অনেকটা অবাক করেছে আমাকে। বিজ্ঞান যে আল্লাহ তাআলা কখনো প্রমাণ করতে পারবে না সেটা আল্লাহ তায়ালা বলেছেন,তবে আল্লাহ বলেন যে, তোমরা কি আমার নিদর্শন সমূহকে দেখনি? আল্লাহর এই নিদর্শন সমূহকে দেখার পরও যারা ঈমান আনবে না তারা সত্যি হতভাগা। আল্লাহু আকবার।</t>
  </si>
  <si>
    <t>আগে প্রচার করা হয়েছিলো যে একটি কম্পিউটারের দোকান থেকে উত্তম বড়ুয়া নামে এক বৌদ্ধ তরুণের ফেসবুকে অ্যাকাউন্ট থেকে ইসলাম ধর্ম, কোরান বা নবীকে অবমাননা করা হয়েছে।</t>
  </si>
  <si>
    <t>দয়া করে অতি উৎসাহী হয়ে কেউ সাম্প্রদায়িকতার বিষবাষ্প ছড়াবেন না। মিছিলের মাধ্যমে বিচার দাবি করুন কিন্ত  কারো সাথে বিবাদ লাগাবেন না।</t>
  </si>
  <si>
    <t>কিছু সামাজিক মাধ্যমে আবার ক্রিকেট বিশ্বকাপ দেখতে স্টেডিয়ামে ইসরাইলের পতাকা তুলে ধরে তাদের প্রতি সমর্থনের ডাকও দিচ্ছেন। বিশ্বকাপের মাঠ থেকে এরকম কিছু ছবি সামাজিক মাধ্যমে পোস্টও করা হয়েছে।</t>
  </si>
  <si>
    <t>ফরিদপুরে দুই খৃষ্ট ধর্মাবলম্বীর খুনের ঘটনায় মার্কিন দূতাবাসের শোক</t>
  </si>
  <si>
    <t xml:space="preserve">ধর্মীয় মূল্যবোধকে অপ্রত্যাশিত শব্দে বিকৃত করছে। ধর্মীয় গ্রন্থ, প্রথা ও বিশ্বাসকে উপেক্ষা করে বিভিন্ন মতপার্থক্যের সৃষ্টি করছে। </t>
  </si>
  <si>
    <t>মাইকে বেশ কিছু উগ্রপন্থী মুসলমানরা হামলা ঘোষণা দিয়ে হামলা চালায় এতে ৮৮টি বাড়িঘর এবং ৭/৮টি পারিবারিক মন্দির ভাংচুর এবং আসবাবপত্র তছনছ করা হয়েছে।</t>
  </si>
  <si>
    <t>ঈশ্বর দাস লেনের নামকরা হিন্দু ছাত্রাবাস ‘বাণী ভবন’ লুটপাটের পর সম্পূর্ণরূপে ধ্বংস করে ফেলা হয়।আবাসিক ছাত্ররা নিকটস্থ আশ্রয়কেন্দ্রে পালিয়ে জীবন রক্ষা করে।</t>
  </si>
  <si>
    <t>উপরে মেয়েটি বলেছেই যে সমাজ সে ধর্ষিতা হয়েছে জানলে তার বাবা মা পরিবারের সন্মান শেষ করে দেবে তাই সে আত্নহত্যা করেছে।সমাজ সহানুভুতিশীল হলে অবশ্যই মেয়েটি আত্নহত্যা করতো না বরং পুলিশের কাছে গিয়ে অপরাধীকে গ্রেপ্তারের কথা বলতো।</t>
  </si>
  <si>
    <t>এমনকি যে মানুষটা খারাপ তার ধর্ম নিয়েও খোঁচা মারার অধিকার আপনার নাই।</t>
  </si>
  <si>
    <t>আসসালামু আলাইকুম আল্লাহু আকবার, আল্লাহু আকবার প্রতিধ্বনি পৌঁছে যাক আল্লাহপাকের আরশে আজিমে এবং বিজয় শুরু হোক পৃথিবীর শ্রেষ্ঠ ধর্ম ইসলামের আলহামদুলিল্লাহ সুবহানাল্লাহ কোন একদিন আল্লাহর রহমতে এদেশের আকাশে কালেমার পতাকা উড়বে সেদিন সবাই আল্লাহর বিধান পেয়ে দুঃখ বেদনা ভুলবে ইনশাআল্লাহ</t>
  </si>
  <si>
    <t>গত ১০ থেকে ১৫ বছর আগেও এক ধরণের বিশ্বাস ছিলো যে, শয়তানের পূজারীরা সংঘবদ্ধ, গুপ্ত এবং তারা গোপনে ষড়যন্ত্র করে বেড়ায়, তারা শয়তানের দোহাই দিয়ে বিভিন্ন অনৈতিক কাজকর্ম যেমন মানুষ হত্যা, পশু নির্যাতন এবং শিশু ধর্ষণ করে থাকে,</t>
  </si>
  <si>
    <t>প্রতিমা ভাংচুরের প্রতিবাদ ও জড়িতদের বিচারের দাবিতে ঘটনার পর দিন সকাল থেকে এলাকার হাজার হাজার হিন্দু নারী-পুরুষ বিক্ষোভ করে। এ ঘটনায় উপজেলার শাহপুর এলাকার খিজির শাহ ও তার ছেলে জাহিদুল ইসলাম এবং উমর খন্দকার এবং কর্তব্যরত আনসার সদস্য রজিব ও বজলুকে আটক করে পুলিশ।</t>
  </si>
  <si>
    <t>দুর্বল ঈমানের লক্ষণ- পাপে নিমজ্জিত হওয়া, হারাম কাজ করা। অন্তকরণে কাঠিন্য অনুভব, উপদেশ বা জানাজা দ্বারা প্রভাবিত না হওয়া। ইবাদতে একাগ্রতার অভাব, বরং উদাসীনতা। ইবাদত ও আনুগত্যে শৈথিলতা ও অলসতা প্রদর্শন।</t>
  </si>
  <si>
    <t>নির্বাচন শেষ আলেমদের ঘাড় মটকাবে আলেমদের মামলা হামলা গুম খুন অত্যাচার নির্যাতন গ্রেফতার।</t>
  </si>
  <si>
    <t>রমাদ্বান পাপী হৃদয়ে জন্য ক্ষমার মহিমার আনন্দের বর্তা নিয়ে আসে- এর চেয়ে আনন্দ আর কী হতে পারে?</t>
  </si>
  <si>
    <t xml:space="preserve">Sadhu sadhu sadhu ভগবান বুদ্ধ ধর্ম যারা প্রচার করছেন। আমি তাদের প্রতি আমার জন্ম জন্মন্তের পূর্ণফল দান করছি। </t>
  </si>
  <si>
    <t>চীনা সরকার মিডিয়ার সব কর্মকাণ্ড স্তব্ধ রেখে বছরের পর বছর ২২ লাখ মুসলিমকে বিভিন্ন ডিটেনশন ক্যাম্পে আটকে রেখে তাদের প্রতিনিধির মাধ্যমে নির্যাতন, যৌন নিপীড়ন, হত্যাসহ অপরাধ কর্মকাণ্ড চালিয়ে যাচ্ছে।</t>
  </si>
  <si>
    <t>আমি বাইবেল গীতা সব ধর্ম গ্রন্থ কে আমরা সম্মান করি দুঃখের বিষয় মুসলিমদের আল কুরআন পুড়িয়ে ভিন্ন দৃষ্টান্ত সৃষ্টি করেছে এর জন্য ধিক্কার জানাই ...আল্লাহ আপনি পবিত্র কুরআন শরীফ কে রক্ষা করুন আমিন</t>
  </si>
  <si>
    <t>সম্প্রতি দিনাজপুরের কান্তনগর মন্দিরের জমিতে মসজিদ নির্মাণ করা হচ্ছে, এরকম একটি অভিযোগ তুলে নির্মাণ বন্ধ করে দিয়েছে হিন্দু সম্প্রদায়। কিন্তু পত্রিকার সংবাদ অনুযায়ী, মসজিদ কমিটির সভাপতি আব্দুস সালাম বলেন, এখানে আগে থেকেই কাঁচা মসজিদ ছিল।</t>
  </si>
  <si>
    <t>জাতীয় প্রেসক্লাবের সামনে শুক্রবার সকালে বাংলাদেশ জাতীয় হিন্দু মহাজোট ও বাংলাদেশ হিন্দু পরিষদের পৃথক দুটি মানবন্ধনে শাল্লায় এ হামলাকে নারকীয় হিসেবে উল্লেখ করা হয়।</t>
  </si>
  <si>
    <t>বাংলাদেশে শাওয়াল মাসের চাঁদ দেখা নিয়ে জাতীয় চাঁদ দেখা কমিটির দুই দফা ঘোষণায় নানারকম মন্তব্য বা স্ট্যাটাসে সরগরম হয়ে উঠেছে ফেসবুক।</t>
  </si>
  <si>
    <t>তারপরও, বলবো আপনি যদি বুধবারের রেডিও অনুষ্ঠান শুনে থাকেন, তাহলে সেখানে চাঁদপুরে মন্দির হামলা করতে গিয়ে যারা মারা গেছেন তাদের নিয়ে প্রতিবেদন নিশ্চয়ই শুনেছেন।</t>
  </si>
  <si>
    <t>ভাই, সবখানেই কি তোদের ধর্মকে টানা লাগবে। তোর কোন বিধর্মী শিক্ষক বা বন্ধু মারা গেলে তুই কি তাদের মারা যাওয়াতে হেসে বুক ফাটাতি নাকি সমবেদনা জানাতি।</t>
  </si>
  <si>
    <t>বাগেরহাটে কালী প্রতিমা ভাঙচুর, থানায় অভিযোগ দায়ের</t>
  </si>
  <si>
    <t>মন্দিরের জায়গায় মসজিদ নির্মাণ বন্ধ করা হোক। আর ঐ জায়গা যদি মন্দিরের নাও হয় তবুও ওখানে মসজিদ নির্মাণ করা উচিত নয়।</t>
  </si>
  <si>
    <t>আজ আমার ধর্মীয় গ্রন্থের অবমাননার জন্য আমার যতটুকু খারাপ লাগছে, আমি জানি দেশের বিভিন্ন স্থানে আমার হিন্দু বন্ধুদের প্রতিমা ভাংচুরের ঘটনায় একই খারাপ লাগছে তাদেরও ।</t>
  </si>
  <si>
    <t>শান্তি ও ভালবাসা হিন্দু ধর্মের প্রাকৃতিক অবস্থা, যা সমস্ত জীবের জন্য উপকারী।</t>
  </si>
  <si>
    <t>সে সুইসাইড করেছে তাই ওকে নিয়ে পোস্ট করা যাবেনা। মুসলিম হলে ও কখনো সুইসাইড করতোনা অন্য ধর্ম তাই করেছে।</t>
  </si>
  <si>
    <t>সালাম নিয়ে কটুক্তি মানতে পারি না। আপনার সুশীল আমি এখনও হতে পারিনি। ইসলাম নিয়ে বাজে কথা না বললেই হবে।</t>
  </si>
  <si>
    <t>পৃথিবীর কোনো ধর্মই আত্মহত্যাকে সমর্থন করে না। </t>
  </si>
  <si>
    <t>২০১২ সালের ২৯শে সেপ্টেম্বর মধ্যরাতে কক্সবাজারের রামুর ১২টি বৌদ্ধ বিহারে হামলা, লুটপাট ও অগ্নিসংযোগ করে দুষ্কৃতিকারীরা।</t>
  </si>
  <si>
    <t>এই ঘটনার জেরে ঢালাওভাবে অনেক নিরপরাধ মানুষকেও আটক করা হয়। বিশেষ করে, অনেকে ব্যক্তিগত শত্রুতার জেরে মিথ্যা অভিযোগ তুলে অনেক মুসলমান বাসিন্দাকে ঘরছাড়া করেছে বলে তিনি অভিযোগ করেন।</t>
  </si>
  <si>
    <t>গতকাল কের পোস্টের পর অনেকে জিজ্ঞেস করেছে বিষয়টা কত সমস্যার? আমি আবার বলছি এই আইন জাতি, ধর্ম, ভাষা নির্বিশেষে একটি সর্বনাশা আইন।</t>
  </si>
  <si>
    <t>আল্লাহ্ জানি না এই নাস্তিকদের তুমি কি শাশ্তি দিবা।আল্লাহ তোমার কুরআনকে যারা অবমাননা করছে। তুমি তাদের এমন শাস্তি দাও।যাতে এরকম কাছ যেন সামনে আর কেউ না করে।</t>
  </si>
  <si>
    <t>মহিলারা এরাই ধর্ম মানতে চায় না যাকে পায় তাকেই বিয়ে করে, এরা শুধু চেট আর পেট এ দুটা জিনিস বুঝে।</t>
  </si>
  <si>
    <t>খ্রিষ্টানদের অধিকাংশই ইসলামকে মিথ্যা ধর্ম হিসেবে দেখে কারণ এর অনুসারীরা খ্রিষ্টের ত্রিত্ব, দেবত্ব এবং খ্রীষ্টের ক্রুশবিদ্ধকরণ ও পুনরুত্থানকে প্রত্যাখ্যান করে।</t>
  </si>
  <si>
    <t>আল্লাহ ও রাসুলকে ভালোবাসলে জান্নাতে প্রবেশ করতে হলে নিয়মিত নামাজে মগ্ন হতে হবে এবং আল্লাহর প্রতি ভালোবাসায় পাগল হতে হবে। তাহলে আপনি আশেক হতে পারবেন।</t>
  </si>
  <si>
    <t>আপনার ধর্মীয় অনুভূতির প্রতি শ্রদ্ধা রেখে বলছি, আমাদের ধর্মে শির্ক সবচেয়ে বড় অপরাধ, তবে তাওবা করলে ক্ষমা পাওয়া যায়।</t>
  </si>
  <si>
    <t xml:space="preserve">আমি বলে বুঝাতে পারবোনা এই একটা ভিডিও আমার ভিতরটাকে ভেঙ্গে চুরে চুরমার করে দিয়েছে আল্লাহর কসম এর চেয়ে সুন্দর আর কিছুই হতে পারেনা </t>
  </si>
  <si>
    <t>আমাদের চেয়ারম্যান ডিপার্টমেন্টের কোনায় নামাজ পড়ার জায়গা বানিয়েছেন পাশে মসজিদ থাকা সত্ত্বেও।</t>
  </si>
  <si>
    <t>ফিলিস্থিনির স্বাধীনতাকামী মানুষের জন্য আত্মাহুতি দেওয়া অ্যারন বুশলেন পৃথিবীর তাবৎ মানবসভ্যতার প্রতীক।</t>
  </si>
  <si>
    <t>কারো ধর্মীয় অনুভূতি নিয়ে আঘাত করা উচিত বলে আমরা মনে করি না। ব্যক্তি স্বাধিনতা যেমন সবার আছে তেমন ধর্মীয় স্বাধিনতার মনোভাব আমাদের রাখা উচিত।</t>
  </si>
  <si>
    <t>শুরুতে এই পোস্টটা দেখে আমার অনেক বড় অফসোস লাগলো। আমার কথা হচ্ছে যদি সনাতন ধর্ম আপনারা রক্ষা করতে চান তাহলে আগে নিজের ছেলে মেয়েকে ধমীয় শিক্ষায় শিক্ষিত করুন।</t>
  </si>
  <si>
    <t>প্রত্যেক ধর্মগ্রন্থেই ন্যায় পরায়ন, শিক্ষা ও ধর্মের কথা উল্লেখ করা হয়েছে।</t>
  </si>
  <si>
    <t>হিন্দু ধর্মে জীবনের সংকটগুলো মোকাবিলা করতে সহনশীলতা এবং আত্মবিশ্বাসের প্রতি বিশেষ গুরুত্ব দেয়া হয়।</t>
  </si>
  <si>
    <t> গণহত্যার পর, নড়িয়া একটি জনমানবহীন গ্রামে পরিণত হয় এবং মৃতদেহগুলো সৎকারের অভাবে পরে থাকে। কামিনী কুমার দেব এবং তার সহধর্মিণীর কঙ্কাল তাদের পুঁড়া-বাড়ি থেকে দুদিন পর উদ্ধার করা হয়। যেহেতু মৃতদেহের দুর্গন্ধ অসহনীয় হয়ে পড়েছিল, তাই রাজাকাররা মৃতদেহগুলোকে কবর দিতে তাদের আত্মীয়স্বজনদের বলে অন্যথায় তাদের হত্যার হুমকি দেয়।</t>
  </si>
  <si>
    <t>২৭ শে মার্চ ১৯৩৪-এ, অযোধ্যায় একটি হিন্দু-মুসলিম দাঙ্গা সংঘটিত হয়েছিল, যা নিকটবর্তী শাহজাহানপুর গ্রামে গরু জবাইয়ের কারণে শুরু হয়েছিল। দাঙ্গার সময় মসজিদের চারপাশের দেয়াল এবং মসজিদের একটি গম্বুজ ক্ষতিগ্রস্ত হয়।</t>
  </si>
  <si>
    <t>আল্লাহ পাকের মহিমা বোঝার মত ক্ষমতা না থাকায় হয়তো তাকে বুঝিনা।তিনি আল্লাহ পাক কতই না উত্তর। আল্লাহ আমার জীবনটা তুমি তোমার রঙ্গে রাঙিয়ে নেওয়ার তৌফিক দাও( আমিন)</t>
  </si>
  <si>
    <t>তারা বিশেষত হিন্দু সংখ্যালঘুদের আক্রমণ করে, তাদের বাড়িঘর ও ব্যবসা-প্রতিষ্ঠান ধ্বংস করে, তাদের মন্দির ভাঙচুর করে এবং আগুন ধরিয়ে দেয়। সম্প্রদায়ের নেতাদের মতে, ২০ টি জেলায় ৫০ টিরও বেশি হিন্দু মন্দির এবং ১,৫০০ হিন্দু বাড়িঘর ধ্বংস করা হয়</t>
  </si>
  <si>
    <t>এসব হামলার ঘটনায় জড়িতদের চিহ্নিত করে তাদের বিরুদ্ধে আইনগত ব্যবস্থা নেওয়ার নজির খুবই কম। আর সেকারণে প্রতিবছরই দেশের বিভিন্ন প্রান্তে প্রতিমা ভাঙচুরের ঘটনা ঘটছে বলে তারা মনে করেন।</t>
  </si>
  <si>
    <t>এক শ্বেতাঙ্গ শ্রেষ্ঠত্ববাদী বন্দুকধারী একটি ব্ল্যাক চার্চে গুলি চালায় , যা জাতিগত ও ধর্মীয় বিদ্বেষের নজির।</t>
  </si>
  <si>
    <t>হে আল্লাহ। তোমার কাছে সব ছেড়ে দিলাম। তুমি তাদের এমন ভয়াবহ শাস্তি দিবে যাতে এই দুনিয়ার সকল কাফেরদের জন্য এটা দৃষ্টান্ত হয়। আমিন আমিন আমিন। আল্লাহ তুমি বিচার করো।</t>
  </si>
  <si>
    <t>দেয়ালগুলির শিলালিপি অনুসারে, বাবরি মসজিদ সম্রাটের বাবর-এর আদেশে নির্মিত হয়। স্থানীয় ঐতিহ্য বলে এটি রামের জন্মস্থানে একটি মন্দির (ধ্বংসাবশেষ) ভেঙে দেওয়ার পরে তৈরি করা হয়।</t>
  </si>
  <si>
    <t>আল্লাহ আপনাকে নেক হায়াত দিক এবং কোরআন থেকে এমন শিক্ষনীয় বিষয়গুলো আমাদের কাছে তুলে ধরার তৌফিক দিন আমীন।</t>
  </si>
  <si>
    <t>হিন্দু ভাইদের বলছি, মনে কিছু নিবেন না ,নিজের হাতে মাটির তৈরি পুতুল কি পূজা করা বা উপাসনা করা কতটা যুক্তি?</t>
  </si>
  <si>
    <t>এতবছর থেকে কি কারোই নজরে আসে নি এই মসজিদ টা।আজকে জাকা সাহেব যখন একই স্থানে মসজিদটা উন্নয়ন করতে চাইলো।আর তখনই সেটা নিয়ে দেশব্যাপী এতো আলোচনা শুরু হয়ে গেলো।যখন সেই মসজিদের নামে বরাদ্দ আসতো তখন কি কেউ দেখে নি।কেনো এমনটা হচ্ছে আর কেনই বা হবে।</t>
  </si>
  <si>
    <t>জানাযা ও দোয়া শেষে মৃতব্যক্তিকে অবিলম্বে গোরস্থানে নিয়ে যেতে হয় এবং ইসলামী রীতিতে কবর তৈরী করে মাটিতে দাফন করতে হয়।</t>
  </si>
  <si>
    <t>বেদ, পুরাণ ও শাস্ত্রগুলো হিন্দু ধর্মের মূল উৎস, যা দয়ালু এবং সহানুভূতির পথে চলতে শেখায়।</t>
  </si>
  <si>
    <t>সৌদি আরব, ইরান ও পাকিস্তানসহ মুসলিম বিশ্বের বেশিরভাগ দেশই ইউরোপে পবিত্র কোরআন পোড়ানোর নিন্দা জানিয়েছে।</t>
  </si>
  <si>
    <t>"ধর্ম আমাদের জীবনের গুরুত্বপূর্ণ অংশ, এবং আমরা এটিকে আরও শ্রদ্ধার সাথে পালন করতে পারি। রোজার মাসে আল্লাহর এত নিয়ামত, এগুলো নিয়ে পোস্ট করা অবশ্যই আনন্দের বিষয়!"</t>
  </si>
  <si>
    <t>২০১২ চিরিরবন্দর সহিংসতা বলতে বাংলাদেশের রংপুর বিভাগে দিনাজপুর জেলার চিরিরবন্দর উপজেলায় ২০১২ সালের ৪ই আগস্ট সংখ্যালঘু হিন্দু সম্প্রদায়ের উপর ইসলামী চরমপন্থীদের দ্বারা আক্রমণকে বোঝায়।</t>
  </si>
  <si>
    <t>চীনা সরকার উইঘুর মুসলমানদের বন্দিশিবিরে আটকে রেখে নির্যাতন চালাচ্ছে, যা মানবাধিকার লঙ্ঘনের বড় উদাহরণ।</t>
  </si>
  <si>
    <t>কংগ্রেস নেতৃত্ব ভারত বিভাগ মেনে নেন যার ফলে শান্তি মিশন এবং আক্রান্তদের জন্য ত্রাণ কার্যক্রম পরিত্যক্ত হয়। বেশির ভাগ বেঁচে যাওয়া ও ক্ষতিগ্রস্ত হিন্দুরা তাদের বাড়ি-ঘর ফেলে পশ্চিম বঙ্গ, ত্রিপুরা[১১] এবং আসামে চলে আসে।[১২]</t>
  </si>
  <si>
    <t>ইনশাআল্লাহ অচিরেই অভিবাসী ইহুদিরা পবিত্র ভূমি জেরুজালেম ছেড়ে পালাবে।শুধুমাত্র মুসলিম,খ্রিষ্টান ও ইহুদিদের মূল অধিবাসীরাই ফিলিস্তিনে থাকার পূর্নাংগ অধিকার রাখে।</t>
  </si>
  <si>
    <t>তীব্র নিন্দা জানায় প্রতিবাদ জানায় বিশ্ব মুসলিম এক হও সুইডেনকে বাংলাদেশের বৈকট ঘোষণা করতে হবে</t>
  </si>
  <si>
    <t>প্রধানমন্ত্রী আরো বলেন, জিয়াউর রহমান সংবিধান সংশোধন করেছিলেন, যার ফলে ধর্মীয় স্বাধীনতা ও সব ধর্মের অধিকার সংক্রান্ত কিছু অনুচ্ছেদ পরিবর্তিত হয়েছিল।</t>
  </si>
  <si>
    <t>শামসু পাগলা না বলছিল যে মেয়েদের ইন্টারমিডিয়েটের পর পড়ালেখা বন্ধ কইরে দেয়া উচিত?</t>
  </si>
  <si>
    <t>আপনি বললেন গান বাজনা বা জুয়া খেলা চলবেনা কিন্তু আপনাদের প্রত্যেকটি পূজা বা মন্ডপ এ সেগূলোই চলে আপনারা বলছেন এক আর করছেন এক</t>
  </si>
  <si>
    <t>বাংলাদেশে গত এক বছরে এক হাজার ৪৫টি সাম্প্রদায়িক সহিংসতা-নির্যাতন-নিপীড়নের ঘটনা ঘটেছে এবং তাতে ধর্মীয় ও জাতিগত সংখ্যালঘু সম্প্রদায়ের অন্তত ৪৫ জন মারা গেছেন৷ হিন্দু বৌদ্ধ খ্রিস্টান ঐক্য পরিষদের প্রতিবেদনে এ তথ্য দেয়া হয়৷</t>
  </si>
  <si>
    <t>"ধর্মের স্বাধীনতা" হলো এর মৌলিক কাঠামো যা বাংলাদেশী সংবিধান দ্বারা নিশ্চিত করা হয়েছে যেখানে এটি তার সকল নাগরিককে তাদের ধর্মীয় পার্থক্য নির্বিশেষে সমান অধিকারের আহ্বান জানায় এবং এটি বিভিন্ন ক্ষেত্রে ধর্মের বৈষম্যকে নিষিদ্ধ করে। </t>
  </si>
  <si>
    <t>যারা আমাদের কে নিয়ে বলে আমরা নাকি 'শরীয়তী চিকিৎসা করি", ধর্ম দিয়ে ব্রেইন ওয়াশ করি - এটা বলার আগে এদের কি বুক কাঁপে না?</t>
  </si>
  <si>
    <t>যে রোজা রাখবে সে তার দায়িত্ব পালন করবে.. যে রোজার না রাখে সে কেন এমন নিয়ম পালন করবে </t>
  </si>
  <si>
    <t>এভাবে মুসলিমদের গণহারে হত্যা করে সিরিয়ায় নিজের ক্ষমতা পাকাপোক্ত করে হাফেজ আল-আসাদ। গত ১১ বছর ধরে সে লাখ লাখ সুন্নি মুসলিমকে হত্যা করেছে, এবং বর্তমানেও তা অব্যাহত রয়েছে।</t>
  </si>
  <si>
    <t>ময়মনসিংহ থেকে প্রায় ১,০০০ শরণার্থীর একটি দল সীমান্ত অতিক্রম করার সময় পাকিস্তান রাইফেলস তাদের উপর অমানবিক ঘৃণ্য উপায়ে নির্বিচারে গুলি করে।[</t>
  </si>
  <si>
    <t>মুসলিম লীগের সমর্থকদের মতে বাংলায় ভঙ্গুর মুসলিম লীগ সরকারকে দুর্বল করার প্রয়াসে এই সহিংসতার পিছনে কংগ্রেস পার্টি ছিল।[৪৩] ঐতিহাসিক জয়া চ্যাটার্জি দাঙ্গা রোধ করতে ব্যর্থ হওয়ার এবং পুলিশবাহিনীকে নীরব থাকতে বলার জন্য সোহরাওয়ার্দীকে বিশেষভাবে দায়ী করেন, পাশাপাশি তিনি উল্লেখ করেছন যে হিন্দু নেতারাও দোষী ছিলেন।</t>
  </si>
  <si>
    <t>যশোর জেলার অভয়নগর উপজেলায় ৫ জানুয়ারীতে ৭০ থেকে ৮০ জন বিএনপির নেতাকর্মী ; সকাল দশটার দিকে অন্তত ৫ জন হিন্দুর উপর ভোট দেওয়ার অপরাধে আক্রমণ করে।</t>
  </si>
  <si>
    <t xml:space="preserve">আপনি দুনিয়ায় যাই করেন, সেক্যু কম্যু আর বামু যাই হননা কেনো, অন্তত মৃত্যুর পর যেনো আপনাকে ধর্মীয় পদ্ধতিতে জানাযা করে সমাহিত করা হয় সেই ওসিয়ত অন্তত করে রাখবেন স্বজনদের। </t>
  </si>
  <si>
    <t>ভারতে নির্যাতনের প্রতিবাদে হিন্দুত্ব ছেড়ে বৌদ্ধ হলেন কয়েকশ দলিত</t>
  </si>
  <si>
    <t>ইসলাম ধর্মকে অবমাননা করা হলে বিশ্বের যে কোনো প্রান্ত থেকে আমরা মুসলিমরা প্রতিবাদ করবো। জাতিসংঘে যখন কুরআন অবমাননার প্রস্তাব উঠেছে তখন যুক্তরাষ্ট্র, ফ্রান্স, সুইডেন ও ব্রিটেন আমাদের বিরোধিতা করেছে। তারা কখনো মুসলমান জাতির পক্ষে থাকতে পারে না।</t>
  </si>
  <si>
    <t>নাইজেরিয়ার উত্তরাঞ্চলে মুসলিম ও খ্রিস্টানদের মধ্যে সাম্প্রদায়িক সহিংসতা নিয়মিত ঘটে, যেখানে বহু গ্রাম পুড়িয়ে দেওয়া হয়েছে এবং হাজার হাজার মানুষ নিহত হয়েছেন।</t>
  </si>
  <si>
    <t>ভারতের এক সিনিয়র সাংবাদিক গৌরী লঙ্কেশকে মঙ্গলবার রাতে ব্যাঙ্গালোরে তাঁর বাড়ির সামনেই গুলি করে হত্যা করা হয়েছে। গৌরী লঙ্কেশ ঘোষিতভাবেই হিন্দু দক্ষিণপন্থীদের সমালোচক ছিলেন তাঁর লেখার মাধ্যমে।</t>
  </si>
  <si>
    <t xml:space="preserve">আত্মহত্যার পর নানারকম কথা শোনা যায়, কিন্তু কেউ কি একবারও ভেবে দেখে ঠিক কতটা অসহায় বোধ করলে একটি মানুষ আত্মহত্যার মতন সিদ্ধান্ত নিতে পারে? </t>
  </si>
  <si>
    <t>হিন্দু বৌদ্ধ খ্রিষ্টান ঐক্য পরিষদের এই দাবিকে অন্তর্বর্তী সরকার অত্যন্ত গুরুত্বের সঙ্গে নেয় এবং উল্লিখিত ২৩টি হত্যাকাণ্ডের তালিকা সংগ্রহ করে। ওই তালিকে প্রধান উপদেষ্টার দপ্তর থেকে পুলিশের কাছে পাঠিয়ে প্রতিটি ঘটনার প্রকৃত কারণ ও গৃহীত আইনি ব্যবস্থা সম্পর্কে জানতে চাওয়া হয়। </t>
  </si>
  <si>
    <t>নাইজেরিয়ায় বোকো হারাম সংগঠন ধর্মীয় উগ্রবাদের নামে সহিংসতা চালিয়ে বহু মানুষ হত্যা করেছে, যা চরমপন্থার ভয়াবহ দৃষ্টান্ত।</t>
  </si>
  <si>
    <t>বাংলা সাময়িকী ‘দেশের বাণী’ তাদের একটি সংবাদে নোয়াখালীর একজন উদ্ধারকর্মীর বরাত দিয়ে উল্লেখ করে, দাঙ্গা পরবর্তী চার মাস পার হয়ে গেলেও হিন্দুরা তাদের বাড়িতে ফিরতে পারেনি। </t>
  </si>
  <si>
    <t>সৈন্যরা ৪২ জন হিন্দুকে নিকটবর্তী কুঁড়েঘরে নিয়ে গিয়ে মেশিনগানের ব্রাশফায়ারে হত্যা করে। বুলেটের আঘাতের ক্ষত নিয়েও বেঁচে যাওয়া ব্যক্তিরা নড়ার চেষ্টা করলে, তাদের বেয়নেট দিয়ে খুঁচিয়ে হত্যা করা হয়।</t>
  </si>
  <si>
    <t>দু'হাজার পনের সালে ইসলামের নবীর কার্টুন প্রকাশের পর ব্যঙ্গাত্মক সাময়িকী শার্লি এব্দোর অফিসে ১২ জনের মৃত্যুর ঘটনার পর যে ক্ষোভ দেখা গিয়েছিল তার সাথে গত ক'দিনের বিক্ষোভের তুলনা করা হচ্ছে।</t>
  </si>
  <si>
    <t>পাকিস্তানের ব্লাসফেমি আইনের অধীনে যারা ইসলাম ধর্মকে অবমাননা করে তাদেরকে মৃত্যুদন্ড সহ কঠোর শাস্তি দেয়া হয়।</t>
  </si>
  <si>
    <t>বৃহত্তর অর্থে বাঙালির আত্মপরিচয়ের সঙ্গে যে দেশজ ও লোকায়ত সংস্কৃতি ওতপ্রোত, সেখানে হিন্দু - মুসলমানের আচার ব্যবহারের সম্মিলিত সাংস্কৃতিক ঐতিহ্যের একটা ফল্গু ধারা মিশে ছিল। আজও যা একেবারে নিশ্চিহ্ন হয়ে যায় নি।</t>
  </si>
  <si>
    <t>যে বা যারা করছে তারা কি জানে না এটা ঐ ধর্মের মানুষ দেখার পর এটার প্রতিক্রিয়া কি হতে পারে!জানে! জেনেই করছে।</t>
  </si>
  <si>
    <t>দেশ বিভাগের পুরো দশক জুড়ে পূর্ববঙ্গের বিভিন্ন অঞ্চল বিশেষ করে ঢাকা ও চট্টগ্রাম বিভাগ জাতিগত ভাবে হিন্দুদের নির্মূলীকরণের সাক্ষী হয়ে ওঠে। দেশবিভাগের মাধ্যমে পাকিস্তান রাষ্ট্রকে অনিবার্য করে তোলার জন্য ১৯৪০ এর দশকে এই হিন্দু নির্মূলীকরণের মাত্রা তীব্র থেকে তীব্রতর হয়ে ওঠে।</t>
  </si>
  <si>
    <t>যেহেতু আত্মহত্যার প্রবণতা আগের থেকে বহুগুণে বেড়েছে সেহেতু এ বিষয়টি স্পষ্ট হয়, ধার্মিক লোকের সংখ্যা ক্রমেই হ্রাস পাচ্ছে। আচ্ছা তাহলে ধার্মিক লোকের সংখ্যা কমে যাওয়ার কারণটা কী?</t>
  </si>
  <si>
    <t>দুই পক্ষের মধ্যে থেমে থেমে প্রায় আধা ঘণ্টার মতো সংঘর্ষ এবং ধাওয়া–পাল্টাধাওয়ার ঘটনা ঘটে। সংঘর্ষের সময় পাঁচ পুলিশ সদস্যসহ সাতজন আহত হন। আহত দুই বিক্ষোভকারীকে ঢাকা মেডিকেল কলেজ হাসপাতালে ভর্তি করা হয়। পুলিশের রমনা জোনের সহকারী কমিশনার বায়জিদুর রহমান জানান, যে "সংঘর্ষে তিনিসহ পাঁচ পুলিশ সদস্য আহত হয়েছেন"।</t>
  </si>
  <si>
    <t>খ্রিস্টান ধর্মে বলা হয়েছে যে, সকল মানুষের মধ্যে ঈশ্বরের ভালোবাসা বিরাজমান এবং তাদের একে অপরের প্রতি শ্রদ্ধা ও সহানুভূতি প্রদর্শন করা উচিত, কারণ ঈশ্বর তার সৃষ্টি সবার প্রতি সমানভাবে ভালোবাসা দেখিয়েছেন, এবং এটি কোনভাবেই সহিংসতা বা বিদ্বেষের দিকে পরিচালিত করে না।</t>
  </si>
  <si>
    <t>পুলিশ বলছে যে দুই মুসলিম ব্যক্তি একজন হিন্দু ব্যক্তির ফেসবুক হ্যাক করে নবী অবমাননাকর বার্তা দিয়েছিলেন তাদের আটক করা হয়েছে।</t>
  </si>
  <si>
    <t>যে ব্যক্তি আল্লাহর নির্দেশনা অনুসরণ করে, তার জীবন সুন্দর এবং সফল হয়, কারণ আল্লাহ তার জীবনে বরকত দেন।</t>
  </si>
  <si>
    <t>২০০৬ সালের ১১ মে কুয়ালালামপুরের সশস্ত্র সিটি হল অফিসাররা ৬০০ বছরের পুরনো শহরতলির মন্দিরের একটি অংশ জোর করে ভেঙে ফেলে যা এক হাজারেরও বেশি হিন্দুদের উপাসনাস্থল। </t>
  </si>
  <si>
    <t>১৯৯২ সালের ৬ ডিসেম্বর বিশ্ব হিন্দু পরিষদ এবং তাদের সহযোগী সংগঠনের কর্মীরা বাবরি মসজিদ গুড়িয়ে দেয়</t>
  </si>
  <si>
    <t>এ বছরও সাম্প্রদায়িক সন্ত্রাসের সাক্ষী হয়েছে ভোলার মনপুরা, কুমিল্লার কোরবানপুর গ্রাম। একই অভিযোগে মানুষ পুড়িয়ে মারার মত নৃশংসতা ঘটেছে লালমনিরহাটের বুড়িমারীতে।</t>
  </si>
  <si>
    <t>ভিডিওটি যতবার দেখি ততোবার এক জান্নাতী অনূভুতি পাই। আলহামদুলিল্লাহ্।ধন্যবাদ জ্ঞাপন করছি Baseera টিমের সবাইকে।</t>
  </si>
  <si>
    <t>শাঁখেরীবাজার গণহত্যা বলতে ১৯৭১রের ২৬শে মার্চ পুরোনো ঢাকা শহরের শাঁখেরীবাজার এলাকায় ঘটা গণহত্যাকে বোঝায়</t>
  </si>
  <si>
    <t>ধর্ম নিয়ে প্রশ্ন তুললে সব সম্পর্ক চুকিয়ে দিতে পারেন মনোজ বাজপেয়ী; জানুন শাবানার সঙ্গে তাঁর সফল দাম্পত্যের রহস্য</t>
  </si>
  <si>
    <t>দেশের সরকার যদি এখনো পদক্ষেপ না নেয়, তাহলে আমাদের পীরগঞ্জ উপজেলা সহ সারা দেশে হিন্দু মুসলিম এই সংঘাত আরও ভয়ংকর রূপ নিতে পারে বলে আমি করি</t>
  </si>
  <si>
    <t>আল্লাহ কুরআনে বলেছেন যে, পৃথিবীর প্রতিটি প্রাণী তাঁর সৃষ্টির অংশ এবং তাদের প্রতি দয়া ও যত্ন প্রদর্শন করা আমাদের দায়িত্ব।</t>
  </si>
  <si>
    <t>এদের নাম মুসলিমদের মতো হলেও এদের ধর্ম ভিন্ন।এরা শাহবাগী ধর্মের অনুসারী।</t>
  </si>
  <si>
    <t>কোরআন সম্পর্কে এরকম সুন্দর আলোচনা করার জন্য আল্লাহ আপনাকে উত্তম প্রতিদান দান করুন</t>
  </si>
  <si>
    <t>ইসলামের বিরোধিতা, কার আশ্রয়তলে কতদিনের ক্ষমতা? হায়রে মানুষ...... দম ফুরালেই ঠুস...</t>
  </si>
  <si>
    <t>গীতাতেই সকল মানুষকে একইভাবে দেখে এবং উপাসনার পথ যে একটাই, তাও স্পষ্টভাবে বলা হয়েছে।</t>
  </si>
  <si>
    <t>পাবা উপজেলার পাবা থানার অন্তর্গত হুজুরিপাড়া ইউনিয়নের সরুষা গ্রামে, সংখ্যালঘু সম্প্রদায়ের ওপর আক্রমণ হয়।[৭] পাবা থানার অন্তর্গত ধাড়সা গ্রামেই ১,২০০ জন অমুসলিমকে হত্যা করা হয়।[৬] শুধুমাত্র রাজশাহী জেলাতেই ৫,০০০ অমুসলিমকে হত্যা করা হয়</t>
  </si>
  <si>
    <t>চঞ্চলকে যারা বাজে মন্তব্য করছে তাদের নিন্দনীয় হবার ব্যাপারে বাকি মুসলিমদের কনসেনসাস আছে। </t>
  </si>
  <si>
    <t> সো বিজ্ঞানের মত একটা বিষয়ে নেহায়েত তাকে ছাড়া আলোচনা করাটা তার সাথে বেয়াদপের সামিল বলে আমি মনে করি (বিষেষ করে মুসলিমদের ক্ষেত্রে).</t>
  </si>
  <si>
    <t>রোজাদার ব্যক্তিগণ সংযমী হবেন এটাই স্বাভাবিক। আত্ম উপলব্ধি হবে এটাই কাম্য,ক্যামেরা নিয়ে পর্দাশীল দোকানে কেনো? মানুষকে হেনস্থা করার জন্যে? নাকি viral হওয়ার জন্যে?।</t>
  </si>
  <si>
    <t>১৯৭১ সালের ২ মে সকালে আশেপাশের গ্রামের রাজাকারদের সহায়তায় পাকিস্তানি বাহিনী গাভা নরেরকাঠী গ্রামে প্রবেশ করে। অতঃপর “শান্তি কমিটি”র সভার (মিটিং) কথা বলে গ্রামের হিন্দু পরিবারের লোকদের বেরিয়ে আসতে বলে।</t>
  </si>
  <si>
    <t> সমাবেশ থেকে হিন্দুদের উপর হামলা করা হয়। আটটি হিন্দু পাড়াতে প্রায় তিনশোটি বাড়ি-ঘর, মন্দির যেমনঃ গৌর মন্দির, নাসিরনগর, দেব-দেবীর মূর্তি ,আসবাব, প্রণামি বাক্স ভাঙচুর করা হয়। </t>
  </si>
  <si>
    <t>মন্দির ও আশ্রমের গোয়ালঘরে প্রায় ৫০টি গরু ছিল। সেগুলো পুড়িয়ে মারা হয়। প্রচণ্ড আগুন, বন্দুকের গুলি, পোড়া মাংসের গন্ধ আর প্রাণহানির আর্তনাদে রমনা এলাকা নরকে পরিণত হয়।</t>
  </si>
  <si>
    <t>কোলকাতা দাঙ্গার প্রত্যক্ষ সংগ্রাম দিবসের পর থেকেই হুসেনি উস্কানি মুলক বক্তব্য দেয়া শুরু করে এবং মুসলিমদেরকে হিন্দু নিধনে উৎসাহিত করতে থাকে।[১৮][১৯] কিছু এলাকায় মুসলিমরা হিন্দু দোকান-পাট থেকে দ্রব্যাদি কেনা থেকে বিরত থাকে।</t>
  </si>
  <si>
    <t>কোরআনকে আমরা হৃদয়ে ধারণ করি। সেই কোরআনকে যারা অবমূল্যায়ন করবে তাদের বিরুদ্ধে কঠোর প্রতিবাদ হবে। সেসব কুলাঙ্গারদের কঠোর জবাব দেয়া হবে।</t>
  </si>
  <si>
    <t>১৯৩৭ সালে ভারতের প্রদেশগুলোতে নির্বাচন হলে বাংলার প্রাদেশিক ক্ষমতা চলে আসে মুসলিমদের হাতে। কিন্তু দীর্ঘ ইংরেজ শাসনে হিন্দুরাই ছিলো মূলত শাসকের (জমিদারির নিয়ন্ত্রণ) আসনে।</t>
  </si>
  <si>
    <t>নিশ্চয় এই কোরআন আমি অবতীর্ণ করেছি এবং ইয়া আমি আল্লাহ নিজেই সংরক্ষন করবো। মুসলিম জাতির সর্বশ্রেষ্ঠ ও সর্বোত্তম গ্রন্থ আল কোরআন কে কুমিল্লা নানুয়া দিঘীর পাড় পূজামন্ডপে অবমাননা ক্বারীদের প্রতি তীব্র নিন্দা ও কঠোর প্রতিবাদ জানাচ্ছি</t>
  </si>
  <si>
    <t>মসজিদ থেকে প্রায় ২০০ গজ দূরে একটি পুরনো কালী মন্দির ছিল। রাজাপুর গ্রাম একটি সম্পূর্ণ হিন্দু অধ্যুষিত গ্রাম। এলাকায় কোন মুসলমান নেই। তাই হিন্দুরা অধ্যাপিকা হামিদা খাতুনকে ৫০০ গজ দূরে মসজিদ নির্মাণের অনুরোধ করেন।</t>
  </si>
  <si>
    <t xml:space="preserve"> এক ব্যক্তি ইহুদিদের বিরুদ্ধে বিদ্বেষী মনোভাব থেকে সিনাগগে গুলি চালিয়ে ১১ জনকে হত্যা করে, যা যুক্তরাষ্ট্রের ইতিহাসে ইহুদি সম্প্রদায়ের ওপর সবচেয়ে ভয়াবহ হামলা।</t>
  </si>
  <si>
    <t>২০১২ সালের ২ জানুয়ারি নিউইয়র্ক শহরের একটি হিন্দু উপাসনালয়ে অগ্নিসংযোগ করা হয়। [৬৩]</t>
  </si>
  <si>
    <t>ইসলাম ধর্মে নাকি স্পষ্টভাবে বলা আছে,যে ঘরে মূর্তি থাকে সেখানে নামাজ হবেনা।মানলাম।আমার হিন্দুধর্মে কিন্তু এমন কিছুই নেই যে, যেখানে নামাজ পড়ছে সেখানে পূজা করতে পারবো না।</t>
  </si>
  <si>
    <t>হিন্দুদের মধ্যে একটা গ্রুপ অবশ্যই টেরোরিস্ট ও ইসলাম বিদ্বেষী, ভারতে তারা বহু সাম্প্রদায়িক ঘটনায় জড়িত, বাংলাদেশে ভারতের এজেন্ট হিসাবে কেউ সাম্প্রদায়িকতায় লিপ্ত কি না তার খোঁজ খবর না নিয়ে আন্দাজে অসাম্প্রদায়িক সাজতে আইসেন না।</t>
  </si>
  <si>
    <t>ভারতের বালুরঘাট সীমান্তের নিকটে হরিহরপুর গ্রামের ৪০ টি হিন্দু পরিবারকে পাকিস্তানি সশস্ত্র বাহিনী উচ্ছেদ করে এবং তাদের আবাসস্থল থেকে তাড়িয়ে দেয়। তারা ওই পরিবারগুলোর বাড়িঘরের ঢেউটিন খুলে নিয়ে যায়।</t>
  </si>
  <si>
    <t>একটি গুজব ছড়ানো হয় যে শেরে বাংলা এ কে ফজলুল হক ও তার ভগ্নিপতিকে কোলকাতায় খুন করা হয়েছে। সন্ধ্যা নেমে আসতেই কমপক্ষে আট জায়গাতে অগ্নি সংযোগ করা হয়। ত্রিশটি বাড়ি আগুনে পুড়িয়ে ভস্ম করে দেওয়া হয় এবং কমপক্ষে দশ জন আগুনে দগ্ধ হয়। </t>
  </si>
  <si>
    <t>প্রাক্তন-বিজেপি নেতা এল কে আদভানি রাম রথযাত্রার মাধ্যমে হিন্দুত্ব-আদর্শকে ভারতীয় রাজনীতির মূলধারায় নিয়ে গেছেন বলে মুসলিম সংখ্যালঘুদের উপর সহিংস আক্রমণ বেড়েছে।</t>
  </si>
  <si>
    <t>এতে অনেকেই তার শুদ্ধ চিন্তাশক্তিটুকুও হারিয়ে ফেলে এবং সর্বশেষ ফায়সালা হিসাবে সে আত্মহত্যার মতো ভয়ংকর ও গর্হিত কাজটাকে বেছে নেয়। পরকালীন অনন্ত জীবনের পরিণাম সম্পর্কে ভাবার সুযোগ আর তার হয়ে ওঠে না।</t>
  </si>
  <si>
    <t>সারা বছরের জন্য ভাগ্য প্রদান করে এবং তাদের পাপ থেকে পবিত্র করে বলে বিশ্বাস করা হয়। অনেক অঞ্চলে, এটি এমন একটি রাত যখন তাদের মৃত পূর্বপুরুষদের ক্ষমা করার জন্য প্রার্থনা করা হয়।</t>
  </si>
  <si>
    <t>বকশিগঞ্জ নলডাঙ্গা রায়পুরা ঈশ্বরগঞ্জে প্রতিমা ভাঙচুর</t>
  </si>
  <si>
    <t>নবুয়াতপ্রাপ্তির সূচনাতেই সংগ্রামী জীবন শুরু হয়। একে একে প্রাচীরসম বাধার সম্মুখীন হন। ভোগ করেন কঠিন যন্ত্রণা। কিন্তু তিনি দমে যাননি। ছেড়ে দেননি বাতিল শক্তিকে। বুকে ছিল দুর্বার সাহস, অটল ছিল পদযুগল। তাঁর সমরকৌশল, আর বীরত্ব দিয়ে শত্রুদের কঠিনভাবে প্রতিহত করেছেন।</t>
  </si>
  <si>
    <t>চণ্ডীপুরের পুরুষ সদস্যদেরকে তারা হত্যা করে আর মহিলাদেরকে ধর্ষণ করে। তাদের বসতভিটা পুড়িয়ে ছাই করে ফেলে। শতশত সাঁওতাল এবং হিন্দুদেরকে এভাবে হত্যা করা হয়। রোহানপুরের তেভাগা আন্দোলনের অন্যতম সংগঠক ইলা মিত্র সহ আরও শতাধিক দরিদ্র কৃষককে গ্রেফতার করা হয়।</t>
  </si>
  <si>
    <t>বুদ্ধদেবের পূর্বপুরুষেরা হিন্দু ছিলেন। বুদ্ধদেব একমাত্র সর্বত্যাগী ছিলেন। তিনি ছিলেন প্রকৃত ধার্মিক। তাঁর বাণীগুলো বেদে পাওয়া যায়। আমি বুদ্ধদেবকে শ্রদ্ধা করি, ভক্তি করি, প্রণাম করি।</t>
  </si>
  <si>
    <t>আর খোলা বিদ্যুৎ উৎপাদন কোম্পানিগুলি।যেখানে ধর্ম না দেখে সবার ঘরে বিদ্যুৎ পৌছে দিতে আমরা বদ্ধ পরিকর</t>
  </si>
  <si>
    <t>অক্টোবর মাসে এসে নোয়াখালীতে হিন্দু গনহত্যা এবং জোরপূর্বক ধর্মান্তকরনের মত ঘৃণ্য বর্বরতা মুসলিমরা বন্ধ করলেও অন্য আরও উপায়ে আর্ত হিন্দু জন গোষ্ঠীর উপর নির্যাতনের ষ্টীম রোলার চালানো তারা বন্ধ করেনি।</t>
  </si>
  <si>
    <t>ফ্যাসিবাদীপ্রদেশ/উত্তরপ্রদেশ, উত্তর ভারত (ফ্যাসিবাদ পাওয়ার হাউস): ভারতের সামাজিক-অশুভ উপাদানের দ্বারা জনসাধারণের উপর আঘাত আনছে। এক মুসলিম মেয়েকে এইভাবে আগাত করছে ভারতে যা ঘটছে তা গোটা বিশ্ব দেখছে।</t>
  </si>
  <si>
    <t>শম শতাব্দীর গজনীর সুলতান মাহমুদের ভারত আক্রমণের সময় বৌদ্ধ ধর্ম বলতে গেলে ভারত থেকে মুছেই গেছে – আর হিন্দু ও অন্যান্য অ-বৌদ্ধ রাজারাই এজন্যে মূলত দায়ী। </t>
  </si>
  <si>
    <t>আর সারাবছরতো হিন্দু-মুসলিম দাঙ্গা লাগিয়েই রাখে। সেদিকটায় দেশটা যাওয়ার আগে সচেতন হওয়া উচিৎ</t>
  </si>
  <si>
    <t>এখনও কিছু উগ্র সাম্প্রদায়িক মনোভাবাপন্ন সংকীর্ণমনা কিছু লোক মুসলমানদের ‘নেড়ে’ বলে কটাক্ষ করে। যেহেতু তারা বৌদ্ধদের একসময় ‘নেড়ে’ বলে কটাক্ষ করত। সেই পরম্পরা তারা মুসলমানদের মধ্যে বজায় রেখেছে। কেননা সেইসব বৌদ্ধরাই ইসলামে ধর্মান্তরিত হয়েছিল।</t>
  </si>
  <si>
    <t>আমি ইসরায়েলের বিরুদ্ধে প্রতিবাদ জানাই।এবং মুসলিম বিশ্বকে এক হওয়ার আহ্বান জানাচ্ছি</t>
  </si>
  <si>
    <t>প্রেমে বাধা ধর্ম, ফেসবুকে স্ট্যাটাস দিয়ে তরুণ-তরুণীর আত্মহত্যা</t>
  </si>
  <si>
    <t xml:space="preserve">অতি আবেগী কিছুই ভালো না, ইসলাম কট্টরপন্তা মোটেও পছন্দ করে না। সেই যেকোন ধর্মের অনুসারী হোক না কেন,কারো কাউকে আঘাত করা যাবে না। </t>
  </si>
  <si>
    <t>ব্যক্তিগতভাবে আমি নিজেও খাবারের ছবি আপলোড দেওয়া পছন্দ করেনা। বিষয়টা ছোটলোকের সংস্কৃতি মনে হয়।</t>
  </si>
  <si>
    <t>বিউটি রাণী মণ্ডল বলেন. "শুক্রবার বিকেলে মুখে মুখে ফেসবুক পোস্টে ইসলামের অবমাননার অভিযোগ ছড়ানো হয়। "এর অল্প সময় পরই সন্ধ্যায় সাত-আটশো লোক এসে হামলা করে। হামলাকারীদের মধ্যে অনেক তরুণ এবং মাদ্রাসার অনেক ছাত্র ছিল। অনেক বয়স্ক মানুষও ছিল" - বলেন তিনি।</t>
  </si>
  <si>
    <t>আল্লাহ তুমি ফিলিস্তিন ভাই বোনেদের শিশুদের হেফাজতে জিম্মাদার হয়ে যান আমিন</t>
  </si>
  <si>
    <t>কোরআন ইসলামের পবিত্র গ্রন্থ। একে সবচেয়ে পবিত্র গ্রন্থ মনে করা হয়। এটি মামুলি কোন বই নয়। বরং মুসলিমরা একে স্বয়ং আল্লাহর কালাম তথা বাক্য হিসেবে দেখে এবং সেভাবেই একে সর্বোচ্চ সম্মান ও গুরুত্ব প্রদান করে।</t>
  </si>
  <si>
    <t>সুইডিশ সরকারও কোরআন পোড়ানোর এ ঘটনায় নিন্দা জানায় ও বিষয়টিকে ‘ইসলামোফোবিক’ বলে আখ্যা দেয়। সুইডিশ সরকারের পক্ষ থেকে বলা হয়, আমাদের দেশে জনগণের সমাবেশ, মতপ্রকাশ ও বিক্ষোভের স্বাধীনতা রয়েছে ও তা সাংবিধানিকভাবে রক্ষিত।</t>
  </si>
  <si>
    <t>হিন্দু ধর্মে নানা দেব-দেবীর পূজা করা হয়, কিন্তু সবকিছুর মধ্যে শান্তি এবং প্রেমের বার্তা রয়েছে।</t>
  </si>
  <si>
    <t>বাঙালি খ্রিস্টানরা বাঙালি সংস্কৃতি, বাণিজ্য এবং সমাজে গুরুত্বপূর্ণ অবদান রেখেছেন। এই অঞ্চলে মাদার টেরিজা দ্বারা প্রতিষ্ঠিত মিশনারি অফ চ্যারিটিসহ খ্রিস্টান মিশনারি প্রতিষ্ঠানগুলো তাদের আবাসস্থল।</t>
  </si>
  <si>
    <t>অন্যধর্মকে কটুক্তি করলে তখন শাস্তির জন্য কোনো বিধান রাখে নাই?</t>
  </si>
  <si>
    <t>বেদ সকল ধর্মের মূল..তাই আপনাদের মূল গ্রন্থ কোরান আর সনাতনীদের মূলগ্রন্থ বেদ এটা নিয়ে বিশ্লেষণ করে দেখবেন আসলে কোনটা সত্য</t>
  </si>
  <si>
    <t>নবি মোহাম্মদ (সঃ) ৬৩ বছর জিন্দিগিতে কোন একটা পাপ করেন নাই,,,তাই চরন ধূলি না,,,নবীর সুন্নাত অনুযায়ি জীবন জাপন করুন</t>
  </si>
  <si>
    <t>বোয়ালখালীতে ১১৩ বছরের প্রাচীন শিব মন্দিরে ভাঙচুর, সেবায়েতকে পুড়িয়ে মারার হুমকি সন্ত্রাসীদের</t>
  </si>
  <si>
    <t>পাকিস্তানে ধর্ম অবমাননাকর কনটেন্ট না সরানোর অভিযোগে উইকিপিডিয়া নিষিদ্ধ</t>
  </si>
  <si>
    <t>প্রকৃত ধর্মীয় জ্ঞান এবং প্রকৃত দীনি শিক্ষার বিকল্প হিসেবে আমরা আবেগকে বেশি প্রশ্রয় দেই। বাংলাদেশে প্রেক্ষাপটে এটা বেশি হচ্ছে। তবে প্রকৃত মূলধারার আলেম যারা, তারা কিন্তু এ বিষয়টা ইতিবাচক হিসেবেই নিচ্ছে।</t>
  </si>
  <si>
    <t>যে সমস্ত এলাকায় সাম্প্রদায়িক হামলা হয়েছে খেয়াল করে দেখুন, সে এলাকাগুলিতে জামাত- শিবিরের সহিংসতা চলছে দীর্ঘদিন ধরে। সেখানে জামাত জড়িত না থাকলে এই ঘটনা ঘটতো না।</t>
  </si>
  <si>
    <t>আলহামদুলিল্লাহ বেশ প্রজ্ঞাপূর্ণ একটা আলোচনা। পুরো রমজানে আপনার এই শ্রমটা গুরুত্বপূর্ণ ভূমিকা রাখবে</t>
  </si>
  <si>
    <t>সলামের বিরোধিতা করে,তাদের পুজিবাদের জন্য,আর তারা তো আছেই পৃথিবীতে অশান্তি তৈরী করার জন্য।অবাক হওয়ার কিছু নেই।</t>
  </si>
  <si>
    <t>গাজায় হাসপাতালে বিমান হামলা; অন্তত ৫'শ নিহত! </t>
  </si>
  <si>
    <t>মূলত লবিং করে বড় পজিশনে যাওয়া মানুষগুলার সামাজিক ও ধর্মীয়মূল্যবোধ না থাকায় আর ছাত্রগুলা মেধাবী থেকে তরুলতা হয়ে যাওয়ায় আজ এই দশা।</t>
  </si>
  <si>
    <t>তাদেরকে ধর্ম রক্ষা করতে হিন্দু অনুসারী বাড়াতে একটা মন্দির তৈরী করতে, পুজা করতে একটুকরা জমি ও কিছু টাকা দিতে বললে, এমনকি এসে সহযোগিতা করতে বললে তারা আসে না, কিন্তু তাদের মনোভাব সব সময় সহানুভূতিশীল।</t>
  </si>
  <si>
    <t>ইতোপূর্বে ইরানসহ বিভিন্ন মুসলিম দেশের পক্ষ থেকেও নিজ নিজ দেশে অবস্থিত ডেনমার্ক এবং সুইডিশ রাষ্ট্রদূতদের ডেকে কুরআন অবমাননার মতো ন্যাক্কারজনক পদক্ষেপের নিন্দা জানানো হয়েছে।</t>
  </si>
  <si>
    <t>ভয়ঙ্কর এবং নির্যাতিত উদ্বাস্তু আন্দোলনগুলি প্রায়শই 1949 থেকে 1971 সালের মধ্যে বিভিন্ন ধর্মীয় দাঙ্গার পর ছিল যা পশ্চিম পাকিস্তান বা পূর্ব পাকিস্তানের (বর্তমানে বাংলাদেশ) মধ্যে অমুসলিমদের লক্ষ্য করে। </t>
  </si>
  <si>
    <t>উজবেকিস্তানে ইসলামপন্থীদের উপর দমনপীড়ন (2005, উজবেকিস্তান)- আন্দিজান শহরে সরকারবিরোধী মুসলিমদের উপর ব্যাপক দমনপীড়ন চালানো হয়।</t>
  </si>
  <si>
    <t>সামরিক বাহিনী ও আধা-সামরিক বাহিনীর আক্রমণের প্রেক্ষিতে আন্তর্জাতিক পর্যায়ে গণহত্যা ও নৃজাতিগোষ্ঠী উচ্ছেদ হিসেবে পরিচিতি পেতে থাকে।[১৪][১৫][১৬] আনসারদেরকে গণ ধর্ষনে সম্পৃক্ততার বিষয়েও প্রতিবেদন প্রকাশিত হয়। এ প্রসঙ্গে মার্ক লেভিন ‘গণহত্যার অন্য ধরন’ নামে আখ্যায়িত করেন।</t>
  </si>
  <si>
    <t>ধর্ম নিয়ে সংশয়ে ২৬ দিন মর্গে পড়ে থাকার পর গতি হলো কিশোরী লাকিং মে চাকমার মরদেহের</t>
  </si>
  <si>
    <t>ব্রিটিশ ঔপনিবেশিক কর্তৃপক্ষ ভারতীয় উপমহাদেশে নারী শিশুহত্যার ঘটনা বন্ধ করতে খ্রিস্টান ধর্মপ্রচারক এবং সমাজ সংস্কারকদের চাপের মুখে নারী শিশুহত্যা প্রতিরোধ আইন ১৮৭০ পাশ করে।</t>
  </si>
  <si>
    <t>বর্ষাবাস সমাপনান্তে ভিক্ষুগণ তাদের দোষত্রুটি অপর ভিক্ষুগণের নিকট প্রকাশ করে তার প্রায়শ্চিত্ত বিধানের আহবান জানায়; এমনকি অজ্ঞাতসারে কোনো অপরাধ হয়ে থাকলে তার জন্যও ক্ষমা প্রার্থনা করা - এটিই হলো প্রবারণার মূল।</t>
  </si>
  <si>
    <t>এ রাতে পবিত্র কুরআন নাজিল হয়েছে। এ কারণে আল্লাহ তাআলা এ রাতের মর্যাদা বাড়িয়ে দিয়েছেন।</t>
  </si>
  <si>
    <t>তিনি সতীদাহকে বহুলাংশে প্রতীকী দ্বিগুণ সমাধি বা দ্বিগুণ শবদাহ বলে মনে করেন, তিনি যুক্তি দেন যে বৈশিষ্ট্য উভয় সংস্কৃতিতে পাওয়া যায়,[৩৬] কোনও সংস্কৃতিই এটিকে কঠোরভাবে পালন করে না।</t>
  </si>
  <si>
    <t> গতকাল রোববার বিকেলে ওই চার কিশোর পার্শ্ববর্তী কাথুলিয়া গ্রামে ঘুরতে গিয়ে নির্জন স্থানে থাকা কাথুলিয়া সার্বজনীন শীতলা মন্দিরের একটি প্রতিমার হাত ও পা ভেঙে ফেলে। </t>
  </si>
  <si>
    <t>আমাদের নিশ্চিত মনে রাখা উচিত ধর্ম কোন ব্যবসার পণ্য নয়। কিন্তু আমরা বোকার মত ধর্ম টাকে ব্যবসার পণ্য বানিয়ে ফেলেছি আর এই ভাবাটা নিছক বোকামি।</t>
  </si>
  <si>
    <t>বার্ষিক বিশ্ব ইজতেমা বাংলাদেশের মুসলমানদের বৃহত্তম ও উল্লেখযোগ্য সমাবেশ। বাংলা অঞ্চলের মুসলিম সম্প্রদায় অর্থাৎ (বাংলাদেশ, পশ্চিমবঙ্গ) ভারতের প্রভাবশালী ইসলামি ধারা থেকে স্বাধীনভাবে বিকশিত হয়। </t>
  </si>
  <si>
    <t>গৌতম বুদ্ধ ঠিক বলেছেন কারণ যাঁরা ঈশ্বর কে দেখেছেন তাঁরা কোনদিন দিন ও কিছু স্পষ্ট ভাবে বলেন না। কারণ ঈশ্বর ধরা ছোঁয়ার বাইরে। তাঁকে বলা যায় না</t>
  </si>
  <si>
    <t>গে-ইজম যদি ন্যাচারালই হতো,তাহলে এর মাধ্যমে দুনিয়ার সবচেয়ে ন্যাচারাল কাজ 'সন্তান জন্ম দেওয়া', আরেকটা প্রানকে দুনিয়ার বুকে আনা যেত!</t>
  </si>
  <si>
    <t>আমি মুসলিম হিসাবে এর তীব্র প্রতিবাদ ও নিন্দা জানাচ্ছি আমরা সকল মুসলিমদের উচিত এর প্রতিবাদ জানানো</t>
  </si>
  <si>
    <t>হিন্দু মুসলিম একত্রে বসবাস করলে, তারা ধর্মীয় ভিন্নতা সত্ত্বেও মানবিক মূল্যবোধের প্রতি শ্রদ্ধা রেখে সমাজে শান্তি ও ঐক্য বজায় রাখে, যা পৃথিবীকে আরো সুন্দর ও মানবিক করে তোলে।</t>
  </si>
  <si>
    <t>Hate</t>
  </si>
  <si>
    <t>সব গোত্র, শ্রেণি ও পেশার মানুষের মধ্যে ধর্ম তার ইমান ও বিশ্বাস। ওই বিশ্বাস থেকে তিনি ধর্ম পালন ও অনুসরণ করেন, ধর্মীয় আচার-অনুষ্ঠান পালন করে থাকেন।</t>
  </si>
  <si>
    <t>"তিনি মনেপ্রাণে ইসলামের পথে থাকার প্রতিজ্ঞা করেন এবং তার বিশ্বাসকে আরও দৃঢ় করতে স্বেচ্ছায় নিজের গিটার ত্যাগ করেন।</t>
  </si>
  <si>
    <t>নবীজি সাল্লাল্লাহু আলাইহি ওয়াসাল্লামের দরজায় পিরিয়ডের রক্ত মাখা ন্যাকড়া ফেলে যাওয়া, তার ওপর উটের নাড়ি ভুঁড়ি ছুড়ে মারা,তাকে মারধর করা,</t>
  </si>
  <si>
    <t>ইতিহাসে এই জঘন্য ও বর্বর হত্যাকাণ্ড ও নারী নিগ্রহের ঘটনা যখন বাইরের বিশ্বে পৌঁছাতে সক্ষম হল তখন ভারতের বিভিন্ন রাজনৈতিক,সামাজিক,ধর্মীয় সংগঠন দাঙ্গা পীড়িত নোয়াখালীর সর্বহারা হিন্দুদেরকে উদ্ধার করতে ও ত্রাণ বিতরণে এগিয়ে আসল।</t>
  </si>
  <si>
    <t>আমাদের জাতীয় কবি কাজী নজরুল ইসলাম বলেছেন, ‘রাসুলের অপমানে যদি কাঁদে না তোর মন, মুসলিম নও মুনাফিক তুই রাসুলের দুশমন’। এ দেশের কোটি কোটি মুসলমানের হৃদয়ে রক্তক্ষরণ হচ্ছে। সমাজে এবং সামাজিক যোগাযোগ মাধ্যমে তার প্রতিক্রিয়া দেখা যাচ্ছে।</t>
  </si>
  <si>
    <t>ধর্মের নামে সমাজের মাঝে অত্যাচার, অবমান এবং ভাঙ্গা নৈতিকতার বিরুদ্ধে সামঞ্জস্য প্রতিষ্ঠা করা উচিত নয়। ধর্মের শক্তি মানবতাকে প্রতিষ্ঠিত করা উচিত।</t>
  </si>
  <si>
    <t>পরিবর্তনের সময়কালে, ৬০ জন নিহত এবং ১৩৮ জন আহত হওয়ার খবর পাওয়া গেছে। এই সময়ের বেশিরভাগ সহিংসতা ছিল সাম্প্রদায়িক সহিংসতা।</t>
  </si>
  <si>
    <t>আরে নাস্তিক মিডিয়ার বাচ্চা, এটা শুধু মুসলমানদের পবিত্র জায়গা, আর কারো নয়।</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</si>
  <si>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 </t>
  </si>
  <si>
    <t>নড়াইলে ধর্ম অবমাননার অভিযোগ তুলে অধ্যক্ষকে জুতার মালা পরানোর পর এবার একই অজুহাতে ওই এলাকার দিঘলিয়ায় হিন্দুদের বাড়িঘর ও মন্দিরে আগুন এবং হামলার ঘটনা ঘটেছে৷</t>
  </si>
  <si>
    <t>সূর্যমণি গণহত্যা ১৯৭১ সালের ৭ই অক্টোবর ভোরে তৎকালীন বরিশাল জেলার সূর্যমণি গ্রামে সংঘটিত হয়েছিল। রাজাকাররা ২৪ জন বাঙালি হিন্দুকে গুলি করে হত্যা করে।</t>
  </si>
  <si>
    <t>কোটালীপাড়া উপজেলায় হিন্দু মেয়েকে জোরপূর্বক তুলে নিয়ে যাওয়ার জন্য দলবেঁধে মুসলমান হিন্দু মেয়ের বাড়িতে জড়ো হয়েছে।</t>
  </si>
  <si>
    <t>লাখ মানুষকে দেখিয়ে ওদের অপমান করার অধিকার আপনাকে কে দিছে? রোজা না রাখলে আল্লাহর কাছে জবাবদিহি করতে হবে,, মানুষের কাছে নয়।</t>
  </si>
  <si>
    <t>কেন একজন ব্যক্তি সনাতন ধর্ম থেকে ইসলাম ধর্ম গ্রহণ করেন? এক পণ্ডিতের বিশ্লেষণ ও আলোচনা – জিতেন্দ্রিয় প্রভুর দাস।</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</si>
  <si>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t>
  </si>
  <si>
    <t>২৫ লাখ টাকা চাঁদা তুলে তিনতলার ভিত দিয়ে মসজিদটি নির্মাণ করা হচ্ছে।এর আগে এই জায়গাটি নিয়ে আদালতে মামলা হয়। সে সময় মামলার আদেশে উভয় পক্ষকে আপস করে নেওয়ার জন্য বলা হয়। সেই সূত্রে ১৯৭৬ সালের একটি আপসনামা মূলে ৮ শতাংশ জমির মালিক মসজিদ।</t>
  </si>
  <si>
    <t>কুমিল্লায় গেল বুধবার সকালে একটি মন্দিরে কুরআন অবমাননার কথিত অভিযোগের ছবি-ভিডিও ফেসবুকে দ্রুত ছড়িয়ে পড়ে। এর আগে কক্সবাজারের রামুসহ দেশের বিভিন্ন স্থানে সাম্প্রদায়িক সন্ত্রাসে উসকানি দেওয়ার ক্ষেত্রেও ফেসবুকসহ সোশাল মিডিয়ার ভূমিকা ছিল সমালোচিত।</t>
  </si>
  <si>
    <t>আল্লাহর নির্দেশ অনুসরণ করলে আমাদের জীবন থেকে সন্দেহ ও অস্থিরতা চলে যায়, এবং আমরা সত্যিকারের শান্তি ও স্থিরতা অনুভব করি।</t>
  </si>
  <si>
    <t>একজন গুণী শিল্পী আত্মহত্যা করেছেন জানবার পর আমাদের বিচিত্র প্রতিক্রিয়া হয়। কেউ কেউ শোকার্ত হয়ে বলেন, জীবিতকালে তাঁর অসাধারণ গুণ উপযুক্ত মর্যাদা, স্বীকৃতি পেলোনা- আমাদের জন্য তা অপরিসীম লজ্জার, গ্লানির</t>
  </si>
  <si>
    <t>আল্লাহ কুরআনে বলেছেন যে, তিনি মানবজাতিকে আধ্যাত্মিক শিক্ষা দিয়েছেন যাতে তারা সব ধর্মের প্রতি সহানুভূতি এবং ভালোবাসা অনুভব করে।</t>
  </si>
  <si>
    <t>একাধিক ধর্মীয় মতাদর্শের পার্থক্যকে কেন্দ্র করে সৃষ্ট সহিংসতার কারণে বহু জনগণ অকারণে মৃত্যুবরণ করেছে।</t>
  </si>
  <si>
    <t>ইসলামী মৌলবাদীরা পুনরায়, বগুড়া জেলার নন্দীগ্রাম উপজেলায় ১২ জানুয়ারী আক্রমণ করে, কিছু বাড়িঘরে লুটপাত করা হয়, কোনো বাড়িঘরে হামলা করা হয়, কিছু টিউবওয়েল উপড়ে তা নিয়ে যাওয়া হয়।</t>
  </si>
  <si>
    <t> রামগঞ্জ থানার আওতাধীন বাবুপুর গ্রামের কংগ্রেস নেতার পুত্র দেবীপ্রসন্ন গুহকে মুসলিমরা হত্যা করে।[২১][২২] দেবীপ্রসন্নের আরেক ভাই এবং তাদের কর্মচারীকে মারাত্মক ভাবে আহত করে তারা। দেবীপ্রসন্নের বাড়ির সামনে থাকা কংগ্রেস অফিস আগুন দিয়ে জ্বালিয়ে দেয়া হয়।</t>
  </si>
  <si>
    <t>সামনের দিনগুলো ভয়াবহ হতে যাচ্ছে। অস্তিত্ব রক্ষার লড়াইয়ে চুপচাপ বসে থেকে পার পেয়ে যাবেন এমনটা ভাবলে আপনিই সবার আগে মারা পড়বেন! ভারতের অঙ্গরাজ্যে আপনাকে ফুলের মালা দিয়ে স্বাগতম জানানো হবে এমনটা ভাবার কোনো কারণ নেই</t>
  </si>
  <si>
    <t>আল্লাহ কুরআনে বলেছেন যে, ঈমান এবং ভাল কাজের মাধ্যমে মানুষ তার জীবনকে সঠিক পথে পরিচালিত করতে পারে, যা তাকে পরকালেও সফল করে তুলবে।</t>
  </si>
  <si>
    <t> আবু সুফিয়ান ইবনে হারব এবং ২০০ জন সশস্ত্র যাত্রীদের সুরক্ষায় সিরিয়া থেকে ফিরে আসা একটি কুরাইশ কাফেলা আটকিয়ে দেবে।[১][২][৩][৪][৫] মুসলিম দল থানিয়াত আল-মুরার কূপ পর্যন্ত যাত্রা করে,</t>
  </si>
  <si>
    <t>ইসলামী বিশ্বাস মতে, সকল প্রাণীরই মৃত্যুর সময় এবং স্থান পূর্বনির্ধারিত এবং তার মৃত্যুর সময় শুধুমাত্র আল্লাহই জানেন।</t>
  </si>
  <si>
    <t>অতীতেও যখন ধর্মীয় অনুভূতিতে আঘাত দেওয়া হয়েছে, তখন প্রতিবাদ হয়েছে। কোনো ধর্মের অনুভূতিতেই আঘাত দেওয়া উচিত নয়, কারণ সব ধর্মের প্রতি শ্রদ্ধা রাখা আমাদের সবার দায়িত্ব।</t>
  </si>
  <si>
    <t>বাংলাদেশ অসাম্প্রদায়িক সম্প্রীতির দেশ। যাদের মাধ্যমে নিন্দিত, ঘৃণিত, গর্হিত কাজ করা হয়েছে, তারা নিঃসন্দেহে উগ্র। সুষ্ঠু তদন্ত সাপেক্ষে দোষীদের দৃষ্টান্তমূলক কঠোর শাস্তির জোরালো দাবি জানাচ্ছি।"</t>
  </si>
  <si>
    <t>১৯৫৪ সাল থেকে ১৯৮২ সালের মধ্যে সাম্প্রদায়িক সহিংসতার ঘটনাবলীতে হিন্দু-মুসলিম সাম্প্রদায়িক সহিংসতায় প্রায় ১০০০০ মুসলিম নিহত হয়েছেন</t>
  </si>
  <si>
    <t xml:space="preserve">কোনো মতবাদের অপমান করা হয়নি, শুধুমাত্র সনাতন ধর্মের সাথে অন্য মতবাদের পার্থক্য কোথায় রয়েছে সেটিই তথ্য প্রমাণ সহ তুলে ধরা হয়েছে। </t>
  </si>
  <si>
    <t>বাংলাদেশী হিন্দুরা প্রধানত বাঙালি হিন্দু, তবে গারো, খাসি, জয়ন্তিয়া, সাঁওতাল, বিষ্ণুপ্রিয়া মণিপুরী, ত্রিপুরী, মুন্ডা, ওরাওঁ, ধানুক ইত্যাদি আদিবাসী উপজাতিদের মধ্যেও একটি স্বতন্ত্র হিন্দু জনসংখ্যা বিদ্যমান।</t>
  </si>
  <si>
    <t>উল্টাদিকে সোহাগ ভাই বা আরিফ আজাদ ভাইয়ের ব্যাপারে জঙ্গি টাইপ মন্তব্যের বিপরীতে সেক্যুলার দের কনসেনসাস তো নাই ই, বরং ঘুরায় ফিরায় তারা প্রায় সবাই ই বুঝাইতে চায় যে "জঙ্গিবাদের শুরু এখানেই"।</t>
  </si>
  <si>
    <t>২০১৬ সালে গুজরাতের উনার মোটা সমাধিয়ালা গ্রামে তথাকথিত 'গো-রক্ষক' উচ্চ বর্ণের হিন্দুরা যে কজন দলিত যুবককে মরা গরুর চামড়া ছাড়ানোর জন্য জনসমক্ষে বেঁধে বেত দিয়ে পিটিয়েছিল, তারা ও তাদের পরিবারের সদস্যরা রোববারের ধর্ম ত্যাগীদের তালিকায় রয়েছেন।</t>
  </si>
  <si>
    <t>মুসলমানদের বিরুদ্ধে ক্রমবর্ধমান সহিংসতার একটি প্রধান কারণ হ'ল হিন্দু-জাতীয়তাবাদী দলগুলির বিস্তার, যেগুলি রাষ্ট্রীয় স্বয়ংসেবক সংঘের রাজনৈতিক ছাতার পাশাপাশি বা তার অধীনে কাজ করে [৬] ।</t>
  </si>
  <si>
    <t>গান্ধীবাদী অশোক গুপ্ত মহাত্মা গান্ধীর সাথে গনহত্যা সংগঠনের এলাকা গুলো পরিদর্শন করে বলেন, কমপক্ষে ২,০০০ হিন্দুকে জোরপূর্বক মুসলমান করা হয়েছে। </t>
  </si>
  <si>
    <t>পবিত্র কোরআন পোড়ানো এটা কি ধরণের বাক স্বাধীনতার অনুমতি। এটা প্রতিহিংসা ছাড়া আর কিছুই না। এর তীব্র নিন্দা এবং প্রতিবাদ জানাই।</t>
  </si>
  <si>
    <t>ধর্ম পালন করার আগে রক্ষা আগে করতে হয়। হিন্দু অনুসারী বাড়ালেই রক্ষা করা সম্ভব হবে। ধর্ম ও জাতির প্রতি শ্রদ্ধা দেখে বিবেকের তাড়নায় অনেকেই কাজ করে।</t>
  </si>
  <si>
    <t>ইসলামিক স্লোগান দিয়ে বসতবাড়িতে ঢুকে দুর্বৃত্তরা গ্রামজুড়ে তাণ্ডব চালায়। এ সময় তারা হিন্দু সম্প্রদায়ের লোকজনকে মারধর করে, হুমকি দেয়, অকথ্য ও আপত্তিকর ভাষায় গালাগাল করে।</t>
  </si>
  <si>
    <t xml:space="preserve">উল্টো তারা ধন সম্পদ জ্ঞান কুড়ায় মুসলিম অনুসারী বাড়াতে হিন্দু ধর্ম, হিন্দু জাতি ধংস করতে। পরিশেষে তাদের পরিবারের এই পরিনতিই হচ্ছে। </t>
  </si>
  <si>
    <t>বিপদগ্রস্ত হিন্দু জনগোষ্ঠীর জন্য আরও নিদারুন পীড়ার কারণ হয়ে দাঁড়ায় পাকিস্তান আনসার বাহিনী। তারা বিভিন্ন অজুহাতে হিন্দু মহিলাদের ধরে নিয়ে নির্যাতন করত।</t>
  </si>
  <si>
    <t> যে ধর্মীয় পরিচয়ের জামাটি সম্পর্কে আমরা এতদিন উদাসীন ছিলাম, আমাদের ভাঁড়ারে না থাকা সেই জামাটি বাইরে থেকে আমদানি করতে হঠাৎই যেন বেশ তৎপর হয়ে উঠেছি।</t>
  </si>
  <si>
    <t>হিন্দুধর্মাবলম্বী কেউ মৃত্যুবরণ করলে নিয়ম অনুযায়ী মৃত ব্যক্তির সম্পত্তিতে সবার আগে তাঁর পুত্র, পুত্রের অনুপস্থিতিতে পৌত্র (পুত্রের পুত্র) এবং পুত্র ও পৌত্রের অনুপস্থিতিতে প্রপ্রৌত্র (পুত্রের পুত্রের পুত্র) সম্পূর্ণ সম্পত্তির উত্তরাধিকারী হন</t>
  </si>
  <si>
    <t>অসম্ভব বলে কিছুই আল্লাহ পাকের কাছে নেই।যত চাওয়া হয়,আল্লাহ ততই দিতে থাকেন তার অফুরন্ত নিয়ামাহ।</t>
  </si>
  <si>
    <t>কুইবেকের একটি মসজিদে বন্দুকধারী গুলি চালিয়ে ৬ জনকে হত্যা করে।</t>
  </si>
  <si>
    <t>যিনি জানেন আমার কোন জন্ম নেই, আমি অনাদি এবং সমস্ত লোকসমূহের মহেশ্বর, তিনি মোহশূন্য হয়ে সমস্ত পাপ থেকে মুক্ত হন। “</t>
  </si>
  <si>
    <t>এইরকমের একটা পবিত্র কোরআনের উপরে অবহেলা ও অবমাননা তা মেনে নেওয়ার মতো না আমরা সবাই যার যার স্থান থেকে তার প্রতিবাদ জানাই!!</t>
  </si>
  <si>
    <t>আওরঙ্গজেবের রাজত্বের শেষ নাগাদ সতীদাহ ছিল "কিছু রাজার স্ত্রী ছাড়া, ভারতীয় নারীরা একেবারেই পুড়ে যায়"।</t>
  </si>
  <si>
    <t>লোকগুলোকে একটি সারিতে দাঁড় করিয়ে বার্স্ট ফায়ার করে হত্যা করা হয়। প্রমোদ রায়, নবদ্বীপ রায় এবং হরিদাস রায় বুলেটের আঘাতে জর্জরিত হয়ে বেঁচে যায়। তারা সারা জীবনের জন্য বিকলাঙ্গ হয়ে পড়ে।</t>
  </si>
  <si>
    <t>ওয়াজ যে শোন, ওয়াজে কত ধরনের কথাই বকে, ভেবে দেখেছো? মানুষকে হত্যা করতে বলে, বাজে কথা বলে। হিংসা ছড়ানো হয় খেয়াল করেছো? শুনে ধর্ম মানতে হবে কেন? নিজে পড়েই ধর্ম মানো।</t>
  </si>
  <si>
    <t>এর মধ্য দিয়ে ২০১৫ সালের পয়লা জানুয়ারির আগে যে অমুসলিমরা ভারতে গিয়েছেন তারা সেখানে নাগরিকত্বের জন্য আবেদন করতে পারবেন।</t>
  </si>
  <si>
    <t xml:space="preserve">মানববন্ধনে সম্মিলিত আলেম সমাজের সভাপতি হাফেজ মাওলানা সাইফুল ইসলাম বলেন, জাতিসংঘের প্রস্তাবের বিরুদ্ধে যারা ভেটো দিয়েছে তাদের আমরা ধিক্কার জানাই। </t>
  </si>
  <si>
    <t>বিভিন্ন স্থানে, মৃত ব্যক্তির পক্ষ থেকে আল্লাহর কাছে ক্ষমা প্রার্থনা করা একটি সাধারণ ঐতিহ্য, যে কারণে লোকেরা তাদের প্রিয়জনদের কবর জিয়ারত করে, প্রার্থনা করে এবং তাদের প্রিয়জনদের কবরে মোমবাতি এবং সুগন্ধি কাঠি জ্বালায়। </t>
  </si>
  <si>
    <t xml:space="preserve">রাষ্ট্রের সম্মাননা প্রাপ্ত ২১শে পদকে ভূষিত পূজনীয় ডক্টর জিন বোধি মহাথের ভান্তে কে যারা শারীরিক নির্যাতনের মাধ্যমে লাঞ্ছিত করেছে তাদের কঠিন শাস্তির দাবি জানাচ্ছি! </t>
  </si>
  <si>
    <t>ফেসবুকে ধর্ম নিয়ে অনেকক্ষণ বাক বিতণ্ডার ফলে একজন অন্যজনকে জীবনে মেরে ফেলার হুমকি দেয়</t>
  </si>
  <si>
    <t>কথাগুলো হলো ২০১৯ সালের, এখনো মনে আছে। বসীরার এই সিরিজটি দেখে নিজেকে পরিবর্তন করেছিলাম এবং মহান আল্লাহর প্রেমে পড়ে গিয়েছিলাম।</t>
  </si>
  <si>
    <t>চেক রিপাবলিকে এক মুসলিম শিক্ষার্থীকে স্কুলে হিজাব পরার কারণে সহপাঠীরা শারীরিকভাবে লাঞ্ছিত করে।</t>
  </si>
  <si>
    <t>আল্লাহ তাআলার কিতাবের একটি হরফ যে ব্যক্তি পাঠ করবে তার জন্য এর সওয়াব আছে। আর সওয়াব হয় তার দশ গুণ হিসেবে। আমি বলি না যে, আলিফ-লাম-মীম একটি হরফ, বরং আলিফ একটি হরফ, লাম একটি হরফ এবং মীম একটি হরফ।’</t>
  </si>
  <si>
    <t>আল্লাহ ছাড় দেয় কিন্তু ছেড়ে দেয় না তসলিমা নাসরিন কোরআন অবমাননার কারণে আল্লাহর গজব এ পঙ্গু হয়ে পড়ে আছে ইনশাআল্লাহ ওই ব্যক্তির আল্লাহর গজব থেকে রেহাই পাবে না</t>
  </si>
  <si>
    <t>আমরা ধর্মের নামে সমাজের মধ্যে অপমান এবং বিভ্রান্তি প্রসারিত করে আসতে দেখেছি। এটি সমাজের একটি প্রধান অপরাধ এবং আমাদের আইনব্যবস্থাকে বিপর্যস্ত করে দেয়।</t>
  </si>
  <si>
    <t>বাংলাদেশ জাতীয় মানবাধিকার কমিশনের প্রধান মিজানুর রহমান, এ প্রসঙ্গে বলতে গিয়ে বলেন; বাংলাদেশ সরকার নির্বাচনের পরে, হিন্দুদের উপর আক্রমণ প্রতিহত করতে সম্পুর্ণভাবে ব্যর্থ হয়েছে।</t>
  </si>
  <si>
    <t>নোটিশ পাওয়ার যৌক্তিক সময়ের মধ্যে প্রচলিত আইন সংশোধনক্রমে কারো ধর্মীয় অনুভূতিতে আঘাতসহ রাসুল সাল্লাল্লাহু আলাই সালামকে কটূক্তির সাজা সর্বোচ্চ করার লক্ষ্যে প্রয়োজনীয় ব্যবস্থা গ্রহণ করার জন্য  অনুরোধ করা হয়েছে। অন্যথায় সংশ্লিষ্টদের বিরুদ্ধে আইনগত ব্যবস্থা গ্রহণ করা হবে।</t>
  </si>
  <si>
    <t>আমরা কিন্তু বলছি, যারা বয়স্ক, যাদের নিয়ে শংকা আছে, বা বিদেশ থেকে যারা এসেছেন, তারা সীমিতভাবে মানে নামাজে ভিড় করাটা আমরা নিষেধ করেছি। আমরা মসজিদের ইমাম এবং খতিবদের মাধ্যমে এ ব্যাপারে সচেতনতা তৈরির চেষ্টা করছি।</t>
  </si>
  <si>
    <t xml:space="preserve">ধর্ম মানুষের বিভেদের জন্য নয়, তা মানুষ-মানুষের মিলনের মাধ্যম। ভারতের মতো বৈচিত্র্যময় দেশে নানা ধর্মের মানুষের সহাবস্থান। </t>
  </si>
  <si>
    <t>কয়েকজন মানুষ বসে একসাথে ইফতারের মাধ্যমে পলিটিক্যাল এক্টিভিটি নিয়ে আলোচনা করতে পারে।</t>
  </si>
  <si>
    <t>আরে ভাই-কার মাযহাবে আমিন আস্তে বা জোড়ে,তারাবী ৮ বা ৩০ রাকাত,ফরজ নামাজের পর দোয়া করা বা না করা ইত্যাদি বিষয় নিয়ে এত কেন বাড়াবাড়ি ?????</t>
  </si>
  <si>
    <t>এই ভাষণ দেওয়ার আগে বলুন, ভারতে যে সমস্ত হিন্দু, বৌদ্ধ, শিখদের মন্দির, গুম্ফা, গুরুদ্বারা ভেঙে মুসলমানরা মসজিদে রূপান্তরিত করেছে, সেই মসজিদগুলো কেন ভাঙা হবে না?</t>
  </si>
  <si>
    <t>শত কিছুর পর বারবার ফিরে আসতে চাই আল্লাহর রহমতের ছায়ায়। আমার রব ক্ষমাশীল। ধন্যবাদ প্রিয় চ্যানেল Bassera এত সুন্দর করে উপস্থাপন করার জন্য।</t>
  </si>
  <si>
    <t>সুইডেনের সেই কর্মকর্তার ফাঁসি চাই সুইডেনের তীব্র নিন্দা জানাচ্ছি আল্লাহ তুমি তার বিচার করো</t>
  </si>
  <si>
    <t xml:space="preserve">সংখ্যালঘুদের ওপর হামলা চলছেই, পিরোজপুরের গ্রামে মন্দির ভাঙচুর </t>
  </si>
  <si>
    <t>বুঝলাম জগন্নাথ হল হিন্দু দের কিন্তু বাকি টা তো মুসলিম দের তো সেখানে তারা কেনো ইফতার করতে পারবে না!!!!!?</t>
  </si>
  <si>
    <t>পর্তুগীজ বসবাসকারীরাই হলেন বাংলার প্রথম খ্রিস্টান, দেশীয় খ্রিস্টানরা হলেন তাদের বংশধর। পরবর্তীতে খ্রিস্ট ধর্মবিশ্বাসের বিস্তার লাভের মাধ্যমে খ্রিস্টান জনগণের সংখ্যাও বৃদ্ধি পায়।</t>
  </si>
  <si>
    <t>সরকার-সমর্থিত বাহিনী মায়ান ধর্মাবলম্বী আদিবাসীদের উপর ব্যাপক হত্যাযজ্ঞ চালায়, যার ফলে হাজার হাজার মানুষ নিহত হন।</t>
  </si>
  <si>
    <t>সিরিয়ার গৃহযুদ্ধে ধর্মীয় বিভক্তির কারণে লক্ষাধিক মানুষ প্রাণ হারিয়েছে, যার মধ্যে শিয়া ও সুন্নি মুসলিমদের মধ্যে সংঘর্ষ অন্যতম কারণ।</t>
  </si>
  <si>
    <t>হিন্দুদের উপর মুসলিমদের বর্বর নির্যাতন সেখানকার প্রকৃত শিক্ষিত মুসলিমদের মনে সীমাহীন লজ্জা ও গ্লানির সূত্রপাত করেছিল।[৪৭] এসময়ে সেখানকার কয়েকজন রাজনৈতিক ব্যক্তিত্ব যেমন আতাউর রহমান খান, শেখ মুজিবুর রহমান, মামুদ আলী, জিল্লুর হোসেন, তোফাজ্জল হোসেন কয়েকটি আশ্রয়কেন্দ্র পরিদর্শন করেন।</t>
  </si>
  <si>
    <t>উত্তাল চাঁদপুরে হাজীগঞ্জ উপজেলা ৭জন গুলিবিদ্ধসহ, নিহত ৪জন। এই মাত্র চাঁদপুর হাজীগঞ্জ বাজারে পুলিশের গুলিতে চার জন নিহত পবিত্র কুরআনের অবমাননার প্রতিবাদ করায়। পুলিশের বিশেষ উপহার পাইলো চাঁদপুর হাজীগঞ্জ বাসি।</t>
  </si>
  <si>
    <t>ধর্মকে নিচু দেখিয়ে সামাজিক এই অবক্ষয় দূর করতে আশা করি আপনারা সফল হবেন।</t>
  </si>
  <si>
    <t>হায়রে ধর্মান্ধ, মুসলিম গৌতম বৌদ্ধ বলে গেছেন যে আর্য মিয়া বৌদ্ধ কথা আর তিনি নিজের মতো বানিয়ে গেলেন জাকির সাহেব।</t>
  </si>
  <si>
    <t>ত্রি-চীবর হলো চার খণ্ডের পরিধেয় বস্ত্র, যাতে রয়েছে দোয়াজিক, অন্তর্বাস, চীবর ও কটিবন্ধনী। এই পোশাক পরতে দেয়া হয় বৌদ্ধ ভিক্ষুদের। প্রতি বছর নির্দিষ্ট সময়ে, সাধারণত আষাঢ়ী পূর্ণিমা থেকে শুরু হওয়া অনুষ্ঠানের মাধ্যমে এই পোশাক বৌদ্ধ ভিক্ষুদেরকে দেয়া হয়। </t>
  </si>
  <si>
    <t>ধর্মীয় মৌলবাদের উদাহরণ দিতে গিয়ে সবধর্মকেই টেনে আনা হয়েছে নিরপেক্ষতা বজায় রাখার জন্য। কিন্তু বাস্তব হলো একটি বিশেষ ধর্ম সম্প্রদায়ের ক্ষেত্রেই এটা প্রযোজ্য।</t>
  </si>
  <si>
    <t>সারা বিশ্বের মুসলমানরা কুরআন পুরানো প্রতিবাদ করে কিন্তু আমাদের দেশের বানর থেকে বিবর্তন হওয়া সরকার মনে মনে খুব খুশি হয়েছে।</t>
  </si>
  <si>
    <t>মুসলিম হিসাবে এ ঘটনার আমি চরম নিন্দা ও প্রতিবাদ জানাই। পূজা উদযাপন কমিটির উদাসীনতা ও কর্তৃপক্ষের জননিরাপত্তা হীনতা এর পিছনে দায়ী নয় কি?</t>
  </si>
  <si>
    <t>বিজেপি মুখপাত্রদের রাসুল সা.কে উদ্দেশ্য করে অবমাননাকর বক্তব্যের পর এতদিন নিরব ভ‚মিকা পালনকারী মধ্যপ্রাচ্যসহ অর্ধশতাধিক মুসলিম রাষ্ট্রে তীব্র প্রতিক্রিয়া দেখা দেয়ার প্রেক্ষাপটে বিজেপি সরকার নতজানু হওয়ার পর ভারতের সুশীল সমাজের একটি অংশ এবং মিডিয়া কিছুটা যেন নড়েচড়ে বসেছে।</t>
  </si>
  <si>
    <t>আপনার এই অসাধারণ কথা গুলো শুনে বিশেষ করে কুরআন দিয়ে ব্যাখ্যা, দিন দিন আল্লাহর সাথে সম্পর্কটা আরো গভীর হচ্ছে আলহামদুলিল্লাহ</t>
  </si>
  <si>
    <t>লেডি এভলিনের আত্মজীবনীর ভূমিকায় ইতিহাসবিদ উইলিয়াম ফেইসি লিখেছেন, "বেশিরভাগ ধর্মান্তরিত মুসলমান আকৃষ্ট হয়েছিলেন এ ধর্মটির আধ্যাত্মিক দিকের প্রতি।"</t>
  </si>
  <si>
    <t>তাই উদ্দেশ্যেপ্রণোদিতভাবে প্রচার করা এসব খবর এর সত্যতা না জেনে এর প্রসার ঘটাবেন না।</t>
  </si>
  <si>
    <t xml:space="preserve">আর মানুষের পাপ যত বেশিই হোক, অবাধ্যতা যত বেশিই হোক, আমি আল্লাহ পাকের করুণার ব্যাপারে কখনও নিরাশ হই না। </t>
  </si>
  <si>
    <t>ফ্রান্সে মুসলমানদের ওপর অত্যাচার নির্যাতন চলছে, নবীর ব্যঙ্গচিত্র প্রদর্শিত হচ্ছে। নবীকে অপমান করা হচ্ছে। আমরা চুপ করে বসে থাকতে পারিনা।</t>
  </si>
  <si>
    <t>পাখির মতো গুলি করে মুসলমানদের হত্যা করবো</t>
  </si>
  <si>
    <t>তুমি পারবেনা ইসলামের সংখ্যা কমাতে: দিন দিন এর সংখ্যা বেড়েই যাবে : সারা পৃথিবীর জড়িফ করে দেখ:</t>
  </si>
  <si>
    <t>ইহুদি ধর্মের মধ্যে একটি আন্দোলন হিসাবে খ্রিস্টধর্মের সূচনা থেকে , প্রাথমিক খ্রিস্টানরা ইহুদি এবং রোমান সাম্রাজ্য উভয়ের হাতে তাদের বিশ্বাসের জন্য নির্যাতিত হয়েছিল , যারা খ্রিস্টধর্ম প্রথম বিতরণ করা হয়েছিল এমন অনেক অঞ্চলকে নিয়ন্ত্রণ করেছিল ।</t>
  </si>
  <si>
    <t>এই ভিডিও টা আমি ফেসবুকে সব দেখেছি । আসলে এতো বিস্তারিত ভাবে আর এত সূক্ষ্ম ভাবে আলোচনা করেছে , যাতে অন্য ধর্মের যেকোনো লোককে বিশ্বাস করতে হবে যে কোরআন আল্লাহর থেকে প্রেরিত!</t>
  </si>
  <si>
    <t>ইজরায়েল কর্তৃক প্যালেস্টাইনে যে গণহত্যা চলছে তা কোনভাবেই মেনে নিতে পারেনি বুশলেন।সেখানে কোনক্রমেই ধর্মযুদ্ধ হচ্ছেনা।সেখানে প্যালেস্টাইনের স্বাধীনতা প্রতিষ্ঠার সংগ্রাম চলছে</t>
  </si>
  <si>
    <t>কোরআন পোড়ানোর প্রতিবাদে তীব্র নিন্দা ও প্রতিবাদ জানাচ্ছি সেই সেই সঙ্গে বলতে চাই পবিত্র আল-কোরআন মহান আল্লাহর নাযিলকিত কিতাই তাই আল্লাহর গজব অনিবার্য হোক ইহুদি খ্রিস্টানদের উপর</t>
  </si>
  <si>
    <t>সিন্ধি বাহিনীকে হারিয়ে হিন্দু গণহত্যা করে ও তাদের দাসে পরিণত করেছিল । পরে হাজ্জাজ অন্য হিন্দু ও বৌদ্ধ রাজাদের দ্বারা পরিচালিত রাজ্যগুলিতে আক্রমণ করেছিল,</t>
  </si>
  <si>
    <t xml:space="preserve">জানেন কি প্রাচীনকালের বাংলায় কেমন ছিল এই ধর্ম? তখন বাঙালির পূর্বপ্রজন্ম কোন ধর্ম অবলম্বন করত? </t>
  </si>
  <si>
    <t>মানুষ যদি ভগবান হয় বা আপনি বা অন্য কেউ যদি ভগবান হন তাহলে আসল ভগবান কে?উপরে যে আছে সে-ও ভগবান আবার নেচে মনুষ্যত্ব রূপে যে আছে সে-ও ভগবান। তবে তফাৎ কোন্ জায়গায়?</t>
  </si>
  <si>
    <t>মহেশ্বরপাশা, পাবলা,চন্দনীমহল, দৌলতপুরসহ আশেপাশের হিন্দুপ্রধান জনবসতি গুলোর উপর তীব্র আক্রোশে আক্রমণ শুরু করে।সেখানকার হিন্দুদের বাড়ি-ঘর, ব্যবসাপ্রতিষ্ঠান, ধর্মস্থান লুট ও অগ্নিসংযোগ শুরু করে তারা।</t>
  </si>
  <si>
    <t>তাসকিনের বউ বোরকা পরবে নাকি অন্যকিছু তা নিয়ে এই ব্যাক্তি বলার কে? অন্য কোন ধর্মের হলে এতক্ষণ সেও মানূষ এই কাহিনি প্রচারিত হত।</t>
  </si>
  <si>
    <t>হিন্দু ধর্ম হচ্ছে দর্শনের সমন্বয়ে একটা পরম্পরা। একেকটি সম্প্রদায়ের একেকটি দর্শন রয়েছে। এই যে শাক্ত সম্প্রদায়ের একেবারে বিপরীতে রয়েছে বৈষ্ণব সম্প্রদায়। আবার সবাই যে বেদের পক্ষে তা নয়। </t>
  </si>
  <si>
    <t>খ্রিস্ট ধর্ম বা সনাতনী ধর্মেও আত্মহত্যাকে মহাপাপ হিসেবে বিবেচনা করা হয়। ধর্মগুরুরা বলছেন, জীবন দান করেছেন ঈশ্বর। আবার সেই জীবন কেড়ে নেওয়ার অধিকারও একমাত্র তার। মানুষের কোনো অধিকার নেই আত্মহননের।</t>
  </si>
  <si>
    <t>আল্লাহর নির্দেশনা মেনে চললে আমরা জীবনের সঠিক পথে থাকি এবং জীবনের সকল চ্যালেঞ্জ মোকাবিলা করার শক্তি পেয়ে যাই।</t>
  </si>
  <si>
    <t>তিনিই তাঁর রসূলকে হেদায়েত ও সত্য ধর্মসহ প্রেরণ করেছেন, যাতে একে অন্য সমস্ত ধর্মের উপর জয়যুক্ত করেন। সত্য প্রতিষ্ঠাতারূপে আল্লাহ যথেষ্ট।</t>
  </si>
  <si>
    <t>আলহামদুলিল্লাহ, সেই অর্থে বাংলাদেশে কোন দাঙ্গা নেই। রয়েছে ধর্মীয় সহাবস্থান এবং সাম্প্রদায়িক সম্প্রীতি। এ সম্প্রীতিতে শকুনের চোখ পড়া অস্বাভাবিক কিছু না। তাই, সজাগ থাকতে হবে। ধীরেসুস্থে মোকাবিলা করতে হবে।</t>
  </si>
  <si>
    <t>তাকে জান্নাত জাহান্নাম দেবে সেটা সম্পূর্ণ আল্লাহর হাতে কিন্তু আমি দোয়া করতেছি আল্লাহ যেন তাকে চিরস্থায়ী জাহান্নামে দেন এবং দুনিয়াতেও তার শাস্তি ভোগ করে যায়</t>
  </si>
  <si>
    <t>কোরআনে বর্ণিত আছে যে, আল্লাহ বলেন আমি কোরআন নাযিল করেছি, এবং কোরআন আমি নিজেই সংরক্ষণ করবো। হে আপনি আমাদের ধর্মগ্রন্থ কোরআনকে হেফাজত করুন আমিন।</t>
  </si>
  <si>
    <t>বস্তুত পরকালীন দীর্ঘমেয়াদি কঠোর শাস্তির তুলনায় পার্থিব জীবনের দুঃখ-ক্লেশ অতি নগণ্য। </t>
  </si>
  <si>
    <t>দাদা মারা গেলেন ৩০ শে রমজান আসরের নামাজের পর। কী অদ্ভুত সুন্দর সেই মৃত্যু। আমি নিজের চোখে কালিমা পড়তে পড়তে মৃত্যু ঐ প্রথমবার দেখেছিলাম।</t>
  </si>
  <si>
    <t>আমার বাসার পাশে যে কীর্তনে হামলা হইল! তখন তো কেউ মুখ খুলল না? তখন মুখ খুলেন না কেন?</t>
  </si>
  <si>
    <t>আত্মহত্যা মানে নিজকে নিজে ধ্বংস করা। নিজ আত্মাকে চরম কষ্ট ও যন্ত্রণা দেওয়া। নিজ হাতে নিজের জীবনের যাবতীয় কর্মকাণ্ডের পরিসমাপ্তি ঘটানো। ইসলামি দৃষ্টিকোণে আত্মহত্যা একটি জঘন্যতম মহাপাপ।</t>
  </si>
  <si>
    <t>হে আল্লাহ! আপনি পবিত্র কুরআন কে হেফাজত করুন। যারা পবিত্র কুরআন অবমাননা করছে, তাদের আপনি আপনার গজব দিয়ে চিরতরে ধংস করে দেন। আমিন।</t>
  </si>
  <si>
    <t>১৯৮৩ সালে আসাম রাজ্যে নেলি গণহত্যার ঘটনা ঘটে। নেলি নামে একটি গ্রামে বাঙালি বংশোদ্ভূত প্রায় ১,৮০০ মুসলমানকে লালুং উপজাতির লোকেরা (তিওয়া নামেও পরিচিত) হত্যা করেছিল।</t>
  </si>
  <si>
    <t>Mahakumbh Stampede: মহাকুম্ভে পদপিষ্ট হয়ে ৩০জনের মৃত্যু, জানালেন ডিআইজি, কতজনকে শনাক্ত করা গেল?</t>
  </si>
  <si>
    <t>বিখ্যাত ইতিহাসবিদ রাকেশ ব্যাটবলের মতে,এই দুরবস্থা কখনই স্বাভাবিক হয়নি হিন্দুদের জন্য।[৬৭] বিক্ষিপ্ত ভাবে দাঙ্গা চলছিল এবং পুলিশ বাহিনীও নুন্যতম প্রতিরোধের ব্যবস্থা করতে পারেনি।</t>
  </si>
  <si>
    <t>আল্লাহ পাক রাব্বুল আলামিন যেন আমাদের কে মাফ করে, আমার প্রিয় হাবিব কারীম (সা :) উসিলায় জান্নাতুল ফেরদৌসের উচ্চ মাকাম দান করেন আমিন</t>
  </si>
  <si>
    <t>কাহারোল অতন্ত্য শান্তিপূর্ণ একটি এলাকা এবং অসাম্প্রদায়িক। এই অসাম্প্রদায়িকতা কে নস্ট করার জন্য একটি মহল ধর্মীয় উষ্কানি প্রদান করছে।</t>
  </si>
  <si>
    <t>মৃত ব্যক্তিকে এমন এক ঘেরা জায়গায় নিতে হবে, যেখানে কেউ তাকে দেখতে পাবে না। যারা তাকে গোসল করানোর কাজে সরাসরি অংশগ্রহণ করবে এবং যারা তাদেরকে সহযোগিতা করবে, তারা ছাড়া আর কেউ তার কাছে যাবে না।</t>
  </si>
  <si>
    <t>১৯৯৮ সালের মে মাসে ইন্দোনেশিয়ায় চীনা বংশোদ্ভূত সংখ্যালঘুদের বিরুদ্ধে সহিংসতা, যেখানে শতাধিক মানুষ নিহত হয়।</t>
  </si>
  <si>
    <t xml:space="preserve"> সোমালিয়ার আল-শাবাব জঙ্গিরা কেনিয়ার গারিসা বিশ্ববিদ্যালয়ে খ্রিস্টান শিক্ষার্থীদের টার্গেট করে হামলা চালায়, যেখানে ১৪৮ জন নিহত হন।</t>
  </si>
  <si>
    <t>মানুষ ক্রমশ বেশি স্বার্থপর হয়ে উঠছে।রাষ্ট্রসঙ্ঘ,শক্তিশালী দেশের নেতারা তালিবান দের এই ভাবে গায়ের জোরে দেশ দখল মেনে নিচ্ছে!!! কোন দিকে আমরা এগোচ্ছি,আমরা তো মনে হচ্ছে আবার পিছনের দিকে এগোচ্ছি!</t>
  </si>
  <si>
    <t>খাইরুন নাহার এই শুয়োরের বাচ্চাদের অত্যাচারে মারা গেছেন। উনি আত্মহত্যা করেননি উনাকে খুন করা হয়েছে</t>
  </si>
  <si>
    <t>ধর্মের নামে বিভেদ , উগ্রতা, মারামারি, কাটাকাটি, দেশ ভাগ এ সব সেই 1946/47 থেকে বিশেষ ভাবে শুরু হয়েছে নেহরু আর গান্ধীর ইচ্ছাকৃত ভূলে । বিষ বৃক্ষ তখনই রোপন করা হয়ে গেছে ।।এর থেকে নিস্তার পাওয়া বোধ হয় খুব সহজ হবে না ।</t>
  </si>
  <si>
    <t>অনেক খ্রিস্টান পরিবারকে জীবন্ত পুড়িয়ে মারা হয়েছিল। [ 8 ] সহিংসতার হুমকির মুখে হাজার হাজার খ্রিস্টানকে হিন্দু ধর্মে ধর্মান্তরিত করতে বাধ্য করা হয়েছিল।</t>
  </si>
  <si>
    <t>মোগল সম্রাট ঔরঙ্গজেব বিশ্বনাথ মন্দির ধ্বংস করেন এবং মন্দিরের ধ্বংসাবশেষের একটি অংশের উপরেই জ্ঞানবাপী মসজিদ তৈরি করা হয়</t>
  </si>
  <si>
    <t>ইসলামের শিক্ষা অনুযায়ী, একজন মুসলিম কেবল আল্লাহর প্রতি তার কর্তব্যই পালন করে না, বরং তার সমাজের প্রতি ন্যায়বিচার এবং শান্তি বজায় রাখতে সাহায্য করে।</t>
  </si>
  <si>
    <t xml:space="preserve">যে জায়গায় ৫% মানুষ এর জন্য একটা বিশ্ববিদ্যালয় এ স্বরসতী পুজা হয় সে জায়গায় ৯৫% এর জন্য কেন ইফতার মাহফিল এর অনুমতি দিবে না? </t>
  </si>
  <si>
    <t>ইসলামবিদ্বেষী মনোভাব থেকে টেনেসির একটি মসজিদে আগুন ধরিয়ে দেওয়া হয়, যা যুক্তরাষ্ট্রে ক্রমবর্ধমান মুসলিমবিরোধী ঘৃণামূলক অপরাধের দৃষ্টান্ত।</t>
  </si>
  <si>
    <t>আমরা বলি যে মার্কিন যুক্তরাষ্ট্রের সমাপ্তি আসন্ন, বিন লাদেন বা তার অনুসারীরা জীবিত থাকুক বা মৃত, মুসলিম উম্মাহ জেগে ওঠেছে।</t>
  </si>
  <si>
    <t>কিছু ভারতীয় পণ্য আছে ৯০% মানুষের হাতের নাগালে। সেসব প্রচার করোন। আন্দোলন অনেকটা সফল আরো সফল হবে।ইনশাআল্লাহ</t>
  </si>
  <si>
    <t>ধর্মীয় অনুভূতিতে আঘাতের অভিযোগ করে ২০১৬ সালের ‘খাঁটি আহলে সুন্নাত ওয়াল জামাত’ নাসিরনগর সরকারি কলেজ মোড়ে বিক্ষোভ ও সমাবেশের ডাক দেয়। </t>
  </si>
  <si>
    <t>স্বামী মারা গেলে তার স্ত্রীকে তার সাথে পুড়িয়ে দেওয়া হয়, যদি সে বেঁচে থাকে, যদি সে না থাকে তবে তার মাথা ন্যাড়া করা হয় এবং তারপরে তার কোন হিসাব নেওয়া হয় না।</t>
  </si>
  <si>
    <t>অনেককেই দেখি ধর্ম নিয়ে খুব পোস্ট করে কিন্তু ওনারা অনেক সুদ ঘুষ বড় বড় হারাম কারবারের সাথে জড়িত।</t>
  </si>
  <si>
    <t>যদিও ইসলামের মধ্যে অনেক সাম্প্রদায়িক আন্দোলনের উদ্ভব হয়েছে, তবে সমস্ত মুসলমান একটি অভিন্ন বিশ্বাস এবং একক সম্প্রদায়ের অন্তর্গত বোধ দ্বারা আবদ্ধ ।</t>
  </si>
  <si>
    <t>ইসলাম ধর্ম ও মুসলিম বোনদের ছবি নিয়ে কটুক্তিকর পোস্ট করার জন্য সনাতনী আর্মি ভার্সন২.০ নামক নাস্তিক পেইজ রিমোভ করা হলো</t>
  </si>
  <si>
    <t>একাত্ম তখনই করবো যখন শুধুমাত্র যৌক্তিক বক্তব্য দেবেন, এরকম হিংসাত্মক আলাপ না করে।</t>
  </si>
  <si>
    <t>বাংলাদেশে একাধিক মন্ত্রী বলেছেন, ধর্ম অবমাননার গুজব ছড়িয়ে কোন কোন গোষ্ঠী পর পর কয়েকটি সহিংস ঘটনা ঘটিয়ে অস্থিরতা সৃষ্টির চেষ্টা করেছে বলে সরকার মনে করছে।</t>
  </si>
  <si>
    <t>পুজা শুধু জগন্নাথ হলে হয়েছে।পুরো ক্যম্পাসে,যত্রতত্র, ডিপার্টমেন্টের আনাচে-কানাচে তো আর পুজার ব্যবস্থা করা হয়নি। পুজা হওয়া নিয়ে এতো চুলকানি কিসের!এতো হিংসা বিদ্বেষ কিসের!</t>
  </si>
  <si>
    <t>তীব্র নিন্দা ও প্রতিবাদ জানাই। যে-ই এই কাজ করেছে ইনশাআল্লাহ বিচার অবশ্যই আল্লাহর কাছে পাবেই।সংঘাত নয় শান্তি চাই।কোরআন অবমাননাকারীর বিচার চাই।</t>
  </si>
  <si>
    <t>ওকলাহোমায় থাকার সময়ে যখন এর অনুসারীরা তাদের প্রচারণা চালাচ্ছিল তখনই মন্দিরটি সম্পর্কে জানতে পারি আমি।</t>
  </si>
  <si>
    <t xml:space="preserve">আত্মহত্যার প্রধান দুটি কারণ হলো হতাশা ও ভুল প্রত্যাশা: মুমিন বা বিশ্বাসী ব্যক্তি কখনো হতাশাগ্রস্ত হন না। </t>
  </si>
  <si>
    <t> ভক্তগণ প্রতিটি মন্দিরে বহু প্রদীপ প্রজ্জ্বলিত করেন, ফুলের মালা দিয়ে মন্দিরগৃহ সুশোভিত করে বুদ্ধের আরাধনায় নিমগ্ন হন।</t>
  </si>
  <si>
    <t>বিধবাকে তার মৃত স্বামীর সাথে পুড়িয়ে মারার মতো সতী প্রথাটি গুপ্ত-পরবর্তী সময়ে, ৫০০ খ্রিস্টাব্দের পরে প্রবর্তিত হয়েছিল বলে মনে হয়।</t>
  </si>
  <si>
    <t>বরিশাল জেলায় গৌরনদী উপজেলার নলচিরা ইউনিয়নে একটি হিন্দু মন্দিরে আগুন দেওয়া হয়। পিংলকাঠি সর্বজনীন দুর্গা মন্দির ভাঙচুর করা হয়।</t>
  </si>
  <si>
    <t>ফরাসী পণ্য বর্জন: আরব দেশগুলোকে বয়কট ঠেকানোর আহ্বান ফ্রান্সের</t>
  </si>
  <si>
    <t>যদিও সব ধর্মে আত্মহত্যা নিষিদ্ধ সমাজ-রাষ্ট্রে পায় না প্রশ্রয় চিকিৎসাশাস্ত্রে বৈধ নয় ইচ্ছেমৃত্যু</t>
  </si>
  <si>
    <t>আমরা পুরুষরা (ভাইরা, বাবারা, সামীরা) যদি সচেতন হতাম এই দূরাবস্থা দেখা লাগতো না যে মেয়েরা রোজা রাখছে না।"</t>
  </si>
  <si>
    <t>ধিক্কার জানাই সুইডেন কে আমাদের পবিত্র কোরআন কে অপমাননার জন্যে । ধন্যবাদ এরদোয়ান কে</t>
  </si>
  <si>
    <t xml:space="preserve"> তাদের সাথে কথা কাটাকাটি হয়। ওনারা নাকি একটা শেলফে পা দিয়েছিলেন। তো সেটা নিয়ে কেউ বলছেন কোরআন শরীফের ওপর পা পড়েছে- এরকম একটা গুজব হয়তো ছড়িয়ে পড়েছে।</t>
  </si>
  <si>
    <t>সে রোজা নিয়ে বাজে মন্তব্য করে এবং নবিকে নিয়ে খারাপ মন্তব্য করে। যার ধর্ম তার কাছে তোমার হঠাৎ মুসলিম দের নিয়ে লাগছো কেন বোন</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</si>
  <si>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</si>
  <si>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 তানোর, নাচোল, গোমস্তাপুর পুলিশ স্টেশনের নিয়ন্ত্রণাধীন গ্রাম্যএলাকা গুলোতে বৃহৎ পরিসরে বীভৎস হত্যা, ধর্ষণ, লুটপাট, অগ্নিসংযোগ শুরু করা হয়।[৩৬] হিন্দুদের ঘরবাড়ি জোর করে দখল করে নেয় মুসলিমরা। হিন্দু মহিলাদেরকে গণধর্ষণ করে তারা।</t>
  </si>
  <si>
    <t>আসুন নিজে ধর্মীয় অনুশাসন মেনে চলার পাশাপাশি অন্যকেও আহ্বান জানাই প্রকৃতির সঙ্গে সামঞ্জস্যপূর্ণ এ শাশ্বত সত্যের ধর্মে।</t>
  </si>
  <si>
    <t>মনের মধ্যে এই উক্তিগুলোর অনুভুতি অনেক দিন ধরেই ঘুরপাক খাচ্ছিলো তবে এই ভিডিওটি দেখার পর এই অনুভুতিগুলি সংজ্ঞায় রূপ নিলো</t>
  </si>
  <si>
    <t>‘এটি একটি নারকীয় ঘটনা। দেশের এই সময়ে এই ঘটনা লজ্জার। দেশের হিন্দু সম্প্রদায় মৌলবাদ দ্বারা বিভিন্নভাবে অত্যাচারিত হচ্ছে। দেয়ালে পিঠ ঠেকে গেছে আমাদের।’</t>
  </si>
  <si>
    <t>ইসলামের নবী মুহাম্মদের স্ত্রী এবং প্রথম ইসলাম ধর্ম গ্রহণকারী ব্যক্তি বিবি খাদিজা নিজে ব্যবসায়ী ছিলেন এবং তিনি মক্কার ব্যবসায়ী সমিতির প্রধান ছিলেন।</t>
  </si>
  <si>
    <t>১৯৪৮ সালের পূর্বে অবহেলিত ইহুদিদের জন্য ফিলিস্তিনিরা নিজেদের খাবার ও বসবাসের জায়গা দিয়েছিল অসহায় হিসেবে, কিন্তু তারপরই এই ইহুদিরাই আজ নিরীহ ফিলিস্তিনিদের হত্যা করছে।</t>
  </si>
  <si>
    <t>যারা এই জঘন্য হত্যা কান্ড করেছে তাদের কে আইনের আওতায় এনে অতিদ্রুত উপযুক্ত বিচার করা হোক,,,</t>
  </si>
  <si>
    <t>সপ্তাহ খানেক আগে গাড়ি সংক্রান্ত এক বিরোধের জেরে মুসলিমরা বৌদ্ধ এক তরুণকে পিটিয়ে হত্যা করেছে- এরকম একটি অভিযোগের পর সেখানে উত্তেজনা ছড়িয়ে পড়ে।</t>
  </si>
  <si>
    <t>২০১৬ সালের নাসিরনগরের সাম্প্রদায়িক সহিংসতায় ৩০ অক্টোবর নাসিরনগর উপজেলায় ইসলামিক উগ্রপন্থীদের দ্বারা সংখ্যালঘু হিন্দু সম্প্রদায়ের উপর হামলা হয়েছিল।</t>
  </si>
  <si>
    <t>সৈন্যরা এবং বিহারী সহযোগীরা আশ্রম থেকে মূল্যবান জিনিসপত্র এবং নগদ লুট করে।[৪] পরদিন সকালে সন্ন্যাসীদের মৃতদেহ ফরিদপুর পৌরসভার একটি ট্রাক নিয়ে যায়।[৪] ২৬ শে এপ্রিল, পাকিস্তান সেনাবাহিনী ডায়নামাইট ব্যবহার করে মন্দিরের শিখর ধ্বংস করে দেয়।</t>
  </si>
  <si>
    <t>প্রাণের শহর কুমিল্লায়,একদল উগ্রপন্থী মুসলমানদের পবিত্র ধর্মগ্রন্থ আল কুরআনকে অবমাননা করার প্রতিবাদে আগামি জুমাবার,জুমা সালাত শেষে কাশিনগর কেন্দ্রীয় মসজিদ থেকে প্রতিবাদ মিছিল</t>
  </si>
  <si>
    <t>গুলজা গণহত্যাসহ উইঘুর মুসলমানদের ওপর চীন সরকারের চালানো নির্যাতনকে চরম মানবাধিকার লঙ্ঘন দাবি করে জাতিসংঘের অধীনে এসবের তদন্তের দাবি জানিয়েছে ইসলামিক প্রগতিশীল জনতা ফ্রন্ট।</t>
  </si>
  <si>
    <t>যে ব্যক্তি তার ধর্মে দৃঢ় থাকে এবং আখেরাতে সৎ কাজ করে, তার নেক আমল উজ্জ্বল হবে, এবং সে দুনিয়া ও আখেরাতে শান্তির অধিকারী হবে।</t>
  </si>
  <si>
    <t>শিক্ষিকার আত্মহত্যার সম্ভাব্য কারণ তার স্বামী কলেজ ছাত্র মামুনের মাদকের মামলায় আসামি হওয়া, বখাটেদের সঙ্গে মারামারি, নতুন মোটরসাইকেল চাওয়া, স্বজন ও প্রতিবেশীদের কটু কথা, সহকর্মীদের বাজে ব্যবহার, সংসার চালানোয় টানাপোড়েন</t>
  </si>
  <si>
    <t>আরএসএস মনে করে হিন্দু শব্দটি কোনও জাতিকে বোঝায় না, ভারতে বসবাসকারী সবাইকেই হিন্দু বলা উচিত।</t>
  </si>
  <si>
    <t>গৌতম বুদ্ধ বলেছেন, এক ও একক সৃষ্টিকর্তা ব্যতীত আর কোন ইশ্বর বা ভগবান নেই, যিনি তার সর্বোচ্চ ডাইমেনশনে অবস্থান করে বাকি সব ডাইমেনশনকে নিয়ন্ত্রণ করছেন।</t>
  </si>
  <si>
    <t>এদেশে মুসলমানরাই সবথেকে বেশি হেরেসমেন্ট আর সাইবার বুলিংয়ের শিকার হন।সকলের ঐক্যবদ্ব প্রতিবাদই এটা প্রতিরোধ করতে পারে।</t>
  </si>
  <si>
    <t>যে সময় আমি মরে যাব, তার জন্য আমি তোমার আশীর্বাদ চাই।</t>
  </si>
  <si>
    <t>কবরের শাস্তি (এছাড়াও কবরের যন্ত্রণা) হলো মৃত্যুর এবং বিচারের দিন পুনরুত্থানের মধ্যবর্তী সময়ে ইহুদি -ইসলামিক ধারণা। ইসলাম বিধর্মীদের আত্মাকে দুই ফেরেশতা দ্বারা কবরের মধ্যে শাস্তি দেয়, অন্যদিকে ধার্মিকেরা কবরটিকে "শান্তিপূর্ণ ও ধন্য" মনে করেন।</t>
  </si>
  <si>
    <t>দক্ষিণ থাইল্যান্ডে মুসলিম বিদ্রোহীদের বিরুদ্ধে সরকার কঠোর অভিযান চালিয়েছে, যেখানে বহু মানুষ নিহত হয়েছেন।</t>
  </si>
  <si>
    <t>বৃষ্টি নাকি অভিশ্রুতি, ধর্ম নিয়ে বিতর্কে মর্গে পড়ে আছে তরুণীর মরদেহ</t>
  </si>
  <si>
    <t>হিন্দু দর্শন বলতে বোঝায় প্রাচীন ভারতে উদ্ভূত একগুচ্ছ দর্শনের একটি সমষ্টি। এটি ভারতীয় দর্শনসমূহের একটি অংশ যা প্রাচীন বেদকে জ্ঞানের প্রামাণ্য ও গুরুত্বপূর্ণ উৎস হিসাবে স্বীকার করা হয়।</t>
  </si>
  <si>
    <t>ঢাকতে হিন্দুদের উপর তিনদিন ব্যাপী গনহত্যা চালানোর পরে গ্রামাঞ্চল গুলোতে যেমন বিক্রমপুর, লৌহজং-এ হত্যাযজ্ঞ শুরু করে মুসলিমরা।[১৯] ১৫ ফেব্রুয়ারি তারিখে শিমুলিয়া বাজারের হিন্দু দোকানে লুটপাট ও অগ্নিসংযোগ করে তারা। </t>
  </si>
  <si>
    <t>আমাদের ভারতে তো এরকম না। বাংলাদেশ কি এরকম? ভারতে মুসলমানরা একটা গজল বলতে পারে না? হিন্দু ধর্ম অনেক গভীর। হরে কৃষ্ণ গৌর নামের জয়ধ্বনি।</t>
  </si>
  <si>
    <t>নাসিরনগরের হরিপুর গ্রামের রসরাজ দাস ফেসবুকে কাবা ঘরের সাথে শিবের ছবি জুড়ে দিয়েছেন এই অভিযোগে কিছু ইসলামিক উগ্রপন্থী ২৯ অক্টোবর রসরাজ দাসকে পিটিয়ে পুলিশকে দেয়। তার বিরুদ্ধে ইসলাম অবমাননার মামলা করে তথ্য ও যোগাযোগ প্রযুক্তি আইনের ৫৭(২) ধারায় তাকে জেলে চালান করা হয়।[</t>
  </si>
  <si>
    <t>ধর্ম নিয়ে তর্ক নয়, বরং এসব বিষয় বাদ দিয়ে মানুষে মানুষে মিলেমিশে সামনে এগিয়ে চলা উচিত।</t>
  </si>
  <si>
    <t xml:space="preserve"> তাহলে আপনি প্রতিমা রানী বিশ্বাস কেন বারংবার এই ধরনের কটুক্তি করছেন। আপনার এই ইচ্ছাকৃত আচরণের অবশ্যই বিচার হওয়া উচিত।</t>
  </si>
  <si>
    <t>আরবিতে ‘লাইলাতুল কদর’, বাংলায় কদর রজনী, এর ফারসি হলো- শবে কদর। অর্থ সম্মানিত রজনী কিংবা ভাগ্যনির্ধারণী রজনী। রমজানের শেষ দশকের বেজোড় রাতগুলোর যেকোনও একটি রাত শবে কদর।</t>
  </si>
  <si>
    <t>ভাই সাংবাদিক সব দেশের সরকার বিরোধিতা হতে পারে আমাদের বাংলাদেশ সরকার বা বা জনগণ কেউ বিরোধিতা করবে না কারণ আমি মনে করি আমাদের মুসলমান ঈমান দুর্বল হয়ে গেছে</t>
  </si>
  <si>
    <t xml:space="preserve">দাদা/ভাই আপনি যেই হোন না কেন আপনার এইরকম অশালীন মন্তব্য আমরা কখনো মেনে নিবো না। </t>
  </si>
  <si>
    <t>সুনামগঞ্জের শাল্লায় সংখ্যালঘু হিন্দুদের বাড়িঘরে হামলা, ভাঙচুর ও লুটপাটের ঘটনায় ক্ষতিগ্রস্ত পরিবারগুলোকে প্রধানমন্ত্রীর পক্ষ থেকে সহায়তা দেয়া হয়েছে।</t>
  </si>
  <si>
    <t>পুরনো ঢাকার জয়কালী মন্দির, নবাবগঞ্জের ঋষিপাড়া মন্দিরসহ অনেক মন্দিরে হামলা হয়। ঢাকশ্বেরী মন্দিরে হামলা করতে গেলে পুলিশ ও এলাকার মানুষ যৌথভাবে তাতে বাধা দেয়।</t>
  </si>
  <si>
    <t xml:space="preserve">যে কোন সমস্যা নিয়ে আল্লাহর কাছে দোয়া চাইতে হবে নিজের মধ্যে সেই কনফিডেন্স রাখতে হবে যে আমার দোয়া আল্লাহ কবুল করবেন। আজকের ক্লাসের মূলভাব এটাই। </t>
  </si>
  <si>
    <t>ধর্মের অপমান একটি সামাজিক অপরাধ, যা সমাজের মাঝে অশান্তি ও আবহে সৃষ্টি করে। ধর্মবিরোধী আচরণ সমাজের মাঝে বৈতাসিক দ্বন্দ্ব তৈরি করে।</t>
  </si>
  <si>
    <t> দু'দিন আগেই গত বৃহস্পতিবার লালমনিরহাট জেলার পাটগ্রামে শহীদুন্নবী জুয়েল নামের ৫০ বছর বয়সী এক ব্যক্তিকে ধর্ম অবমাননার অভিযোগে পিটিয়ে ও আগুনে পুড়িয়ে হত্যা করা হয়।</t>
  </si>
  <si>
    <t>সুবহানাল্লাহ্,আলহামদুলিল্লাহ্। তিন জনকে একসঙ্গে পবিত্র মসজিদ উল হারামে দেখে ভালো লাগছে মাশাআল্লাহ।আমার পরিবারের জন্য দোয়া চাই যেন সপরিবারে হজ্জ পালন করতে পারি।</t>
  </si>
  <si>
    <t>৫ জানুয়ারীর রাতে সাতক্ষীরা জেলায় ৪৬ টা ঘর এবং হিন্দু ধর্মের সম্পত্তি বিনষ্ট করা হয়েছিল এবং ৬টা ঘরে অগ্নিসংযোগ করা হয়। দুর্বৃত্তরা হিন্দুদের আওয়ামী লীগকে ভোট দেওয়ার জন্য দায়ী করে।[</t>
  </si>
  <si>
    <t>হিন্দু মুসলিমের মধ্যে পারস্পরিক শ্রদ্ধা ও ভালোবাসা থাকলে, তাদের সমাজে ধর্মীয় ও সাংস্কৃতিক বৈচিত্র্যকে সম্মান জানিয়ে একটি দৃঢ় এবং শান্তিপূর্ণ সম্পর্ক প্রতিষ্ঠিত হয়।</t>
  </si>
  <si>
    <t> আক্রমণকারীরা বাড়িঘর জ্বালিয়ে দিতে পেট্রোল ব্যবহার করত। প্রত্যন্ত দ্বীপ সন্দ্বীপে মোটর গাড়ি বা পেট্রল ছিল না তাই হিন্দুদের বাড়িঘর পোড়ানোর জন্য মূল ভূখণ্ড থেকে পেট্রোল নিয়ে আসা হত।</t>
  </si>
  <si>
    <t>মানবতার কল্যাণে আল্লাহ কুরআনে সকল মানুষকে শান্তি, সৌহার্দ্য এবং ভালোবাসার মাধ্যমে একত্রে জীবন কাটানোর নির্দেশ দিয়েছেন, যা ধর্মীয় বিভেদকেও অতিক্রম করে।</t>
  </si>
  <si>
    <t>বোরকাতেই সুশীলদের যত সমস্যা!যদি ছোট কোনো ড্রেসে ছবি দিতো তখন কোনো সমস্যা ছিলো না। এরাই মেয়েটাকে উপভোগ করতো। হায়রে সুশীল!</t>
  </si>
  <si>
    <t>পছন্দের দুই মুখ একসাথে থাকলে যা হয় আর কি দুজনকে আল্লাহ তাআলা নেক হায়াত বাড়িয়ে দিক আমিন</t>
  </si>
  <si>
    <t>গাজাখুরি গল্প কোথায় পাই, সায়েন্টিফিক কি লজিক? আর এত পেঁচ কেন, বুঝলাম না।।।</t>
  </si>
  <si>
    <t xml:space="preserve">"একটা ধর্ম নিরপেক্ষ গণতান্ত্রিক স্বাধীন রাষ্ট্রে প্রকাশ্য দ্বিবালোকে মায়ের সামনে তার তের বছরের শিশু কন্যাকে ধর্ষণ" </t>
  </si>
  <si>
    <t>ইসলামের প্রথম থেকেই, মুহাম্মদ তার অনুসারীদের মধ্যে ভ্রাতৃত্ববোধ এবং বিশ্বাসের বন্ধন জাগিয়েছিলেন, যা উভয়ই তাদের মধ্যে ঘনিষ্ঠ সম্পর্কের অনুভূতি গড়ে তুলতে সাহায্য করেছিল যা মক্কার একটি নবজাতক সম্প্রদায় হিসাবে তাদের নিপীড়নের অভিজ্ঞতার দ্বারা উচ্চারিত হয়েছিল।</t>
  </si>
  <si>
    <t>বাংলাদেশে সরকার করোনাভাইরাস সংক্রমণ ঠেকাতে ওয়াজমাহফিল এবং তীর্থযাত্রাসহ সব ধরণের ধর্মীয়, রাজনৈতিক, সামাজিক ও সাংস্কৃতিক জমায়েত বন্ধ রাখার নির্দেশ দিয়েছে।</t>
  </si>
  <si>
    <t>ধর্মীয় নির্যাতনের মধ্যে ছিল- ধর্ম পালনে বাধা, জোরপূর্বক ধর্মান্তরকরণ, দেশ থেকে বিতাড়ন, ইত্যাদি। শিল্প-বিপ্লবের পর ইহুদিদের আর্থ-সামাজিক অবস্থার উন্নতি হয়। এসময় ইউরোপে জাতীয়তাবাদের বিকাশ ঘটলে ইহুদিদের প্রতি জাতিগত বিদ্বেষ দেখা দেয়।</t>
  </si>
  <si>
    <t>ধর্ম অবমাননার অভিযোগে মুন্সীগঞ্জের একটি স্কুলের বিজ্ঞান শিক্ষক হৃদয় চন্দ্র মণ্ডলকে আটকের ঘটনায় উদ্বেগ জানিয়েছে আন্তর্জাতিক মানবাধিকার সংগঠন অ্যামনেস্টি ইন্টারন্যাশনাল।</t>
  </si>
  <si>
    <t>২০১৮ সালে কাসগঞ্জ দাঙ্গায় হিন্দু-মুসলিম সংঘর্ষে একাধিক প্রাণহানি ঘটে ও বহু সম্পত্তি ক্ষতিগ্রস্ত হয়।</t>
  </si>
  <si>
    <t>ও হিন্দু ই নয় , কারণ ,কোনো ধর্ম ই অ মানুষিকতা শেখায়, না । এখানে সে রাম ভগবান এর জয়ধ্বনি করলো মানে, সে রাম ভগবান কে অপমান করল , কারণ ঈশ্বর আল্লাহ সব ই এক।</t>
  </si>
  <si>
    <t>ধর্ম নিয়ে যতদিন বাড়াবাড়ি না হবে ততদিন ধর্ম টিকে থাকবে ৷</t>
  </si>
  <si>
    <t>বাঙালি খ্রিস্টান হলেন বাঙালিদের মধ্যে যারা খ্রিস্টান ধর্মের অনুগামী। তাঁরা  বাংলা ভাষায় কথা বলেন এবং তাঁরা মূলত বাংলাদেশ এবং ভারতীয় রাজ্য পশ্চিমবঙ্গের স্থানীয় অধিবাসী। </t>
  </si>
  <si>
    <t>কোন ধর্মীয় স্থানের ক্ষতি সাধন, অসম্মান করা, লিখিত বা মৌখিকভাবে ধর্মীয় অনুভূতিতে আঘাত করা, ধর্মীয় অনুষ্ঠানে বিশৃঙ্খলা তৈরি, অসম্মান করার উদ্দেশ্যে ধর্মীয় স্থানে অনধিকার প্রবেশ বা ধর্মীয় বাক্য বা শব্দের বিকৃতি ধর্মীয় অবমাননা বলে গণ্য হবে।</t>
  </si>
  <si>
    <t>অন্য দিকে অনেক হাদিস আত্মহত্যা এবং এর শাস্তি সম্পর্কে আমাদের অবহিত করে। রাসূলুল্লাহ সা: আমাদের এ ব্যাপারে বিশেষভাবে হুঁশিয়ারি দিয়েছেন।</t>
  </si>
  <si>
    <t>এবং সেই দেশের খৃষ্টান নাগরিকরা আসছেন ছবি তুলছেন আনন্দ উপভোগ করছেন</t>
  </si>
  <si>
    <t>আফসোস ৯০ পার্সেন্ট মুসলিমের দেশে. পাখির মতো গুলি করে হত্যা করা হয় কোরআন প্রেমীদের.</t>
  </si>
  <si>
    <t>রংপুরের ঠাকুরপাড়ায় ২০১৭ সালে সামাজিক যোগাযোগ মাধ্যমে ইসলাম অবমাননার অভিযোগ তুলে হিন্দু সম্প্রদায়ের ঘরবাড়িতে অগ্নিসংযোগ করা হয়।</t>
  </si>
  <si>
    <t>কোরআন নিয়ে অতীত থেকে বর্তমান সময়ের শিক্ষা মুলক আলোচনা করার জন্য আপনাকে অনেক ধন্যবাদ জানাই আললাহ আপনার অনেক হায়াত দরাজ করুক আমিন।</t>
  </si>
  <si>
    <t>মুসলিমদের জায়গায় বিশ্ব সন্ত্রাসীরা, ইসরায়েলিরা সহ বিশ্ব মোড়ল যুক্ত রাষ্ট্রের মানুষ রূপী হায়েনার দল মানবতার চূড়ান্ত দুশমন, তোদের বিরুদ্ধে তীব্র নিন্দা ও প্রতিবাদ জানাচ্ছি।</t>
  </si>
  <si>
    <t>হিন্দু ও খ্রিস্টানদের একত্রিত হওয়ার পর শত শত অমুসলিম পুরুষকে থানার প্রান্তে হত্যা করা হয়।[২] ও.সি. তিনি নিজেই হিন্দু মহিলাদের সিঁদুর ও শাঁখা (শঙ্খের চুড়ি) ছিনিয়ে নিয়েছিলেন এবং তাদের কলমা পাঠ করতে বাধ্য করেছিলেন। পরে তিনি দলের নেতাদের মধ্যে মহিলাদের বিতরণ করেন।</t>
  </si>
  <si>
    <t>মন্দিরের দুর্গা প্রতিমার ছয়টি হাত, অসুরের মাথা ও নাক, সিংহের দাঁত, লক্ষ্মীর দুই হাত, সরস্বতীর দুই হাত, কার্তিকের মাথা, গণেশের চার হাত ভাঙা ছিল। এ ছাড়া অসুর ও লক্ষ্মীর মাথার চুল খুলে ফেলে এলোমেলো করে নিচে ফেলা ছিল।</t>
  </si>
  <si>
    <t>রোজ শুনি তাও মন ভরে না। মনটা ঠান্ডা হয়ে গেলো শুনেই। জানি না, জান্নাতে গেলে আমাদের অনুভূতি কেমন হবে। আল্লাহ আমাদের সবাইকে কবুল করুন, আমিন।</t>
  </si>
  <si>
    <t>এই পবিত্র তিথিতে বুদ্ধ জন্মগ্রহণ করেছিলেন, বোধি বা সিদ্ধিলাভ করেছিলেন এবং মহাপরিনির্বাণ লাভ করেছিলেন। এই দিনে বৌদ্ধধর্মাবলম্বীগণ স্নান করেন, শুচিবস্ত্র পরিধান করে মন্দিরে বুদ্ধের বন্দনায় রত থাকেন। </t>
  </si>
  <si>
    <t>আজ আমাদের মূল কাজ হচ্ছে রক্তপাত ও সহিংসতা বন্ধ করা। অন্যথায় এই সংকট আরও গভীর ও ভয়াবহ হয়ে উঠবে এবং ধ্বংসাত্মক পরিণতি ডেকে আনবে।</t>
  </si>
  <si>
    <t>আত্মহত্যা সব সময় সব অবস্থায়কোনো যুক্তি ছাড়াই মহা পাপ। কারন আল্লাহ আত্মহত্যাকারীর ব্যাপারে খুবি কঠিন সাস্তির বিধান করেছেন। এটা যারা আল্লাহর বিধানকে মানে তাদের জন্য।</t>
  </si>
  <si>
    <t>একাধিকবার একই অপরাধ সংগঠিত করলে সাজার পরিমাণ এ সাজার দ্বিগুণ। যা অপরাধের তুলনায় অত্যন্ত নগণ্য ও অপ্রতুল বিধায় কেউ কেউ মহানবীসহ ধর্মীয় অনুভূতিতে আঘাত দিয়ে ইতোপূর্বে নানা ধরনের মন্তব্য ও কটূক্তি করেছে এবং করে আসছে। যদিও তা কোরআন, হাদিস, সুন্নাহ ও সংবিধান বিরোধী। </t>
  </si>
  <si>
    <t>ইসলাম সম্পর্কে আলোচনা যেখানে গুরুত্বপূর্ণ, সেখানে মুসলিমরা শুধুমাত্র সেহরি ও ইফতার নিয়ে ব্যস্ত না থেকে আরও গঠনমূলক বিষয়েও মনোযোগ দিতে পারে। সামাজিক ও শিক্ষাপ্রতিষ্ঠানে ধর্মীয় কার্যক্রমের আয়োজন নিয়ে গঠনমূলক আলোচনা হওয়া উচিত, যাতে সবার মতামত ও ধর্মীয় স্বাধীনতা সম্মানিত হয়।</t>
  </si>
  <si>
    <t>একসময় এই বাংলার সংখ্যাগরিষ্ঠ মানুষ বৌদ্ধ ধর্মের অনুসারী ছিলেন। টানা চার শত বছর বৌদ্ধরা বাংলা শাসন করেছিলেন। বৌদ্ধ শাসনামল ‘পাল’ শাসনামল নামে পরিচিত ছিল। অর্থাৎ পুরো পাল যুগটাই ছিল বাংলার ইতিহাসে বৌদ্ধ যুগ।</t>
  </si>
  <si>
    <t>মধ্যপাড়া গণহত্যা হলো ১৯৭১ সালের ২২শে মে ফরিদপুর জেলার পালং থানার অন্তর্গত মধ্যপাড়া ও তার আশপাশের গ্রামে বাঙালি হিন্দুদের ওপর সংঘটিত গণহত্যা।[১] সরকারি হিসাবে গণহত্যায় আনুমানিক ৩৭০ জন মারা গিয়েছিলেন।</t>
  </si>
  <si>
    <t>রাত ১০টায়, বন্দিদের লোহারপুলে নিয়ে গিয়ে লাইন দিয়ে দাঁড় করিয়ে গুলি করে। সেতুর নীচে ধোলাই খালে মৃতদেহগুলো ফেলে দেয়। </t>
  </si>
  <si>
    <t>যেখানে ইহুদিরা সমগ্র ফিলিস্তিনই দখল করে নিয়েছে সেখানে মাত্র ১২ একর জায়গার জন্য কেন এত অত্যাচার নির্যাতনের পরেও ফিলিস্তিনের মুসলমানরা বারবার মসজিদের দিকে ধাবিত হচ্ছে।</t>
  </si>
  <si>
    <t> ১৫ ফেব্রুয়ারি থেকে ১ মার্চ পর্যন্ত লৌহজং এবং দিঘালিতে হিন্দুদের উপর চালানো ১৫ টি ছুরিকাঘাতের রিপোর্ট আসে। ২৮ ফেব্রিয়ারি তারিখে সম্পূর্ণ দিঘালি বাজার আগুন দিয়ে পুড়িয়ে ছাই করে ফেলা হয়।</t>
  </si>
  <si>
    <t>২০১৭ সালে এক আন্তর্জাতিক সম্মেলনে ঘোষণা করা হয়েছিল বাংলাদেশে বৌদ্ধ ধর্মের স্থাপনাগুলোতে বিদেশী পর্যটক বাড়ানোর উদ্যোগ নেয়া হবে। </t>
  </si>
  <si>
    <t>এরাই দাজ্জালের ফেতনার একটা নিদর্শন। দাজ্জালও ওর মতো রুটি রুজি দিয়ে কিছু মানুষের মন জয় করে তাদের ঈমানহারা করবে।</t>
  </si>
  <si>
    <t>সব সমস্যার সমাধান একমাত্র কুরআন শরীফ, শুধুমাত্র অনুসন্ধান করতে হয়।</t>
  </si>
  <si>
    <t>সবচেয়ে কষ্টের কথা হচ্ছে মৌলবাদি, ইসলাম নিয়ে কটুকথা বলা সবগুলো কমেন্ট কিন্তু মুসলমান রাই করেছে। নিজেদের কাছেই তাদের ধর্মের মূল্য নেই।</t>
  </si>
  <si>
    <t>৫ জুন রবিবার ফরিদপুরের ভাঙ্গা উপজেলার তুজারপুর ইউনিয়নের জান্দী গ্রামে দুটি অর্ধশত বছরের পুরনো মন্দিরে হামলা করা হয়। </t>
  </si>
  <si>
    <t xml:space="preserve">এদের চোখে আমাদের পরিচয় আমরা 'ধর্মান্ধ'। আমরা ধর্মব্যবসায়ী। টিভি চ্যানেল থেকে সরকারী প্রতিষ্ঠান সব জায়গায় ধর্মান্ধতার ধোঁয়া তুলে এরা আমাদেরকে এবং আমাদের প্রতিষ্ঠান লাইফস্প্রিং কে একঘরে করে রাখার সমস্ত কৌশল অব্যাহত রেখেছে। </t>
  </si>
  <si>
    <t>ভোর পাঁচটার দিকে আদমজী পাট কলের ২০,০০০ অস্ত্রধারী উন্মত্ত মুসলিম শ্রমিক ২নং ঢাকেশ্বরী কটন মিলে হামলে পড়ে এবং সেখানে হিন্দুদের উপর বিরামহীন হত্যা,লুটপাট,অপহরণ,ধর্ষণ চালায় ।[৩০] ৭০০এরও বেশি হিন্দু হতভাগ্য আবালাবৃদ্ধবণিতাকে নির্মম ভাবে হত্যা করে।</t>
  </si>
  <si>
    <t>বাংলাদেশের হিন্দুদের উপর ১৯৯০ সালের অবর্ণনীয় অত্যাচারের ফলে অনেক জায়গা হিন্দু শুন্য হয়ে যায় এবং বহুস্থানের হিন্দুরা বাস্তুচ্যুত হয়ে পড়ে। চট্টগ্রামের পাহাড়তলীর হিন্দুরা সহায়-সম্বল,বাড়ি-ঘর সব হারিয়ে পাহাড়ের উপর কৈবল্যধাম মন্দিরের শরণার্থী শিবিরে আশ্রয় গ্রহণ করে।</t>
  </si>
  <si>
    <t>একটি ছোট্ট হাদীস আছে:- তোমার যার সাথে মোহাব্বত তাঁর সাথেই কেয়ামত।</t>
  </si>
  <si>
    <t>হিন্দু উগ্রবাদীদের দ্বারা পরিবারগুলিকে তাদের ঘরে বাঁচিয়ে রাখা, গণধর্ষণ করার পরে নারীদের আগুন দেওয়া এবং শিশুদের টুকরো টুকরো করার মতো নৃশংসতার নথি দেওয়া হয়েছে।</t>
  </si>
  <si>
    <t xml:space="preserve">ইসলাম এবং তার সংস্কৃতি নিয়া মুসলিম বংশোদ্ভুতদেরই মাথাব্যথা বেশি। এদেশ থেকে যদি ইসলাম উচ্ছেদ হয় তবে মুসলমানরাই দায়ী। </t>
  </si>
  <si>
    <t>১২ ফেব্রুয়রি তারিখে,কুমিল্লা-ময়মনসিংহ রুটের আখাউড়া ও ভৈরববাজারের মধ্যকার যাত্রাপথের সকল হিন্দু যাত্রীদের খুঁজে খুঁজে পাশবিক উপায়ে হত্যা করে মুসলিমরা।</t>
  </si>
  <si>
    <t>জৈন ধর্মে অনুসরণকারীরা বিশ্বস্তভাবে অহিংসা এবং নিজের কর্মের ফলের প্রতি সচেতন, যা তাদের আধ্যাত্মিক উন্নতি ও শান্তি অর্জনে সহায়ক।</t>
  </si>
  <si>
    <t>এক ব্যক্তি ইহুদি বিদ্বেষী মতাদর্শ থেকে সিনাগগে হামলা চালায়, একজন নিহত হয় এবং তিনজন আহত হয়, যা যুক্তরাষ্ট্রে ক্রমবর্ধমান ধর্মীয় অসহিষ্ণুতার প্রতিফলন।</t>
  </si>
  <si>
    <t> ১৯১৯ সালে, জেনারেল ডায়ার তার সৈন্যদের অমৃতসরের একটি কম্পাউন্ডের ভিতরে নিরস্ত্র বিক্ষোভকারীদের উপর গুলি চালানোর নির্দেশ দেওয়ার পর, ৩৮০ জন বেসামরিক নাগরিক নিহত হয়, ব্রিটিশ অভিবাসীদের বিরুদ্ধে ভারতে সাম্প্রদায়িক সহিংসতা শুরু হয় ।</t>
  </si>
  <si>
    <t>ক্রস-কালচারাল পরিবেশে মেশার অভিজ্ঞতার অভাবে শুধুমাত্র ইন্টারনেট-এ ডিজিটাল মাল্টি কালচারাল ইসলামিক জীবন দেখে তরুণরা গোলক ধাঁধায় পড়ে গেছে। মৌলবাদী ধার্মিক, মডারেট ধার্মিক, সাম্যবাদী ধার্মিক, কিংবা নারীবাদী ধার্মিকদের মত ও আদর্শের ভাষা আমাদের সাধারণ জনতা বোঝে না ।</t>
  </si>
  <si>
    <t>কুশিনগর বা হার্রাম্বাতে গৌতম বুদ্ধ মারা যান বিধায় এটি বৌদ্ধদের কাছে একটি তাৎপর্যপূর্ণ স্থান। </t>
  </si>
  <si>
    <t>সুইডেনের এই ধরনের কাজ কে তীব্র নিন্দা জ্ঞাপন করছি এবং অচিরেই এর প্রতিফল মহান আল্লাহ পাক ওনাদের দেখাবেন ইনশাআল্লাহ।</t>
  </si>
  <si>
    <t>শারীরিক ও আর্থিকভাবে সক্ষম এবং সফরকারীর অনুপস্থিতিতে তার পরিবার নিজেদের ভরণপোষণ করতে সক্ষম হলে সকল প্রাপ্তবয়স্ক মুসলমানদের জীবনে অন্তত একবার করতে হয়।</t>
  </si>
  <si>
    <t>১৯৮৭ সালের অক্টোবরে এই গ্যাং এর একদল যুবক পার্সি বংশোদ্ভূত ভারতীয় পুরুষ নওরোজ মোদীকে আক্রমণ করে। যাকে হিন্দু বলে ভাবা হয়েছিল। কিন্তু তিনি জরথুস্ত্রীয়। যখন তিনি তার বন্ধুর সাথে গোল্ড কোস্ট ক্যাফে ছেড়ে বের হচ্ছিলেন। আক্রমণের ফলে তিনি কোমায় চলে যান। চার দিন পরে তিনি মারা যান। </t>
  </si>
  <si>
    <t>১৯২১ সালের ২২ শে মে স্থানীয় সহযোগীরা বাংলাদেশের বরিশাল জেলার নালি গ্রামে আক্রমণ করে। বাঙালি হিন্দু গ্রামবাসীরা বর্শা নিয়ে প্রতিরোধ করেছিল। তবে তারা সহযোগীদের দ্বারা পরাভুত হয়, এবং তারা ১৫ জন গ্রামবাসীকে গুলি করে হত্যা করেছিল। </t>
  </si>
  <si>
    <t>কুমিল্লায় পূজামণ্ডপে পবিত্র কুরআন শরীফ অবমাননা করার তীব্র নিন্দা ও প্রতিবাদ জানাই!</t>
  </si>
  <si>
    <t>১৯৭১ সালের ২৭ মার্চ রাতে পাকিস্তানি দখলদার সেনাবাহিনী রমনা কালী মন্দিরের চারপাশে বসবাসরত হিন্দুদের হত্যা করে যা রমনা হত্যাকাণ্ড বা রমনা গণহত্যা নামে পরিচিত।[১][২] অনুমান করা হয় যে এই গণহত্যায় ২৫০ জন হিন্দুকে হত্যা করা হয়েছিল।</t>
  </si>
  <si>
    <t>দুনিয়ার প্রতি আকর্ষণ ও এর প্রতি ঝুঁকে যাওয়া। অনর্থক ঝগড়া বিবাদ বা তর্কে লিপ্ত হওয়া। জনশ্রুতিকে বর্ণনার জন্য গ্রহন করা। নিজেকে নিয়ে বেশি ব্যস্ত থাকা।</t>
  </si>
  <si>
    <t>শত অযোগ্যতা ও পশ্চাৎপদতা সত্ত্বেও মুসলিম জাতি এখনো যে সম্পদের কারণে পশ্চিমাদের ঈর্ষা ও বিদ্বেষের লক্ষ্যবস্ত্ত তা হচ্ছে আল্লাহর কালাম ও দ্বীন ইসলাম।</t>
  </si>
  <si>
    <t>কেবল আল্লাহ্‌র পক্ষ হইতে পৌঁছান এবং তাঁহার বাণী প্রচারই আমার দায়িত্ব। যাহারা আল্লাহ্ ও তাঁহার রাসূলকে অমান্য করে তাহাদের জন্য রহিয়াছে জাহান্নামের অগ্নি, সেখানে তাহারা চিরস্থায়ী হইবে।</t>
  </si>
  <si>
    <t>গাজার হামাস সরকারের মতে, প্রথম তিন দিনের মধ্যে বেসামরিক নাগরিক ও ২৬০ জন শিশু সহ অন্তত ৯০০ ফিলিস্তিনি বন্দুকযুদ্ধে ও বিমান হামলায় নিহত হয়েছিল; আইডিএফ জানিয়েছে যে তারা ইসরায়েলের অভ্যন্তরে "১,৫০০ এরও বেশি সন্ত্রাসী"কে হত্যা করেছে।</t>
  </si>
  <si>
    <t> বিশ্বনাথ পুলিশ স্টেশনের দণ্ডপাণিপুরের হিন্দুরাও ভয়ঙ্কর লুটপাটের শিকার হয়। হিন্দুদের কাছে পবিত্র গরু জবাই করে তাদেরকে সেটির মাংস খাওয়ানো হয় জোর করে আর সবাইকে ইসলাম ধর্মান্তরিত হতে বাধ্য করা হয়। টুকেরকান্দি গ্রামের ঘোষ বাড়ি লুট করে মুসলিমরা।</t>
  </si>
  <si>
    <t xml:space="preserve">আমাদের দেশ ধর্মীয় বৈষম্যহীন দেশ I এদেশের 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 </t>
  </si>
  <si>
    <t>কুরআন ইয়াহুদ ও নাসারাকে আহবান করেছে কুরআনের সম্পদ সীনায় ধারণের জন্য এবং কুরআনের আলোতে আলোকিত হওয়ার জন্য। ব</t>
  </si>
  <si>
    <t>পৃথিবীতে প্রায় সব ধর্মাবলম্বীর মধ্যেই কিছু না কিছু উগ্রতা, ধর্মান্ধতা এবং অপব্যাখ্যা রয়েছে। যার ফলশ্রতিতে বর্তমানে দেশে দেশে জঙ্গিত্ব কিংবা আক্রমণাত্মক ঘটনা ঘটছে। তবে ধর্মকেন্দ্রিক সংঘটিত এসব ঘটনার আলাদা কিছু প্রেক্ষাপট রয়েছে।</t>
  </si>
  <si>
    <t>মুলতানের যেই কারাগারে মি. হাফিজকে আটক রাখা হয়েছে, সেই কারাগারের আদালতই তাকে মৃত্যুদণ্ডের আদেশ দেয়।</t>
  </si>
  <si>
    <t>সরকারী তথ্য মোতাবেক জানা যায় যে, ১৯৮০ থেকে ১৯৯১ সালের মধ্যে ১,১৮০ ব্যক্তি শান্তি বাহিনীর হাতে প্রাণ হারায়।[২] বাংলাদেশ সেনাবাহিনী, বাংলাদেশ পুলিশ, বাঙ্গালী মুসলিম বসবাসকারী, শান্তি বাহিনী ও এর সমর্থকেরা নৃজাতিগোষ্ঠী উচ্ছেদসহ মানবাধিকার হরণে সম্পৃক্ত হয়।</t>
  </si>
  <si>
    <t>জান্নাতে প্রবেশ না করলে বুঝবেন না যে জান্নাত কেমন। জান্নাত এত সুন্দর যে শুধু দেখলে আরও দেখতে মন চায়। একবার দেখলে মনে হয় যে শুধু চেয়ে থাকি, ২৪ মিনিটও চেয়ে থাকলে মনে হবে যেন সময় শেষ হয়ে যায়। দেখলে মন চায়, মন টানে যেন শুধু আর দেখতে থাকি। মন টানে আর কতক্ষণ চেয়ে থাকতে পারি, থাকা যায় না!</t>
  </si>
  <si>
    <t xml:space="preserve"> ধন-সম্পদ ও পরিবার নিয়েই মেতে থাকা। উচ্চাকাঙ্ক্ষা বা বিলাসী আকাঙ্ক্ষা।বেশী খাওয়া, বেশী ঘুম, বেশী কথা, অধিক রাত্রিজাগরণ, কাঠিন্যতা ।</t>
  </si>
  <si>
    <t>প্রতিটি প্রাণীর জীবনের মূল্য আছে বলে আল্লাহ কুরআনে উল্লেখ করেছেন, এবং তিনি চান যেন তারা অন্যায়ভাবে কষ্ট না পায়।</t>
  </si>
  <si>
    <t>ইসলাম অবমাননরা ঘটনা ঘটলে দোষীদের বিরুদ্ধে কথা না বলে যারা মুসলমানকে ভূগোল বোঝাতে আসে তারাও এসব ঘটনার জন্য দায়ী।</t>
  </si>
  <si>
    <t>১৯৬৪ সালের পূর্ব-পাকিস্তানের দাঙ্গা তৎকালীন পূর্ব পাকিস্তানে (বর্তমান বাংলাদেশ) বাঙ্গালী হিন্দুদেরকে জাতিগতভাবে নির্মূল করার জন্য তাদের উপর চালানো এক নিষ্ঠুর অমানবিক গণহত্যার নাম।</t>
  </si>
  <si>
    <t>তারে বলেন আগে হিন্দুদের বলতে পুজা না করে সেই টাকা বিলিয়ে দিতে।</t>
  </si>
  <si>
    <t>হিন্দু আর বৌদ্ধদের এই সহস্রাব্দী ধরে চলতে থাকা শত্রুতাতে সাধারণ লোকজন বিরক্ত হয়ে পড়ে – এতে করে অবশ্য সুফী সাধক ও মুসলিম অগ্রদূতদের প্রচেষ্টায় ইসলাম এতদ অঞ্চলে স্থায়ীভাবে প্রবেশ করতে সক্ষম হয়।</t>
  </si>
  <si>
    <t>ভারত বিভক্তির পর গুজরাটে সংঘটিত বেশ কয়েকটি মুসলিমবিরোধী দাঙ্গার মধ্যে জঘন্যতম ও বর্বরোচিত ঘটনা হলো ২০০২ সালের গুজরাট ভায়োলেন্স যা সরাসরি তৎকালীন মুখ্যমন্ত্রী নরেন্দ্র মোদির প্রত্যক্ষ মদদে সংঘটিত হয়।</t>
  </si>
  <si>
    <t>প্রত্যক্ষ সংগ্রাম দিবস (১৬ই আগস্ট ১৯৪৬), এছাড়াও ১৯৪৬-এর কলকাতা হত্যাকাণ্ড হিসাবে পরিচিত, দেশব্যাপী সাম্প্রদায়িক দাঙ্গার একটি দিন ছিল।[৫] এটি ব্রিটিশ ভারতের বাংলা প্রদেশের কলকাতা শহরে মুসলমান ও হিন্দুদের বৃহত্তর সহিংসতার দিকে পরিচালিত করেছিল।</t>
  </si>
  <si>
    <t>ইসলাম ধর্মে নারীদের জন্য পর্দা প্রথার কথা বলা হয়েছে, যেখানে পুরুষ অভিভাবক ছাড়া চলাফেরা না করার বিধান আছে, এর ফলে নারীর সামাজিক কর্মকাণ্ডে অংশগ্রহণকে সীমিত করা হয়েছে।</t>
  </si>
  <si>
    <t>২০১৯ সালে ইথিওপিয়ায় মুসলিম ও খ্রিস্টান সম্প্রদায়ের মধ্যে সংঘর্ষ বাঁধলে কয়েকজন উপাসক আহত হন এবং উপাসনালয় ক্ষতিগ্রস্ত হয়।</t>
  </si>
  <si>
    <t>গুলশান হামলার পর রাজধানীর কল্যাণপুরে এই তাজ মঞ্জিলে জঙ্গি আস্তানার সন্ধান পায় পুলিশ; ২৬ জুলাই আইনশৃঙ্খলা বাহিনীর অভিযানে সেখানে নিহত হয় নয়জন জঙ্গি।</t>
  </si>
  <si>
    <t>সতীদাহ প্রথার উৎপত্তি ও বিস্তার সাধারণ ঐক্যমত ছাড়াই জটিল এবং অনেক বিতর্কিত প্রশ্ন। এটা অনুমান করা হয়েছে যে বিধবা যজ্ঞ বা বিধবা দাহ এর মতো আচারের মূল রয়েছে প্রাগৈতিহাসিক।</t>
  </si>
  <si>
    <t>ঢাকা বিশ্ববিদ্যালয়ে কি মুসলিম ছাত্ররা পড়েনা? তারা চুপ কেন? নাকি কোনো রাজনৈতিক দলের ভয়ে তারা গা এড়িয়ে চলছে?</t>
  </si>
  <si>
    <t>ইসলাম যে কত পাপ করেছে তার পুরো খেসারত দিতে হবে বাংলাদেশের সকল মুসলমান দের কে।</t>
  </si>
  <si>
    <t>মন পোস্ট করা যাবে না যা ধর্ম বিরোধী হয়।  ধর্ম বিরোধী পোস্ট করলে গ্রুপ থেকে বিনা নোটিশ এ বেন করা হবে</t>
  </si>
  <si>
    <t>উদ্দেশ্যমূলক সাম্প্রদায়িক সম্প্রীতি ক্ষুন্ন করার জন্য একটি মহলের নোংরা প্রক্রিয়া। যাইহোক অপরাধী যেই হোক না কেন সুষ্ঠু তদন্তের ভিত্তিতে এদের আইনের আওতায় এনে চরম শাস্তি দেয়া হোক। যা পরবর্তীতে সমাজে দৃষ্টান্ত হয়ে থাকবে যার ফলে কেউ এই ন্যাক্কারজনক কাজ করতে সাহস না পায়।</t>
  </si>
  <si>
    <t> ইসরায়েল অনেকটা প্রতিহিংসাপরায়ণ আচরণের মাধ্যমে এবং আন্তর্জাতিক আইনকে সম্পূর্ণ উপেক্ষা করে গাজায় ধ্বংসযজ্ঞ ও নিজেদের আধিপত্য সম্প্রসারণে অবিচল। ইসরায়েল গাজার হাসপাতাল, স্কুল, মসজিদ এবং আবাসিক ভবনগুলির বিরুদ্ধেও যেন যুদ্ধ করছে।</t>
  </si>
  <si>
    <t>গত মাসের ২৮ জুলাই ঈদুল আজহার দিন স্টকহোমের কেন্দ্রীয় মসজিদের বাইরে সালমান মোমিকো নামের এক ব্যক্তি কোরআনে আগুন ধরিয়ে দেন।</t>
  </si>
  <si>
    <t>ইসলামের অনুসারীদেরকে বলা হয় মুসলমান। ইসলামের মৌলিক বিশ্বাস হল "আল্লাহর একত্বে বিশ্বাসী।"</t>
  </si>
  <si>
    <t>মূল সড়কের ধারেই ঢাকার আসাদ গেট এলাকায় খ্রিস্টিনা চার্চ। পোপ ফ্রান্সিসের বাংলাদেশ সফর উপলক্ষে তাঁকে স্বাগত জানিয়ে ভেতরে একটি ব্যানার লাগানো হয়েছে।</t>
  </si>
  <si>
    <t>মুসলিম পন্ডিতরা সাধারণত জীবনীমূলক সাহিত্যের পরিবর্তে হাদীস সংকলনগুলোর উপর বেশি গুরুত্ব আরোপ করেন। এর কারণ, হাদিসগুলোতে একটি ঐতিহ্যবাহী সনদ (পরম্পরা) বজায় থাকে। </t>
  </si>
  <si>
    <t>জমিদার বাড়ির লোকজন ইসলামের ব্যাপারে খুব সচেতন ছিলো।।বাড়ীর জামাইদের জন্য আলাদা বিশ্রাম ঘর ছিলো তারা সেখানে এসে বেড়াতো কিন্তু ভিতরে প্রবেশ করতে পারতো না।</t>
  </si>
  <si>
    <t>একটা অপমৃত্য!।হত্যা না আত্নহত্যা তা না জেনেই একটা স্ট্যাটাস দিয়ে দিলেন আপনার মত সচেতন মানুষ।</t>
  </si>
  <si>
    <t>১৯৪৬ সালের অক্টোবর মাসের ১০ তারিখ থেকেই নোয়াখালী জেলার উত্তরের রামগঞ্জ পুলিশ স্টেশনের নিয়ন্ত্রণাধীন এলাকা গুলোতে নৃশংসতা শুরু হয়ে গিয়েছিল। এই লেলিয়ে দেয়া নৃশংসতাকে বর্ণনা করা হয়, ‘মুসলিম জনতার সংগঠিত হিংস্রতা </t>
  </si>
  <si>
    <t>১৯৭১ সালের ১৬ ডিসেম্বর পাকিস্তানি সশস্ত্র বাহিনীর আত্মসমর্পণের কয়েক দিনের আগেই তিনি জগৎবন্ধু সুন্দরয়ের বেদীর সামনে আত্মহত্যা করেছিলেন।[</t>
  </si>
  <si>
    <t>প্যারিসের কাছে শুক্রবার দিনে-দুপুরে এক স্কুল শিক্ষকের এই নৃশংস হত্যাকাণ্ড নিয়ে ফ্রান্সে গত কয়েকদিন ধরে যে ক্ষোভ এবং আবেগের যে বিস্ফোরণ দেখা যাচ্ছে, তার নজির সেদেশে বিরল।</t>
  </si>
  <si>
    <t>নিজেকে প্রকাশ করতে ভালবাসা। কৃপণতা। কথা ও কাজে অমিল। মুসলিম ভাইয়ের বিপদে খুশি হওয়া। কোন কাজ গুনাহের কিনা তা না দেখে নিজের অপছন্দের কিনা তা দেখা।</t>
  </si>
  <si>
    <t xml:space="preserve">প্রসঙ্গত, পাকিস্তানের সরকারি নথি ও পরিসংখ্যানই বলছে, গত এক বছরে সেখানে সংখ্যালঘুদের বিরুদ্ধে হামলার ঘটনা অনেক বেড়ে গিয়েছে। বস্তুত, ২০২০ সালের তুলনায় ২০২১ সালে পাকিস্তানে জঙ্গিহামলার ঘটনা বেড়েছে প্রায় ৫৭ শতাংশ। এদিকে, পড়শি দেশে দুই শিখ ব্যক্তির মৃত্যুতে প্রতিবাদ জানিয়েছে ভারতও। </t>
  </si>
  <si>
    <t>ইতিহাসে কোথাও একথা নাই যে সেনরাজত্বের ধ্বংসের প্রাক্কালে মুসলমানদিগের সঙ্গে বাঙালি জাতির রীতিমত কোনো যুদ্ধবিগ্রহ হইয়াছে।</t>
  </si>
  <si>
    <t>আনুমানিক ৩০০ বাঙালি হিন্দু হত্যার শিকার হয়। এই গণহত্যায় ৫ বছরের শিশু থেকে শুরু করে ৮০ বছরের বয়সী নারী-পুরুষ নিহত হয়েছিল। ৫ শতাধিক ঘর পুড়ে ছাই হয়ে গিয়েছিল। প্রত্যক্ষদর্শীদের মতে, খারনা ইউনিয়নের তৎকালীন চেয়ারম্যান রমিজ আহমেদ চৌধুরী এবং তার সহযোগীরা এই গণহত্যার জন্য দায়ী ছিলেন। </t>
  </si>
  <si>
    <t>তোমাদের কেউ কোনো অন্যায় সংঘটিত হতে দেখলে সে যেন তা নিজ হাতে প্রতিরোধ করে। (নিজ হাতে প্রতিরোধ করতে) সম্ভব না হলে যেন মুখে প্রতিবাদ করে। যদি তাও সম্ভব না হয় তবে যেন অন্তত মন থেকে ঘৃণা করে। এটা ঈমানের নিম্নতম স্তর</t>
  </si>
  <si>
    <t xml:space="preserve">লক্ষ্মণানন্দের হত্যার জন্য হিন্দুত্ববাদী গোষ্ঠীগুলি স্থানীয় খ্রিস্টান আদিবাসীদের দায়ী করে - যদিও সরকার খুনিদের মাওবাদী বিদ্রোহী বলে সন্দেহ করেছিল। [ 33 ] [ 36 ] পরে একজন প্রবীণ মাওবাদী নেতা হত্যার দায় স্বীকার করেন এবং পুলিশও নিশ্চিত করে যে মাওবাদীরা আদিবাসী যুবকদের হত্যা করার জন্য প্রশিক্ষণ দিয়েছিল। </t>
  </si>
  <si>
    <t>এক উগ্র ডানপন্থী হামলাকারী জার্মানির হ্যাল শহরের একটি সিনাগগে গুলি চালায়। এতে দেশটিতে ইহুদি বিরোধী ঘৃণার মাত্রা বৃদ্ধি পায়।</t>
  </si>
  <si>
    <t>জাতিসংঘ যদি ইসরায়েলকে নিয়ন্ত্রণে আনতে ব্যর্থ হয় তাহলে জাতিসংঘ দিয়ে কি হবে আর কিবা আশা করা যায় এদের কাছ থেকে , জাতিসংঘ কি মুসলমানদের জন্য না,,,,</t>
  </si>
  <si>
    <t xml:space="preserve">এক বছর আগেও যেই লোকটা কুরআন নিয়ে হাসি মজা করেছে, জান্নাত জাহান্নাম নিয়ে আজেবাজে কথা বলেছে, সেই লোকটা এক বছরের মাথায় লিটারালি সূফি হয়ে মৃত্যুবরণ করলো। </t>
  </si>
  <si>
    <t>২০০৫-০৬ সালে কাজাখ সরকার আলমাটির কাছে আন্তর্জাতিক কৃষ্ণভাবনামৃত সংঘের আশ্রম ও সদস্যদের বাড়ি জোর করে উচ্ছেদ করে। সম্প্রদায়ের সদস্যদের বিভিন্নভাবে হয়রানি করা হয়।</t>
  </si>
  <si>
    <t>তিনি জানান, হেফাজতের সমাবেশে যৌথ বাহিনীর অপারেশনের পর শাপলা চত্বরের আশপাশে সাদা পাঞ্জাবি পরা বহু মানুষকে রক্তাক্ত অবস্থায় পড়ে থাকতে দেখা যায়। পড়ে থাকা লাশ সিটি করপোরেশনের ময়লাবাহী গাড়িতে করে বিভিন্ন স্থানে গুম করার তথ্য বিভিন্ন গণমাধ্যমে প্রকাশিত হয়েছে। </t>
  </si>
  <si>
    <t>"সহাবস্থানের মাধ্যমে হিন্দু-মুসলিম সম্প্রীতি গড়ে তুলতে হবে, যেখানে সবাই শান্তিপূর্ণভাবে নিজ নিজ ধর্ম পালন করতে পারবে। পরস্পরের ধর্মীয় বিশ্বাসের প্রতি শ্রদ্ধাশীল হয়ে সৌহার্দ্যময় বাংলাদেশ গড়ে তুলতে হবে।"</t>
  </si>
  <si>
    <t>১৫ জুলাই শুক্রবার নড়াইলের লোহাগড়া উপজেলার দিঘলিয়া বাজারে ফেসবুকে দেওয়া একটি পোস্ট কে কেন্দ্র করে সাম্প্রদায়িক সহিংসতা সংগঠিত হয়। ১৮ বছর বয়সী আকাশ সাহাকে ফেইসবুক পোস্টের কারণে অভিযুক্ত করা হয় এবং পিতা অশোক সাহাকে পুলিশ আটক করে।</t>
  </si>
  <si>
    <t>এই জন্যই বিবেকানন্দ বলেছেন, বহু রুপে সন্মুখে তোমার ছাড়ি কোথা খুঁজিছ ঈশ্বর। মানুষের মাঝে ভগবান। বিশ্বের সমস্ত প্রানির মধ্যে ভগবানের অস্তিত্ব। মনটা কে মন্দির কর সেখানেই ভগবান আছে।</t>
  </si>
  <si>
    <t>বাংলাদেশ স্বাধীন হয়েছিল সেক্যুলারিজমের ওপর ভিত্তি করে, কিন্তু এখন আমরা সাম্প্রদায়িকতার যে চেহারা দেখছি তা হিন্দু সম্প্রদায়ের উপর হামলা তো অবশ্যই, তার চেয়ে বড় কথা এটি বাংলাদেশের উপর হামলা, বাংলাদেশের ঐতিহ্য, কৃষ্টি এবং স্বাধীনতার মূল যে স্তম্ভ তার উপর হামলা।</t>
  </si>
  <si>
    <t>এটা ঠিক না ওনার শাস্তি হওয়া উচিত অন্যের ধর্মকে যে সম্মান জানায় না সে নিজে ধর্মরূপ সম্মান করে না সেহেতু উনার জোর শাস্তি দাবি</t>
  </si>
  <si>
    <t>সকল প্রকার ধর্মীয় আলাপ এবং সাথে সাথে ধর্মীয় আক্রমণাত্মক আলাপকারীদের ব্যান দেওয়া হোক।মানুষ শুদ্ধ বিজ্ঞান নিয়ে যুক্তি সহকারে আলাপ করুক</t>
  </si>
  <si>
    <t>এটা যেমনি কিয়ামতের নিদর্শন, তেমনি এটা শেষ জামানা, এখনই পুরো বিশ্বের মুসলমান এক হবে। অবশেষে ইসলামের জয় হবে। লা ইলাহা ইল্লাল্লাহু মুহাম্মাদুর রাসুলুল্লাহ সাল্লাল্লাহু আলাইহি ওয়া সাল্লাম।</t>
  </si>
  <si>
    <t>আমরা কাউকে বা কোনো ধর্ম কে অসম্মান করিনা কিন্তু বার বার কেন আমার ধর্ম কে অসম্মান করা হয়, আমি এর তীব্র নিন্দা জানাচ্ছি, হে আল্লাহ তাদের কে ধ্বংস করে দাও যারা পুর্বে আমার ধর্ম কে অসম্মান করেছে তাদের মত নিশ্চিহ্ন করে দাও ।</t>
  </si>
  <si>
    <t>সকল ধর্মই মানুষের জন্য শান্তি, ভালোবাসা এবং সমঝোতার পথ প্রদর্শন করে, এবং সত্যিকার ধর্মে কখনোই অন্য মানুষের উপর আক্রমণ বা বিরোধিতার চেতনাকে প্রোত্সাহিত করা হয় না, বরং পারস্পরিক শ্রদ্ধা ও সহানুভূতির মাধ্যমে পৃথিবীকে একটি শান্তিপূর্ণ স্থান হিসেবে গড়ে তোলার চেষ্টা করা হয়।</t>
  </si>
  <si>
    <t>মৃত্যু সংক্রান্ত ইসলামী ব্যাখ্যা এতটাই ব্যাপক যেন এটা একটা ছবির মতই পরিষ্কার।</t>
  </si>
  <si>
    <t>ধর্মীয় স্থানেও ভাঙচুরের ঘটনা ঘটে। বাংলাদেশের জাতীয় মানবাধিকার কমিশন বলেছে, জমি হাতিয়ে নেওয়ার জন্য ধর্মীয় সংখ্যালঘুদের ওপর সুপরিকল্পিতভাবে হামলা করা হচ্ছে।</t>
  </si>
  <si>
    <t>কুমিল্লায় পুজা মন্ডপে মুর্তির পায়ের উপর সর্বশ্রেষ্ঠ মহাগ্রন্থ আল কুরআন অবমাননা কারীর দৃষ্টান্তমূলক শাস্তির দাবী জানাচ্ছি</t>
  </si>
  <si>
    <t>সব ধর্মেই বলা হচ্ছে আত্মহত্যা মহাপাপ। একাকীত্ব বা যেকোনো মানসিক সমস্যা থেকে বাঁচতে আত্মহননের পথ বেছে নেওয়া কখনই সঠিক সিদ্ধান্ত নয়।</t>
  </si>
  <si>
    <t>ইসলাম ধর্ম ও মহানবী হযরত মোহাম্মদ (স.) নিয়ে কটুক্তি করে সামাজিক যোগাযোগ মাধ্যম ফেসবুকে মন্তব্য করার অভিযোগ</t>
  </si>
  <si>
    <t>পৃথিবীর বিভিন্ন দেশে কমবেশি হলেও ধর্মীয় সম্প্রীতি নষ্ট হতে দেখা যায়। সাম্প্রদায়িক সম্প্রীতি নষ্ট হচ্ছে। ধর্মে ধর্মে আঘাত, হানাহানি, মারামারি ও প্রতিবন্ধকতামূলক কর্মসূচি দেখতে পাওয়া যায়।</t>
  </si>
  <si>
    <t>মোহাম্মদ জাহাঙ্গীর ইসলাম, আকাশ সাহা নামের এক ফেইক ফেইসবুক আইডি ওপেন করে ইসলাম ধর্ম নিয়ে বাজে মন্তব্য করে।</t>
  </si>
  <si>
    <t>মানুষ যা মনেপ্রাণে বিশ্বাস করে তা বলতে এখন আর দ্বিধা করে না। সেটা রাজনীতির ব্যাপারেই হোক, আর ধর্মীয় ব্যাপারেই হোক।</t>
  </si>
  <si>
    <t>বিশ্বস্ততা এবং সৌহার্দ্য প্রদর্শন করতে আল্লাহ কুরআনে সমস্ত মানুষের প্রতি ভালোবাসা এবং সম্মান প্রদর্শনের আহ্বান জানিয়েছেন, যদিও তারা ভিন্ন ধর্মাবলম্বী।</t>
  </si>
  <si>
    <t>গাজার ধর্মবিষয়ক মন্ত্রণালয় জানিয়েছে, ফেব্রুয়ারি পর্যন্ত গাজায় অবস্থিত এক হাজার ২০০ মসজিদের মধ্যে অন্তত এক হাজার মসজিদ পুরোপুরি বা আংশিকভাবে ধ্বংস করা হয়েছে।</t>
  </si>
  <si>
    <t>আমাদের পার্বত্য চট্টগ্রামে প্রায়শই দেখা যায় বিভিন্ন সময়ে বিভিন্ন ইস্যুতে সাম্প্রদায়িক মনোভাব এবং তার ভিতরকার রূপ ছেড়ে বাইরে এসে সৃষ্টি করেছে মারামারি-খুনোখুনি’র মত অস্বাভাবিক পরিস্থিতি, যাকে সোজা কথায় আমরা দাঙ্গা বলে চিহ্নিত করে থাকি।</t>
  </si>
  <si>
    <t>ওয়েস্টার্ন পোশাকে তারা চলে। আর ইসলামী পোশাক তাদের জ্বলে।</t>
  </si>
  <si>
    <t>নবীজীর অপমান সইতে না পেরে! নবীর দুশমনকে প্রানে শেষ করে ফাঁ*সির দড়িতে শহীদ হওয়া! কে ছিলেন ইলমুদ্দিন?</t>
  </si>
  <si>
    <t>মুসলিম সংখ্যাগরিষ্ঠ একটি দেশে অমুসলিম পৌত্তলিকদের এই ঔদ্ধত্যে আমরা স্তম্ভিত। ঐ বৌদ্ধ যুবকের ঘটনাই এক্ষেত্রে প্রথম ঘটনা নয়। একশ্রেণীর হিন্দু ও হিন্দুমনা ব্যক্তির দ্বারা ইসলাম ও ইসলামের নবী সাল্লাল্লাহু আলাইহি ওয়াসাল্লামের অবমাননার ঘটনা ধারাবাহিকভাবে ঘটছে। </t>
  </si>
  <si>
    <t>প্রথমে ভারত বিরোধী কথা বলে আস্থা অর্জন। এরপর হঠাৎ করে নব আবিষ্কার, প্রচুর হিন্দু যুবক নাকি ভারত বিরোধী!</t>
  </si>
  <si>
    <t>আলফাডাঙ্গায় এক রাতে ৩ মন্দিরের ১০টি প্রতিমা ভাঙচুর, প্রতিবাদে মানববন্ধন</t>
  </si>
  <si>
    <t xml:space="preserve">ফিলিস্তিন এর একটি মসজিদ এ আজান দেওয়া অবস্থায় বোমা হামলা </t>
  </si>
  <si>
    <t>কুরআনে আল্লাহ মানুষকে নিজের আত্মা এবং পরিবারের প্রতি দায়িত্বশীল হতে বলেছেন, যাতে সমাজে শান্তি এবং সাম্য বজায় থাকে।</t>
  </si>
  <si>
    <t>কাব বিন আশরাফ নামের একজন ইহুদি যে ইসলাম ও মুসলিমদের প্রতি অত্যন্ত শত্রুতা ও হিংসা পোষণ করত। সে নবী (সা.)-কে কষ্ট দিত এবং তাঁর বিরুদ্ধে প্রকাশ্যভাবে যুদ্ধের হুমকি দিয়ে বেড়াত।</t>
  </si>
  <si>
    <t>এটা শুধুমাত্র তখনি ঘটে যখন মানুষের গভীর বিশ্বাসকে আঘাত করা হয় অথবা তারা মনে করে, তাদের বিশ্বাস নিয়ে প্রশ্ন তোলা হয়েছে। তখন সেটি রাগ বা সহিংসতার মধ্য দিয়ে বেরিয়ে আসে।</t>
  </si>
  <si>
    <t>পুরোপুরি বর্জনের উপরে রাখছি, আলহামদুলিল্লাহ। এমনও হয়েছে, পছন্দ হয়েছে, শুনছি কাদের পণ্য। ভারতের পণ্য শুনে বললাম, ‘সরি, ভারতকে বর্জনের উপরে রাখছি।</t>
  </si>
  <si>
    <t> ২০১৬ সালে কুমিল্লার নাসিরনগরে ধর্ম অবমাননার গুজবে হিন্দুদের মন্দিরে এবং বাড়িঘরে হামলার ঘটনা ঘটেছিল।</t>
  </si>
  <si>
    <t>আল্লাহর গজব থেকে বাঁচতে হলে সঠিক পথ অনুসরণ করা উচিত। যদি কেউ ভুল পথে চলে, তবে তাদের জন্য ফিরে আসার সুযোগ রয়েছে, কারণ আল্লাহ পরম দয়ালু এবং ক্ষমাশীল।</t>
  </si>
  <si>
    <t>সুনামগঞ্জের শাল্লা উপজেলার হবিবপুর ইউনিয়নের নোয়াগাঁও গ্রামে হেফাজত নেতা মামুনুল হকের অনুসারীদের হামলায় ক্ষতিগ্রস্ত হিন্দু পরিবারগুলোকে ক্ষতিপূরণ দেয়ার দাবি জানিয়েছে বাংলাদেশ জাতীয় হিন্দু মহাজোট।</t>
  </si>
  <si>
    <t>ইবাদত করতে করতে অহংকারে অন্ধ হয়ে যাওয়া আপনার পরিণতিও যে ইবলিশের মতো হবে না , সেইটা যেমন বলা যাবে না, তেমনি আজ যাকে আবু জাহল বলে গালি দেন, সেই আবু জাহলের শেষটাই যে খোদা আবু সুফিয়ানের মতো লিখে রাখেননি, সেই নিশ্চয়তা আপনাকে কে দিয়েছে?</t>
  </si>
  <si>
    <t>২০১৫ সালে রাজশাহীর একটি শিয়া মসজিদে সন্ত্রাসী হামলা চালিয়ে একজন মুসল্লিকে হত্যা করা হয় এবং কয়েকজন আহত হন।</t>
  </si>
  <si>
    <t>হামলাকারীরা উন্মত্তের মত হত্যার তাণ্ডব চালায়, লুটপাট করে এবং আগুন লাগিয়ে দেয়। ওই বাড়ির মোট ৮ জন পুরুষ সদস্যের সবাইকে হত্যা করা হয়। বাড়ির মহিলাদের টেনে হিঁচড়ে ঘর থেকে বের করে প্রকাশ্য দিবালোকে জনসম্মুখে গণধর্ষণ করা হয়।</t>
  </si>
  <si>
    <t>যে মানুষটা জীবনটা আলোকিত করতে সাহায্য করেছিল, দ্বীনের পথে থাকতে উৎসাহিত করেছিল, সে মানুষটা আর জীবনে নেই। সে কথা দিয়েছিল আজীবন জীবনে পাশে থাকবে। তাকে অনেক ভালোবাসি, অপেক্ষা করবো সেই দিনের জন্য।</t>
  </si>
  <si>
    <t>মৃত্যু হচ্ছে চলমান জীবন প্রক্রিয়ার একটি পরিবর্তনীয় অবস্থা। ইসলামী দৃষ্টিকোণ হতে সকল জীবিত প্রাণীর জন্যই মৃত্যু একটি সর্বোচ্চ ভয়াবহ অভিজ্ঞতা।</t>
  </si>
  <si>
    <t>সংরক্ষিত সৈনিকদের যুদ্ধে যোগদান ও ক্ষতিগ্রস্ত এলাকা থেকে মুজাহিদদের নির্মূল করার পর, ইসরায়েল ঘনবসতিপূর্ণ গাজা উপত্যকায় কৌশলগত ভবন ও সামরিক স্থাপনাকে লক্ষ্য করে বিমান হামলা মাধ্যমে প্রতিশোধ নিয়েছিল।</t>
  </si>
  <si>
    <t>হিন্দুধর্মাবলম্বী কোনো মানুষ মারা গেলে মৃত ব্যক্তির আত্মার সদ্‌গতির জন্য শেষকৃত্য সম্পন্ন করতে হয়। শেষকৃত্যের তিনটি ধাপ আছে। ১. পিণ্ডদান; ২. পিণ্ডলেপ ও ৩. জলদান।</t>
  </si>
  <si>
    <t>পুলিশ জানায়, এখলাসপুরে আরও একটি মন্দিরের ভেতরে ঢুকে মূর্তি ভাঙচুর করা হয়।[৪৪] নোয়াখালী জেলার ইসকন মন্দিরে ১৫ই অক্টোবর শুক্রবারে তৌহিদী জনতারা হামলা করে। ইস্কনের সদস্য পার্থ দাসকে ২০০ জনেরও বেশি লোক নির্মমভাবে হত্যা করে। তার মৃতদেহ মন্দিরের পাশের পুকুরে পাওয়া যায়।</t>
  </si>
  <si>
    <t>বাবা মা ধর্মকর্ম করে না এবং সন্তানদের সনাতন ধর্মের শিক্ষা দেয় নি। ত যা হবার তা হবেই।</t>
  </si>
  <si>
    <t>ধর্ম আমাদের আধ্যাত্মিক পথের দিকে পরিচালিত করে, যা আমাদের জীবনের অর্থ খুঁজে পাওয়ার জন্য গুরুত্বপূর্ণ, তবে এই পথ কখনোই অন্যদের বিরুদ্ধে বিদ্বেষ বা বিরোধ তৈরি করার জন্য নয়, বরং পৃথিবীকে শান্তিপূর্ণ ও সমৃদ্ধশালী করতে সাহায্য করে।</t>
  </si>
  <si>
    <t>মসজিদের ভিতর মন্দিরের ইতিহাস দাঁড় করায়।সংশোধিত নাগরিকত্ব আইন করে ধর্মীয় বিভেদ উস্কে দিয়ে ভোটের রাজনীতি করে।</t>
  </si>
  <si>
    <t>পুরা ঢাকা বিশ্ববিদ্যালয় তৈরি করা হইসিলো ভাটি অঞ্চলের মুসলমানদের জন্য, যা সমাজের বৈচিত্র্যকে সম্মান জানিয়ে একত্রিত করেছে।</t>
  </si>
  <si>
    <t> ফেনীর তৎকালীন হিন্দু অধ্যুষিত এলাকাগুলো যেমন মাস্টারপাড়া, উকিলপাড়া, ডাক্তারপাড়া, সহদেবপুর, বারাহীপুর, সুলতানপুরের হিন্দুদের উপর মুসলিমরা আক্রমণ করে এবং তাদের বসতভিটে জ্বালিয়ে দেয়। গুরুদাস কর নামের হিন্দুসম্প্রদায়ের একজন প্রভাবশালী ব্যক্তিকে মুসলিমরা হত্যা করে। </t>
  </si>
  <si>
    <t>বাংলাদেশের বিভিন্ন জেলায় হামলার একটি সম্পূর্ণ, নিরপেক্ষ এবং স্বাধীন তদন্ত শুরু এবং ফলাফল প্রকাশ, অপরাধীদের বিচারের জন্য একটি বিশেষ ট্রাইব্যুনাল গঠন, ক্ষতিগ্রস্তদের যথাযথ ক্ষতিপূরণ প্রদান এবং ক্ষতিগ্রস্ত ধর্মীয় স্থান, বাড়ি এবং ব্যবসা প্রতিষ্ঠানগুলোর পুনর্নির্মাণ।</t>
  </si>
  <si>
    <t>কথায় কথায় যে কাউরে জঙ্গি মৌলবাদী  উগ্রবাদী বামিয়ে দাও এসব কোন চেতনা তোমাদের তোমরাই এটা জায়েজ করে সমাজে ছড়িয়েছিলে।</t>
  </si>
  <si>
    <t>একটা পোস্ট দেয়া হয়েছে আগুনে পুড়ে যাওয়া সেই মেয়েটাকে নিয়ে যার ধর্ম নিয়ে ভিষণ তোলপাড় সৃষ্টি হয়েছে।</t>
  </si>
  <si>
    <t>১৯৮৭ সালের ২২ শে মে, ভারতের উত্তর প্রদেশ রাজ্যের মিরাট শহরে হিন্দু-মুসলিম দাঙ্গার সময় হাশিমপুরা গণহত্যা ঘটেছিল, যখন প্রাদেশিক সশস্ত্র কনস্টাবুলারি (পিএসি) -এর ১৯ জন সদস্যকে হাশিমপুরা মহল্লা ( লোকাল ) থেকে ৪২ জন মুসলিম যুবককে আটক করা হয়েছিল বলে অভিযোগ পাওয়া গেছে।</t>
  </si>
  <si>
    <t>দেওয়ানগঞ্জে সরস্বতী প্রতিমা ভাঙচুরের পর পূজা অনিশ্চিত</t>
  </si>
  <si>
    <t>কোন বিধবা তার মৃত স্বামীর মৃতদেহ বা অন্য কোন আত্মীয়ের সাথে বা স্বামী বা অনুরূপ আত্মীয়ের সাথে সম্পর্কিত কোন নিবন্ধ, বস্তু বা জিনিসের সাথে</t>
  </si>
  <si>
    <t>এটা ঠিক না,,,যে যেই ধর্মেরই হোকনা কেনো,,,কখনো ঈশ্বরের কাছে প্রার্থনা করার সময় কোনো মানুষের গায়ে আঘাত করা তো দুরের কথা গায়ে স্পর্শ করারও পাপ,,,সেখানে এই অবস্থা,,, মানুষ এভাবে পৃথিবী থেকে মনুষ্যত্ব কে হারিয়ে ফেলছে</t>
  </si>
  <si>
    <t>আজ নানুয়ার দিঘীর পাড়ে একটি পূজা মন্ডপে হনুমানের মূর্তির উরুর উপর পবিত্র কোরআন রাখার দৃশ্য দেখে অবাক হয়েছি। হিন্দু হোক চাই মুসলিম হোক, এধরণের কাজে কোনো প্রকৃত ধার্মিকের হাত থাকার কথা না।</t>
  </si>
  <si>
    <t>যেকোন ধর্মগ্রন্থকে অবমাননা করা খুবই খারাপকাজ এর নিন্দা জানাই।</t>
  </si>
  <si>
    <t>চীনের একটি সূত্রমতে, খেমার রোজ সরকারের আমলে ১৩২টি মসজিদ ধ্বংস করা হয়। অনেক মসজিদ পাপাচারের কাজে ব্যবহার করে অপবিত্র করা হয়। মুসলমানদের ইবাদত করা বন্ধ করে দেয়া হয়। তাদের বাধ্য করা হয় শূকরের গোশত খেতে। যারা তা খেতে অস্বীকার করতো তাদের হত্যা করা হতো।</t>
  </si>
  <si>
    <t>ঠিক সেভাবেই মন্দিরের দোহাই দিয়ে যদি ১ কিলোমিটার দূরবর্তী মসজিদ নির্মাণ বন্ধ করে দিতে সক্ষম হয় হিন্দুরা, তাহলে পরবর্তী ধাপ হবে ঐ কান্তনগর গ্রামে কোন গরু জবাই করা যাবে না।</t>
  </si>
  <si>
    <t>প্রফেসর তাঁর  বইয়ে ভারতে বৌদ্ধ মুসলিম সম্পর্ক নিয়ে প্রচলিত এই মিথ্যাচারকে খণ্ডন করেছেন। বৌদ্ধদের উপর মুসলিম সেনাপতি ও শাসকগন অত্যাচার করেছেন এই ধারণাকে তিনি নাকচ করে দেন।</t>
  </si>
  <si>
    <t>বৌদ্ধ ধর্মের পরিবর্তনের কারণ নিয়ে গবেষণা করা শ্রী নরেশ কুমার মনে করেন, বৌদ্ধবাদের প্রসঙ্গ এবং ব্রাহ্মণ্য সংস্কৃতির পুনর্জাগরণের লক্ষ্যে, ব্রাহ্মণ চিন্তাবিদরা তিন ধাপের একটি পরিকল্পনা গ্রহণ করেছিলেন।</t>
  </si>
  <si>
    <t>বাহাইরা হল ইরানের বৃহত্তম ধর্মীয় সংখ্যালঘু, এবং ইরান হল বিশ্বের সপ্তম বৃহত্তম বাহাই জনসংখ্যার একটির অবস্থান, যেখানে 2010 সালের হিসাবে মাত্র 251,100 জনসংখ্যা রয়েছে । , নির্যাতন, অযৌক্তিক মৃত্যুদণ্ড, ব্যক্তি এবং বাহাই সম্প্রদায়ের মালিকানাধীন সম্পত্তি বাজেয়াপ্ত করা এবং ধ্বংস করা, কর্মসংস্থান অস্বীকার, সরকারী সুবিধাগুলি অস্বীকার, নাগরিক অধিকার এবং স্বাধীনতা অস্বীকার, এবং উচ্চ শিক্ষার প্রবেশাধিকার অস্বীকার করা।</t>
  </si>
  <si>
    <t>লক্ষ্মীপুর জেলায়, চন্দ্রগঞ্জে পাঁচটি হিন্দু মালিকানাধীন গহনার দোকান লুট করা হয় এবং একটি হিন্দু মন্দিরে আক্রমণ এবং লুট করা হয়।[১৬] ২৮ ফেব্রুয়ারি মধ্যরাতের পরে রায়পুর উপজেলার গাইয়ারচরে একটি হিন্দু মন্দিরে আগুন দেওয়া হয়।</t>
  </si>
  <si>
    <t>ইতিহাসে ধর্মীয় প্রতিষ্ঠানগুলোর ক্ষমতা সংরক্ষণের একটি উপায় হিসেবে এই ধারণাটি গুরুত্ব পেয়েছে যে, ঈশ্বর, ধর্ম ও ধর্মীয় বিষয়গুলো অত্যন্ত পবিত্র এবং তাই এগুলোকে শ্রদ্ধার সঙ্গে বিবেচনা করা হয়।</t>
  </si>
  <si>
    <t>ওহাইওতে এক ব্যক্তির হাতে ছুরি নিয়ে সোমালি মুসলিম অভিবাসীদের ওপর হামলার ঘটনা ঘটে, যা অভিবাসী ও মুসলিমবিদ্বেষী মনোভাবের বহিঃপ্রকাশ।</t>
  </si>
  <si>
    <t>নিউজিল্যান্ডের ক্রাইস্টচার্চ মসজিদে এক শ্বেতাঙ্গ উগ্রপন্থী বন্দুকধারী দুটি মসজিদে হামলা চালায় যা বিশ্বব্যাপী ইসলামবিদ্বেষের দৃষ্টান্ত হয়ে ওঠে।</t>
  </si>
  <si>
    <t xml:space="preserve">শুধু সূরা বাকারাতেই না , সূরা ফাতিহার ক্ষেতেও লক্ষ্য করলে দেখা যাবে এমন । উল্টো নির্নয় এবং পড়ো এর সিরিজ গুলো থেকে এগুলো আমি শিখেছিলাম আল্হামদুলিল্লাহ।ধন্যবাদ স্যার আপনার সব ভিডিও গুলোই দেখার চেষ্টা করি। </t>
  </si>
  <si>
    <t>পাকিস্তানের বিপক্ষে ভারতের ১০ উইকেটের হারের পর সামাজিক যোগাযোগ মাধ্যমে আক্রমণের শিকার হন মোহাম্মদ শামি। ধর্ম নিয়ে তাকে করা হয় কটাক্ষ।</t>
  </si>
  <si>
    <t>বিজেপি নেতা ও দলের তথ্যপ্রযুক্তি সেলের প্রধান অমিত মালবীয় বলছেন যে সনাতন ধর্মকে ‘নির্মূল’ করার কথা বলে ভারতে বসবাসকারী ৮০ শতাংশ মানুষ যে সনাতন ধর্ম মেনে চলেন, তাদের আসলে ‘গণহত্যা’ করার কথা বলেছেন ওই তামিল নেতা।</t>
  </si>
  <si>
    <t>মুসলিমরা সম্পূর্ণ গ্রাম ধরে লুটপাট ও অগ্নি সংযোগ করে এবং সকল পারিবারিক মন্দির, উপাসনালয় ও পবিত্র তুলসীমঞ্চ গুলো ধ্বংস করে ফেলে। পাশের গ্রাম মন্মথপুরের মহেন্দ্র চন্দ্র দে, কামাকান্ত ধর, অশ্বিনী কুমার দে’র বাড়িসহ সকল হিন্দুবাড়ি লুট করে। </t>
  </si>
  <si>
    <t>সরকার ইমামদের জন্য প্রশিক্ষণ একাডেমি পরিচালনা করে এবং ইসলামিক ধর্মীয় বিদ্যালয় বা মাদ্রাসায় ধর্মীয় শিক্ষার বিষয়বস্তু নিরীক্ষণ করে এবং ধর্মীয় শিক্ষার বিষয়বস্তুকে আধুনিকীকরণ ও মূলধারায় অন্তর্ভুক্ত করাসহ পাঠ্যক্রমের পরিবর্তন করার অভিপ্রায় ঘোষণা করে।[</t>
  </si>
  <si>
    <t>বৌদ্ধধর্মের নীতিকথা মূলত সুখী, শান্তিপূর্ণ এবং অর্থবহ জীবন</t>
  </si>
  <si>
    <t>বরং অচিরেই আমরা দেখতে পাবো ঐ ঘটনায় যারা জড়িত তাদের কিছুই হবেনা। আর যারা প্রতিবাদ করবে শাস্তি দাবি করবে তাদের বিরুদ্ধেই হামলা মামলা হয়রানি শুরু হয়ে যাবে ।আজব এক দেশ বাংলাদেশ।</t>
  </si>
  <si>
    <t>এখন দেখছি আমাদের দেশে সকল ধর্ম ও সংস্কৃতির চর্চা রয়েছে, যা আগে শুধু ইসলামিক রাষ্ট্র হিসেবে ভাবতাম।</t>
  </si>
  <si>
    <t> এ ঘটনায় মোট ৬৬টি পরিবার আক্রান্ত হয়। এসব পরিবারের ৭টি টিনের বাড়ি, ৯টি ইটের তৈরি বাড়ি, ৪টি মাটির ঘর, ২টি দোকানসহ প্রায় ২৫টি বাড়ি ও দোকান আগুনে পুড়িয়ে দেয় দুর্বৃত্তরা। এসব বাড়িতে অগ্নি সংযোগ ছাড়াও লুট-পাট ও মন্দির ভাঙচুর করা হয়। হিন্দুরা প্রাণ বাঁচাতে গ্রাম ছেড়ে পালায়।</t>
  </si>
  <si>
    <t>সংখ্যালঘুদের নিরাপত্তা দিতে না পারায় এমনিতেই আন্তর্জাতিক চাপে রয়েছে বাংলাদেশ। শারদোৎসবের মুখে বাংলাদেশে ফের হামলার মুখে সংখ্যালঘু হিন্দুরা। সোমবার রাতে ফরিদপুর উপজেলার কইজুরি ইউনিয়নের তাম্বুলখানা বাজারে নির্মিয়মান দুর্গাপ্রতিমা ভাঙচুর করে দুষ্কৃতীরা।</t>
  </si>
  <si>
    <t>মাশাআল্লাহ, সুবহানাল্লাহ, আলহামদুলিল্লাহ, আল্লাহু আকবার রেখে দিলাম হৃদয়ের কুটিরে। জান্নাত নিজের চোখে দেখিনি, কিন্তু তার কল্পনার প্রতিটি ছবি আজ আমার মনের মাঝে দোলা দিয়ে গেলো কথাগুলো শুনে। আল্লাহ আপনাকে নেক হায়াত দান করুন, আমিন।</t>
  </si>
  <si>
    <t>মুশকিলের কথা হল আমরা মানুষ না হয়ে, হয়েছি হিন্দু মুসলমান খ্রিস্টান বৌদ্ধ ইত্যাদি, আর এই জন্যই যত সমস্যা। ধর্ম থাকুক ধর্মের জায়গায়। </t>
  </si>
  <si>
    <t>এঁরা প্রমাণ করেছেন পৃথিবীতে মনুষ্যত্বের বাইরে কোনো ধর্ম নেই, মানবিকতার চেয়ে চমৎকার কোনো শিক্ষা নেই। একটা ভালো কাজ মুসলিম করলেও ভালো, খ্রিষ্টান করলেও ভালো, নাস্তিক করলেও ভালো! ‘ভালো’কে ভালো বলতে পয়সা লাগেনা, কেবল মানুষ হওয়া লাগে! ঠিক আছে?</t>
  </si>
  <si>
    <t>পিরোজপুরের মঠবাড়িয়া উপজেলার টিকিকাটা ইউনিয়নের ছোট শিংগা গ্রামের একটি পূজা মণ্ডপে প্রতিমা ভাংচুরের ঘটনা ঘটেছে। বৃহস্পতিবার রাতে অজ্ঞাতনামা দুর্বৃত্তরা রায় ভবনে সার্বজননীন শ্রী শ্রী হরি মন্দিরের মণ্ডপের একটি প্রতিমা ভাংচুর করেছে বলে আয়োজকরা দাবি করেন।</t>
  </si>
  <si>
    <t>যা পেয়েছি আর যা হারিয়েছি সব কিছুর জন্য আলহামদুলিল্লাহ্‌,,,, আল্লাহ যা করেন ভালোর জন্যই করেন কারণ আল্লাহর হুকুম ছাড়া গাছের একটা পাতাও নড়ে না</t>
  </si>
  <si>
    <t>৩ মার্চ আরো একটি গণহত্যা পরিচালিত হয়। নিরাপত্তা বাহিনী তিন থেকে চার হাজার লোককে হত্যা করে।[১৫] ২৫ মার্চ, ১৯৮১ তারিখে অবস্থানকারী লোকজন ও সেনাবাহিনীর সদস্যরা আক্রমণ চালায় ও মাটিরাঙ্গায় পাঁচশত জনকে হত্যা করে।</t>
  </si>
  <si>
    <t>"এক মুসলমান হামলা করেছে, আরেক মুসলমান বাঁচাইছে। ওরা যদি আমাদের রক্ষা না করতো, তাহলে এখানে লুটপাট হইতো"</t>
  </si>
  <si>
    <t>নাগরিকত্ব সংশোধনী আইন (CAA) নিয়ে উত্তেজনার জেরে দিল্লিতে সাম্প্রদায়িক দাঙ্গা ছড়িয়ে পড়ে, যেখানে ৫০-এর বেশি মানুষ নিহত হন, এবং মুসলিমদের ঘরবাড়ি, দোকান ও মসজিদে হামলা চালানো হয়।</t>
  </si>
  <si>
    <t>উনার অনুসারীরা সাধ্যমত প্রতিবাদ করেছেন, প্রাণ হাতে করে তার জন্য লড়ে গেছেন।আল্লাহ তো নবীজি সাল্লাল্লাহু আলাইহি ওয়াসাল্লাম দুয়া করলেই আকাশ থেকে ফেরেশতা পাঠিয়ে উনার নিরাপত্তা দিতেন তাহলে উনার সাহাবীদের কষ্ট করার কি দরকার ছিল?</t>
  </si>
  <si>
    <t>কান্তনগর গ্রামের মুসলমানরা গরুর গোশত খেতে পারবে না, কারো বাড়িতে গরুর গোশত পাওয়া গেলে হিন্দুরা তাকে পিটিয়ে হ*ত্যা করবে ঠিক পাশের দেশটির মতোই।</t>
  </si>
  <si>
    <t>এই সমকামীতার জন্য মহান আল্লাহ তায়ালা একটা পুরো জাতিকে ধ্বংস করে দিয়েছিলেন আর এরা এগুলা প্রকাশ্যে করার সাহস পায় কিভাবে!</t>
  </si>
  <si>
    <t>একজন ভালো মানুষ হতে ধর্ম মুখ্য বিষয় নয়। আপনি যদি ধর্ম পালন করে ভণ্ডামো করেন, মিথ্যার আশ্রয় নেন, মানুষের সাথে প্রতারণা করেন, প্রবঞ্চনা করেন, তাহলে সে ধর্ম আপনার কোন উন্নয়নে কাজে লাগবে না; সে ধর্ম আপনাকে ভালো মানুষ হতে সহযোগিতা করবে না।</t>
  </si>
  <si>
    <t>মহানবী (সা.)-কে নিয়ে কটূক্তি করার অভিযোগে দুই মুসলিম ব্যক্তি এক হিন্দু দর্জিকে নির্মমভাবে হত্যা করে, যা দেশজুড়ে উত্তেজনার সৃষ্টি করে।</t>
  </si>
  <si>
    <t> ঘটনা স্থলে পাঁচ জন পুলিশ বাহিনীর সদস্য মারা যায়। এই ঘটনার ফলশ্রুতিতে ৭ জানুয়ারি তারিখে তৎকালীন পাকিস্তান সরকার ২,০০০ সদস্যের একটি সেনাবাহিনীর কন্টিনজেন্ট প্রেরণ করে এবং এর সাথে সশস্ত্র পুলিশ ও আনসার বাহিনী যুক্ত হয়। এই সশস্ত্র বাহিনী বারটি গ্রাম সম্পূর্ণরূপে পুড়িয়ে ভস্ম করে দেয়, চণ্ডীপুরগামী গ্রামবাসীদেরকে ধরে ধরে হত্যা করে।[</t>
  </si>
  <si>
    <t>নড়িয়া গণহত্যা বলতে বাংলাদেশের স্বাধীনতা যুদ্ধ চলাকালে পাকিস্তানি দখলদারি সেনাবাহিনীর দ্বারা বাংলাদেশের সিলেটের নড়িয়া গ্রামে বাঙ্গালী হিন্দুদের উপর ১৪ই মে, ১৯৭১ সালে সংগঠিত হওয়া একটি হত্যাকান্ডকে বুঝায়।</t>
  </si>
  <si>
    <t>গৌতম বুদ্ধের জন্মস্থান নেপালের পাদদেশ পর্যন্ত বৌদ্ধ নিধন কার্যক্রম চালিয়েছিলেন কট্টর হিন্দু রাজা শশাঙ্ক। ‘আর্য্যা মুখশ্রী মূলকল্প’ নামক গ্রন্থে উল্লেখ করা হয়েছে শুধুমাত্র বৌদ্ধ ধর্ম নয় জৈন ধর্মের ওপরও উৎপীড়ন ও অত্যাচার সমানভাবে চালিয়েছিলেন তিনি।</t>
  </si>
  <si>
    <t>খ্রিস্টান ধর্মের একটি গুরুত্বপূর্ণ শিক্ষা হলো দয়া এবং ক্ষমা, যেখানে তাদের বিশ্বাস অনুযায়ী, ঈশ্বর আমাদের সকল ভুল ক্ষমা করে দেন, এবং আমাদেরও একে অপরকে ক্ষমা করে দিয়ে শান্তি এবং ঐক্য প্রতিষ্ঠা করতে হবে, কোনো ধরনের অশান্তি বা সহিংসতা সৃষ্টি না করে।</t>
  </si>
  <si>
    <t>প্রবারণা পূর্ণিমা বৌদ্ধ ধর্মাবলম্বীদের পালিত একটি একটি অন্যতম প্রধান ধর্মীয় উৎসব; যা আশ্বিনী পূর্ণিমা নামেও পরিচিত।</t>
  </si>
  <si>
    <t>রাখাইনদের অভিযোগ: বৌদ্ধ ধর্মের অবমাননা করেছে শিক্ষক</t>
  </si>
  <si>
    <t>জাতীয় হিন্দু মহাসভার দাবি, ২০২০ সালে ৪০ হাজার ৭০৩টি অপরাধের ঘটনা ঘটেছে। হত্যার শিকার হয়েছে ১৪৯ জন, ধর্ষণের শিকার হয়েছে ৫৩ জন, দেশত্যাগে বাধ্য করা হয়েছে দুই হাজার ১২৫ পরিবারকে।</t>
  </si>
  <si>
    <t>সাধারণ মানুষদের কুরআন সুন্নাহ পালনের উদাসীনতা ও ত্রুটিকে সামনে এনে কিছু ভাই এসব অমাননাকর ঘটনার সাথে মিলান। আর বলেন, "নিজেরা সারাজীবন কুরআন সুন্নাহর সাথে অবমাননা করে অন্য ধর্মের মানুষের অবমাননা নিয়ে সরব হতে আসছে</t>
  </si>
  <si>
    <t>প্রয়ত্যেকটি মুসলিম দেশের উচিত সুইডেন এর সাথে কূটনৈতিক সম্পর্ক বাতিল করা। বাংলাদেশ সরকার থেকে এখনো কোনো প্রতীকক্রিয়া জানানো হয়নি আমরা কীকোনো মুসলিম দেশে বাস করছি সত্যি?</t>
  </si>
  <si>
    <t>পুলিশের তথ্য অনুযায়ী ২০২১ সালের ১৪ই অক্টোবর পর্যন্ত কুমিল্লা ও চট্টগ্রাম রেঞ্জের বিভিন্ন এলাকায় ‘উসকানি দিয়ে’ মন্দিরে হামলা ও ভাঙচুরের ঘটনায় ৪৩ জনকে আটক করা হয়েছে।</t>
  </si>
  <si>
    <t>কীভাবে পশ্চিমবঙ্গের রাজনীতিতে ধর্মের উত্থান হল, সেই খোঁজ করতে গিয়ে ১৩ ই এপ্রিল রামনবমীর দিন সকালে দেখছিলাম কলকাতার নানা জায়গায় বিজেপি প্রার্থীরা মিছিলে হাঁটছেন, যা রাজনৈতিক এবং সাংস্কৃতিক নানা চর্চার প্রতিফলন।</t>
  </si>
  <si>
    <t>আবওয়া অভিযান বা গাজওয়ায়ে আবওয়া[১] ২ হিজরির সফর মাসে (আগস্ট ৬২৩ খ্রিষ্টাব্দ) সংঘটিত হয়।[২] ৭০জন সদস্য নিয়ে গঠিত বাহিনীকে মুহাম্মাদ এই অভিযানে নেতৃত্ব দিয়েছেন। কুরাইশ কাফেলার পথরোধ করার জন্য তিনি এই অভিযানের নেতৃত্ব দেন।</t>
  </si>
  <si>
    <t>জৈন ধর্মে জীবনের প্রতি বিশেষ শ্রদ্ধা এবং জীবের প্রতি অহিংস মনোভাবকে অত্যন্ত গুরুত্ব দেওয়া হয়, যা একটি শান্তিপূর্ণ সমাজের জন্য অনুপ্রেরণা।</t>
  </si>
  <si>
    <t>শ্রীলঙ্কা  বৌদ্ধরা সংখ্যাগরিষ্ঠ। গৃহযুদ্ধে তামিল হিন্দু নিপীড়নে শ্রীলঙ্কার বৌদ্ধ ভিক্ষুগণ গুরুত্বপূর্ণ ভূমিকা পালন করে। শ্রীলঙ্কায় তামিল হিন্দুরা নিয়মিত বৌদ্ধ চরমপন্থিদের নিগ্রহের স্বীকার হয়।</t>
  </si>
  <si>
    <t>সনাতন ধর্মের বাণী অমৃত সমান l কোনো ধর্মে এমন বানী প্রচার করে না l কোনো হিংসা নেই কোনো ধর্ম কে ছোটো করা নেই l কারণ এটি সকল ধর্মের স্রষ্টা l</t>
  </si>
  <si>
    <t>যদি আমরা আল্লাহর নির্দেশনা অনুসরণ করি, তাহলে আমাদের জীবনে কঠিন মুহূর্তে ধৈর্য এবং শান্তি বজায় থাকে।</t>
  </si>
  <si>
    <t>১৯৪৬ নোয়াখালীর দাঙ্গার প্রতিক্রিয়া হিসেবে বিহারে দাঙ্গার সুত্রপাত হয়।[৭৯] ৩০ অক্টোবর থেকে ৭ নভেম্বরের মধ্যকার সংগঠিত বিহার দাঙ্গার ফলে ভারত বিভাজন ত্বরান্বিত হয়। </t>
  </si>
  <si>
    <t>আমার জীবনের সেরা বাক্যগুলো আজ শুনলাম, এই তৌফিক এই রহমত আমাকে মহান রবই দান করেছেন,আমার সৌভাগ্য আলহামদুলিল্লাহ</t>
  </si>
  <si>
    <t>নাটোর জেলার সুকাশ ইউনিয়নের বোয়ালিয়া গ্রামের হিন্দুদের হুমকি দেওয়া হয়, যায়ে তারা ভোট দিতে না যায়। তা সত্বেও তিনজন হিন্দু ৫ জানুয়ারী ভোট দিতে যান। নির্বাচনের পরে তাদের ঘরে অগ্নিসংযোগ করা হয়।</t>
  </si>
  <si>
    <t>কোথাও রমজান সম্পর্কিত অনুষ্ঠান আয়োজনের অনুমতি না দেবার কথা বা নিষেধাজ্ঞা দেবার কথাও বলেনি। কিন্তু গত কয়েকদিন ধরে ফেসবুকে নোংরা অপপ্রচার চলছে।</t>
  </si>
  <si>
    <t>মুসল্লীদের জায়গা সংকুলান না হওয়ায় ১৯৪৯ সালে প্রতিষ্ঠিত ৭৫ বছরের পুরাতন মসজিদের জমিতে মসজিদের পুননির্মাণ চলছে। যেটা কান্তনগর মন্দিরের আধা কিলো পূর্বে অবস্থিত যেখানে পুরো কান্তনগর মৌজায় কোন হিন্দু নাগরিকের বাস নাই ।</t>
  </si>
  <si>
    <t xml:space="preserve">ইসলামের সকল ভিজিবল প্রকাশ্য দৃশ্যমান চিহ্নকে ধারণ করুন। যারা যেটুকু ধারণ করতেন, তার থেকে বাড়িয়ে দিন। নবীজীর কথার উপরেরও আমল হবে: বিধর্মীদের সাথে বৈসাদৃশ্য অবলম্বন করো। </t>
  </si>
  <si>
    <t>মালয়েশিয়া ও ইন্দোনেশিয়ার খ্রিস্টানগণ মালয়েশীয় ও ইন্দোনেশীয় ভাষায় ঈশ্বরকে বোঝাতে আল্লাহ শব্দটি ব্যবহার করে (ভাষা দুটি মালয় ভাষার প্রমিত রূপ)। </t>
  </si>
  <si>
    <t>কৃষ্ণপুর গণহত্যা বা কৃষ্ণপুর হত্যাকাণ্ড ১৯৭১ সালের ১৮ই সেপ্টেম্বর, বাংলাদেশের সিলেট জেলার কৃষ্ণপুর এবং পার্শ্ববর্তী গ্রামে সংগঠিত হয়। কৃষ্ণপুরে, পাকিস্তানি দখলদারি সেনাবাহিনী গুলি চালিয়ে ১২৭ জন বাঙ্গালী হিন্দুদের হত্যা করে।[১] পার্শ্ববর্তী গ্রামে একশোরও অধিক হিন্দু হত্যা করা হয়।</t>
  </si>
  <si>
    <t>চট্টগ্রামের ফটিকছড়ি ও মীরেরসরাইয়ের প্রত্যেকটি হিন্দু অধ্যুষিত গ্রাম সম্পূর্ণরূপে পুড়িয়ে দেয়া হয়।পঞ্চাননধাম এবং তুলসীধাম সহ পাঁচটি হিন্দু মন্দির ভাংচুর ও ধ্বংস করে দেয় মুসলিমরা।চট্টগ্রামে বাচুলিয়া এবং ইলিয়াস কলোনির হিন্দু মহিলাদেরকে ধর্ষণ ও অপহরণ করে মুসলিমরা।</t>
  </si>
  <si>
    <t>একদল বেকুব মুসলমান যেখানে সেখানে কমেন্ট করে “ শান্তির ধর্ম ইসলাম গ্রহন করুন”, আরেকদল মুসলমান বলবে “অমুক কেন দাড়ি রাখলো তমুক কেন বৌকে বোরকা পরালো?”</t>
  </si>
  <si>
    <t xml:space="preserve">উনার সনাতনধর্ম ভালো লাগে না সেটা উনার ব্যাপার, কিন্তু এতগুলো ধর্মপ্রাণ সনাতনীর মনে আঘাত দিয়ে কথা বলার রাইট নাই, উনাকে আইনের আওতায় আনার জন্য বিনীত অনুরোধ করছি, </t>
  </si>
  <si>
    <t>আত্মরক্ষার অজুহাতে ফিলিস্তিনি জনগণের ওপর ইসরায়েলের পক্ষ থেকে যে ইচ্ছাকৃত গণহত্যা চালানো হচ্ছে সেটি দেশটির বর্তমান কিংবা ভবিষ্যতের নিরাপত্তাকে সুরক্ষিত করবে না। বরং এটি আরও বড় পর্যায়ে নিরাপত্তাহীনতা ও অস্থিতিশীল পরিবেশ তৈরি করবে। তেল আবিবকে আরও বিচ্ছিন্ন করবে এবং সংকটময় অঞ্চলটিতে দীর্ঘমেয়াদী টিকে থাকার সম্ভাবনাকে ক্ষুণ্ন করবে।</t>
  </si>
  <si>
    <t>কোরআনে উল্লেখ আছে যে লুত (আ:) এর জাতির ঘটনার মাধ্যমে সমকামিতার বিষয়ে শিক্ষা দেওয়া হয়েছে। জ্ঞান অর্জন করা অত্যন্ত মূল্যবান, আর কোরআনের মর্ম বোঝার চেষ্টা করাও গুরুত্বপূর্ণ। কোরআন শুধু ধর্মীয় দিক থেকেই নয়, বরং মানবজীবনের নৈতিক ও সামাজিক শিক্ষা দেয়। একইসঙ্গে, বিজ্ঞানের সত্যগুলো জানা ও বোঝার চেষ্টাও আমাদের জ্ঞানকে সমৃদ্ধ করে।</t>
  </si>
  <si>
    <t>তাদের অবশ্য মাথাপিছু ট্যাক্স দিতে হবে জিজিয়া, পৌত্তলিকদের বিপরীতে, যাদের ইসলাম গ্রহণ করতে হবে অথবা মৃত্যুবরণ করতে হবে। "কিতাবের লোকদের" একই মর্যাদা পরে বিশেষ সময় এবং স্থানে জরথুস্ট্রিয়ান এবং হিন্দুদের জন্য প্রসারিত হয়েছিল, কিন্তু অনেক "কিতাবধারী" জিজিয়া থেকে রক্ষা পাওয়ার জন্য ইসলামে যোগদান করেছিল।</t>
  </si>
  <si>
    <t>যা হোক বাংলাদেশ এর নাস্তিক, মুক্তমনা, ইসলাম বিদ্বেষকারী এরা সবাই এই পোস্ট দেখে খুব আত্মতৃপ্তি পেয়েছে</t>
  </si>
  <si>
    <t>৩০এ অক্টোবর ২০১৬-তে এক হিন্দু জেলে রসরাজ দাস দ্বারা ইসলামের বিরুদ্ধে [২]পোস্ট করার অভিযোগ করে এই হামলা করা হয়। এতে ১৯টি মন্দির হামলার শিকার হয়[৩] এবং প্রায় ৩০০টি বাড়ি ভাঙচুর ও ১০০ জনের উপরে হিন্দু আহত হয়।</t>
  </si>
  <si>
    <t>মিয়ানমারে রোহিঙ্গা মুসলমানদের ওপর ধর্মীয় নিপীড়নের ফলে হাজারো মানুষকে হত্যা করা হয়েছে, যা ইতিহাসের অন্যতম নিষ্ঠুর মানবাধিকার লঙ্ঘন।</t>
  </si>
  <si>
    <t>দক্ষিণ কলকাতার টালিগঞ্জ অঞ্চলে জন্ম নেওয়া অভয়াচরন দে পরবর্তী জীবনে অভয়া চরণারবিন্দ ভক্তিবেদান্ত স্বামী 'প্রভুপাদ' বা এসি ভক্তিবেদান্ত ইসকনের প্রতিষ্ঠাতা। তাকেই ধর্মগুরু বলে মানেন সারা বিশ্বে ছড়িয়ে থাকা ইসকনের লাখো ভক্ত।</t>
  </si>
  <si>
    <t>পরকালের আশায় হিন্দু থেকে মুসলিম ধর্মে ধর্মান্তরিত। সেই স্বামী ভোগ শেষে নি*র্যা*তন করে ঘর থেকে বের করে দেয় ও দ্বিতীয় বিবাহ করে।</t>
  </si>
  <si>
    <t>ইসরায়েলের বিরুদ্ধে অন্তত ৫,০০০ টি ক্ষেপণাস্ত্রের রকেট ব্যারেজ ও ভূখণ্ডে পরিবহনে উপযোগী যানবাহন সহ অনুপ্রবেশের মাধ্যমে খুব ভোরে সহিংসতা শুরু হয়েছিল।</t>
  </si>
  <si>
    <t>৬ই ফেব্রুয়ারি মুসলিমদের ৩০০জনের একটা দল আখরা নামের গ্রামে আক্রমণ করে। গ্রামের মন্দিরের পুরোহিত পালিয়ে গেলে তারা সকল ছবি ও মূর্তি ধ্বংস করে। </t>
  </si>
  <si>
    <t>ধর্মান্ধদের লোলুপ দৃষ্টিতে এখন আমাদের প্রাণের প্রিয় বাংলাদেশ!সংকীর্ণমনা ধর্মান্ধরা হয়তো চান সংখ্যালঘু শূণ্য বাংলাদেশ! তাদের কাছে খুব জানতে ইচ্ছে করে তাতেই কি সকল সমৃদ্ধি'র সারণির তালিকায় বাংলাদেশ সুখী-সমৃদ্ধ রাষ্ট্র বিনির্মাণ হবে?</t>
  </si>
  <si>
    <t>আল্লাহর নির্দেশনা মেনে চললে জীবনে শান্তি ও প্রশান্তি আসে, এবং আমরা সঠিক পথে চলার জন্য আল্লাহর সাহায্য লাভ করি।</t>
  </si>
  <si>
    <t>আমাদের পবিত্র গন্থ আল কোরআন এর অবমাননা করে, আবার সেখানে আমার ধর্মের মানুষের উপর গুলি</t>
  </si>
  <si>
    <t>দেশভাগ বা তার ঠিক আগে থেকে বিদেশী শাসকরা তাদের স্বার্থে হিন্দু মুসলমানের মধ্যে এই বিষ ঢুকিয়ে দিয়ে গেছে। কিন্তু জাতি হিসাবে আমরা এতটাই হতভাগ্য যে এত বছরেও তার থেকে বেরিয়ে আসতে পারলাম না।</t>
  </si>
  <si>
    <t>বাংলাদেশে সাম্প্রদায়িক সম্প্রীতি নষ্টের অপচেষ্টা শুরু হয়েছে। এরই অংশ হিসেবে কক্সবাজারের রামু উপজেলায় বৌদ্ধ ধর্মাবলম্বী এক যুবক অকল্পনীয় দুঃসাহস দেখিয়ে পবিত্র কুরআন শরীফ অবমাননা করেছে। ওই যুবক মহান আল্লাহ ও কাবা শরিফকে নিয়েও ধৃষ্টতা দেখিয়েছে। ইসলামের এ ধরনের চরম অবমাননার প্রতিবাদে শনিবার রাতে তাৎক্ষণিকভাবেই বিক্ষোভ প্রদর্শন করেছে রামুর ধর্মপ্রাণ মুসলমানেরা।</t>
  </si>
  <si>
    <t xml:space="preserve">পোস্টটা দেখে থমকে গিয়ে কমেন্ট সেকশনে গেলাম। সেখানে গিয়ে দেখি অনেকেই সেটাকে বাহবা দিচ্ছে। সহমত জানাচ্ছে। কেউ দ্বিমত করলে তাদের রিপ্লাইতে গিয়ে বলছে এটাই ঠিক,উত্তম হয়েছে,সে ধর্ম নিয়ে মজা করেছে। </t>
  </si>
  <si>
    <t>ইসলাম এমন একটি শান্তির ধর্মে অন্য কাউকে আঘাত করে না, যারা কুরআনকে পুড়িয়েছে তাদের বিচার আল্লাহ করবে</t>
  </si>
  <si>
    <t>২০১৪-২০২১ সালে  মোদী সরকারের সময় গো-রক্ষার নামে বেশ কয়েকটি মুসলিম ও দলিত সম্প্রদায়ের মানুষের ওপর হামলা হয়।</t>
  </si>
  <si>
    <t>ধর্মের মূল শিক্ষা হচ্ছে মানুষের হৃদয়ে ভালোবাসা এবং দয়া প্রতিষ্ঠা করা, যার মাধ্যমে সামাজিক সম্প্রীতি এবং ঐক্য স্থাপিত হয়, এবং এটি কোনোভাবেই সহিংসতা বা দুশমনির সৃষ্টি করতে চায় না, বরং সকল মানুষের মধ্যে শান্তি ও সম্মান বাড়ানোর জন্য উৎসাহিত করে।</t>
  </si>
  <si>
    <t>আমার মনে হচ্ছে এটা হত্যা । জানিনা কেন বাট একজন শিক্ষিকা কারো কথার জন্য সুইসাইড করে ফেলবে এমন হবার কথা নয়!</t>
  </si>
  <si>
    <t>ধর্ম অসময়ে সাথ দেয়না ঠিকই বলেছেন। তাই ধর্ম না দেখে ডাক্তার রা আমাদের সেবা করে চলেছে। ওদিকে ধর্মের ব্যাবসায়ীরা ধর্মীয় স্থান বন্ধ করে বসে আছেন। তাই কোনো ধর্মই আগে না আগে মানবিকতা।</t>
  </si>
  <si>
    <t>আমি একটা কথা বলি,"শুনি কিন্তু গুনি না " আসলে মানুষ কথা শোনাতে শোনাতে একটা মানুষকে মেরে ফেলে। শাস্তি সরূপ কথার আঘাতে আঘাতে তাদের মেরে ফেলা হোক।</t>
  </si>
  <si>
    <t>উখিয়ায় বৌদ্ধ মন্দিরে হামলা ভাঙচুর</t>
  </si>
  <si>
    <t>অন্য ধর্ম অবমাননার বেলায় কেন শিথিলতা? এটা কি একটি স্বাধীন রাষ্ট্রের আইন?</t>
  </si>
  <si>
    <t>ইথিওপিয়ার অরোমো-আমহারাতে  জাতিগত ও ধর্মীয় বিভেদের কারণে দুই সম্প্রদায়ের মধ্যে সহিংস সংঘর্ষ হয়, যাতে শতাধিক মানুষ নিহত হন।</t>
  </si>
  <si>
    <t>উপপত্নী বা নিকৃষ্ট রক্তের লাইনের অন্যদের যারা সম্মতি দিয়েছিল বা তাদের রাজকীয় স্বামীর সাথে মারা যেতে চেয়েছিল তাদের পুড়িয়ে ফেলার আগে ছুরিকাঘাতে হত্যা করতে হয়েছিল।</t>
  </si>
  <si>
    <t>টেলিভিশন,মূল্যবান জিনিসপত্র,টাকাপয়সা লুট করা হয়। অর্ধশতাধিক নারী-পুরুষকে এই হামলায় আহত হয়। রসরাজের বাড়িতে ভাংচুর করা হয় । মহাকাল পাড়ার গৌর মন্দিরের সেবায়েত শংকর সেন গুরুতর আহত হন । গৌর মন্দিরের পুরোহিত নরেন্দ্র প্রভুকে মারধর করা হয়। </t>
  </si>
  <si>
    <t>আল্লাহর আদেশ মেনে চললে আমাদের দেহ ও মন শান্ত থাকে, এবং আমরা সঠিক পথের উপর থাকি, যা আমাদের জীবনের লক্ষ্য পূরণে সাহায্য করে।</t>
  </si>
  <si>
    <t> বৈদিক গ্রন্থে সমর্থন সহ আচার ছিল "প্রতীকী আত্মহনন" যা বিশ্বাস করা হয় যে একজন বিধবা তার স্বামীর মৃত্যুতে সঞ্চালনের জন্য প্রয়োজন মর্যাদাসম্পন্ন, বিধবা পরবর্তীতে তার স্বামীর ভাইকে বিয়ে করে।</t>
  </si>
  <si>
    <t>প্রধানমন্ত্রী ইন্দিরা গান্ধীর হত্যার পর দিল্লিসহ বিভিন্ন স্থানে শিখদের ওপর ব্যাপক আক্রমণ হয়, প্রায় ৩,০০০ শিখ নিহত হয়।</t>
  </si>
  <si>
    <t>সাবধান ধর্ম নিয়ে ও ইফতার নিয়ে বাজে মন্তব্য করবেন না।</t>
  </si>
  <si>
    <t>আপনার আশেপাশে দেখুন, আপনার ডিপার্টমেন্টে, আপনার রুমে আরো কতো মারাত্মক ডিপ্রেশনে ভোগা মানুষ আছে। এদের খোঁজ কেউ নেয়! এদের কেউ কেউ হয়তো আত্মহত্যার সিদ্ধান্ত নিয়েও আবার ফিরে এসেছে পরিবার-ধর্ম-সমাজ এসবের কারনে।</t>
  </si>
  <si>
    <t>ইসলামিক খেলাফত সম্পর্কে আপনার কোনো ধারণা আছে? না থাকলে ইসলামিক ইতিহাস ঘেটে পড়ে আসুন তারপর মন্তব্য করবেন।না জেনে-বুঝে মন্তব্য করা কেউই পছন্দ করে না</t>
  </si>
  <si>
    <t>পাক হানাদাররা সারা গ্রাম তন্নতন্ন করে এবং বিশজন লোককে গুলি করে হত্যা করে। দেহগুলো সুতা নদীতে ফেলে দেয়। আহত হয়ে ৪০ জনের মতো লোক পালাতে সক্ষম হয়। যদিও তারা ভারত যেতে সক্ষম হয়েছিল, তবে বেশিরভাগ লোক আহত হয়ে মারা যায়। মহিলাদের ধর্ষণ করা হয় এবং রাজাকাররা সারা গ্রাম লুটপাট করে নেয়। সারা গ্রামে পেট্রোল ছিটিয়ে আগুন ধরিয়ে দেয়া হয়।</t>
  </si>
  <si>
    <t>আল্লাহ আমাদের সকলকে হেদায়াত দান করুন।</t>
  </si>
  <si>
    <t> ভাগ্য মানুষের জীবনকে সংযত করে। আল্লাহ বলেন, ‘এটা (ভাগ্য নির্ধারণ) এ জন্য যে, তোমরা যা হারিয়েছ তাতে যেন তোমরা বিমর্ষ না হও এবং যা তিনি তোমাদের দিয়েছেন তার জন্য হর্ষোত্ফুল্ল না হও। আল্লাহ পছন্দ করেন না উদ্ধত ও অহংকারীদের। </t>
  </si>
  <si>
    <t>ফ্রান্সিস টুকারের মতে, হিন্দু সংবাদমাধ্যম বিশৃঙ্খলার মারাত্মক অতিরঞ্জিত সংবাদ প্রকাশ করেছিল।[৫১] তবে নিরপেক্ষ এবং ব্যাপকভাবে গৃহীত মতানুযায়ী মৃত্যুর সংখ্যা ছিল প্রায় ৫০০০-এর কাছাকাছি।</t>
  </si>
  <si>
    <t>২০১৯ সালে নাইজেরিয়ায় একদল দুর্বৃত্ত গির্জার ভেতরে ঢুকে হামলা চালায়, এতে বহু খ্রিস্টান উপাসক আহত হন।</t>
  </si>
  <si>
    <t>অন্যথায় কেউ এ ধরনের ঘটনা ঘটালে ধর্মপ্রাণ মানুষ রাগে, দুঃখে, ক্ষোভে ও ক্রোধে ফেটে পড়বে। শুরু হবে সাম্প্রদায়িক দাঙ্গা-হাঙ্গামা। সূত্রপাত ঘটবে মারামারি-হানাহানির মতো ঘটনার।</t>
  </si>
  <si>
    <t>কালীমন্দির ভাঙচুর, লুটপাটের প্রতিবাদে দেবিদ্বারে সংখ্যালঘু সম্প্রদায়ের সংবাদ সম্মেলন</t>
  </si>
  <si>
    <t xml:space="preserve">খ্রিস্টান ভাইয়েরা! যে কুরআন পুড়ছেন সেই কুরআন যিশুকে সম্মান ও শ্রদ্ধা দিয়েছে ২০০ কোটি মুসলমানদের কাছে। যে কুরআন পুড়ছেন সেই কুরআন মেরীকে সম্মান ও শ্রদ্ধা দিয়েছে। </t>
  </si>
  <si>
    <t>উইকিপিডিয়া এখন সব ভুল ও বিভ্রান্তিকর তথ্যের ভান্ডার, এটি খুবই নড়বড়ে তথ্য সরবরাহ করে; কেননা উইকিপিডিয়ার জন্মই হয়নি যখন আল-আকসার নির্মাণ সম্পন্ন হয়েছে।</t>
  </si>
  <si>
    <t>১৯৬৬ সালে ক্যালিফোর্নিয়ার সান ফ্রান্সিসকোতে শয়তানের গির্জা প্রতিষ্ঠা করেছিলেন চ্যাট শো সেলিব্রেটি অ্যান্টন ল্যাভে।</t>
  </si>
  <si>
    <t>ইসলাম ও বিজ্ঞান গ্রুপে ইসলামি ব্যাক্তিগন মনের আনন্দে ইসলামিক বিজ্ঞান চর্চা করতে পারবে...! একই সাথে অন্য ধর্মের সমালোচনা নিজেদের মধ্যে রাখবে। ইসলাম ও বিজ্ঞান গ্রুপে বিধর্মীদের এড না দেওয়ার অনুরোধ জানাই</t>
  </si>
  <si>
    <t>ফেসবুকে ধর্ম অবমাননার অভিযোগে এবার বাংলাদেশের রংপুরের হিন্দু গ্রামে হামলা, নিহত ১</t>
  </si>
  <si>
    <t>সার্ব বাহিনী বসনিয়ার মুসলমানদের বিরুদ্ধে জাতিগত নির্মূল অভিযান চালায়, যেখানে স্রেব্রেনিৎসায় ৮,০০০-এর বেশি মুসলিম পুরুষ ও ছেলেকে হত্যা করা হয়।</t>
  </si>
  <si>
    <t>তিনি বলেছেন, হিন্দু সম্প্রদায়ের মানুষেরা ঐ গ্রামে বহু প্রজন্ম ধরে বসবাস করছেন। এই প্রথম তারা বড় হামলার শিকার হলেন।</t>
  </si>
  <si>
    <t>হিন্দু সম্প্রদায়ের ক্ষতিগ্রস্ত উপাসনালয় গুলো পরিদর্শন শেষে সহিংসতায় নিহত যতন সাহা ও প্রান্ত দাসের পরিবারের হাতে ৫০ হাজার টাকা করে ১ লক্ষ টাকার অনুদান তুলে দেন।</t>
  </si>
  <si>
    <t>কোরআন অবমাননা কারীদের সঠিক বিচার করা হক,আমি মুসলিম হিসেবে বলছি তাদের বিরুদ্ধে যুদ্ধ ঘোষণা করা হক।</t>
  </si>
  <si>
    <t>তবে একটা বিষয় থাকতে পারে, এটাকে পুঁজি করে, এই বিষয়টাকে সামনে এনে এবং সাংঘর্ষিক একটি পরিস্থিতি তৈরি করে একটা মহল দীর্ঘদিন ধরে চাইছে একটা সাম্প্রদায়িক সমাজ প্রতিষ্ঠা করার জন্য এবং ধর্মে ধর্মে এক ধরনের সংঘাত তৈরি করার জন্য। যে রাজনৈতিক শক্তিগুলো বাংলাদেশকে পাকিস্তানে পরিণত করতে চায়, কট্টর একটা সমাজ ব্যবস্থা প্রতিষ্ঠা করতে চায়, তাদের পক্ষ থেকে এটা একটা অপচেষ্টা। সেটার বিষয়ে আমরা অবগত আছি।</t>
  </si>
  <si>
    <t>আহমদিয়া মুসলিম সম্প্রদায়ের মসজিদে বোমা হামলা চালানো হয়, যাতে একজন নিহত হন এবং অনেকে আহত হন।</t>
  </si>
  <si>
    <t>রাজা বায়িন্নাউং (১৫৫০-১৫৮৯) এর আমলে ধর্মীয় অসহিষ্ণুতা বৃদ্ধি পায় এবং বৌদ্ধরা মুসলিমদের হত্যা করে</t>
  </si>
  <si>
    <t>১৯৪৮ সালে ইসরায়েলের রাষ্ট্র প্রতিষ্ঠার পর থেকেই ফিলিস্তিনি মুসলিম ও খ্রিস্টানদের সঙ্গে ইহুদিদের সংঘাত চলছে, যার ফলে বহু মানুষ বাস্তুচ্যুত হয়েছেন।</t>
  </si>
  <si>
    <t>ভারতে ক্ষমতাসীন দল বিজেপি-র জাতীয় দাপ্তরিক মুখপাত্র নূপুর শর্মা গত ২৭ মে একটি টিভি চ্যানেলের টক শো-তে উত্তর প্রদেশের জ্ঞানবাপী মসজিদের স্থানে মন্দির নির্মাণের দাবি নিয়ে বিতর্কের এক পর্যায়ে আপত্তিকর মন্তব্যটি করেন।</t>
  </si>
  <si>
    <t>১৫২৭ সালে একটি পুরানো রাম মন্দির ভেঙে ফেলা হয় এবং ১৫২৮ সালে এটি সম্রাট বাবর দ্বারা নির্মিত হয়।[১] এটি আঠারো শতক থেকেই হিন্দু ও মুসলিম সম্প্রদায়ের মধ্যে বিরোধের কেন্দ্রবিন্দু হয়ে দাঁড়িয়েছিল, যা অযোধ্যা বিবাদ নামে পরিচিত।</t>
  </si>
  <si>
    <t>একজন মুসাফির দীর্ঘ পথ পাড়ি দেয়ার জন্য বের হলে মরুভূমির অনেকটা পথ তীব্র রৌদ্রের মধ্যে দিয়ে হাঁটার পর যখন একটু গাছের ছায়া দেখতে পায়,তখন একটু বিশ্রাম নিয়ে আবার রওয়ানা হয় তার বাকি পথ পাড়ি দেয়ার জন্য। </t>
  </si>
  <si>
    <t>বাংলাদেশের রংপুরের গঙ্গাচড়ায় কয়েকশো মানুষ একটি হিন্দু গ্রামে হামলা করার সময় পুলিশের পাল্টা গুলিতে অন্তত এক জন নিহত হয়েছে। পুলিশ বলছে, ঐ হিন্দু গ্রামের একজন ফেসবুকে ধর্মীয় অবমাননামূলক পোস্ট দিয়েছেন বলে অভিযোগ করে সেখানে হামলা করা হয়।</t>
  </si>
  <si>
    <t>এজন্যই রাশিয়াকে ভালোবাসি। কারণ রাশিয়া সব সময় সত্য, নায়্য ও ইসলামের পক্ষে। আর আমেরিকা নিজ স্বার্থে যে কোন বেইমানি করতে পারে। রাশিয়ার সফলতা কামনা করি।</t>
  </si>
  <si>
    <t>যদিও একজন অ্যামেরিকান শান্তিরক্ষী সেনাবাহিনীর নার্স বিবৃতি দেন, শুধুমাত্র ২১ জানুয়ারিতেই তিনি ঢাকা মেডিক্যাল কলেজ হাসপাতালে কমপক্ষে ৬০০ মৃতদেহ দেখতে পান, যা তার জন্য একটি গভীর মানবিক অভিজ্ঞতা ছিল।</t>
  </si>
  <si>
    <t>ইসলাম ধর্মের অনুসারীদের মতে কাবাকে সবচেয়ে পবিত্র স্থান হিসেবে মনে করা হয়।[১] এটি মুসলমানদের কিবলা, অর্থাৎ তারা যে দিকে মুখ করে নামাজ পড়ে বা সালাত আদায় করে।</t>
  </si>
  <si>
    <t>১৫ই ফেব্রুয়ারি গঙ্গাজল গ্রামের দীনেন্দ্র চন্দ্র দেব পুরকায়স্থের বাড়ি লুট হয় এবং মুসলিম দুষ্কৃতকারীরে তা দখল করে নেয়। সকাল ৯ টায় বাহুবল(পূর্বে করিমগঞ্জের একটি সাব-ডিভিশন ছিল)পুলিশ স্টেশনের নিয়ন্ত্রণাধীন সিলানি গ্রামে আক্রমণ চালানো হয়।</t>
  </si>
  <si>
    <t>২১ আগস্ট, খুলনার পাইকগাছার লস্কর ইউনিয়নে হিন্দু সম্প্রদায়ের জায়গা জোর পুর্বক দখলের সময় বাঁধা দিলে প্রতিপক্ষের হামলা ও মারপিটে ১৩ জন আহত হয়। দু’জনকে উন্নত চিকিৎসার জন্য খুলনা মেডিকেল কলেজ হাসপাতালে প্রেরণ করা হয়।</t>
  </si>
  <si>
    <t>তিনি বলেন, হিন্দু এক তরুণ ফেসবুকে পোস্ট দিয়ে ইসলাম ধর্মের অবমাননা করেছেন, এমন অভিযোগ ছড়ানো হয় শুক্রবার বিকেলে। সেটা যাচাই করা বা কোন ব্যবস্থা নেয়ার সুযোগ না দিয়েই সন্ধ্যায় হামলা করা হয়।</t>
  </si>
  <si>
    <t>আফগানিস্তানে তালেবানের কঠোর শরিয়াহ আইন প্রয়োগের ফলে বহু মানুষ প্রাণ হারিয়েছে, বিশেষ করে নারীদের ওপর দমন-পীড়নের ফলে অনেক মৃত্যু ঘটেছে।</t>
  </si>
  <si>
    <t xml:space="preserve">গুরুর মাংস নিষিদ্ধ করা , ভাড়া করা পাত্রে রান্না করার ঘোষণা এগুলি সবি সাম্প্রদায়িক উস্কানি ছাড়া আর কিছু না </t>
  </si>
  <si>
    <t>ফেল করে আত্মহত্যা করা সেই হৃদয় পাস করেছে অবশেষে</t>
  </si>
  <si>
    <t> হিন্দু পুরুষদেরকে মুসলিমরা জোর করে মসজিদে নিয়ে নামাজ পড়াত। হিন্দুদেরকে জোর করে গরুর মাংস খেতে বাধ্য করা হয় কারণ হিন্দুধর্মানুসারে গরু তাদের কাছে পবিত্র প্রাণী বিধায় এর মাংস তারা খায় না। হিন্দু মেয়ে এবং মহিলাদের মুসলিমরা জোর করে বিয়ে করে।</t>
  </si>
  <si>
    <t>রাষ্ট্রনায়করা বলেন বা সরকার বলেন এই বিষয়টাতে হস্তক্ষেপ করা দরকার বলে আমার মনে হয়। ধর্মের বিষয়টাতে কেউ যেন প্রাধান্য না দেয় বা কেউ কোনো উসকানি না দেয় বা কেউ কোনো এটাকে ব্যবহার করে। ইদানীং আমি যেটা বুঝি যে ধর্ম নিয়ে রাজনীতিটা বেশি হচ্ছে ধর্ম কে ব্যবহার করে রাজনীতি চলছে</t>
  </si>
  <si>
    <t>২০০০ সালে নাইজেরিয়ার উত্তরাঞ্চলে মুসলিম ও খ্রিস্টানদের মধ্যে সাম্প্রদায়িক সহিংসতা নিয়মিত ঘটে, যেখানে বহু গ্রাম পুড়িয়ে দেওয়া হয়েছে এবং</t>
  </si>
  <si>
    <t>শুধু কুরআন নয়, সবধরণের ধর্মগ্রন্থ এবং স্রষ্টার অবমাননা করলে সর্বনিম্ম শাস্তি হওয়া উচিত মৃত্যুদণ্ড, এবং সর্বোচ্চ শাস্তি হওয়া উচিত দোষীকে জনতার হাতে তুলে দেয়া।</t>
  </si>
  <si>
    <t>এদিকে প্রধানমন্ত্রী এদিন মন্ত্রি পরিষদের নিয়মিত বৈঠকেও কুমিল্লায় গুজবকে কেন্দ্র করে বিভিন্ন পূজা মন্ডপে হামলা ও গোলাযোগ সৃষ্টিকারিদের বিরুদ্ধে কঠোর শান্তিমূলক ব্যবস্থা গ্রহণের জন্য স্বরাষ্ট্রমন্ত্রীকে নির্দেশ দেন।</t>
  </si>
  <si>
    <t>শুক্রবার সুইডেনের ইসলামবিদ্বেষী গোষ্ঠী ড্যানস্কে প্যাট্রিয়টার কোপেনহেগেন ইরাকি দূতাবাসের সামনে এই কুরআন পোড়ানোর ঘটনা ঘটায়। গোষ্ঠীটি জানিয়েছে, তারা এই কাজটি করেছে মূলত ইরাকে সুইডিশ দূতাবাসে হামলার প্রতিবাদে। </t>
  </si>
  <si>
    <t>সাম্প্রতিক কালে যে তাণ্ডব রামু ও অন্যত্র ঘটে গেছে তাতে করে চট্টগ্রামেও বৌদ্ধরা যে খুব বেশিদিন বহাল তবিয়তে থাকবে তা জোর দিয়ে বলা যাবে না)</t>
  </si>
  <si>
    <t>যে হামলা হচ্ছে, সেগুলো সংখ্যাগরিষ্ঠ মুসলিম সম্প্রদায়ের ওপরও হচ্ছে। একটি গোষ্ঠী তাদের উদ্দেশ্য বা মতের জন্য করছে। ধর্মের ভিত্তিতে সম্পর্ক নষ্ট করার চেষ্টা হচ্ছে। এটি উপেক্ষা করা উচিত।</t>
  </si>
  <si>
    <t xml:space="preserve">বিশ্ববিদ্যালয় কেন্দ্রিক ষড়যন্ত্র ছাড়াও ব্রাজিল থেকে আমদানিকৃত চিনির গুদামে আগুন, খেজুরকে বিলাসী দ্রব্য হিসেবে অভিহিত করে চড়া শুল্ক আরোপসহ মুসলিমদের জন্য রমাদান মাসটাকে কঠিন করে দেয়ার পেছনে কাদের হাত আছে? একটু ভেবে দেখুন, ভাবার চেষ্টা করুন! </t>
  </si>
  <si>
    <t>হিন্দু ও মুসলমানদের মধ্যে দাঙ্গায় শতাধিক মানুষ মারা গিয়েছিল, ৪৩৮ জন আহত হয়েছিল।</t>
  </si>
  <si>
    <t> 2017 সালে ধর্মীয় সংখ্যালঘুদের উপর "হত্যা, হত্যার চেষ্টা, মৃত্যুর হুমকি, হামলা, ধর্ষণ, অপহরণ, এবং বাড়ি, ব্যবসা এবং উপাসনালয়ে হামলার" শত শত ঘটনা উল্লেখ করেছে । 207] 1990 এর দশক থেকে, হিন্দুরা আফগানিস্তানে একটি নির্যাতিত সংখ্যালঘু এবং আফগানিস্তানে ধর্মীয় মৌলবাদের উত্থানের সাথে "তীব্র ঘৃণার" বিষয়।</t>
  </si>
  <si>
    <t>মেহেন্দিগঞ্জ থানার ওসি শফিকুল ইসলাম বলেন, ভাঙচুর হয়নি, খুলে ফেলা হয়েছে। মন্দির কমিটির সভাপতি দিলীপ ঢালী জানান, সেদিন রাত দেড়টা পর্যন্ত প্রতিমা নির্মাণের কাজ করে মৃৎ শিল্পীরা। এরপর মন্দিরের টিনের বেড়া আটকে শিল্পীরা ঘুমাতে যান। সকালে এসে দেখেন প্রতিমা ভাঙচুর করা হয়েছে। </t>
  </si>
  <si>
    <t>আমি বুঝি না,এসব অমানুষ গুলার সাহস হয় কীভাবে এভাবে প্রকাশ্যে আসার?!!এগুলাকে সামাজিক ভাবে বয়কট করে শাস্তি দেওয়া উচিত।।</t>
  </si>
  <si>
    <t>আমি অবাক হয়ে যাই,আমাদের সাবেক এমপি না হয় সনাতন ধর্মের মানুষ কিন্তু উনার কিছু কিছু পা চাটা মুসলিমও দেখি মসজিন নিয়ে আপন ধর্ম নিয়ে অপরাজনীতি করার চেষ্টা করছে।</t>
  </si>
  <si>
    <t>প্রত‍্যেক সনাতনী পরিবারের প‍ুরুষ সদস‍্য গণ যদি সচেতন হয় ও মহিলাদের সম্মান ও ধর্ম চর্চা সম্পর্কে সচেতন করে তাহলে পূজার সময় অসভ‍্য নাচ গান বিলুপ্ত করে সভ‍্য সমাজ গড়া সম্ভব। ভাই, এ বিষয়ে একটি ভিডিও বানান।</t>
  </si>
  <si>
    <t>দ্বিতীয় বিশ্বযুদ্ধে বসনিয়ায় ১ লাখ ২০ হাজার মুসলমানকে হত্যা করা হয়</t>
  </si>
  <si>
    <t>১৯৪৬ খ্রিস্টাব্দের অক্টোবরে নোয়াখালী ও টিপ্পেরা জেলায় ঘটা গণহত্যা গ্রেট ক্যালকাটা কিলিংসের একটি কলঙ্কিত পরবর্তী ঘটনা হিসেবে মনে করা হয়। কলকাতা দাঙ্গার খবর নোয়াখালী-টিপ্পার দাঙ্গাকে প্রভাবিত করেছিল। তবে হিংস্রতা কলকাতা দাঙ্গার চেয়ে প্রকৃতিতে আলাদা ছিল।</t>
  </si>
  <si>
    <t>ভারতের জম্মু ও কাশ্মীরে অবস্থিত হজরতবাল নামক তীর্থক্ষেত্রে হজরত মুহাম্মদের(সা) সংরক্ষিত মাথার চুল চুরি করা হয়েছে-এই সংবাদ ছড়ানোর মাধ্যমে পূর্ব-বাংলায় বাঙ্গালীহিন্দু হত্যার সূচনা করা হয়।</t>
  </si>
  <si>
    <t>উপমহাদেশে হিন্দু-মুসলিম দাঙ্গা উস্কে দেয়া এবং ভারত থেকে সমূলে মুসলিম নিধনের ষড়যন্ত্রের অংশমাত্র। ধর্মীয় শিক্ষা ও অনুভূতি বিরোধী ভারতের গোমূত্র সংবিধান জ্বালিয়ে দেয়ারই উপযুক্ত বলে মনে করেন বিশেষজ্ঞরা।</t>
  </si>
  <si>
    <t xml:space="preserve">আরো বিস্তারিতভাবে আলোচনা করার দরকার। যিনি প্রশ্ন করছেন, তাঁরও প্রশ্ন করার ধরন ভুল, এবং যিনি উত্তর দিচ্ছেন, তাঁরও উত্তরে অনেক ধন্দ রয়েছে। পরিষ্কার উত্তর পাওয়া যাচ্ছে না। আরো বুঝে শুনে podcast ডাকা দরকার। যিনি আসছেন, তাঁর কাছে যেন উত্তর দেওয়ার সময় জ্ঞানে কোনো ফাঁক না থাকে। </t>
  </si>
  <si>
    <t>শবদাহ হলো মৃতদেহকে পোড়ানোর মাধ্যমে শেষকৃত্য করার পদ্ধতি।[১] এটি দাফন বা সমাধির বিকল্প।</t>
  </si>
  <si>
    <t>হিন্দুদের দ্বারা রামের জন্মস্থান হিসাবে বিবেচিত বাড়ি সহ রামকোট দুর্গ ভেঙে ফেলা হয়েছিল। এর জায়গায় তিনটি গম্বুজ বিশিষ্ট একটি মসজিদ নির্মাণ করা হয়। যাইহোক, তিনি আরও উল্লেখ করেছেন, "অন্যরা বলে যে এটি 'বাবর' [বাবুর] দ্বারা নির্মিত হয়েছিল"। হিন্দুরা রামের জন্মস্থান চিহ্নিত মাটির চত্বরে প্রার্থনা করতে থাকে।</t>
  </si>
  <si>
    <t>আয়াতটি প্রচারের দ্বারা আপনি মানুষকে প্রতিবাদি হতে নিরুৎসাহিত করছেন। মানুষের ঈমানি শক্তি জাগ্রত করতে বাধা সৃষ্টি করছেন। আপনি চাচ্ছেন এই আয়াতটি দ্বারা মানুষকে এটা বুজাতে যে, দেখো ভাই তোমাদের প্রতিবাধ করার দরকার নেই হিন্দুরা আমাদের কুরআন নিয়ে যা খুশি করুক তাতে সমস্যা নেই কারন কুরআনের সংরক্ষনকারী তো সয়ং আল্লাহ।</t>
  </si>
  <si>
    <t>শবে বরাত দক্ষিণ-পূর্ব এশিয়ার একটি প্রধান উৎসব হিসেবে বিবেচিত হয়, যেখানে মুসলমানরা সম্মিলিতভাবে ইবাদত করে এবং তাদের অন্যায়ের জন্য ক্ষমা প্রার্থনা করে।</t>
  </si>
  <si>
    <t>হে আল্লাহ্ আমি জানি তুমি কোরআনের সর্বোউত্তম হেফাজত কারী।আর তুমি অচিরেই জালিমদের উপর তোমার কঠিন আজাব নাযীলকরো।</t>
  </si>
  <si>
    <t>নেতারা অনবরত হিংসাত্মক বক্তব্য এবং যখন তখন তুচ্ছ বিষয়কে কেন্দ্র করে মুসলমানদের উপর সংঘবদ্ধ হামলা করে</t>
  </si>
  <si>
    <t>শবে বরাত পাকিস্তান জুড়ে পালিত হয় এবং এটি একটি ঐচ্ছিক ছুটির দিন যা পাকিস্তানের কর্মসংস্থান এবং ছুটির আইন থেকে বেছে নেওয়া যেতে পারে। কিছু কর্মচারী এই দিনটি ছুটি নিতে পারেন, যদিও বেশিরভাগ অফিস এবং ব্যবসা প্রতিষ্ঠান খোলা থাকে।</t>
  </si>
  <si>
    <t>বাস্তবে ধারণা করা হচ্ছে এই আইন ভারতে মুসলমানদের অনিরাপদ করে তুলবে। বিশেষ করে বাঙালি মুসলমানরা নাগরিকত্ব হারাতে পারেন।</t>
  </si>
  <si>
    <t> বিতর্কিত স্থানটি হিন্দুদের বিশ্বাস অনুসারে রামের জন্মস্থান ছিল এবং বাবরি মসজিদ একটি হিন্দু মন্দির ভেঙে দেওয়ার পরে নির্মিত হয়। এছাড়া রায়ে উল্লেখ করা হয় যে মসজিদটি ইসলামের তত্ত্ব অনুসারে নির্মিত হয়নি।</t>
  </si>
  <si>
    <t>এই চ্যানেলটির প্রতিষ্ঠা যাঁরা করেছেন, তাদেরকে আল্লাহ রব্বুল আলামিন যেন দুনিয়া ও আখিরাতের কামিয়াবি দান করেন! আমীন, ইয়া রব্বাল আলামিন!</t>
  </si>
  <si>
    <t>ধন্যবাদ, এই বিষয়গুলোর উপর আলোচনার জন্য। সমাজে বিভিন্ন ধরণের চিন্তা ও ধারণা সৃষ্টি হয়, এবং সেগুলোর প্রভাব আমাদের চিন্তা-ভাবনা ও আচরণে পড়ে। তবে, এ ধরনের চিন্তা বা ধারণাগুলোর মূল উদ্দেশ্য কখনোই আমাদের মধ্যে বিভেদ সৃষ্টি করা হতে পারে। তাই, সচেতনভাবে আমাদের মানসিকতা এবং বিশ্বাসগুলো যাচাই করা খুবই জরুরি, যেন আমরা সঠিক দৃষ্টিকোণ থেকে সমাজের প্রতি আমাদের দায়িত্ব পালন করতে পারি।</t>
  </si>
  <si>
    <t>সাম্প্রদায়িক, মৌলবাদী অপশক্তির বিরুদ্ধে লড়াই অব্যাহত রাখার প্রত্যয় জানিয়ে যশোর হত্যাকাণ্ড দিবস-এর ১৭তম বার্ষিকী পালন করেছে বাংলাদেশ উদীচী শির্ল্পীগোষ্ঠী।</t>
  </si>
  <si>
    <t>কেউ প্রকৃত মুমিন হতে পারবে না, যতক্ষণ না রাসূল (সা:) তার নিকট তার পিতা, তার সন্তান ও সব মানুষ অপেক্ষা অধিক প্রিয়পাত্র হবে।”</t>
  </si>
  <si>
    <t>বাংলাভাষী বড়ুয়ারা বৌদ্ধধর্মাবলম্বী যারা প্রায় একচেটিয়া ভাবে চট্টগ্রাম এলাকায় কেন্দ্রীভূত এবং একইসাথে বাংলাদেশের অন্যান্য অংশে যেমন কুমিল্লা ময়মনসিংহ,রংপুর, সিলেট জেলায় বাস করে। </t>
  </si>
  <si>
    <t>ধর্ম নিয়ে বিতর্কিত পোস্ট ইগনোর করেই ক্ষান্ত হচ্ছিনা, বরং পোস্ট দাতাকেও ফ্রেন্ডলিস্ট থেকে বিদায় দেওয়া শুরু করেছি</t>
  </si>
  <si>
    <t>হাজার মাসের চেয়েও শ্রেষ্ঠ একটি রাত ‘লাইলাতুল কদর। কেউ কেউ এ রাতকে শবে কদর হিসেবে জানে। এ রাতের যে কোনো আমলই হাজার মাসের আমল থেকে শ্রেষ্ঠ।</t>
  </si>
  <si>
    <t xml:space="preserve">তার স্ত্রী নওমুসলিম স্নেহা নিজে সাক্ষী দিয়েছেন যে, তাকে অপহরণ করা হয়নি সেচ্ছায় সজ্ঞানে তিনি মুসলমান হয়েছেন এবং নিজ ইচ্ছায় জেলবন্দী নওমুসলিমকে বিয়ে করেছেন। </t>
  </si>
  <si>
    <t>১০ই মার্চ থেকেই সরকারী আনসার বাহিনীর সদস্যদের নেতৃত্বে মুসলিমরা হিন্দুদেরকে ভীতসন্ত্রস্ত করে তুলতে শুরু করে। ঝিনাইদহ সাব-ডিভিশনে হিন্দুদেরকে তাদের বাড়ি ঘর থেকে উচ্ছেদ করা হয় এবং সে সব বাড়িঘর মুসলিমরা দখল করে নেয়। </t>
  </si>
  <si>
    <t>ফেব্রুয়ারির ১২ তারিখে চট্টগ্রাম শহরে গণহত্যা শুরু হয়।সীতাকুণ্ডে মহাশিবরাত্রি উপলক্ষে যে সকল হিন্দু তীর্থযাত্রী সমাবেত হয়েছিল তাদের উপর মুসলিম জনতা আক্রমণ করে। এটি সীতাকুন্ড গণহত্যা নামে পরিচিত।</t>
  </si>
  <si>
    <t>কিছু জারজ মুসলমান আছে, পদ পাওয়ার লোভে এরা মুসলমানদের কিছু টপিক নিয়া আজাইরা লিখবে।ফলে পা চেটে কিছু ময়লা পাবে।</t>
  </si>
  <si>
    <t>পোমারা গণহত্যা বলতে ১৯৭১ সালের ১৪ সেপ্টেম্বর বাংলাদেশের চট্টগ্রাম জেলার পোমারা ইউনিয়নের নিরস্ত্র বাঙালি হিন্দুদের হত্যা বোঝায়। [১][২][৩] পাকিস্তান সেনাবাহিনী পোমরা সংরক্ষিত বনে ১৩ বাঙালি হিন্দুকে জীবন্ত কবর দেয়।</t>
  </si>
  <si>
    <t>এটা খুবই দুঃখজনক , ভারতবর্ষে ধর্ম নিয়ে বাজে মন্তব্য করার অধিকার উনাকে কে দিয়েছে,</t>
  </si>
  <si>
    <t>বেশিরভাগ বিবরণই বর্ণনা করে যে নারীটি তার মৃত স্বামীর পাশে অন্ত্যেষ্টিতে উপবিষ্ট বা শুয়ে ছিলেন। অন্যান্য অনেক বর্ণনায় বর্ণনা করা হয়েছে যে, আগুন জ্বালানোর পর নারীরা হাঁটছেন বা আগুনে ঝাঁপ দিচ্ছেন</t>
  </si>
  <si>
    <t>তিনি প্রতিরোধের জন্য আক্রমণকারীদের উপর জল কামান ব্যবহার করেন। অবশেষে নিরুপায় হয়ে তিনি তার বৃদ্ধ মা এবং বাচ্চাদেরকে নিজ হাতে গুলি করেন এবং সব শেষে নিজে আত্মহত্যা করেন।</t>
  </si>
  <si>
    <t>আল্লাহর নির্দেশনা অনুসরণ করলে আমাদের সৃষ্টির উদ্দেশ্য উপলব্ধি হয় এবং আমরা সঠিকভাবে জীবন কাটাতে পারি।</t>
  </si>
  <si>
    <t>র্বিত্তরা ঢাকার ভোলানাথগিরি আশ্রমেও আক্রমণ,লুটপাট ও ভাংচুর চালায়।[২]পুরনো ঢাকার হিন্দু মালিকানাধীন স্বর্ণের দোকানগুলোতে লুটপাট করে মুসলিমরা।রায়েরবাজারের হিন্দু বাড়িঘর লুট করে আগুন ধরিয়ে দেয় তারা।</t>
  </si>
  <si>
    <t>মিছিল ও সমাবেশগুলোতে ঢাকা থেকে ফরাসি দূতাবাস সরিয়ে দেয়া এবং ফরাসী পণ্য বর্জনের আহ্বানের পাশাপাশি বাংলাদেশ সরকার ও মুসলিম বিশ্বকে ফ্রান্সের বিরুদ্ধে আরও সোচ্চার হওয়ার আহবান জানানো হয়েছে।</t>
  </si>
  <si>
    <t>আমিও ইসরাইলী ও ভারতীয় পন্য অনেকদিন আগে থেকে বয়কট করেছি কিন্তু ভয় ও পাই আমাদের দেশের কোম্পানিগুলো পন্যের গুণগত মান ঠিক রাখেন না।আর এদের ওপর নির্ভর হলে এরা সিন্ডিকেট করে দাম বাড়ায়।</t>
  </si>
  <si>
    <t>মুসলমাদের একমাত্র স্পন্দন মহা গ্রন্থ আল- কুরআন, আল-কুরআন অবমাননা কারীদের দৃষ্টান্ত মূলক বিচার চাই।</t>
  </si>
  <si>
    <t xml:space="preserve">আপনারা যারা ইসলাম ধর্মকে খোঁচা মেরে কথা বলেন ইসলাম ধর্ম পালন করতে আপনাদের সমস্যা দয়া করে তারা সকলেই আমাকে আনফ্রেন্ড করুন। নয়তো আমি আপনাদের ধরে ধরে আনফ্রেন্ড করবো। কারন আপনাদের খোচামারা পোস্ট দেখলে গা জ্বলে। </t>
  </si>
  <si>
    <t>বার কিছু বল্লে নাস্তিক ট্যাগ দিয়ে বসে। মানুষ এত ধর্মান্ধ হতে পারে এই গ্রুপের কিছু উগ্র মানুষ না দেখলে বুঝতাম না। যাই হউক এডমিন আপনাদের একটু এগ্রেসিভ হতে হবে এদের ব্যাপারে।</t>
  </si>
  <si>
    <t>বন্দি হিন্দুদের জোড়া বেঁধে একটি লাইনে দাঁড় করিয়েছিল। হুইসেলের শব্দের সাথে সাথে তাদের গুলি করে রাজাকাররা। ৪২ জন হিন্দু মারা গিয়েছিলেন এবং বাকিরা আহত অবস্থায় বেঁচে ছিলেন। রাজাকাররা আশেপাশের কয়েকটি হিন্দু গ্রামকে লুট করে আগুন ধরিয়ে দেয়।</t>
  </si>
  <si>
    <t>লেবাননে মুসলিম ও খ্রিস্টান সম্প্রদায়ের মধ্যে দীর্ঘ ১৫ বছর ধরে চলা গৃহযুদ্ধে লক্ষাধিক মানুষ নিহত হয়।</t>
  </si>
  <si>
    <t> ইসলাম বলে দিয়েছে অন্য ধর্মের প্রতি সৌহার্দপূর্ণ মনোভাব দেখাতে,</t>
  </si>
  <si>
    <t>আসলেই বাঙালির স্মার্টনেসটা হচ্ছে পশ্চিমাদের ফলো করা এরকম একটি ধারণা পোষণ করা। আমি কোকাকোলা বয়কট করেছি কারণ এটা আমার দিক থেকে খুব ছোট্ট একটি প্রতিবাদ।</t>
  </si>
  <si>
    <t>তখন পর্যন্ত ইহুদি ধর্ম ছিল একমাত্র একেশ্বরবাদী ধর্ম, যখন গ্রীক, রোমান এবং মিশরীয়রা বহু দেব-দেবীতে বিশ্বাস করতেন।</t>
  </si>
  <si>
    <t>বীর মুক্তিযোদ্ধারা কখনো এদেশের ইসলামের বিরোধিতা করেনি, কিছু নামধারী বামরা কথিত মুক্তিযোদ্ধার ট্যাগ লাগিয়ে এরূপ অপতৎপরতায় লিপ্ত। আমি এই বিষয়ে নিশ্চিত।</t>
  </si>
  <si>
    <t>মুসলিমদের উপমহাদেশে আবির্ভাবের আগে থেকেই বৌদ্ধরা হিন্দুদের সামাজিক ও রাজনৈতিক প্রভাবের মধ্যে ছিলেন। এমনকি গৌতম বুদ্ধের মৃত্যুস্থান বিহারের প্রতিবেশী বাংলাতেও হিন্দু ব্রাহ্মণ, শাসক ও নেতারা তাদের সংস্কৃতি ও প্রভাব বিস্তার করতে সক্ষম হয়েছিলেন।</t>
  </si>
  <si>
    <t>ভারতের সহিংস বিভাজন একটি ইসলামী রাষ্ট্র পাকিস্তান এর জন্ম দেয় এবং এক বিশাল-হিন্দু ভারতে বিশ্বের দ্বিতীয় বৃহত্তম মুসলিম জনগোষ্ঠী সহ প্রতিষ্ঠা হয়।</t>
  </si>
  <si>
    <t>কয়েকদিন আগেই যাদের উপর হামলা করে রক্তাক্ত করা হলো তারা সকলেই বিশ্বিবদ্যালয়ের শিক্ষার্থী এবং কোনো রাজনৈতিক দলের ছিলেন না,</t>
  </si>
  <si>
    <t>সেনারা মাইকে ঘোষণা করে এলাকার সকল বাসিন্দাদের বাড়ির বাইরে বেরোতে বলে। কিন্তু হায় !! বলির পাঁঠার মতো তারা বাইরে বেরোয় এবং সঙ্গে সঙ্গেই সেনারা তাদের গুলি করে হত্যা করে। এই ঘটনায় ৫০ জন নিহত ও ২০০ জন আহত হন। সবকটা হিন্দুবাড়ি জ্বালিয়ে দেওয়া হয়।</t>
  </si>
  <si>
    <t>বাংলাদেশের সর্বোচ্চ বিদ্যাপীঠ ঢাকা বিশ্ববিদ্যালয়  প্রোডাক্টিভিট রমাদান নামক প্রোগ্রামে তারা হামলা করে, বটতলায় আরবি শিক্ষা নিয়া কলা অনুষদের ডিন আরবি বিভাগের চেয়ারম্যানকে শোকজ দেয়!</t>
  </si>
  <si>
    <t xml:space="preserve">ধর্ম নিয়ে একটু কথা বললেই আমাদের এডুকেশন, লাইসেন্স, পরিবার, পোশাক, দাঁড়ি, হিজাব সবকিছুতে এরা ঝাঁপায় পড়ে! </t>
  </si>
  <si>
    <t>প্রতিটি বিশ্ববিদ্যালয়ের প্রতিটি হলে, ক্যাম্পাসে, মিলনায়তনে এবং ক্যান্টিনে গণ চাদা তুলে হলেও ইফতার আর সাহরির আয়োজন করা উচিত। গরুর গোশতের আইটেম রাখতে পারলে আলহামদুলিল্লাহ।</t>
  </si>
  <si>
    <t>মন্দিরের কয়েকটি মূর্তির বিভিন্ন অংশ ভেঙে ফেলেছে দুর্বৃত্তরা। স্থানীয় ও মন্দির কমিটির নেতৃবৃন্দর সঙ্গে কথা হয়েছে। জড়িতদের গ্রেপ্তারে অভিযানে নেমেছে পুলিশ।</t>
  </si>
  <si>
    <t>ইসলামে চার বিয়ে নিয়ে ও কটুক্তি করেছেন।</t>
  </si>
  <si>
    <t>বিশ্ববিদ্যালয় অসাম্প্রদায়িক জায়গা। এখানে মুসলিমরা কুরআন শিখবে প্রকাশ্যে, সাহরি, ইফতার করবে, নামাজ পড়বে জামাআতে। খেলোয়াড়রা খেলাধূলা করবে। </t>
  </si>
  <si>
    <t>মেয়েদের বিখ্যাত একটি শিক্ষাঙ্গন 'নারী শিক্ষা মন্দির' আক্রমণ করে মুসলিমরা।বিদ্যালয়ের প্রধান কেরানী অবনী গুহরায়কে হত্যা করা হয় এবং জ্যেষ্ঠ শিক্ষক যোগজীবন বসুকে কুপিয়ে হত্যা করার চেষ্টা করা হয়।</t>
  </si>
  <si>
    <t>গুজরাট দাঙ্গার সময় আহমেদাবাদের মুসলিম অধ্যুষিত এলাকায় হিন্দুত্ববাদী উগ্রপন্থীদের হাতে ৬৯ জন মুসলিম নিহত হন।</t>
  </si>
  <si>
    <t>নেলি নামে একটি গ্রামে বাঙালি বংশোদ্ভূত প্রায় ১,৮০০ মুসলমানকে লালুং উপজাতির লোকেরা হত্যা করেছিল। আসাম আন্দোলনের কর্মকাণ্ডের ফলে এটি দ্বিতীয় বিশ্বযুদ্ধের পর থেকে সবচেয়ে গুরুতর গণহত্যার হিসাবে বর্ণনা করা হয়েছে</t>
  </si>
  <si>
    <t>সুরা ফাতিহা পাঠ করার পর মনে হলো আমি ঘরে ফিরেছি। এত দিন আমি এখানেই আসতে চেয়েছিলাম। আমি ইসলাম ধর্ম গ্রহণ করলাম। আলহামদুলিল্লাহ! এরপর আর কখনো ইসলামবিমুখ হইনি, একত্ববাদের বিশ্বাস থেকে কখনো সরে আসিনি। </t>
  </si>
  <si>
    <t>২০১৪ সালের ২৩ ফেব্রুয়ারি, জাতীয় ইংরেজি দৈনিক ডেইলী স্টার; উচ্চ আদালতে পুলিশ কর্তৃক সাবমিট কৃত রিপোর্টের সারাংশ প্রকাশ করে। এই রিপোর্ট অনুসারে, ২১ জেলায় প্রায় ১৬০ টি হিন্দু পরিবারের উপর, জাতীয় নির্বাচনের পর আক্রমণ হয়। যেখানে হিন্দুদের প্রায় ৪০ লক্ষ সম্পত্তি ক্ষতিগ্রস্ত হয়।</t>
  </si>
  <si>
    <t>আপনার লেখা বই তো ইসকন পরিত্যাগ করেছে তাহলে আপনি কিভাবে ইসকনের লোক? আপনি সনাতনীদের মধ্যে বিভেদ সৃষ্টিকারী বই লেখেন তাহলে অন্য সম্প্রদায়েরা কিভাবে আপনার মতাদর্শকে সম্মান করবে?</t>
  </si>
  <si>
    <t>প্রথম ধাপে তারা বৌদ্ধদের বিরুদ্ধে ঘৃণা আর অত্যাচারের অভিযান শুরু করেন। এরপরে তারা বৌদ্ধ ধর্মের ভালো দিকগুলো আত্মস্থ করে নেয় যাতে করে “নীচু” জাতের বৌদ্ধদের মন জয় করা যায়। </t>
  </si>
  <si>
    <t>উত্তরপ্রদেশের হাপুরে গরু পাচারের সন্দেহে কাসিম নামে এক ব্যক্তিকে পিটিয়ে হত্যা করা হয়।</t>
  </si>
  <si>
    <t>প্রেস সচিব মোহাম্মদ শফিকুল আলম বলেন, পতিত আওয়ামী সরকার বরাবরই হত্যার রাজনীতির মাধ্যমে ভয়ের সংস্কৃতি তৈরি করে ক্ষমতা পাকাপোক্ত করার কৌশল অবলম্বন করেছিল। ২০১৩ সালে হেফাজতের ওপর ক্র্যাকডাউন করে আন্তর্জাতিক সম্প্রদায়ের কাছে সরকার নিজেদের জঙ্গিবাদবিরোধী প্রমাণের চেষ্টা করেছে। জঙ্গিবাদ ও মৌলবাদী তকমা দিয়ে ভিন্নমত দমনের লক্ষ্যে গুম ও খুন করাই ছিল পতিত সরকারের অন্যতম কৌশল।</t>
  </si>
  <si>
    <t>পৃথিবীর সব ধর্মগ্রন্থই নিজ নিজ অনুসারীদের কাছে অতি মর্যাদা ও সম্মানের বস্তু। তাই ধর্মগ্রন্থ অবমাননা সব ধর্মে নিন্দনীয় কাজ। মহাগ্রন্থ আল কোরআন বিশ্বের সবচেয়ে বেশি পঠিত পবিত্র ধর্মগ্রন্থ। ইসলাম ধর্মে কোরআন অবমাননা ও অমর্যাদা মারাত্মক অপরাধ ও চরম সীমা লঙ্ঘন। জাগতিক শাস্তির পাশাপাশি এর চূড়ান্ত পরিণতি জাহান্নাম।</t>
  </si>
  <si>
    <t>প্রবারণা শব্দের পালি আভিধানিক অর্থ নিমন্ত্রণ, আহ্বান, মিনতি, অনুরোধ, নিষেধ, ত্যাগ, শেষ, সমাপ্তি, ভিক্ষুদের বর্ষাবাস পরিসমাপ্তি, বর্ষাবাস ত্যাগ, বর্ষাবাস ত্যাগের কার্য অথবা শিষ্টাচার, বিধি, তৃপ্তি বা সন্তুষ্টির বিষয়, ক্ষতিপূরণ, প্রায়শ্চিত্ত, ঋণ পরিশোধ প্রভৃতি বুঝায়।</t>
  </si>
  <si>
    <t>সো কল্ড ধার্মিকদের যন্ত্রনায় মহাকাশ রিলেটেড সুন্দর কোয়েশ্চান গুলার উত্তর পাওয়া মুসকিল হয়ে দাড়ায়। পোস্টের কমেন্টস বক্সে এসে পুরা পোস্টটাকে এরা টক্সিক বানায় ফেলে। </t>
  </si>
  <si>
    <t>আর এই উগ্রতা কোনো ধর্মেই নাই মুসলিম ছাড়া। দয়া করে নিজের পিঠ বাঁচানোর জন্য অন্য ধর্মগুলিকে কলঙ্কিত করবেন না।। এই অধিকার আপনার নেই।।</t>
  </si>
  <si>
    <t>সিরিয়ার হামা শহরে মুসলিদের ইতিহাস এক বেদনাময় ইতিহাস। আজ থেকে একচল্লিশ বছর পূর্বে সিরিয়ার তৎকালীন কুখ্যাত স্বৈরশাসক শাসক হাফিজ আল আসাদ সুন্নি মুসলিমদের ওপর চালায় এক নারকীয় গণহত্যা।</t>
  </si>
  <si>
    <t>প্রত্যেক ব্যক্তি স্বতন্ত্রভাবে যে ধর্ম ভালো মনে করে, সেটি গ্রহণ করার স্বাধীনতা রাখে। এটি একটি ধর্মীয়, রাষ্ট্রীয় এবং আইনের স্বীকৃত অধিকার। তাই আমরা পারস্পরিক শ্রদ্ধাবোধ বজায় রেখে প্রত্যেকের স্বাধীনতা ও মতামতকে সম্মান করতে পারি।</t>
  </si>
  <si>
    <t>১৯৭১ সালে বাংলাদেশ স্বাধীন হয়েছিল একটি ধর্মনিরপেক্ষ রাষ্ট্র গঠনের স্বপ্ন নিয়ে। কিন্তু স্বাধীনতার ৫০ বছর পর আমরা হিন্দুরা নিজ দেশে পরাধীনই রয়ে গেছি, আর জিম্মি হয়ে আছি উগ্রবাদী ধর্মান্ধদের কাছে।</t>
  </si>
  <si>
    <t xml:space="preserve">পাপ করিলেই নরকে যাবে এমনটি ঠিক নয়, সংসার ধর্ম এক মহা পুণ্যের কাজ, সংসার গড়িলেই নরক রচিত হয়, নরকে থাকিয়া পুণ্যের কর্ম করিতে পারিলে সংসারে শান্তির হাওয়ায় স্বর্গ রচিত হয়, নইলে মৃত্যু অবধি এই নরক থেকে মুক্তি মেলে না, এই জগতে স্বর্গের বাতাস না লাগিলে গায়ে, মৃত্যুর পর স্বর্গের কি প্রয়োজন? </t>
  </si>
  <si>
    <t>তারা না জেনে-শুনে ভিন্নভাবে দেখেছে, তবে জানার চেষ্টা করলে বুঝতে পারতো এই শান্তির ধর্মে কতটা সৌন্দর্য এবং প্রশান্তি রয়েছে। আল্লাহ সর্বশক্তিমান, তিনি যা চান, তাই করতে পারেন। আমরা প্রার্থনা করি, আল্লাহ যেন সবাইকে সত্য ও কল্যাণের পথ দেখান।</t>
  </si>
  <si>
    <t>২ মার্চ ভোর তিনটার দিকে চাঁপাইনবাবগঞ্জ জেলার শিবগঞ্জ উপজেলাধীন শিবগঞ্জ পৌরসভার নতুন আলিডাঙ্গা বড় পেকুরতলা এলাকার অজ্ঞাতপরিচয় দুর্বৃত্তরা সার্বজনীন পূজা সংঘ মন্দিরে আগুন দেয়। মন্দিরের একটি অংশ আগুনে পুড়ে যায়। </t>
  </si>
  <si>
    <t>মন্দির কমিটির সভাপতি শংকর চন্দ্র হালদার জানান, আয়োজক কমিটির লোকজন বৃহস্পতিবার গভীর রাত পর্যন্ত মণ্ডপে অবস্থান শেষে বাড়ি চলে যায়। সকালে ঝাড়ামোছা করতে গিয়ে তারা কার্তিক প্রতিমাটির মাথা ও বাম হাত বিচ্ছিন্ন অবস্থায় দেখতে পান। পরে ঘটনাস্থলে গিয়ে পুলিশ তাৎক্ষণিক কারিগর এনে ভাঙা প্রতিমা নতুন করে জোড়া লাগান।</t>
  </si>
  <si>
    <t>ইবাদত গোপনে সুন্দর এটা ভুল কথা নাহলে মুসুল্লিদের জন্য মসজিদ হোতোনা।আমাদের বলা হয়েছে জামাতে নামাজ পড়।আমি আমার আল্লাহ কে ভালবেসে ইসলাম ধর্মের ইবাদত প্রচার করব এটাই সাভাবিক।</t>
  </si>
  <si>
    <t xml:space="preserve">তালিবানরা মৌখিক আশ্বাস দিয়েছে শর্তসাপেক্ষ নরমপন্থী হওয়ার। কিন্তু তাতে কি বিশ্বাস জাগে? সবাই পালাচ্ছে। ছাড়ছে শেষ ফ্লাইট। জায়গা না পেয়ে প্লেনের চাকা ধরে ঝোলার চেষ্টা করে টুপটাপ খসে পড়ছে মানুষ! জলজ্যান্ত মানুষ! স্তব্ধ হচ্ছে প্রাণ! </t>
  </si>
  <si>
    <t>পীরগঞ্জের সহিংসতায় ক্ষতিগ্রস্থ হয় মোট ৬৬টি পরিবার। এসব পরিবারের ৭টি টিনের বাড়ি, ৯টি ইটের তৈরি বাড়ি, ৪টি মাটির ঘর, ২টি দোকানসহ প্রায় ২৫টি বাড়ি ও দোকান আগুনে পুড়িয়ে দেয় মুসলমান সম্প্রদায়ের লোকজন। এছাড়াও মন্দিরে ভাঙচুর, গবাদিপশু, স্বর্ণালঙ্কার, নগদ অর্থ লুট করা হয়।</t>
  </si>
  <si>
    <t>আমি পাঁচ ওয়াক্ত নামাজ পড়া ধার্মিক নই, কিন্তু আমি ইসলামিক। আমি ইসলামের মূল দর্শনে বিশ্বাস করি। আর এও বিশ্বাস করি, এটা ভালো ধর্ম এবং সুশৃঙ্খল।</t>
  </si>
  <si>
    <t>বাগেরহাটের রামপালে আব্দুস সবুর খান আরও তিনটি জনসভা করে। সেখানে পূর্ব-পাকিস্তানে চলমান প্রলয়ঙ্কারী হিন্দু নিধনের বিশদ বর্ণনা সংবলিত প্রচারপত্র বিলি করতে শুরু করে মুসলিমরা। বাঙ্গালী হিন্দুদেরকে অবিলম্বে পাকিস্তান ত্যাগের জন্য হুমকি প্রদান করে তারা।</t>
  </si>
  <si>
    <t>সেপ্টেম্বর মাস থেকে, পাকহানাদারদের নৃশংসতা কিছুটা হ্রাস পায়। ১৬ সেপ্টেম্বর, কৃষ্ণপুর গ্রাম থেকে একদল লোক লাখাই গিয়েছিল, অষ্টগ্রাম হতে কিছু নৌকা দ্বারা তাদের ধরা হয়।</t>
  </si>
  <si>
    <t xml:space="preserve">প্রতিটি মেইনস্ট্রিম মিডিয়াতে এমন ভাবে মুসলিম সমাজ ও আলেমদের বিরুদ্ধে বিষোদ্গার করা হচ্ছে যেনো হিন্দু মুসলিম দাঙ্গা লেগেছে I </t>
  </si>
  <si>
    <t>ব্রাহ্মণবাড়িয়াতে ধর্মীয় বিভেদের কারণে দুই সম্প্রদায়ের মধ্যে সহিংস সংঘর্ষে শতাধিক মানুষকে শিরোচ্ছেদ করার ঘোষণা দেওয়া হয়েছে</t>
  </si>
  <si>
    <t>ফিলিস্তিনে মসজিদের নিচে ইহুদিদের মন্দির, ভারতে মসজিদের নিচে মন্দির। মসজিদ ভাঙার কৌশল।</t>
  </si>
  <si>
    <t>এভাবে অন্য ধর্মকে ছোট করে, অপমান কিংবা বিশৃঙ্খলা সৃষ্টি করে ধর্ম পালন এটা কোনো ধর্মেই তো সায় দেয় না।</t>
  </si>
  <si>
    <t xml:space="preserve">ধর্ম নিয়ে অতিমাত্রায় বাড়াবাড়ি মূলক পোস্ট! </t>
  </si>
  <si>
    <t>সে আগে নিজের ধর্ম নিয়াও ভিডিও করছে সে গুলা দেখে দাত ঠিকি ক্যালাইছেন, হিন্দু ধর্ম নিয়া বললেই আতে আঘাত লাগে? জেলে নিয়াও মুনাওয়ার এর গাটস কমাতে পারেনি কেও।</t>
  </si>
  <si>
    <t>জোরপূর্বক ধর্মান্তরকরণ, নথিভুক্ত গণহত্যা, মন্দির ও ধর্মীয় স্থান ধ্বংস করা, এবং শিক্ষা প্রতিষ্ঠান ধ্বংস করা উল্লেখিত।</t>
  </si>
  <si>
    <t>ফ্রান্সে ধর্মীয় পরিচিতি এবং মত প্রকাশের মধ্যে এই বিরোধের বিষয়টি জটিল। এর সাথে বিভিন্ন মুসলিম দেশে যুদ্ধ-সংঘাত এবং সেই সাথে মুসলিম অভিবাসীদের একাংশের ভেতর বর্ণবাদ এবং বৈষম্যের অভিজ্ঞতার সম্পর্ক রয়েছে।</t>
  </si>
  <si>
    <t>সময় বাড়ার সঙ্গে সঙ্গে ৮ থেকে ১০ হাজার লোকের সমাগম হয়। তারা সেখানে সমবেত হয়ে রংপুর-দিনাজপুর মহাসড়ক অবরোধ করে বিক্ষোভ শুরু করে। এ সময় ওই সড়কের দু'পাশে শত শত যানবাহন আটকা পড়ে। উগ্রপন্থীরা সন্ধ্যা পর্যন্ত সড়ক অবরোধ করে যা অব্যাহত রাখে ।</t>
  </si>
  <si>
    <t>রাজাকারেরা নয়জনকেই হত্যা করে।[৩][৪] রাজাকারেরা সুনীল কুমার সাহার কন্যা ঝুমা রাণী সাহাকে ধর্ষণ করে[৩] ও পরবর্তীতে হত্যা করে।[৫] এছাড়া তারা অনীল সাহাকে দেশত্যাগে বাধ্য করে।[</t>
  </si>
  <si>
    <t>বদরের যুদ্ধ ২ হিজরির ১৭ রমজান (১৭ মার্চ ৬২৪ খ্রিষ্টাব্দ) মদিনার মুসলিম ও মক্কার কুরাইশদের মধ্যে সংঘটিত যুদ্ধ। ইসলামের ইতিহাসে এটি প্রথম প্রধান যুদ্ধ। এতে জয়ের ফলে মুসলিমদের ক্ষমতা পূর্বের তুলনায় বৃদ্ধি পায়।</t>
  </si>
  <si>
    <t>২৮শে ফেব্রুয়ারির কোলকাতাগামী আসাম মেইল ট্রেনে জঘন্যভাবে আক্রমণ করে মুসলিমরা।[৩৫] ওই ২৮ তারিখেই আবারও রাজশাহী জেলার হিন্দুদের উপর নির্দয় আক্রমণ শুরু করে তারা। </t>
  </si>
  <si>
    <t>ব্রিটিশ এবং কংগ্রেস উভয়েই জিন্নাহকে এই ভয়াবহ হত্যাকাণ্ডের জন্য দোষারোপ করেছিল এবং এই ধরনের মুসলিম জাতীয়তাবাদী মনোভাব জাগ্রত করার জন্য মুসলিম লীগকে দায়ী করা হয়েছিল।</t>
  </si>
  <si>
    <t>দেশের অধিকাংশ মুসলমান সুন্নি, তথাপি একটি ছোট অংশ জুড়ে আছে শিয়া সম্প্রদায়। শিয়াদের অধিকাংশই শহরে বাস করে। </t>
  </si>
  <si>
    <t>ইসলাম সম্পর্কে যাদের কিছুটা ধারণা আছে তারা হয়ত জানেন ধর্মটার ভিত্তি হল এক্সট্রিম মনোথেইজম বা কট্টর একেশ্বরবাদ।তাই এই ধর্মে একেশ্বরবাদ বিরোধী বা বহুশ্বরবাদীতা ঘেঁষা যে কোন মতবাদ বা অনুষ্ঠান চরমভাবে নিষিদ্ধ</t>
  </si>
  <si>
    <t>ছোট কুঁড়েঘর নির্মাণের মাধ্যমে সতীদাহ সংঘটিত হয়েছিল, যার মধ্যে বিধবা এবং তার স্বামীকে পুড়িয়ে ফেলা হয়েছিল, অন্যান্য অঞ্চলে, গর্ত খনন করা হয়েছিল, যেখানে দাহ্য পদার্থ সহ স্বামীর মৃতদেহ রাখা হয়েছিল, যেখানে আগুন শুরু হওয়ার পরে বিধবা ঝাঁপ দিয়েছিল।</t>
  </si>
  <si>
    <t>তখন কই ছিলো যখন আরিফ আজাদ,মিজানুর রহমান প্রমুখ ইসলামিক স্কলারদের ধর্মীয় লিখার কারণে জঙ্গি,সেকেলে ইত্যাদি তকমা দেয়া হয়েছিল?!</t>
  </si>
  <si>
    <t>চিতলমারী থানার সামনে ফেসবুকে আপত্তিকর পোস্ট দেওয়া নিয়ে বিক্ষুব্ধ জনতার সঙ্গে পুলিশের সংঘর্ষ হয়। এতে ১২ পুলিশসহ অন্তত ২৫ জন আহত হয়।[</t>
  </si>
  <si>
    <t>ধর্মীয় সম্পর্কে আপনার জীবনের উদ্ধার পাওয়ার সময়ে মৃত্যুর ভয় মোচন হতে পারে।</t>
  </si>
  <si>
    <t>মুহাম্মাদের নেতৃত্বে যুদ্ধ তালিকায় ইসলামের নবী মুহাম্মাদের(সাঃ) জীবনকালীন সময়ে মুসলমান সম্প্রদায় কর্তৃক সংঘটিত সকল যুদ্ধ ও অভিযান তালিকাবদ্ধ রয়েছে।</t>
  </si>
  <si>
    <t> মসজিদের ম্যানেজমেন্ট কমিটির চেয়ারম্যান বিবিসি হিন্দির দিলনওয়াজ পাশাকে জানিয়েছেন, “মসজিদে তখন আমাদের ইমাম সাদ ছিলেন, তিনি হামলায় নিহত হয়েছেন। আরও কয়েকজন জখম হয়েছেন।”</t>
  </si>
  <si>
    <t>দেশের বৃহত্তম ধর্মীয়-সংখ্যালঘু হওয়া সত্ত্বেও, ভারতের মুসলিম সম্প্রদায়গুলি প্রায়শই হিন্দু জাতীয়তাবাদীদের দ্বারা সহিংস আক্রমণ ও হামলার শিকার হয়েছে।</t>
  </si>
  <si>
    <t>কাশ্মীর উপত্যকা থেকে কয়েক হাজার হিন্দু পণ্ডিতদের জোরপূর্বক উৎখাত করা হয় এবং অনেকে নিহত হন, যা এখনও বিতর্কিত বিষয় হিসেবে রয়ে গেছে।</t>
  </si>
  <si>
    <t> জামায়াতে ও বিএনপি সরকারের বিরুদ্ধে দাঙ্গার পাশাপাশি সংখ্যালঘু এবং স্থানীয় পুলিশদের উপর হামলা চালায়। এই হামলার ফলে হাজার হাজার হিন্দু বাড়িঘর এবং মন্দির ধ্বংস হয়। এই হামলাগুলি মার্কিন যুক্তরাষ্ট্র সরকার, পাশাপাশি ভারত এবং অন্যান্য শান্তি-দাবীকারী দেশসমূহ এবং সংস্থাগুলি দ্বারা তীব্র সমালোচিত হয়েছিল।</t>
  </si>
  <si>
    <t>আমি চাই আপনারা সবাই নিজ নিজ ধর্ম যথাযথভাবে পালন করুন। একসময় (সরকারি) চাকরির ক্ষেত্রে বৈষম্য ছিল, কিন্তু এখন এই বৈষম্য এখানে আর নেই।</t>
  </si>
  <si>
    <t>সপ্তদশ শতাব্দীর বিশ্ব ভ্রমণকারী ও রত্ন ব্যবসায়ী, লিখেছেন যে নারীদের তাদের মৃত স্বামীর সাথে করমণ্ডল উপকূলে সমাহিত করা হয়েছিল যখন লোকেরা শ্মশানের অনুষ্ঠানের সময় নাচছিল।</t>
  </si>
  <si>
    <t>আমি মাঝে মাঝে অবাক হয়ে যাই এটা মুসলিম মেজোরিটির বাংলাদেশ, নাকি পার্শ্ববর্তী দেশের মুসলিম দুর্দশার স্থান!</t>
  </si>
  <si>
    <t>ইসলামে নবীকে নিয়ে বিতর্ক সৃষ্টি করা এবং উদ্দেশ্যমূলক কোনো বক্তব্য দেয়া তার বিরুদ্ধে আক্রমণ হিসেবে গণ্য করা হবে। এতে ধর্মীয় শান্তিপূর্ণ পরিবেশ বিনষ্ট হতে পারে। এ ধরনের কোনো অভিযোগ পেলে আদালত পদক্ষেপ নেবে বলেও জানানো হয়।</t>
  </si>
  <si>
    <t>নতুবা ধর্মের খোলসে ধর্মের সত্য পথ অনুসরণের সম্ভাবনাকে ভবিষ্যতেও উড়িয়ে দেওয়া যায়না।</t>
  </si>
  <si>
    <t>লিনফোর্ড বলেন, 'আমরা এমন উপসংহারে পৌঁছেছি যে ন্যাথানিয়েল, গ্যারেথ ও স্টেসি ট্রেন ধর্মীয়ভাবে উদ্দেশ্যপ্রণোদিতভাবে ওই সন্ত্রাসী হামলা চালিয়েছিল।'</t>
  </si>
  <si>
    <t>পুরনো ঢাকায় পুলিশের বাধা প্রদান সত্ত্বেও মুসলিমরা হিন্দু মন্দিরগুলোতে অগ্নিসংযোগের চেষ্টা করে।মন্দিরের বাইরে থাকা সংবাদিকদের হাতে থাকা ক্যামেরা গুলো ছিনতাই করে নেয় মুসলিমরা।এই ঘটনার প্রেক্ষিতে প্রশাসন ঢাকার অনেক জায়গাতে সান্ধ্য আইন জারি করে।</t>
  </si>
  <si>
    <t>প্রতিটি ধর্মই মানবকল্যাণের জন্য পথ নির্দেশনা দেয় এবং জীবনকে সুন্দর ও সুষ্ঠু ভাবে পরিচালিত করতে সহায়তা করে, তাই ধর্মের আদর্শ অনুসরণ করে জীবনে অহিংসা এবং শান্তি প্রতিষ্ঠা করা উচিত, যাতে সকলের মধ্যে সমঝোতা এবং দয়া বৃদ্ধি পায়।</t>
  </si>
  <si>
    <t>নেফরা শ্রী শ্রী দুর্গা মন্দিরের সভাপতি নিপেন রায় বলেন, রাত ১১টার দিকে প্রায় ৫ থেকে ৭শ’ লোক এসে মন্দিরের গ্রিল টিন, প্রতিমা ও পাশের বাড়ি-ঘর ভাঙচুর করে। এরপর খড়ের গাদায় আগুন লাগিয়ে দেয়।</t>
  </si>
  <si>
    <t>ব্যক্তিগত স্থান যেমন মাদ্রাসা,মসজিদে জনসভার অনুমতি দেয়া হয়।[৭৪] রামগঞ্জ পুলিশ স্টেশনের দায়িত্বপ্রাপ্ত কর্মকর্তা রেহান আলী মতামত দেন,জনসভা হবে মসজিদ সংলগ্ন আমতলি মাঠে।</t>
  </si>
  <si>
    <t>তবে কি মুসলিম অভিনেতা হওয়ার জন্য ভবিষ্যতে আবারও বয়কটের মুখে পড়তে হবে খানদের? ধর্ম কি এতটাই প্রভাব রাখে তারকাদের জীবনে? </t>
  </si>
  <si>
    <t>"হামলাকারীরা 'আল্লাহু আকবর' শ্লোগান দিয়েছে, এছাড়া 'হিন্দুদের মার' এমন শ্লোগানও দিয়েছে" - বলেন বিউটি রাণী মণ্ডল।</t>
  </si>
  <si>
    <t>ইসলামের নবী মুহাম্মদের সময় বিভিন্ন যুদ্ধে যোদ্ধা হিসেবে নারীরা যোগ দিয়েছিলেন, ফলে কোনভাবেই নারীকে সামাজিক অংশগ্রহণে বাধা দেয়া হয়নি।</t>
  </si>
  <si>
    <t>অনেক সেকুলার আছে মুসলমানদের মত দেখতে, কিন্তু আদতে তারা ইসলামের সব চেয়ে বড় শত্রু আর এই যুগে ইসলামের সবচেয়ে বড় শত্রুর নাম- সেকুলারিজম।</t>
  </si>
  <si>
    <t>‘আমার মনে হয়, কোরআন পোড়ানোর প্রতিবাদের মধ্যদিয়ে মুসলিমরা মূলত প্রেম বা ভক্তির পাশাপাশি যুক্তিকেও নতুন করে সংজ্ঞায়িত করছে। কারণ আমরা জানি, কোরআন পোড়ানো শুধুমাত্র মতপ্রকাশের স্বাধীনতার প্রশ্ন নয়, বরং এটি চরম ঘৃণা ও অযৌক্তিকতার প্রকাশ।’</t>
  </si>
  <si>
    <t>কিছু মুসলিম আলেম মূল ইসলামী আরবি শব্দ আল্লাহ -এর ব্যবহারকে অধিক উৎসাহিত করে থাকেন, যুক্তি হিসেবে তারা বলেন, আল্লাহ শব্দটি কুরআনে ব্যবহৃত হয়েছে, তাই শব্দটি বলার সময় প্রতি হরফে দশ নেকি করে ৪ হরফে মোট ৪০ নেকি সাওয়াব পাওয়া যাবে, যা খোদা বা অন্যান্য অ-কুরআনীয় প্রতিশব্দ উচ্চারণে পাওয়া যাবে না।</t>
  </si>
  <si>
    <t>বড়দিনের দিন বন্ধের ফলে, কুই সমাজ এবং ভিএইচপি-র কর্মীরা খ্রিস্টান, খ্রিস্টান প্রতিষ্ঠান এবং গির্জাগুলিকে লক্ষ্যবস্তুতে পরিণত করে।  স্বামী লক্ষ্মণান্দের হত্যার আগ পর্যন্ত ধীরে ধীরে পরিস্থিতি শান্ত হয়, যা ২০০৮ সালের আগস্টে গণহত্যার সৃষ্টি করে।</t>
  </si>
  <si>
    <t>সব হিন্দুবাড়িগুলো লুঠ করে। এমনকি বিহারিলাল মন্দিরের মার্বেল পাথরগুলোও খুলে নেয়।</t>
  </si>
  <si>
    <t>ধর্ম মানুষকে শেখায় সবাইকে আপন করে নিতে। কোন সরকার আছে যে বা যারা জাতি ধর্ম না দেখে প্রকৃত অপরাধীকে শাস্তি দিয়েছে। সাম্প্রদায়িকতাকে উস্কে দিয়ে ভোট বাক্সের নিরাপত্তা বজায় রাখতে হবে,অন্য দিকে ধর্মনিরপেক্ষতার বুলি আওড়াতে হবে</t>
  </si>
  <si>
    <t>পাকিস্তানি নেত্রী মরিয়ম নওয়াজ ধর্ম নিয়ে এমন কী বললেন যে ভারতেও প্রশংসিত হচ্ছে! ভাইরাল ভিডিও</t>
  </si>
  <si>
    <t>ধর্মের জন্য গান ছেড়ে দিবে! পাগল নাকি?" - এমন একটা ভাব অনেকের মাঝে।</t>
  </si>
  <si>
    <t>হে আল্লাহ, আমাদেরকে সবাইকে বেশি বেশি করে এবাদত করার তৌফিক দান করো, তোমাকে জান্নাতে দেখার তৌফিক দান কর।</t>
  </si>
  <si>
    <t>তিনি অত্যন্ত ধার্মিক একজন ব্যক্তি ছিলেন। সবসময় সুন্নতি লেবাস পরিধান করতেন, দাড়ি রেখেছিলেন। ছাত্রদের যেকোনো নৈতিক কাজে স্যারকে পাশে পাওয়া যেত। এজন্যই হয়তো তিনি এই জুলুমের শিকার! উনাকে অব্যহতি দেয়ার মাধ্যমে যে অবিচার করা হয়েছে তা কোনো ছাত্রের মেনে নেয়া উচিত হবে না।</t>
  </si>
  <si>
    <t>মহাপাপ ধর্মের সাথে সম্পৃক্ত, যারা ধর্ম পালন করে ওরা আত্মহত্যা করে না। এই পোস্টে মন্তব্য করাই ভুল হয়েছে। দয়া করে ক্ষমা করবেন, আর পারলে আমার মন্তব্য মুছে ফেলবেন।</t>
  </si>
  <si>
    <t>মঙ্গলবার ফ্রান্সের জাতিসংঘবিষয়ক রাষ্ট্রদূত জেরোম বোনাফন্ট বলেন, মানবাধিকার মানুষকে রক্ষা করে; ধর্ম, মতবাদ, বিশ্বাস বা কোনো প্রতীককে নয়। তাছাড়া কোন জিনিস পবিত্র আর কোনটি পবিত্র নয়, সেটি ঠিক করাও জাতিসংঘ বা কোনো দেশের কাজ নয়।</t>
  </si>
  <si>
    <t>কনোও মুসলিম স্ত্রীই তার স্বামী থেকে স্বাধীন নয়।</t>
  </si>
  <si>
    <t>ধর্মান্ধতার অন্ধকার নয়, বাঙালির আত্মপরিচয়ের সন্ধান করতে হবে</t>
  </si>
  <si>
    <t>ইরানে বাহাই সম্প্রদায়ের কয়েকটি বাড়িতে আক্রমণ চালানো হয় এবং তাদের ধর্মীয় উপাসনালয় ক্ষতিগ্রস্ত করা হয়।</t>
  </si>
  <si>
    <t>১৯৯২-১৯৯৫ বসনিয়া যুদ্ধ: বসনিয়ান সার্ব বাহিনী মুসলিম ও ক্রোয়াট জনগোষ্ঠীর বিরুদ্ধে জাতিগত নিধন চালায়, আনুমানিক ১ লাখ মানুষ নিহত হয়।</t>
  </si>
  <si>
    <t>নভেম্বরের শুরুর দিকের একটি ঘটনায় একজন সিনিয়র আই.সি.এস অফিসার ও তার পুলিশ বাহিনী একটি ক্যাম্পে দুর্গত হিন্দুদের রক্ষার চেষ্টা কালে তিন বার মুসলিম সসস্ত্র বাহিনীর দ্বারা আক্রমণের শিকার হয়। তখন বাধ্য হয়ে পুলিশ উন্মুক্ত গোলাবর্ষণ শুরু করলে ৭ জন নিহত হয় এবং ১০ জন আহত হয়।</t>
  </si>
  <si>
    <t>পৃথিবী, তার সৃষ্ট সভ্যতা, সৃষ্টির সেরা জীব নির্বিচারে, নৃশংসভাবে হত্যা করে ধর্মের নামে,শাসন শোষণের জন্য যে নৃশংসতা চলছে তা কখনোই স্রষ্টার ধর্ম হতে পারেনা।</t>
  </si>
  <si>
    <t>আল্লাহ আপনি আমাদের কে আপনার জান্নাত এর নেয়ামত থেকে বঞ্চিত করিয়েন না আপনি আমাদের রব আপনি আমাদের পালন কত্তা আপনি আমাদের কে সঠিক পথে চলার তপিক দান করুন</t>
  </si>
  <si>
    <t>সুপ্রচলিত ইসলামি বিশ্বাস অনুসারে, মুহাম্মাদ ইব্রাহিম এর জ্যেষ্ঠ পুত্র ইসমাইল এর বংশধরের মধ্য হতে আগত। তার বংশলতিকা আদনানি উপজাতি পর্যন্ত বিস্তৃত এবং আরো নির্দিষ্টভাবে কুরাইশ বংশের হাশিমী শাখা হতে উদ্ভূত।</t>
  </si>
  <si>
    <t>কোরআন আমাদের মুসলমানদের প্রাণ.যারা করেছে তীব্র নিন্দা ও প্রতিবাদ জানাচ্ছি.হে আল্লাহ মুসলমানদের হেফাজত করুন</t>
  </si>
  <si>
    <t>মধ্যরাতে মুসলিমদের ভয়াবহ আক্রমণে চকবাজারের প্রায় ১,৫০০ হিন্দু জেলে পরিবার তাদের বাড়ি-ঘর ছেড়ে জীবন বাঁচাতে পালিয়ে যেতে বাধ্য হয়। প্রায় ২০০ মুসলিম রিয়াজউদ্দিন বাজারের হিন্দু মন্দির ভেঙ্গে ফেলে এবং হিন্দু মালিকানাধীন ব্যবসা প্রতিষ্ঠানগুলো লুটপাট করে।</t>
  </si>
  <si>
    <t>একই দিনে, দাঙ্গাবাজরা বারগড় জেলার খুন্তপল্লী গ্রামে একটি খ্রিস্টান এতিমখানায় আক্রমণ করে। স্থানীয় ২০ বছর বয়সী এক হিন্দু মহিলা কর্মচারীকে গণধর্ষণ করে জীবন্ত পুড়িয়ে মারা হয়, যখন এতিমখানায় আগুন ধরিয়ে দেওয়া হয়।</t>
  </si>
  <si>
    <t>পূর্ববঙ্গের আইনসভার সিলেট জেলার সদস্য (এম.এল.এ) সুরেশ চন্দ্র বিশ্বাস একটি জনসভায় গণহত্যা এবং হিন্দুদের ঘরবাড়ি লুট ও অগ্নিসংযোগের নিন্দা করলে তাকেও ১১ মার্চে গ্রেফতার করা হয়। </t>
  </si>
  <si>
    <t>আমরা বাইরে থেকে যে যেই ধর্মের হইনা কেন, আমরা সবাই মানুষ একে অপরের ভাই ভাই</t>
  </si>
  <si>
    <t>দুপুর ২ টা অবধি এই হত্যাকাণ্ড চলছে। পাকিস্তানি সেনাবাহিনী চলে যাওয়ার পরে স্থানীয় রাজাকাররা বাকী বাড়িগুলি লুট করে। ৩ মে গণহত্যার পরেও লক্ষ্যবস্তু হত্যা অব্যাহত ছিল।</t>
  </si>
  <si>
    <t>দাদা উচ্চারণটা বাংলার মত করে বলো। কল্কি বলতে অসুবিধা কোথায় ? খালি কালকি কালকি বলে যাচ্ছেন।</t>
  </si>
  <si>
    <t>পাকিস্তানে (Pakistan) ফের আক্রান্ত সংখ্যালঘু সম্প্রদায়। সূত্রের খবর, সেদেশের খাইবার পখতুনখোয়া (Khyber Pakhtunkhwa) প্রদেশের পেশোয়ার শহরে শিখ সম্প্রদায়ের (Sikh Community) দুই ব্যবসায়ীকে গুলি করে খুন করা হয়েছে।</t>
  </si>
  <si>
    <t>কেউ কোরআনের প্রতি প্রচণ্ড বিদ্বেষ নিয়ে অন্য বা কোনোভাবে কোরআন অবমাননা কিংবা তুচ্ছ-তাচ্ছিল্য করলে সে ইসলামের গণ্ডির বাইরে চলে যাবে এবং তাকে ইসলামী শরিয়তের ভাষায় মুরতাদ বলা হবে। এ বিষয়ে বিজ্ঞ আলেমদের মাঝে কোনও দ্বিমত নাই। ইসলামী আইন অনুযায়ী মুরতাদের শাস্তি হল মৃত্যুদন্ড।</t>
  </si>
  <si>
    <t>বাংলাদেশে ক্যাথলিক চার্চ দিনাজপুর, ময়মনসিংহ, সিলেট ও রাজশাহীতে ক্যাথলিক বিশপের এলাকা সমেত ঢাকার ক্যাথলিক বিশপের এক্তিয়ারভুক্ত এলাকা। অন্যদিকে বরিশাল ও খুলনার ক্যাথলিক বিশপের এলাকা সমেত চট্টগ্রামের বিশপের এক্তিয়ারভুক্ত এলাকা</t>
  </si>
  <si>
    <t>টারসাসের পল মূলত গ্যালিলির পিটার, নাজারেথের যিশু এবং ইহুদি ধর্মের অন্যান্য প্রচারকদের মতো ছিলেন। তারা একসাথে ইহুদি খ্রিস্টানদের একটি দল তৈরি করেছিলেন। ওই দলের ছেলেদের খতনা করানো হতো।</t>
  </si>
  <si>
    <t> যুগে যুগে যারাই মুসলমানদের ক্ষতি করার চেষ্টা করেছে বা ক্ষতি করেছে তাদের অধিকাংশই এসব নামধারী মুসলিম তথা মুনাফিক ছিলো।</t>
  </si>
  <si>
    <t>আপনার কথায় অনেক শিক্ষার বিষয় আছে যা সবাইকে বুঝতে হবে হরে কৃষ্ণ গোবিন্দ আপনার মঙ্গল করুক এবং মঙ্গল হোক এই বিশ্বব্রহ্মাণ্ডের সমস্ত কিছু</t>
  </si>
  <si>
    <t>প্রাথমিকভাবে ইতালিতে হিন্দুদের দুটি মন্দির ছিল, এবং বর্তমানে এখানে প্রায় ৩০,০০০ ইতালীয় ও প্রবাসী হিন্দু বসবাস করেন। ইতালির স্কুলের পাঠ্যপুস্তকে হিন্দু ধর্ম সম্পর্কে আরও সঠিক ও সমৃদ্ধ তথ্য সংযোজনের সুযোগ রয়েছে।</t>
  </si>
  <si>
    <t>দ্য স্টেটসম্যান পত্রিকার অনুমান ৭,৫০০ জন থেকে ১০,০০০ জনের মধ্যে ছিল; কংগ্রেসের পক্ষ থেকে ২০০০ জন বলা হয়েছিল; তবে জিন্নাহ ৩০,০০০ জন বলে দাবি করেছিল।[৫৬] তবে, সরকারি হিসেবে মৃতের সংখ্যা ৩রা নভেম্বরের ৪৪৫ জন বলা হয়েছিল।</t>
  </si>
  <si>
    <t>আমি একজন মুসলিম হিসাবে এর বিরুদ্ধে তীব্র নিন্দা জানাচ্ছি এবং এর বিরুদ্ধে আইনি ব্যবস্থা নেওয়া হোক এই দাবি জানাচ্ছি সুইডেনের গভারমেন্ট কে</t>
  </si>
  <si>
    <t>বাংলাদেশের উন্নয়ন ও অগ্রগতির রূপকার, মানবতার আলোকবর্তিকা, অসহায় মানুষের আশার আলো মাননীয় প্রধানমন্ত্রীর প্রতি আমাদের গভীর আস্থা ও শ্রদ্ধা। আমরা বিশ্বাস করি, ঘটে যাওয়া ঘটনাটি দ্রুত ও ন্যায়সঙ্গতভাবে বিবেচিত হবে। বৌদ্ধ জাতি হিসেবে আমরা আশাবাদী যে সত্য ও ন্যায় প্রতিষ্ঠিত হবে।</t>
  </si>
  <si>
    <t>বাংলাদেশে যে আইনে ফৌজদারি অপরাধের বিচার করা হয়, সেই ১৮৬০ সালের ফৌজদারি দণ্ডবিধিতে ধর্মীয় অবমাননার বিষয়ে সুস্পষ্ট আইন রয়েছে। আইনটি ১৯২৭ সালে সংশোধন করে নতুন একটি ধারা যোগ করা হয়। বাংলাদেশের স্বাধীনতার পর ব্রিটিশ আমলে তৈরি এই আইনটি সামান্য পরিবর্তন করে গ্রহণ করা হয়।</t>
  </si>
  <si>
    <t>আপনার এই লেখা যুগোপযোগী। আপনাকে অসংখ্য ধন্যবাদ। আপনার লেখা পড়ে মনে হল আপনি সাম্প্রদায়িক সম্প্রীতি ধারন করেন৷ আপনার এই পোস্ট পড়ে অনেক ভিন্ন ধর্মের মানুষেও আপনার প্রতি শ্রদ্ধা ভালবাসা বহু গুণ বেড়ে গেল!</t>
  </si>
  <si>
    <t>"আমার মনে হয় আমি সবসময়ই মুসলিম ছিলাম।"</t>
  </si>
  <si>
    <t>বিদ্যানন্দের প্রধান কে থাকছে এ নিয়ে দেশের মাস পিপলের আসলেই কোন কনসার্ন নেই! তিনি মানুষ না রোবট, হিন্দু না মুসলিম, উচ্চবর্নের না নিন্মবর্নের (যদিও ভারতে স্পেশালি উত্তরপ্রদেশ কিংবা তামিলনাডু হলে ব্রাক্ষনদের চাপে কিশোর কুমার দাশ দাড়াতে পাড়তো কিনা তা নিয়েই সন্দেহ আছে)</t>
  </si>
  <si>
    <t>বাইবেলের মতে, তিনি সারা বিশ্বে মেসাইয়াহ বা ত্রাণকর্তার বাণী ছড়িয়ে দেওয়ার জন্য যিশুর শিষ্যদেরকে সবচেয়ে বেশি উৎসাহ দিয়েছেন।</t>
  </si>
  <si>
    <t xml:space="preserve">আমি ধর্মীয় উগ্রতাকে প্রচন্ড রকম ঘৃণা করি I এদেশের বিজ্ঞ আলেমরাও একইভাবে উগ্রতাকে ঘৃণা করে I আলেমদের সাথে মিশে আমি বাস্তবিক ভাবে সেটার প্রমান পেয়েছি </t>
  </si>
  <si>
    <t>৮ অক্টোবর গাইবান্ধার সুন্দরগঞ্জে নির্মাণাধীন অস্থায়ী পূজা মন্ডপের সবকটি প্রতিমা ভোররাতে ভাঙচুর করে দুর্বৃত্তরা।</t>
  </si>
  <si>
    <t>যদিও শরিয়তের নির্দেশনায় অনাড়ম্বরভাবে আত্মহত্যাকারীর জানাজা পড়ার বিধান রয়েছে, তবু রাসুলুল্লাহ (স.) নিজে কখনো আত্মহত্যাকারীর জানাজা পড়াননি। সাহাবিদের দ্বারা তা পড়িয়েছেন।</t>
  </si>
  <si>
    <t>আমি জানি না তখন আমাকে ঠিক কী পেয়ে বসেছিল। অনেক বছর ধরে আমি ইসলাম ধর্মের কথা ভাবিওনি। হঠাৎ আমার মনের মধ্যে যেন একটি বাতি জ্বলে উঠল। আমি ইসলাম সম্পর্কে আরো জানতে ও পড়তে শুরু করলাম।</t>
  </si>
  <si>
    <t>পৃথিবীর জন্মলগ্ন থেকে আজ অবধি ২৮ জন সম্যকসম্বুদ্ধ গত হয়েছেন । আমরা এখন ২৮তম বুদ্ধ – গৌতম বুদ্ধের ধর্মকালে অবস্থান করছি , গৌতম বুদ্ধের ধর্মের ব্যপ্তিকাল মোট ৫০০০ বছর , এর পরে ভবিষ্যতে আরও একজন বুদ্ধ আবির্ভাব হবেন।</t>
  </si>
  <si>
    <t>বাংলাদেশে কোন হিন্দুর কোন সাহস হবে কি একটা কুরআন শরীফ নিয়ে কোন মন্দিরে বা দেবতার কাছে রাখা? সংখ্যালঘু বা হিন্দু সম্প্রদায়ের যারাই সুশিক্ষায় শিক্ষিত তারা এভাবে গড়ে উঠে নি যে, তারা অন্য ধর্মের অবমাননা করবে।</t>
  </si>
  <si>
    <t>২০০৮ সালের অক্টোবরে, একজন সিনিয়র মাওবাদী নেতা লক্ষ্মণানন্দ হত্যার দায় স্বীকার করেন এবং পুলিশ কর্মকর্তারা নিশ্চিত করেন যে মাওবাদীরা উপজাতি সম্প্রদায়ের যুবকদের লক্ষ্মণানন্দকে হত্যা করার জন্য প্রশিক্ষণ দিয়েছিল।</t>
  </si>
  <si>
    <t>মুসলিমদের নিয়ে তাদের যে এত চুলকানি সে বিষয়ে কারো কোনো আওয়াজ নেই। কথা হবে কেবল অভিনেতা / অভিনেত্রীদের ঘিরে। এরা মূলত ধর্ম বিদ্বেষী নয়, এরা ইসলাম বিদ্বেষী।</t>
  </si>
  <si>
    <t>জৈন ধর্মে বিশ্বাসীরা শুদ্ধতা, সততা, এবং দয়া দিয়ে নিজেদের জীবন পরিচালনা করে, এবং তাদের জীবন দর্শন মানবতার জন্য অত্যন্ত গুরুত্বপূর্ণ শিক্ষা প্রদান করে।</t>
  </si>
  <si>
    <t>যীশু খ্রিস্টের শিক্ষা অনুসারে, প্রত্যেক খ্রিস্টানকে তার প্রতিবেশীর প্রতি ভালোবাসা এবং সহানুভূতি দেখাতে হবে, এবং এই শিক্ষাটি পৃথিবীকে এক শান্তিপূর্ণ স্থান হিসেবে গড়ে তোলার জন্য অত্যন্ত গুরুত্বপূর্ণ, যেখানে সকল ধর্মের মানুষ একে অপরকে সমর্থন করবে।</t>
  </si>
  <si>
    <t>ইসলামের এই মূল ভিত্তিগুলো নিয়ে মানুষের মনে যেসব প্রশ্ন জাগে বা বিজ্ঞান ও মানুষের দ্বারা জাগিয়ে দেয়া হয়, ঐ সব বিষয় নিয়ে এমন যুক্তি খন্ড মূলক আরো ভিডিও চাই ভাইয়া। ধন্যবাদ</t>
  </si>
  <si>
    <t>আপনাদের ক্ষেত্রেও একইভাবে থাকলে আরও বেশি মানুষ উপকৃত হতে পারে। আশা করি, আমার কথায় কেউ ভুল বুঝবেন না, কারণ ধর্মীয় শিক্ষার বিষয়টি সবার জন্যই বোধগম্য হওয়া উচিত, ছোট-বড় যেই হোক।</t>
  </si>
  <si>
    <t>হিন্দুদের দ্বারা মুসলমানদের উপর হানাদার হামলার আকারে প্রায়শই মুসলমানদের উপর সহিংসতা সংঘটিত হয়</t>
  </si>
  <si>
    <t>১৫ ফেব্রুয়ারি মঙ্গলবার রাতে বরিশালের বানারীপাড়া উপজেলার বিশারকান্দি এলাকায় সর্বজনীন শ্রীশ্রী কালীমন্দিরের প্রধান ফটকের তালা ভেঙে ভেতরে প্রবেশ করে কালী ও মহাদেবের প্রতিমা ভাঙচুর করা হয়।</t>
  </si>
  <si>
    <t>যখন মসজিদে নামাজরত নিরস্ত্র মানুষের উপর হামলা হয়, তখন তোমরা কোথায় থাকো? তোমাদের চোখে শুধু মুসলিম দেখো?</t>
  </si>
  <si>
    <t>সংখ্যালঘু ধর্মীয় গোষ্ঠীর শিক্ষার্থীসহ স্কুলগুলিকে সাধারণত স্থানীয় গীর্জা বা মন্দিরগুলিতে স্কুল সময়ের বাইরে ধর্মীয় অধ্যয়নের ক্লাস করার অনুমতি দেওয়া হয়।</t>
  </si>
  <si>
    <t>মধ্যযুগীয় ইউরোপে ক্যাথলিক ও প্রোটেস্ট্যান্টদের মধ্যে সংঘর্ষে বহু নিরপরাধ মানুষ প্রাণ হারিয়েছে, যা ধর্মীয় বিভক্তির এক জ্বলন্ত দৃষ্টান্ত।</t>
  </si>
  <si>
    <t>আমি অপরাধিদের ফাসি চাই। অন্যথা সুইডেন পন্য সামগ্রি বয়কটের আহবান জানাচ্ছি সকল মুসলিমদের।</t>
  </si>
  <si>
    <t>লজ্জা থাকা দরকার আমাদের কিছু নামধারী মুসলিমদের যারা দলের জন্য ধর্মের গুরুত্ব ভুলে গেছে এবং ধর্মীয় ভাইদের উপর আক্রমণ করেছে!</t>
  </si>
  <si>
    <t>ইসরায়েল-গাজা যুদ্ধের শুরু থেকেই ইসরায়েলকে সমর্থন দিয়ে আসছে মার্কিন যুক্তরাষ্ট্র। পাশে থাকার প্রতিশ্রুতির অংশ হিসেবে ইসরায়েলকে সামরিক সহায়তাও দিচ্ছে দেশটি।</t>
  </si>
  <si>
    <t>১৯৮৯ সালে ভাগলপুরে, অযোধ্যা বিতর্কের ফলে প্রায় সহস্রাধিক মানুষ সহিংস হামলায় প্রাণ হারান বলে ধারণা করা হয়, [৬১] এবং সংখ্যালঘু সম্প্রদায়কে সতর্ক করে শক্তি প্রদর্শন করার জন্য ভিএইচপি নেতাকর্মীদের দ্বারা মিছিল করা নিয়ে যে উত্তেজনা হয়েছিল, তার ফলস্বরূপ বলে মনে করা হয় ।</t>
  </si>
  <si>
    <t> আমিশাপাড়া এবং সাতঘরিয়ার মধ্যবর্তী এলাকার ভৌমিক এবং পাল পরিবারের সবাইকে আগুনে পুড়িয়ে ছাই বানানো হয়। এই দুই পরিবারের ১৯ সদস্যকে হত্যা করে মুসলিমরা। বাড়ির নারীদের সম্মানহানি করা হয়।</t>
  </si>
  <si>
    <t>২০২৩ সালের জুলাই থেকে ২০২৪ সালের জুন পর্যন্ত এক বছরে ১ হাজার ৪৫টি সাম্প্রদায়িক সহিংসতা-নির্যাতন-নিপীড়নের ঘটনা ঘটেছে। ঘটনাগুলোর মধ্যে ৪৫টি হত্যাকাণ্ড ঘটেছে।</t>
  </si>
  <si>
    <t>আল্লাহ বলেন যে, তিনি নিজেই মানব জাতির মাঝে বিভেদ সৃষ্টি করেছেন, তবে তাদের মধ্যে শান্তি ও ভালোবাসা বজায় রাখা উচিত, ধর্মের পার্থক্য না হওয়া সত্ত্বেও।</t>
  </si>
  <si>
    <t>আক্রমণগুলি সাম্প্রদায়িক সহিংসতা হিসেবে বিবেচিত ছিল এবং হিন্দু ও মুসলিম জনগোষ্ঠীর মধ্যে সাম্প্রদায়িক দ্বন্দ্ব হিসাবে চিহ্নিত হয়েছিল। তবে, বাবরি মসজিদ ভেঙে দেওয়ার পরে হিন্দু-জাতীয়তাবাদের উত্থানের সাথে সাথে আক্রমণগুলি আরও নিয়মতান্ত্রিক হয়ে উঠেছে</t>
  </si>
  <si>
    <t>সোমবার সেখানে পরিস্থিতি গুরুতর রুপ নিলে কারফিউ জারি করা হয়। কিন্তু পরে সেটি কিছু সময়ের জন্যে তুলে নেওয়া হয়েছিলো। কিন্তু ২৪ বছর বয়সী এক মুসলিম তরুণের মৃতদেহ পাওয়ার যাওয়ার সাথে সাথেই সেখানে আবার সান্ধ্য আইন জারি করা হয়েছে।</t>
  </si>
  <si>
    <t>মুসলিম হিসেবে যদি এখনো চুপ করে সহ্য করতে থাকেন, তাহলে সামনে হয়তো আরও এমন কঠিন কোনো সিদ্ধান্ত আসবে যখন চাইলেও আর প্রতিবাদ করতে পারবেন না।</t>
  </si>
  <si>
    <t>এখলাসপুরে আরও একটি মন্দিরের ভেতরে ঢুকে মূর্তি ভাঙচুর করা হয়।[৩৭] নোয়াখালী জেলার ইসকন মন্দিরে ১৫ই অক্টোবর শুক্রবারে তৌহিদী জনতারা হামলা করে। ইস্কনের সদস্য পার্থ দাসকে ২০০ জনেরও বেশি লোক নির্মমভাবে হত্যা করে। তার মৃতদেহ মন্দিরের পাশের পুকুরে পাওয়া যায়।[৪১][৪২][৪৩]মুসলিম ধর্মান্ধরা নোয়াখালিতে রাম ঠাকুরের সমাধি আশ্রমে হামলা চালিয়ে পুরো ধ্বংস করে ৷</t>
  </si>
  <si>
    <t>কেন আমরা ধর্ম নিয়ে অপব্যবহার করছি। ইসলাম অতো ছোট ধর্ম নয়।</t>
  </si>
  <si>
    <t>যার যার ধর্ম বা ধর্মীয় অনুষ্ঠান সে পালন করবে। কিন্তু মুসলিমদের ইফতার পার্টিতে হামলা, তারাবিতে বাঁধা। তার মানে কি.....?</t>
  </si>
  <si>
    <t>জামণ্ডপে কোরআন রেখে কোরআন অবমাননা করা হয়েছে’ -এমন গুজব দেশজুড়ে ছড়িয়ে পড়ায় দেশের বিভিন্ন জায়গার পূজামণ্ডপ ও হিন্দু সম্প্রদায়ের মানুষ, মন্দির, ব্যবসা প্রতিষ্ঠান, বাড়ি-ঘরে হামলা করতে থাকে উগ্র মুসলমানরা। </t>
  </si>
  <si>
    <t>আমি বলে বুঝাতে পারবো না, এই একটা ভিডিও আমার ভেতরটাকে ভেঙে চুরমার করে দিয়েছে। আল্লাহর কসম, এর চেয়ে সুন্দর আর কিছু হতে পারে না।</t>
  </si>
  <si>
    <t>ধর্মের নামে অপমান, নৈতিক ও সামাজিক নিয়মের বিপর্যয় ও ভাঙ্গা নৈতিকতা বাস্তবায়ন করে আমরা অপমান করছি আমাদের আত্মগত মানবিক মানদণ্ডগুলি।</t>
  </si>
  <si>
    <t>ভারতীয় পন্য বর্জন ও বয়কট করা প্রত্যেক বাংলাদেশীর ঈমানী ও নৈতিক দায়িত্ব যদিও দাদা ওদিদি বাবুরা আমাদের কে মন খুলে গালাগালি করেন ।</t>
  </si>
  <si>
    <t>ব্রাহ্মণদের দ্বারা পাইকারী হারে বৌদ্ধ স্থাপনাগুলোর ধ্বংস ভারতবর্ষ থেকে বৌদ্ধবাদের নির্মূল হওয়াকে ত্বরান্বিত করেছে।</t>
  </si>
  <si>
    <t>ফরাসি ব্যঙ্গচিত্র ম্যাগাজিন 'Charlie Hebdo'-তে ইসলামের নবীর ব্যঙ্গচিত্র প্রকাশের পর ইসলামী উগ্রবাদীরা হামলা চালিয়ে ১২ জনকে হত্যা করে, যা দেশটিতে ধর্মীয় উত্তেজনা সৃষ্টি করে।</t>
  </si>
  <si>
    <t>ঢোল বাজালে বোমা মেরে পূজামণ্ডপ উড়িয়ে দেওয়ার হুমকি</t>
  </si>
  <si>
    <t>ফলশ্রুতিতে আরও একবার বাঙ্গালীহিন্দু শরণার্থীদের ঢেউ আছড়ে পড়ে ভারতের পশ্চিমবঙ্গের উপর। এই আশ্রয়প্রার্থী পীড়িত-নির্যাতিত হিন্দু শরণার্থীরা ভারতের জাতীয় সমস্যা হিসেবে আবির্ভূত হয়। ভারত সরকার পূর্ববাংলার এই নিপীড়িত হিন্দুদেরকে মধ্যপ্রদেশের দণ্ডকারণ্যে পুনর্বাসনের ব্যবস্থা করে।</t>
  </si>
  <si>
    <t>উস্তাদ নোমান আলীর প্রজন্ম ধীরে ধীরে আমাদের গোঁড়া আলেমদের প্রতিস্থাপন করবে, এটাই বড় আশার কথা। ভালো লাগে দেখে বাংলাদেশের যুবসমাজ উনার লেকচার শুনে, ডাবিং করে ছড়িয়ে দিচ্ছে প্রকৃত ইসলামপ্রেমীদের কাছে। আল্লাহ এই প্রচেষ্টা কবুল করুন।</t>
  </si>
  <si>
    <t>আর যে হিদায়াত পাওয়ার পর রাসুলের বিরুদ্ধাচরণ করে এবং মুমিনদের পথের বিপরীত পথ অনুসরণ করে, আমি তাকে ফেরাব যেদিকে সে ফিরে এবং তাকে প্রবেশ করাব জাহান্নামে। আর আবাস হিসেবে তা খুবই মন্দ।</t>
  </si>
  <si>
    <t>শিক্ষাব্যবস্থা থেকে ক্রমশ ধর্মকে উঠিয়ে দেওয়া হচ্ছে এবং তদস্থলে জড়সভ্যতার মেকি সফলতার প্রতি আকৃষ্টকারী বিষয়বস্তু সন্নিবেশিত করা হচ্ছে।</t>
  </si>
  <si>
    <t>১৯৯০-এর বাংলাদেশে হিন্দু বিরোধী সহিংসতা ছিল বাবরী মসজিদ ধ্বংসের গুজব দ্বারা চালিত বাংলাদেশের মুসলিম জনগোষ্ঠী কর্তৃক হিন্দু নিধন কার্যক্রম।[২] এই ঘটনার সূত্রপাত ১৯৯০ সালে হলেও ১৯৯৩ সাল পর্যন্ত এর ধারাবাহিকতা চলতে থাকে। ১৯৯০ ও ১৯৯২ সালে বাংলাদেশের জাতীয় মন্দির ঢাকেশ্বরী মন্দির আক্রান্ত হয়।</t>
  </si>
  <si>
    <t>ইহুদি নিধনের সময় নাৎসি বাহিনীর হাতে ছয় মিলিয়ন ইহুদি নিহত হয়েছিল, যা ধর্মীয় বিদ্বেষের অন্যতম ভয়াবহ ইতিহাস।</t>
  </si>
  <si>
    <t>মন্দিরের কোন জায়গায় মসজিদ নির্মাণ করা হচ্ছে না। বরং ১৯৪৯ সালে প্রতিষ্ঠিত ৭৫ বছরের পুরাতন মসজিদের জমিতে মসজিদের পুননির্মাণ চলছে। যেটা কান্তনগর মন্দিরের আধা কিলো পূর্বে যে গ্রামে শুধু নয় পুরে কান্তনগর মৌজায় কোন হিন্দু নাগরিক নাই ।</t>
  </si>
  <si>
    <t>ধর্মতলা স্ট্রিটে চাঁদনি চক বাজার মুসলমানদের দ্বারা লুণ্ঠিত।</t>
  </si>
  <si>
    <t xml:space="preserve">১৫৬১ সালে, তুলুজের হুগেনটরা প্রোটেস্ট্যান্ট ধারণার প্রতি তাদের সংহতি প্রকাশের জন্য রাস্তায় মিছিল করে। কয়েকদিন পরে, ক্যাথলিকরা মিছিলের কিছু নেতাকে খুঁজে বের করে, মারধর করে এবং তাদের দণ্ডে পুড়িয়ে দেয়। </t>
  </si>
  <si>
    <t>স্থানীয় হিন্দু সংস্কৃতি হিন্দু ধর্মের কিছু মৌলিক দিক বিচ্যুত হয়। ত্রিনিদাদের পরিবেশে হিন্দু সম্প্রদায়ের ধর্মাচরণে কিছু পরিবর্তন আসে এখানকার হিন্দু ধর্ম "ত্রিনিদাদ হিন্দুধর্ম" হিসেবে পরিচিত হয়। কিন্তু এত সমঝোতার পরও হিন্দু সংস্কৃতির কিছু বিষয়ে যখন প্রায়ই সংখ্যাগরিষ্ঠ খ্রিস্টানরা বিরোধ করে।</t>
  </si>
  <si>
    <t>ওই সময় মুসলমানদের নিয়ে ভুল ধারণা তৈরি হয়েছিল, যেখানে তাদের প্রতি অবিশ্বাসের দৃষ্টিতে তাকানো হতো। অনেকেই ভাবতেন, সব মুসলমান অপরাধী। আমাদের সামনেই কিছু বৌদ্ধ ভাই বলেছিলেন, ‘সেদিন সবাই একসঙ্গে ছিল, বিভেদ ছিল না, সবাই একে অপরের মতো হয়ে গিয়েছিল।’</t>
  </si>
  <si>
    <t>তখন আল্লাহ তায়ালা বলেন, মহামারীতে মৃত্যুবরণকারীদের আঘাতের দিকে তাকাও। যদি শহীদদের আঘাতের মতো তাদের আঘাত থাকে, তাহলে তারা শহীদের মর্যাদা পাবে। অতঃপর দেখা যাবে যে মহামারিতে মৃত্যুবরণকারীদের আঘাত শহীদদের আঘাতের মতো। ফলে তাদের শহীদের মর্যাদা দেওয়া হবে</t>
  </si>
  <si>
    <t>গুপ্ত সম্রাজ্যের পর থেকে ভারতীয় ধর্মগুলো ধীরে ধীরে বিভিন্ন আধ্যাত্মিক ও দার্শনিক ধারার সংমিশ্রণে বিকাশ লাভ করে, যেখানে আধ্যাত্মিক অনুশীলন ও ভাবধারার বৈচিত্র্য প্রতিফলিত হতে থাকে, এবং বৌদ্ধ ধর্মও এসব প্রবণতায় প্রভাবিত হয়।</t>
  </si>
  <si>
    <t>আমার বাবা, মা, ভাই, বোন আর সমস্ত মোমিনদের হিদায়াতপ্রাপ্ত করো। সবাই যেনো জান্নাতের বাসিন্দা হতে পারে।</t>
  </si>
  <si>
    <t>দেশে যে কি হচ্ছে এইসব মৃত্যু ব্যক্তি যদি নির্দোষ হয় তবে দোষীদেরও ঠিক এইভাবেই পিটিয়ে আগুনে পোড়ানো হোক ।</t>
  </si>
  <si>
    <t>এসব দেখে হিন্দুরা সচেতন হত। আখেরে কাজে দিতো। এই জন্য যারা হিন্দু ধর্মের টুকটাক সমালোচনা করে তারা আশলে আমাদের বন্ধু।</t>
  </si>
  <si>
    <t>২০১৬ সালে গ্রীসে মুসলিম সম্প্রদায়ের নতুন মসজিদ নির্মাণের বিরুদ্ধে বিক্ষোভের সময় মসজিদের জানালায় পাথর ছোড়া হয় এবং কিছু মুসল্লি আহত হন।</t>
  </si>
  <si>
    <t>শকুনটা উড়ে গেল আর আসার সময় এক মরা গরুর মাংস নিয়ে এলো । বাচ্চা বললো, "আরে এটা তো গরুর মাংস নিয়ে এসেছো, মানুষের মাংস কোথায়?" তখন শকুনটা উড়ে গিয়ে, শুকরের মাংস একটা মসজিদের পাশে আর গরুর মাংস একটা মন্দিরের পাশে ফেলে দিয়ে চলে এলো!!</t>
  </si>
  <si>
    <t>মানুষ ভিন্ন অন্য কোনো প্রাণী নাকি? ভিন্ন ভিন্ন সম্প্রদায়ের প্রাণীদের রক্তের রঙ আলাদা হয় বুঝি? নাকি ভূ-পৃষ্ঠের মত কাঁটা তারের বেড়ায় দ্বিখণ্ডিত করা সভ্যতার নতুন কোনো পোশাকের নাম `সম্প্রদায়`!</t>
  </si>
  <si>
    <t>বিতর্কটি হত্যাকাণ্ডে পৃথক নেতাদের ভূমিকা ছাড়াও এখনও দুই প্রধান সম্প্রদায় হিসাবে হিন্দু ও মুসলমানদের সম্পর্কিত দায়িত্ব সম্পর্কে উত্থিত হয়।</t>
  </si>
  <si>
    <t>১৯৬৪ সালের ২ জানুয়ারি তারিখে হজরতবাল ঘটনার প্রেক্ষিতে মুসলিমরা হিন্দুদেরকে পায়ে জুতো পরতে, মাথায় ছাতা ব্যবহার করতে কিংবা রিকশায় চড়তে বাধা দেয়।</t>
  </si>
  <si>
    <t>মুসলিম হলে নিজ ধর্মের সঠিক প্র‍্যাক্টিস করতে হবে। স্যাকুদের সাথে সাথে নিজের বিশ্বাস নিয়ে হিনমন্যতায় ভোগা যাবেনা৷ আমার পাশে দাঁড়ানো সব জুলুমের শিকারদের জন্যেই আর আমার দুঃখবোধ সবাই জন্যেই সমান।</t>
  </si>
  <si>
    <t>রোহিঙ্গা সমস্যা কোনো বৌদ্ধ বা মুসলিম সম্প্রদায় গত সমস্যা নয়, এটা রাষ্ট্রগত সমস্যা, তবু এটা দুঃখ জনক, সকল ফেইসবুক, ওয়াটস্আপ, টুইটার, প্রিন্ট মিডিয়া, ইলেকট্রনিক মিডিয়া সবাইকে আন্তরিক অনুরোধ কেউ কোনো প্রকার সাম্প্রদায়িক বিষবাষ্প ছড়াবেন না।</t>
  </si>
  <si>
    <t>এখানে হিন্দু ধর্মের মানুষকে দোষ দিয়ে বা তাদের সাথে বাকবিতন্ডায় লিপ্ত হয়ে লাভ নাই। এইসবের অনুমতি কে দিচ্ছে? কারা এইসব করছে তাদের দোষ। এই দেশের সরকার, নেতা-কর্মীরা বেশির ভাগই তো মুসলিম তারপরও এমন কার্যক্রম হচ্ছে।</t>
  </si>
  <si>
    <t> যা ১০০০ খ্রিস্টপূর্বাব্দে রচিত হয়েছে বলে বিশ্বাস করা হয়, অন্ত্যেষ্টির আচার বর্ণনা করে যেখানে বিধবা তার মৃত স্বামীর দ্বারা শয়ন করে, কিন্তু তারপর তাকে আরোহণ করতে বলা হয়, সন্তান ও সম্পদ থেকে আশীর্বাদ উপভোগ করার জন্য।</t>
  </si>
  <si>
    <t>ইসরায়েলকে এখান থেকে উৎখাত করা একান্ত প্রয়োজন। এরা শান্তিপ্রিয় নয়। তবে পৃথিবীতে করোনার মতো অচিরেই আরেকটি ভাইরাস আসবে, এতে অস্ত্রশক্তি বিকল হয়ে যাবে এবং পৃথিবী আরও কঠিন হয়ে যাবে। অনেক মানুষ মারা যাবে। এটা আমার ধ্যানের উক্তি।</t>
  </si>
  <si>
    <t>ধর্মীয় অনুশীলনের মধ্যে থাকতে পারে বিভিন্ন আচার-অনুষ্ঠান, উপদেশ, স্মরণ বা উপাসনা (দেবতা বা সাধুদের), বলিদান, উৎসব, ভোজন, সমাধি, দীক্ষা, বিবাহ ও শেষকৃত্য, ধ্যান, প্রার্থনা, সঙ্গীত, শিল্পকলা, নৃত্য বা জনসেবামূলক কাজ অন্তর্ভুক্ত থাকতে পারে।</t>
  </si>
  <si>
    <t>বিজেপি সরকার সংবিধানের ধর্মনিরপেক্ষ স্পিরিটকে ধ্বংস করে সবার উপর হিন্দুত্ববাদ চাপিয়ে দিতে প্রথমেই নতুন নাগরিকত্ব আইন করে কোটি কোটি মুসলমান ভারতীয়কে রাষ্ট্রহীন অথবা দ্বিতীয় শ্রেণির নাগরিকে পরিণত করার এজেন্ডা বাস্তবায়ন করে চলেছে।</t>
  </si>
  <si>
    <t>পশ্চিম আফ্রিকার দেশ নাইজেরিয়ায় সাম্প্রদায়িক সহিংসতা দমন করতে গিয়ে স্থানীয়দের হামলায় অন্তত ১৬ সেনা নিহত হয়েছেন। শনিবার (১৬ মার্চ) দেশটির সেনাবাহিনী এক বিবৃতিতে এই তথ্য জানিয়েছে। খবর রয়টার্সের।</t>
  </si>
  <si>
    <t>বাংলাদেশের অন্যতম রাজনৈতিক দলের নেত্রী, তার দল বিএনপি ও জোটবদ্ধ জামাতি ইসলামের, সংখ্যালঘু হিন্দু ধর্মের মানুষের উপর আক্রমণের অভিযোগ প্রত্যাখান করেন।</t>
  </si>
  <si>
    <t>ভিত্তিহীন সংবাদ পরিবেশনের কোন দরকার নাই । এই মসজিদে আদম(আঃ)এর হাতের স্পর্শ আছে । সেখানে মুসলিম ছাড়া অন্য কারো অধিকার প্রশ্নই আসে না।</t>
  </si>
  <si>
    <t>ইসলামি আক্বিদা-বিশ্বাস ও এর জীবনব্যবস্থায় হতাশার কোনো স্থান নেই। জীবনকে ধ্বংস করে হীনম্মন্যতাবোধেরও কোনো সুযোগ নেই। মুমিনের বিশ্বাস, মানবজীবনের শেষ সীমা মৃত্যু নয়।</t>
  </si>
  <si>
    <t>সম্প্রতি নারায়ণগঞ্জের একটি স্কুলের প্রধান শিক্ষক শ্যামল কান্তি ভক্ত ইসলাম ধর্ম অবমাননার অভিযোগে হামলার শিকার এবং লাঞ্ছিত হয়েছেন।</t>
  </si>
  <si>
    <t>সিরিয়ায় সুন্নি ও শিয়া সম্প্রদায়ের মধ্যে সহিংস সংঘর্ষ ঘটে, যার ফলে লক্ষাধিক মানুষ নিহত ও বাস্তুচ্যুত হয়েছেন।</t>
  </si>
  <si>
    <t>এ যে গাঁজাখোর সাংঘাতিক নবীরা মুসলিম হয়ে আল্লাহর বানী নিয়ে এসে ছিলেন এই পৃথিবীতে, আর এটা ছিল মুসলিমদের, তাহলে কীভাবে আপনি এমন খবর প্রচার করলেন?</t>
  </si>
  <si>
    <t>হিন্দু জাতীয়তাবাদীদের দ্বারা বাবরি মসজিদ ধ্বংসের ফলে ১৯৯২ সালের বোম্বাই দাঙ্গা সরাসরি হয়েছিল। [২৩] দ্য হিন্দু ফ্রন্টলাইন ম্যাগাজিনে গরি উইন্টার নামে প্রকাশিত একটি নিবন্ধ অনুসারে, "আনুষ্ঠানিকভাবে, পুলিশের দ্বারা জনতা দাঙ্গা ও গুলি চালিয়ে ৯০০ মানুষ মারা গিয়েছিলেন, ২,০৩৬ জন আহত এবং হাজার হাজার অভ্যন্তরীণ বাস্তুচ্যুত হয়েছেন।</t>
  </si>
  <si>
    <t>সাম্প্রদায়িক সহিংসতায় ২৩ হত্যাকাণ্ডের দাবি করা হলেও পুলিশের তদন্তে একজনকেও হত্যার প্রমাণ পায়নি বলে জানিয়েছে প্রধান উপদেষ্টার প্রেস উইং। সোমবার (৩ ফেব্রুয়ারি) প্রধান উপদেষ্টার প্রেস উইং থেকে পাঠানো এক বার্তায় এ তথ্য জানানো হয়।</t>
  </si>
  <si>
    <t>ঢাকার নবাবগঞ্জের একটি মসজিদে হামলা-ভাঙচুর চালানো হয়েছে। আজ বুধবার বেলা ১১টার দিকে উপজেলার বক্সনগর ইউনিয়নের বর্ধনপাড়ায় বায়তুস সুজুত মসজিদে এ হামলা চালায় দুর্বৃত্তরা। এ ঘটনায় স্থানীয়রা একজনকে দোষারোপ করলেও তিনি এই অভিযোগ অস্বীকার করেছেন।</t>
  </si>
  <si>
    <t>হয়তো কোনো এক সময় আসবে যখন আমি গুনাহে হাবুডুবু খাবো। হয়তো তখন কেউ এই কমেন্টে লাইক করবে, আর তখনই এত সুন্দর হেদায়েতপূর্ণ কথা শুনতে আসবো, আর আমার মাথা নিচু হবে আল্লাহর দরবারে। রাসূলের ভালোবাসায় ভরে উঠবে আমার মন।</t>
  </si>
  <si>
    <t>খ্রিস্টান ধর্ম "বণিক, দাস, ব্যবসায়ী, বন্দী এবং ইহুদি সম্প্রদায়ের সাথে যোগাযোগ" এবং সেইসাথে মিশনারিদের মাধ্যমে ছড়িয়ে পড়তে থাকে যারা প্রায়শই তাদের প্রচেষ্টার জন্য নিহত হয়।</t>
  </si>
  <si>
    <t>আমি যেই দিন থেকে এই চ্যানেলটির খোঁজ পাই, তার পরে থেকে এই চ্যানেলের যত ভিডিও দেখি, আমি অবাক হয়ে যাই। আলহামদুলিল্লাহ।</t>
  </si>
  <si>
    <t>মদরিছ আলীর নেতৃত্বে নড়িয়া গ্রামবাসীদের প্রস্তাব দেয়া হয় যে তারা ধর্মান্তরিত হয়ে তাদের মেয়েদের মুসলিম ছেলেদের সাথে বিয়ে দিতে। এভাবে গ্রামটিকে পাকিস্তানি দখলদারি সেনাবাহিনীর হাত থেকে রক্ষা করা যাবে। যখন গ্রামবাসীরা এতে প্রত্যাখ্যান করে, তখন এই রাজাকার তাদের গরুগুলোকে হস্তান্তর করতে বলে, এতেও তারা আবার প্রত্যাখ্যান করে।</t>
  </si>
  <si>
    <t>পৃথিবীর শুরু থেকে ইসলামের শত্রুরা কোরআনের শত্রুরা ছিল এখনো আছে কেয়ামত পর্যন্ত থাকবে, কিন্তু আল্লাহর কোরআনের মহব্বত যাদের হৃদয় স্পর্শ করেছে , কাফেরদের সকল ষড়যন্ত্র , চক্রান্ত এবং তথ্য সন্ত্রাস কে নস্যাৎ করে মুসলমানরা আবারো কোরআনের প্ল্যাটফর্মে একত্রিত হবে ইনশাআল্লাহ।</t>
  </si>
  <si>
    <t>২৭ আগস্ট, বৃহস্পতিবার রাতে মানিকগঞ্জ জেলার হরিরামপুর উপজেলার ভাদিয়াখোলা গ্রামের সার্বজনীন দূর্গা মন্দিরের নবনির্মিত প্রতিমা ভাংচুর করা হয়।</t>
  </si>
  <si>
    <t>সাময়িক সময়ে বিজয়ের আনন্দে অসুরের নৃত্য যে আপনারা নাচবেন, সেটারও প্রস্তুতি নিয়ে রাখেন, বলা তো যায় না নাচ শেষ হতে না হতে কি স্টেজ ভেঙে পড়ে যায় না!</t>
  </si>
  <si>
    <t>মাদুরাই নায়ক রাজবংশ (১৫২০-১৭৩৬ খ্রিস্টাব্দ) প্রথাটিকে বৃহত্তর পরিমাপে গ্রহণ করেছে বলে মনে হয়, ১৬০৯ সালে মাদুরাইতে জেসুইত পুরোহিত নায়ক মুত্তু কৃষ্ণাপ্পার মৃত্যুতে ৪০০ জন নারীকে পুড়িয়ে ফেলার ঘটনা পর্যবেক্ষণ করেছিলেন।</t>
  </si>
  <si>
    <t>ইসলামি দলগুলোও লাগাতার প্রতিক্রিয়া দেখিয়ে যাচ্ছে, অথচ, সরকার চুপ। সরকারের এই নিরবতায় মানুষের ক্ষোভ বেড়ে যাচ্ছে। বিশ্বের অন্যতম বৃহদ মুসলমান সংখ্যাগরিষ্ঠ দেশ ও মুসলিম উম্মাহর সদস্য হিসেবে বাংলাদেশ সরকারকে এ বিষয়ে অবশ্যই উপযুক্ত প্রতিক্রিয়া জানাতে হবে।</t>
  </si>
  <si>
    <t>অসভ্য, জানোয়াররূপী মানুষগুলোকে আটকে ফেলার জন্য একটা স্পেশাল জেলখানা তৈরি হোক।</t>
  </si>
  <si>
    <t>"রক্তাক্ত গাজা" ইয়া আল্লাহ, আপনি আমাদের ক্ষমা করুন। মুসলিম জাতির জন্য এক রাষ্ট্র ও একজন সালাউদ্দিন আয়ুবি পাঠান,আমিন।</t>
  </si>
  <si>
    <t>১৭ মার্চে বাংলাদেশে পুরোনো ঢাকার ওয়ারী এলাকায় রাধাকান্ত জিউ নামের একটি ইসকন মন্দিরে সাম্প্রদায়িক সহিংসতা সংঘটিত হয়। সে দিন হিন্দুধর্মাবলম্বিদের হোলি উৎসব চলছিল।</t>
  </si>
  <si>
    <t>ধর্ম সম্পর্কে জানতে চাইলে ঘরে বসে জানার চেষ্টা করবে, আফটার অল ধর্মবিশ্বাস একটা ব্যক্তিগত ব্যাপার।</t>
  </si>
  <si>
    <t>আমি পৃথিবীর মাঝে সেই সকল অমানবিক পরাক্রমশালী শাসকদের উপর তোমার আসমানী ফয়সালার চাক্ষুষ সাক্ষী হতে চাই। </t>
  </si>
  <si>
    <t>উত্তর প্রদেশের মুজাফফরনগরে ২০১৩ সালে হিন্দু ও মুসলিম সম্প্রদায়ের মধ্যে সহিংস সংঘর্ষে ৬০ জনের বেশি মানুষ নিহত হন এবং হাজার হাজার মানুষ ঘরছাড়া হন।</t>
  </si>
  <si>
    <t>আরেক হাদিসে হজরত আনাস (রা.) থেকে বর্ণিত- তিনি বলেন, আল্লাহর রাসুল (সা.) বলেছেন, ‘তোমাদের কেউ বিপদাপদের সম্মুখীন হলে যেন কোনোভাবেই মৃত্যু কামনা না করে। </t>
  </si>
  <si>
    <t>আমাদের ধর্ম ও সংস্কৃতির প্রতিনিধিত্ব করে সবাইকে ঐক্যবদ্ধভাবে ভালোবাসা ও শান্তির পথে চলতে হবে, যাতে কেউ ভয় বা বিভেদের মধ্যে না থাকে।</t>
  </si>
  <si>
    <t>আত্মহত্যাকারীর গন্তব্য জাহান্নাম। তাই যত কষ্ট-যাতনাই আসুক আল্লাহর দেওয়া জীবন শেষ করার অধিকার কারও নেই।</t>
  </si>
  <si>
    <t>যে ভারতীয় সমাজে সতীদাহ প্রথার প্রচলন দেরিতে হয়েছিল এবং ৫০০ খ্রিস্টাব্দের পরেই নিয়মিত হয়ে ওঠে।</t>
  </si>
  <si>
    <t>বাংলাদেশের প্রধানমন্ত্রী শেখ হাসিনা ৬ই অক্টোবর বৌদ্ধবিরোধী সহিংসতার নিন্দা জানান, তিনি ঘটনাটি পূর্বনির্ধারিত বলে বিশ্বাস করেন বলে উল্লেখ করেন এবং এই বিষয়ে সকলকে সংযমের আহ্বান জানান।</t>
  </si>
  <si>
    <t>হিজরতের পর অবতীর্ণ কুরআনের আয়াতে মুসলিমদেরকে অস্ত্রধারণের অনুমতি দেয়া হয়। এসময় মুহাম্মাদ কুরাইশদের বিরুদ্ধে সামরিক অভিযান প্রেরণ করেন। আবওয়া অভিযান তদ্রূপ একটি অভিযান ছিল।</t>
  </si>
  <si>
    <t>হিন্দু বৌদ্ধ খ্রিস্টান ঐক্য পরিষদের সাধারণ সম্পাদক রানা দাশগুপ্ত বলেন, ধর্মীয় অবমাননার কথা বলে সংখ্যালঘুদের বিরুদ্ধে এরকম হামলা বিভিন্ন সময় হচ্ছে। ২০১১ সাল থেকে এরকম কয়েকটি মিথ্যা গুজব ছড়ানোর ঘটনা তাদের নজরে এসেছে এবং এ নিয়ে সরকারের কাছে বিচারও দাবি করেছেন তারা।</t>
  </si>
  <si>
    <t>এদিকে ক্রমশ ওই সংঘর্ষ ছড়িয়ে পড়ে নূহ-র লাগোয়া গুরগাঁও এলাকাতেও। মাঝরাতের পর গুরগাঁওয়ের সেক্টর ৫৭ এলাকায় বিরাট জনতা একটি মসজিদে আগুন ধরিয়ে দেয়।</t>
  </si>
  <si>
    <t>সব সিম্পেথি অন্য ধর্মাবলম্বীদের জন্য না দেখাইয়ে কিছু কিছু অসহায় মুসলমানদেরও দেখান।তাহলে তারাও একটু ব্যাক্তিস্বাধীনতায় বাঁচতে পারবেন</t>
  </si>
  <si>
    <t>কুরআনে মানবজাতির মহত্ত্ব ও গুরুত্ব তুলে ধরা হয়েছে, যেখানে ঈশ্বর মানবকে সমস্ত সৃষ্টির মধ্যে শ্রেষ্ঠ হিসেবে ঘোষণা করেছেন। মানবজাতি ঈশ্বর প্রদত্ত দায়িত্ব ও বিশ্বাস বহন করেছে, যা অন্য কোনো সৃষ্টির পক্ষে সম্ভব ছিল না। শয়তান (ইবলিস) মানব সৃষ্টির বিরুদ্ধে প্রতিবাদ করেছিলেন, তবে মানবজাতি ঈশ্বরের নির্দেশ মেনে পৃথিবীতে শান্তি ও ন্যায় প্রতিষ্ঠার জন্য সচেষ্ট।</t>
  </si>
  <si>
    <t>নাপাক আর্মির অত্যাচার না থাকলে তো আর ইন্ডিয়ার কাছে যেতে হতনা। আপনি আজকের পরিস্থিতির জন্য নাপাক আর্মির অমুসলিমসূলভ আচরণকে দায়ী করতে পারেন।</t>
  </si>
  <si>
    <t xml:space="preserve">একজন মানুষ তার নিজের ধর্মকে কতটা সম্মান করলে অন্য একটি ধর্ম নিয়ে এতোটা বাজে মন্তব্য করতে পারে!! বর্তমানে আমি সনাতন ধর্মাবলম্বী এটা পরিচয় দিতেও মনের ভিতর জড়তা কাজ করে </t>
  </si>
  <si>
    <t>মৃত ব্যক্তির শেষকৃত্য সম্পাদনার পর তার নিকট মুনকার ও নকীর নামক নীল চোখ এবং কালো গাত্রবর্ন বিশিষ্ট দুইজন প্রশ্নকারী ফেরেশতার অগমন ঘটে। </t>
  </si>
  <si>
    <t>উত্তরপ্রদেশের মুজাফফরনগরে হিন্দু-মুসলিম দাঙ্গায় প্রায় ৬০ জন নিহত হয় এবং হাজার হাজার মানুষ উদ্বাস্তু হয়।</t>
  </si>
  <si>
    <t>বাংলাদেশে হিন্দু ধর্মাবলম্বীদের উপর হামলার ঘটনার বিষয়ে প্রতিক্রিয়া জানিয়েছেন অস্ট্রেলিয়ায় বসবাসরত বাংলাদেশি পেশাজীবী, রাজনৈতিক ও সাংস্কৃতিক অঙ্গনের ব্যক্তিবর্গ।</t>
  </si>
  <si>
    <t>হিন্দু সম্প্রদায়ের বাড়ি-ঘর লুটপাট করা হয়,গুঁড়িয়ে দেয়া হয় এবং আগুন জ্বালিয়ে পুড়িয়ে দেয়া হয়। হিন্দু গ্রামবাসীদেরকে লাঞ্ছিত করা হয় এবং হত্যা করা হয়।[১] অনেক হিন্দু মেয়েকে এসময় পুলিশ বাহিনীর সদস্যরা ধর্ষণ করে।[১] এর কিছুদিন পরেই বরিশাল জেলার ভাণ্ডারিয়া গ্রামের হিন্দুরা আক্রান্ত হয়।[</t>
  </si>
  <si>
    <t>কুরআন পুড়ানো ঐ শয়তানদের ফাঁসি দাবি করছি হে আল্লাহ আপনি আমাদের কুরআনকে হেফাজত করুণ আমীন।</t>
  </si>
  <si>
    <t>মেয়েটির বাবা-মা জাতিগত ভাবে চাকমা এবং বৌদ্ধ ধর্মাবলম্বী হলেও মেয়েটির স্বামীর পরিবার দাবি করছে বিয়ের সময় মেয়েটি ধর্ম পরিবর্তন করে মুসলিম হয়েছিল। এরপর দুই পক্ষই মেয়েটির লাশের মালিকানা দাবি করে আদালতে আবেদন করে।</t>
  </si>
  <si>
    <t>২০১৬ সালে ইন্দোনেশিয়ায় খ্রিস্টানদের উপাসনালয়ে হামলা চালিয়ে জানালা-দরজা ভেঙে ফেলা হয় এবং কিছু ধর্মপ্রাণ মানুষ আহত হন।</t>
  </si>
  <si>
    <t>কুরআনে আল্লাহ পশু-পাখিদের প্রশংসা করেছেন, কারণ তারা তাঁর মহিমা ঘোষণা করে এবং মানুষের মতোই তাঁর সৃষ্টির গুরুত্বপূর্ণ অংশ।</t>
  </si>
  <si>
    <t>যে নারীরা সতীদাহে অংশ নিতো তারা অসামান্য পোশাক পরতেন। বাণভট্ট যশোমতী সম্পর্কে বলেন, তিনি চিতার জন্য নির্ধারিত হওয়ার পরে, তার আত্মীয় ও ভৃত্যদের বিদায় দেন। তারপর সে নিজেকে গহনায় সাজায় যেগুলো সে পরে অন্যদের মধ্যে বিতরণ করে।</t>
  </si>
  <si>
    <t>এ দৃষ্টিকোন থেকে বলতে গেলে একজন মুসলিম খৃষ্টানের চেয়ে বড় খৃষ্টান, হিন্দুর চেয়ে বড় হিন্দু, ফারসীদের চেয়ে বড় ফারসী।কারন ভাইয়ারা আপনার ত আপনাদের ধর্মগ্রন্হ মানছেনই না।শুধু অন্ধভাবে ফলো করছেন আপনাদের ধর্মীয় গুরুদের।</t>
  </si>
  <si>
    <t>এরা কি আদৌ মুসলমান??? এদের মধ্যে কি একজনও মুসলমান নাই!???</t>
  </si>
  <si>
    <t>২০০৩ সাল থেকে বর্তমান পর্যন্ত আরব ও আফ্রিকান জাতিগোষ্ঠীর মধ্যে ধর্ম ও জাতিগত সংঘাতের কারণে লক্ষাধিক মানুষ নিহত এবং বাস্তুচ্যুত হয়েছে।</t>
  </si>
  <si>
    <t>আমি তো জানি ধর্ম মানে শান্তি সেখানে এমন মন্তব্য কেন? এমন কাঠিন্য কেন? এমন পৈশাচিক কর্মকাণ্ড কেন?</t>
  </si>
  <si>
    <t>বাংলাদেশের আইনে বলা হয়েছে, ধর্ম অবমাননা এবং ধর্মীয় অনুভূতিতে আঘাত শাস্তিযোগ্য অপরাধ বলে বিবেচিত হবে।</t>
  </si>
  <si>
    <t xml:space="preserve">প্রায় ৭৫ বছর ধরে মসজিদ আছে এটা এলাকার সকল হিন্দুও জানে যেটা একটা মীমাংসিত ইস্যু। তারপরে ২০১৫ সালে তৎকালীন সংসদ সদস্য মনোরঞ্জন শীল গোপাল সেই মসজিদে অনুদান দিয়েছিলেন যার প্রমান আছে। </t>
  </si>
  <si>
    <t>প্রতি বছর ফাল্গুন মাসের কৃষ্ণ পক্ষের চতুর্দশী তিথিতে মহাশিবরাত্রি উৎসব পালিত হয়। এই বছর এই উৎসব ২৬ ফেব্রুয়ারী, বুধবার পালিত হবে। </t>
  </si>
  <si>
    <t>এই ঘটনায় তীব্র কটাক্ষ করা শুরু করেছেন বিজেপি নেতৃত্ব। তবে সামগ্রিক পরিস্থিতিতে জোট শরিকের নেতার মুখে একথা শুনে অস্বস্তিতে কংগ্রেসও।</t>
  </si>
  <si>
    <t>ফেসবুকে তার মায়ের সাথে একটা ছবি পোস্ট করার কারণে তার মায়ের মাথার সিধুর দেখে যাদের ভুল ধারণা ছিলো তিনি একজন মুসলিম এখন তাদের ধারণা ভুল ছিলো সেটা বুঝতে পেরে কিছু উল্টাপাল্টা মন্তব্য করছে! </t>
  </si>
  <si>
    <t>যুবক মন্দিরের পাশে অবস্থিত এক দোকানে এক হাজার টাকার নোট ভাঙানোর কথা বলে দোকানের ভেতর ঢুকে পড়েন। পরে মন্দিরের তালা ভেঙে ভেতরে প্রবেশ করেই ইট ও দা দিয়ে কালী প্রতিমার মুখমণ্ডল ভেঙে ফেলার চেষ্টা করেন।</t>
  </si>
  <si>
    <t>ইসকন সদস্যরা নিজস্ব মন্দিরগুলিতে পুজোর বাইরেও নানাভাবে নিজেদের মতাদর্শ ছড়িয়ে দিয়ে থাকেন। রাস্তায় খোল-করতাল নিয়ে ‘হরে কৃষ্ণ হরে রাম’ মন্ত্র পাঠ করে নেচে অথবা সেমিনার সহ নানাভাবে তারা ইসকনের মতবাদ প্রচার করেন বিশ্বজুড়ে।</t>
  </si>
  <si>
    <t>সচরাচর এটি জানাযার নামাজ নামে অভিহিত হয়, যার শাব্দিক অর্থ মৃতদেহের নামাজ বা পারিভাষিকভাবে মৃতদেহের জন্য নামাজ। মুসলমান অর্থাৎ ইসলাম ধর্মামলম্বীদের জন্য এটি ফরযে কেফায়া বা সমাজের জন্য আবশ্যকীয় দায়িত্ব অর্থাৎ কোনো মুসলমানের মৃত্যু হলে মুসলমান সমাজের পক্ষ থেকে অবশ্যই জানাযার নামাজ পাঠ করতে হবে। </t>
  </si>
  <si>
    <t>আইডি থেকে যদি রাষ্ট্র বিরোধী বা ধর্ম বিরোধী কোনো প্রকার পোস্ট করা হয় তাহলে তারেক আহমেদ দায়ী নয়,,এবং কারো কাছে টাকা চাইলে দিবেন না ,,দয়া করে সবাই আইডিতে রিপোর্ট মারেন</t>
  </si>
  <si>
    <t>কম্বোডিয়ায় সব ধর্ম নিষিদ্ধ করা হয়েছিল। খেমার রোজ সরকারের আমলে ইসলাম, খ্রিষ্টধর্ম ও বৌদ্ধধর্ম অনুসারীদের ওপর চালানো হয়েছিল ব্যাপক নির্যাতন। এক অনুমিত হিসাব মতে খেমাররোজ সরকার ৫০ হাজার বৌদ্ধ ভিক্ষু হত্যা করেছিল।</t>
  </si>
  <si>
    <t>বর্তমানে, বিশ্বজুড়ে ক্রমবর্ধমান ধর্মীয় বিধিনিষেধের উপর পিইডব্লিউ রিপোর্ট অনুসারে ১৪২টি দেশে মুসলমানরা ধর্মীয় বিধিনিষেধের সম্মুখীন। মার্কিন স্টেট ডিপার্টমেন্টের ২০১৯ সালের ধর্মের স্বাধীনতা রিপোর্ট অনুসারে, মধ্য আফ্রিকান প্রজাতন্ত্র খ্রিস্টান বিরোধী বালাকা এবং প্রধানত মুসলিম প্রাক্তন সেলেকা মিলিশিয়া বাহিনীর মধ্যে বিভক্ত রয়েছে যার মধ্যে অনেক মুসলিম সম্প্রদায় বাস্তুচ্যুত হয়েছে এবং অবাধে তাদের ধর্ম পালন করার অনুমতি নেই।</t>
  </si>
  <si>
    <t>ইসলাম ধর্মের সাথে নারীবাদের কোন দ্বন্দ্ব নেই। ইসলাম ধর্মে নারীর দায়িত্ব ও কর্তব্যের গণ্ডি গৃহাভ্যন্তরে নির্দিষ্ট করে দেয়া হয়নি, বরং তার সামাজিক অংশগ্রহণ অনুমোদন করেছে।"</t>
  </si>
  <si>
    <t>জৈন ধর্মের মূল শিক্ষা হলো, নিজেদের ত্যাগ এবং অহিংসা দ্বারা আধ্যাত্মিক মুক্তি অর্জন, যা মানবতার কল্যাণে সাহায্য করে।</t>
  </si>
  <si>
    <t>তারা অবস্থান ত্যাগ করার পর মক্কার বাহিনীর অন্যতম সেনাপতি খালিদ বিন ওয়ালিদ মুসলিমদের উপর আক্রমণের সুযোগ পান ফলে মুসলিমদের মধ্যে বিশৃঙ্খলা তৈরী হয়। এসময় অনেক মুসলিম নিহত হয়। </t>
  </si>
  <si>
    <t>অনেক হিন্দু নারী ধর্ষণের শিকার হন এবং হাজার হাজার হিন্দু নারী-পুরুষদের জোরপূর্বক ইসলাম ধর্মে ধর্মান্তরিত করা হয়।</t>
  </si>
  <si>
    <t>সেখানে হিন্দু বিদ্বেষী স্লোগান দেয়া হয় এবং হিন্দু সম্প্রদায়ের বাড়ি ঘর আগুন দিয়ে পুড়িয়ে দেয়া হয়। অনেক হিন্দু প্রাণ বাঁচাতে পাশের জঙ্গলে আশ্রয় নেয় এবং যারা পালাতে পারেনি তাদেরকে ধর্মান্তরিত করা হয়। আর যারা ধর্মান্তরিত হতে অস্বীকার করে তাদেরকে নির্মম ভাবে হত্যা করা হয়।</t>
  </si>
  <si>
    <t xml:space="preserve">নিহত হয়েছে এক ইসরায়েলি, আহত হয়েছে অন্তত ১৫ জন। </t>
  </si>
  <si>
    <t xml:space="preserve">নেলি হত্যাকাণ্ড বা নেলি হত্যাযজ্ঞ বা নেলি গণহত্যা ভারতের অসমে ১৯৮৩ খ্রিষ্টাব্দের ১৮ ফেব্রুয়ারি ছয়-ঘণ্টাব্যাপী সংঘটিত এক হত্যাযজ্ঞ। </t>
  </si>
  <si>
    <t>পুতিনের কিছু কাজ দেখলে বা শুনলে অনেক ভালো লাগে,, দোয়া করি আল্লাহ যেন কোর‌আনের প্রতি সম্মান দেখানোর ওসিলায় তাকে শান্তির ছায়াতলে আশ্রয় দান করেন</t>
  </si>
  <si>
    <t>একজন মুসলিম তো ২৪ ঘণ্টাই দা'ঈ, তার প্রত্যেকটি আচার-আচরণ এমন হওয়া উচিৎ যে তার আচরনের সৌন্দর্য দেখে মানুষ ইসলামের প্রতি আকৃষ্ট হয়, তার আচরণের কদর্য দেখে মানুষ ইসলামের প্রতি আঙ্গুল না তোলে।</t>
  </si>
  <si>
    <t>এই সাম্প্রদায়িক হামলা কোন বিচ্ছিন্ন ঘটনা নয়। মানবাধিকার সংগঠন আইন ও সালিশ কেন্দ্রের পরিসংখ্যান থেকে দেখা যায়, গত নয় বছরে বাংলাদেশে হিন্দু সম্প্রদায়ের উপর প্রায় ৩,৬৭৯টি হামলার ঘটনা ঘটেছে। কিন্তু একটি ঘটনারও সুবিচার হয় নি।</t>
  </si>
  <si>
    <t xml:space="preserve">রবীন্দ্রসংগীত গেয়ে বিদায় জানানোর রীতি কি তাহলে শুরু হয়ে গেলো? উনি মুসলিম ছিলেন এবং রোজাও রেখেছিলেন। সংগীত গেয়ে এরকম বিদায় দেওয়াতে উনার ফ্যামিলির কেউই কি বাধা দিলোনা? অবাক হওয়ার বিষয়। </t>
  </si>
  <si>
    <t>উগ্র সাম্প্রদায়িকতার শিকার হতে হচ্ছে তাকে। অনেকে হিন্দু ধর্ম ও দুর্গা প্রতিমা নিয়েও কটুক্তি করেন।</t>
  </si>
  <si>
    <t xml:space="preserve">গুটিকয়েক (৪-৫ টা সম্ভবত) ফেক আইডির কমেন্টসে পুরো স্যাকু সমাজে তোলপার! যদিও আমি হাজার হাজার পজেটিভ মন্তব্যের মাঝে মাত্র দুয়েকটি ধর্ম সম্পর্কিত প্রশ্নের কমেন্টসকেও সাপোর্ট করি না আর এবারও এসব ভালো লাগেনি। তবুও স্যাকুদের এ আচরনটা অদ্ভুদ ঠেকলো। </t>
  </si>
  <si>
    <t>মাদ্রাসায় কারা ঢিল মারছে? মন্দির কারা ভাংছে এরা কোন ধর্মের লোক ছিলো? তারাই ধর্মের ক্ষতি করে যারা আদোও আমাদের ধর্ম নিয়ে ব্যবসা করে....</t>
  </si>
  <si>
    <t>আমাদের আরো অনেক শ্রদ্ধেয় শিক্ষক আছেন আমাদের যারা অন্য ধর্মাবলম্বী, উনাদর কাছ থেকে আমরা কখনো কোন খারাপ মন্তব্য শুনিনি।</t>
  </si>
  <si>
    <t xml:space="preserve">যে সত্যিকারের ধর্ম দীক্ষায় দীক্ষিত সে কখনো অন্যের ধর্মের উপর আঘাত করে না,তাকে ছোট করে না বা কোনো অন্যায় সুযোগ নেয় না।তাদের কাছে সবচেয়ে বড় হলো মানবতার ধর্ম। </t>
  </si>
  <si>
    <t xml:space="preserve">বিশ্বনবী হজরত মুহাম্মদ সা: ছিলেন সর্বকালের সর্বশ্রেষ্ঠ সমরবিশারদ, সমরনায়ক। সমগ্র দুনিয়তে একত্ববাদের বীজ বপন করতে, ইসলামকে পত্রপল্লবে সুশোভিত করতে, </t>
  </si>
  <si>
    <t xml:space="preserve"> '১৯৪৬ এর ১৬ অগাস্ট মুসলমানরা এক তরফা হাজার হাজার নিরীহ হিন্দুদের হত্যা করে পাকিস্তান প্রতিষ্ঠা করতে চেয়েছিল'– এটা হচ্ছে হিন্দু সংহতি-র এদিন পালনের মূল প্রতিপাদ্য। </t>
  </si>
  <si>
    <t>ইসলাম ধর্ম: মুসলমানদের মধ্যে যেভাবে ঈদ উৎসব উদযাপন শুরু হয়েছিল</t>
  </si>
  <si>
    <t>বাংলাদেশের দক্ষিণাঞ্চলীয় জেলা পটুয়াখালীর একটি স্কুলের ইসলাম ধর্মের শিক্ষকের বিরুদ্ধে বৌদ্ধ ধর্মকে আঘাত দিয়ে মন্তব্য করার অভিযোগ তুলে ওই এলাকার একটি রাখাইন পল্লীর ছেলেমেয়েরা দুই সপ্তাহ ধরে স্কুলে যাচ্ছে না ।</t>
  </si>
  <si>
    <t>রাশিয়ার মস্কোর একটি সিনাগগে ২০২১ সালে পেট্রোল বোমা ছোড়া হয়, এতে কয়েকজন উপাসক আহত হন।</t>
  </si>
  <si>
    <t>সবুর খান ও চামকুরি ইউনিয়ন পরিষদের চেয়ারম্যান সহ তাদের দলের অন্যান্য সদস্যরা এই পরাজয়ের কারণ হিসেবে হিন্দুদেরকে দায়ী করে এবং হিন্দুদের প্রতি হুমকি,ভয়-ভীতি প্রদর্শন করতে শুরু করে। এই নাজুক অবস্থার মধ্যেই হজরতবাল ঘটনার গুজব ছড়ানো হয়। সবুর খান খুলনায় হিন্দু নিকেশের জন্য এই সুযোগটি দ্রুত লুফে নেয়।</t>
  </si>
  <si>
    <t>ঈশানগোপালপুর গণহত্যা হলো ১৯৭১ সালের ২ মে ফরিদপুর জেলার অদূরবর্তী ঈশানগোপালপুর গ্রামে বাঙালি হিন্দুদের ওপর সংঘটিত একটি গণহত্যা।[১][২] পাকিস্তান সেনাবাহিনী ২৮ বাঙালি হিন্দুকে গুলি করে ও বেয়নেট দিয়ে হত্যা করে।</t>
  </si>
  <si>
    <t>১৯৯২ সালের ডিসেম্বর মাসের ৬ তারিখে বিশ্ব হিন্দু পরিষদ এবং এর সহযোগী সংগঠনের হিন্দু কর্মীরা উত্তরপ্রদেশের অযোধ্যাতে ষোড়শ শতাব্দীর বাবরি মসজিদ ধ্বংস করে। ঐ স্থানে হিন্দু জাতীয়তাবাদী সংগঠনগুলো দ্বারা আয়োজিত এক রাজনৈতিক সমাবেশে আগত লোকজন সহিংস হয়ে উঠার পর ধ্বংসযজ্ঞটি সংঘটিত হয়।</t>
  </si>
  <si>
    <t xml:space="preserve">সনাতনী ব্যক্তিগণের উদ্দেশ্যে বলছি, নিজ ধর্মের যদি সম্মান করেন তবে দেবপ্রতিমা পূজার বিপক্ষে কথা বলে এমন সব মতবাদগুলির সমর্থন করা বন্ধ করুন। </t>
  </si>
  <si>
    <t>ধর্মীয় পরিচয়ের কারণে নিরপরাধ মানুষ হত্যার শিকার হয়েছে, যা নৈতিকতার চরম অবক্ষয় প্রকাশ করে।</t>
  </si>
  <si>
    <t>হিন্দু ও মুসলমানদের মধ্যে দাঙ্গায় শতাধিক মানুষ মারা গিয়েছিল, ৪৩৮ জন আহত হয়েছিল।</t>
  </si>
  <si>
    <t>"এটি বিশ্ববিদ্যালয় কর্তৃপক্ষের সিদ্ধান্তের বিষয়। আর আমাদের পূজোর প্রসঙ্গ এখানে আসার প্রয়োজন নেই। সবাই যার যার উৎসব নিজেদের মতো করে পালন করতে পারেন, এতে পরস্পরের প্রতি সম্মান বজায় থাকবে।"</t>
  </si>
  <si>
    <t>লোকটা যদি অপরাধ করেও থাকে তারপরেও তাকে এভাবে মেরেফেলার অধিকার কারোর নাই। এটা আসোলেই দুঃখজনক</t>
  </si>
  <si>
    <t>মসজিদ হল মুসলিমদের ইবাদতের স্থান এবং একই সঙ্গে সবচেয়ে পবিত্র স্থান হিসেবে গণ্য করা হয়। মসজিদের প্রতি কোন প্রকার অবমাননা বা অসম্মান মুসলিমদের কাছে খুবই আপত্তিকর। যেমনটা অন্যান্য ধর্ম ও তাদের পবিত্র ব্যক্তিত্ব বা উপাসনালয়ের ক্ষেত্রে দেখা যায়।</t>
  </si>
  <si>
    <t>ব্রিটিশ সাম্রাজ্যের স্বর্ণযুগে বেশ কয়েকজন ব্রিটিশ খ্রিস্টান ধর্ম ত্যাগ করে ইসলাম গ্রহণ করেছিলেন। ভিক্টোরিয়ান যুগে যখন খ্রিস্টান ধর্মের মূল্যবোধই ব্রিটিশ পরিচয়ের মূল ভিত্তি ছিল তখন যারা সামাজিক নিয়মের বাইরে গিয়ে ইসলাম ধর্ম গ্রহণ করেছিলেন এমন তিনজন ব্রিটিশকে নিয়ে এ প্রতিবেদন।</t>
  </si>
  <si>
    <t>আমরা প্রকৃতিকেই ঈশ্বর বোলে মানি।গীতা পড়েন তাহলে বুঝতে পারবেন। মানুষ নিজ প্রকৃতি অনুসারে কর্ম করে,আবার প্রকৃতির বলেই শাস্তি পায়। এখন যদি প্রকৃতির সেই অদৃশ্য শক্তিকে ভগবান মনেকরি তাতে সমস্যা কি??</t>
  </si>
  <si>
    <t>আমি মনে করি সময় এসে গেছে শস্য মুসলমানদের এক হওয়া উচিত এবং ধর্ম আসমানী কিতাব রক্ষা করা উচিত আর বসে থাকা উচিত নয় এই কুত্তাদের সঠিক জবাব দিয়ে দেওয়া উচিত</t>
  </si>
  <si>
    <t>ঈদে-মিলাদুন নবী (সা.) উপলক্ষে রোববার এক উৎসবের আয়োজন করেন তুদুন বিরি গ্রামের মুসল্লিরা। জঙ্গি ও সশস্ত্র ডাকাতদের লক্ষ্য করে ছোড়া সেনাবাহিনীর একটি ড্রোন ওই অনুষ্ঠানে এসে পড়লে অনেক মুসল্লি হতাহত হয়েছেন।</t>
  </si>
  <si>
    <t>ধর্ম নিয়ে, আচার-কালচার সংস্কৃতি নিয়ে!আপনার ছেলে মেয়ে ঢাকা শহরে গিয়ে কি করতেছে খোঁজ রাখুন! মৃত্যু শেষে লাশটাও না হয় বুঝে পাবেন না</t>
  </si>
  <si>
    <t>পৃথিবীতে আজ চরম প্রতিক্রিয়াশীলদের বিভৎস রুপের উত্থান ঘটেছে।এমন একটা অবস্থা দাঁড়িয়েছে,ধর্মের চেয়ে ধর্মীয় উপকরণের মুল্য বেশি।</t>
  </si>
  <si>
    <t> আষাঢ়ী পূর্ণিমাতে বৃষ্টি ও আকাশ মেঘাচ্ছন্ন থাকায় অনেক সময় ফানুস ওড়ানোর পরিবেশ এবং সুযোগ কোনোটিই থাকে না। তাই প্রবারণা পূর্ণিমা বা আশ্বিনী পূর্ণিমায় দিনে ফানুস ওড়ানো হয়।</t>
  </si>
  <si>
    <t>ধর্মের প্রকৃত উদ্দেশ্য হলো মানব জীবনের মধ্যে শান্তি, ভালোবাসা এবং সদ্ভাবনা প্রতিষ্ঠা করা, যাতে সমস্ত মানুষ একে অপরকে সম্মান করতে পারে এবং সহানুভূতির মাধ্যমে সমাজে সৌহার্দ্য প্রতিষ্ঠিত হয়।</t>
  </si>
  <si>
    <t>সেদিন থেকেই নোয়াখালীর মানুষের মনে আশঙ্কা তীব্র থেকে তীব্রতর হচ্ছিল। পরিকল্পিত ভাবে একটি গুজব ছড়িয়ে দেয়া হল যে, হিন্দু এবং শিখ সম্প্রদায় অস্ত্র হাতে জড় হচ্ছে।</t>
  </si>
  <si>
    <t>নরওয়েতে এক ডানপন্থী খ্রিস্টান জঙ্গি ওসলোতে বোমা বিস্ফোরণ ও যুব শিবিরে গুলি চালিয়ে ৭৭ জনকে হত্যা করে।</t>
  </si>
  <si>
    <t>জিয়উর রহমান অবৈধভাবে রাষ্ট্রক্ষমতা দখলের পর হিন্দু সম্প্রদায়ের মানুষ বারংবার অমানবিক নির্যাতন ও দমন-পীড়নের শিকার হয়েছে।</t>
  </si>
  <si>
    <t>১৯৪৯ সালের আগস্ট মাস থেকে সমগ্র পূর্ব বাংলা জুড়ে অমুসলিম জনগোষ্ঠীর উপর নৃশংস বর্বরতা শুরু করে দেয় স্থানীয় মুসলিম সম্প্রদায়; যা প্রায় তিন মাস জুড়ে চলতে থাকে।</t>
  </si>
  <si>
    <t>ভালো হয়েছে, এরা মুসলিম পরিচয়ে গান-বাজনা এবং বেহায়াপনা করে ইসলামকে ছোট করার চেয়ে একেবারে ইসলাম ধর্ম থেকে বের হয়ে যাওয়া শ্রেয়।</t>
  </si>
  <si>
    <t>৬টি জিনিস আল্লাহর কাছে চাইবেন: শারীরিক সুস্থতা, হালাল রিজিক, নিরাপদ বাসস্থান, নেককার স্ত্রী/স্বামী, নেককার সন্তান এবং ঈমানের সাথে মৃত্যু।</t>
  </si>
  <si>
    <t>যিনি সৃষ্টির মালিক তিনি রাগান্বিত হয়ে ধ্বংস করছেন না,আমরা আমাদের ইজম প্রতিষ্ঠার জন্য স্রষ্টার সৃষ্টিকে ধ্বংসে মত্ত হচ্ছি।</t>
  </si>
  <si>
    <t>আর সব দোষ পরুক হিন্দুদের উপর, সবাই আমাদের ভুল বুঝক। অথচ এর আগে পিছেও আমরা নাই, জানিও না কি হচ্ছে আসলে! দেশে দুই সম্প্রদায়ের মধ্যে বিবেধ রচনা করতে চাইতেসে এরা।</t>
  </si>
  <si>
    <t>ধর্ম মানুষের মধ্যে আত্মবিশ্বাস এবং দৃঢ়তা সৃষ্টি করে, যা কঠিন পরিস্থিতিতে তাকে পরিশ্রমী এবং সাহসী করে তোলে।</t>
  </si>
  <si>
    <t>যে মুসলিম ইসলাম সম্পর্কে ভালো জানেনা, যে অমুসলিম ইসলাম সম্পর্কে বেশিরভাগ নেতিবাচক কথাই জানে, তার সাথে আমি যদি খারাপ আচরণ করি, তাহলে সে আমার কারণে আমার ❝ইসলামকে❞, আমার ❝মুসলিম জাতিকে❞ই খারাপ মনে করে বসবে।</t>
  </si>
  <si>
    <t xml:space="preserve">আপনার শালীনতা কে প্রশ্নবিদ্ধ করবেনআপনারা ধর্মকে ডাস্টবিনে ফেলবেন, </t>
  </si>
  <si>
    <t>তবে অনেক দেশেই সাম্প্রদায়িক হামলা, দাঙ্গা, হত্যা এমন অনেক কিছুর জন্য দায়ী ফেইসবুকে বা অন্যান্য সামাজিক যোগাযোগের মাধ্যমে ছড়িয়ে দেয়া ভুয়া খবর।</t>
  </si>
  <si>
    <t> ইবাদতের মাধ্যমে আল্লাহর সন্তুষ্টি কামনা করা উচিত। কখনো হতাশা বা দূরাশায় ভোগা কোনও মুমিনের কাম্য নয়। কারণ, হতাশা মানুষকে জীবনের আনন্দ ও স্বাদ থেকে দূরে সরিয়ে।</t>
  </si>
  <si>
    <t>হিন্দু ধর্মের বিশ্বাস অনুযায়ী, জীবনে শান্তি ও সুখ অর্জনের জন্য সত্য, ধর্ম এবং স্বার্থত্যাগ গুরুত্বপূর্ণ।</t>
  </si>
  <si>
    <t>ফেসবুকে যে পরিমাণ আলহামদুলিল্লাহ ইফতার করেছি, আলহামদুলিল্লাহ সেহেরী খেয়েছি, মসজিদে গিয়ে নামাজ পড়ার আগে পরে ছবি তুলে পোস্ট করি আমরা, তেমনভাবেই যদি পোস্ট করতাম যে, আজ থেকে আর কোনো সুদ বা ঘুষ খাওয়া হবে না, বা কোন অশুভ কাজে জড়ানো হবে না, তা হলে সমাজে আরও ইতিবাচক প্রভাব পড়ত।</t>
  </si>
  <si>
    <t>যারা কুমিল্লার ঘটনায় কথা বলতে আসছেন, তারা জানুন—কুরআন শরীফের প্রতি যথাযথ সম্মান নিশ্চিত করতে সবাইকে শান্তিপূর্ণ ও সংবেদনশীল হতে হবে, যাতে সম্প্রীতি অটুট থাকে।</t>
  </si>
  <si>
    <t>গ্রামের মুসলিমেরা হিন্দু বিদ্বেষ ছড়ানোর লক্ষ্যে নানা ধরেনর ছড়া, পালা, জারিগান, ছন্দবদ্ধ স্লোগান তৈরি করেছে যেগুলো বিভিন্ন হাট-বাজারে গান গেয়ে ও আবৃত্তি করে প্রচার করা হচ্ছে।[১৭] পাশাপাশি মসজিদ গুলোতে জাতিবিদ্বেষ মূলক বিভিন্ন ছড়া, প্রবচন তৈরি করে প্রচার শুরু করা হয়। এছাড়া বিভিন্ন বক্তৃতা, সমাবেশে উস্কানি ছড়িয়ে হত্যাযজ্ঞের মঞ্চ প্রস্তুত করতে শুরু করে গোলাম সরোয়ার ও তার অনুসারীরা</t>
  </si>
  <si>
    <t>তর্কের খাতিরে বলছি৷ আমরা তো খারাপ, তাই জামায়াতকে নিয়ে আছি৷ আওয়ামী লিগ তো সহীহ, আওয়ামী লিগ তো সাধু, আওয়ামী লিগ তো বাংলাদেশের একমাত্র অসাম্প্রদায়িক দল৷ তাহলে আওয়ামী লিগ কেন জামায়াতকে নিষিদ্ধ করে না৷ এটাই রাজনীতি৷ তার মানে এই যে ধর্ম নিয়ে রাজনীতি করা না? </t>
  </si>
  <si>
    <t>৭ সেপ্টেম্বর ২০০৮ তারিখে ভিএইচপি নেতা প্রবীণ তোগাড়িয়া ঘোষণা করেন যে সরস্বতীর হত্যাকারীদের গ্রেপ্তার না করা হলে সর্বভারতীয় আন্দোলন শুরু করা হবে। [ 56 ] গির্জা এবং খ্রিস্টান গোষ্ঠীগুলি পালাক্রমে রাজ্য সরকারকে বরখাস্ত করার দাবি জানায়।</t>
  </si>
  <si>
    <t>আল্লাহ তুমি ইসরায়েলদের ওপর গজব দিয়ে দাও</t>
  </si>
  <si>
    <t>আচ্ছা এই ঢাকা বিশ্ববিদ্যালয়ের জমি তো একজন মুসলমান এর ই দান করা এবং তিনিই এই ঢাকা বিশ্ববিদ্যালয় প্রতিষ্টায় অগ্রণী ভূমিকা পালন করেছেন।</t>
  </si>
  <si>
    <t xml:space="preserve">বর্তমান সময়ে কিছু মানুষকে দেখি ইসলাম ধর্ম নিয়ে কটুক্তি করতে খুব পছন্দ করেন। ইসলাম ধর্মকে ছোট করে এক ধরনের পৈচাশিক আনন্দ উপভোগ করেন। </t>
  </si>
  <si>
    <t>কমপক্ষে ৫০০ টি হিন্দু পরিবার আশ্রয় নিয়ে তাদের জীবন রক্ষা করে।ভোলা জেলার দৌলতখান উপজেলার চরপাতা ইউনিয়নের নলগোড়া গ্রামের সাধু সিংয়ের বাড়িতে ছয়টি পরিবার ছিল যারা সাম্প্রদায়িক সন্ত্রাসের শিকার হয়ে ভারতে পাড়ি দিয়ে জীবন ও সম্মান রক্ষা করে। </t>
  </si>
  <si>
    <t>আল্লাহর নির্দেশনা মেনে চললে আমাদের ঈমান দৃঢ় হয়, এবং আমরা জীবনের প্রতিটি পরীক্ষায় সফল হতে পারি।</t>
  </si>
  <si>
    <t> আত্মহত্যার ক্ষেত্রে বান্দা স্বাভাবিক মৃত্যুকে উপেক্ষা করে মৃত্যুকে নিজের হাতে নিয়ে নিজেই নিজেকে হত্যা করে ফেলে। এ কারণে এটি একটি গর্হিত কাজ, কবিরাহ গোনাহ।</t>
  </si>
  <si>
    <t>কাতারসহ ইসলামী দেশগুলোর বেশীরভাগের বেলাতেই ব্লাসফেমী বিরোধী আইনগুলো শুধু ইসলাম ধর্মের অবমাননার সাথেই সংশ্লিস্ট। নানান ধরনের আইনের বেশে হলেও প্রায় প্রতিটি প্রধান ধর্ম কেন্দ্রিক  ব্লাসফেমী বিরোধী আইন এখনও বহাল রয়েছে নানান দেশে। ইসলামী বা মুসলিম অধ্যুষিত প্রায় সবকটি দেশেই রয়েছে এই আইনগুলো, যার মধ্যে পাকিস্তানের মতো কোন কোন দেশে এর শাস্তি মৃত্যুদণ্ড। </t>
  </si>
  <si>
    <t>আবার দেখা যায় যে, রাসূল সা: হুদায়বিয়াতে কুরাইশদের সাথে যুদ্ধ না করে সন্ধি করলেন। এটা যদিও মুসলিমদের বিপক্ষে ছিল। কিন্তু এই সমরকৌশলটির ফলাফল ছিল সুস্পষ্ট বিজয়।</t>
  </si>
  <si>
    <t> তিনি স্কুলের ধর্মশিক্ষা ক্লাসে ইসলাম ধর্মের বিধান অনুযায়ী হারাম-হালাল সম্পর্কে বলছিলেন।</t>
  </si>
  <si>
    <t>মূলত বৌদ্ধ ভিক্ষুদেরকে ত্রি-চীবর নামে বিশেষ পোশাক দান করা হয়।[১] ধর্মাবলম্বীগণ পূণ্যের আশায় প্রতি বছর এভাবে চীবরসহ ভিক্ষুদের অন্যান্য আনুষঙ্গিক সামগ্রীও দান করে থাকেন।</t>
  </si>
  <si>
    <t>সেই মেয়ে হোক বা ছেলে হোক,,,সিগারেট খাচ্ছেন,, নই তো বা খুরমা বিরিয়ানী খাচ্ছে, সেইটা তার একান্তগত ব্যাপার,,,জেন্ডার সমতা আমাদের মেনেনিতে হবে,,,,, </t>
  </si>
  <si>
    <t>সেদিন ছিল সোমবার। আগের দিনই ভারতের অযোধ্যায় বাবরি মসজিদ ভেঙ্গেছে সেখানকার হিন্দুত্ববাদীরা। ঢাকার থেকে প্রকাশ হওয়া বাংলা এবং ইংরেজি দৈনিকগুলোর সব কটির প্রধান শিরোনাম ছিল এ বিষয়টি নিয়েই।</t>
  </si>
  <si>
    <t>শুধু ইসলাম ধর্মই নয়, খ্রিস্ট ধর্ম বা সনাতনী ধর্মেও আত্মহত্যাকে মহাপাপ হিসেবে বিবেচনা করা হয়। ধর্মগুরুরা বলছেন, জীবন দান করেছেন ঈশ্বর। আবার সেই জীবন কেড়ে নেওয়ার অধিকারও একমাত্র তার। মানুষের কোনো অধিকার নেই আত্মহননের।</t>
  </si>
  <si>
    <t>অতিসম্প্রতি মিয়ানমারে ব্যাপক মুসলিম-হত্যাযজ্ঞ, অসহায় মুসলিম নারী-পুরুষের বাংলাদেশ সীমান্তে পালিয়ে আসা এবং পুনরায় রক্ত ও আগুনের মাঝে ফিরে যাওয়া, এরপর ইনোসেন্স অব মুসলিম নামক ছবিতে আল্লাহর রাসূলের অবমাননা, ব্লগগুলোতে অবিরাম উসকানী ইত্যাদি কারণে এমনিতেই  সর্বস্তরের মুসলমানের হৃদয় ক্ষত-বিক্ষত ছিল। </t>
  </si>
  <si>
    <t>ধর্ম হল একটি ধারণা যা মানব সভ্যতার প্রাথমিক যুগে বিকশিত হয়েছিল। এবং এটি একটি 'সত্য' হয়ে ওঠে কারণ এটি প্রজন্ম থেকে প্রজন্মে প্রেরণ করা হয়েছিল। আমি এখানে কোন বিশেষ ধর্মের কথা বলছি না।</t>
  </si>
  <si>
    <t>নিশ্চয়ই না, আর এটাই সত্য যে বিধর্মীরা যতই আল আকসার মালিকানা দাবি করুক, সেটাও আমার উদাহরণের মতোই!</t>
  </si>
  <si>
    <t>লক্ষ লক্ষ হাদীসের কোনো প্রয়োজন নেই। শুধু মাএ যীশুর খ্রিষ্টের দশ আজ্ঞাই খ্রিষ্টানদের পুরো কিতাবের হাদীস। না জানলে যেনে নিবেন</t>
  </si>
  <si>
    <t>আন্দিজান শহরে সরকারবিরোধী মুসলিমদের উপর ব্যাপক দমনপীড়ন চালানো হয়, যেখানে বহু মানুষ নিহত হন।</t>
  </si>
  <si>
    <t>পন্ডিত মশাই আপনি যে বলতেছেন যে আমিষ খাওয়া যাবেনা। কেন আমিষ খাওয়া যাবে না। এর সঠিক দলিল এবং প্রমাণ চাই</t>
  </si>
  <si>
    <t>উত্তর প্রদেশের মুজাফফরনগরে হিন্দু ও মুসলিম সম্প্রদায়ের মধ্যে সহিংস সংঘর্ষে ৬০ জনের বেশি মানুষ নিহত হন এবং হাজার হাজার মানুষ ঘরছাড়া হন।</t>
  </si>
  <si>
    <t>গৌরী লঙ্কেশ ঘোষিতভাবেই হিন্দু দক্ষিণপন্থীদের সমালোচক ছিলেন তাঁর লেখার মাধ্যমে। এক পুলিশ আধিকারিক নাম প্রকাশ না করার শর্তে বলেছেন, "গৌরী যখন বাড়ির দরজা খুলছিলেন, ঠিক সেই সময়েই বুকে সরাসরি দুটো আর মাথায় একটা গুলি করা হয়।"</t>
  </si>
  <si>
    <t>দাঙ্গা দমনে ব্যর্থ মুসলিম লীগ মন্ত্রিসভাকে অবিলম্বে অব্যহতি দিয়ে নোয়াখালীতে কেন্দ্রের হস্তক্ষেপ দাবী করা হয়েছিল।[৫৫] ২৬ অক্টোবরে পূর্বাঞ্চলীয় সামরিক বাহিনীর জিওসি লেফটেন্যান্ট জেনারেল এফ.আর.আর. বুচার একটি সংবাদ সম্মেলনে বলেন, ভয়াবহ দাঙ্গায় বিপর্যস্ত হিন্দু জনগোষ্ঠীর আত্মবিশ্বাস কবে নাগাদ ফিরে আসবে তা বলা অসম্ভব।</t>
  </si>
  <si>
    <t>শান্তিই নাকি পৃথিবীর সকল সম্প্রদায়গত ধর্মের গন্তব্য। তাহলে এই শতাব্দীর দ্বার প্রান্তে এসে এইসব আমরা কি দেখছি ? মানুষের কল্যাণের জন্য যে ধর্ম তা নিয়েই কত রাজনীতি,মত বিভেদ, রক্তপাত, অত্যাচার, লাঞ্ছনা আর অশান্তি।</t>
  </si>
  <si>
    <t>আওয়াল ও আখেরি নবীর ভালোবাসায় যখন পরপারে পৌঁছান, তখন ইবাদতের মাধ্যমে সেই ভালোবাসাকে কষ্টসহকারে ধরে রাখতে হয়। যদি সত্যিকারের ভালোবাসা থাকে, তাহলে ইবাদতের পাশাপাশি মা-বাবার প্রতি দায়িত্ব পালন করেও জানতে পারবেন জান্নাতে আপনার আবাস কোথায়।</t>
  </si>
  <si>
    <t>বাংলাদেশে সনাতন ধর্ম নিয়ে খিল্লি করছে জুতো কম্পানি। একজন সনাতনী হিসেবে আপনি পোস্টটি শেয়ার করবেন এবং প্রতিবাদ করবেন।</t>
  </si>
  <si>
    <t>আরকতো দিন, ইসরায়েল, এই অশান্ত চোখ, বুজে দেখতে হবে মুসলিম বিশ্বের জনগণ, যুদ্ধের ডাক, নরক কবির।</t>
  </si>
  <si>
    <t>বাংলাদেশ কি করেছে কুয়েত জর্দান ইরাক ইরান তুরস্ক সকল দেশ প্রতিবাদ জানিয়েছে রাষ্ট্রীয়ভাবে বাংলাদেশ কি করেছে বাংলাদেশে কি মুসলমান নেই ঈমানদার নেই ভাত-টা অবাক লাগে আমরা কেমন মুসলমান।</t>
  </si>
  <si>
    <t>আল্লাহ আমাদের সব বিষয়ে উনার কাছে দোয়া চাইতে বলেছেন। তাই আমরা সর্বদা সব বিষয়ে পূর্ন ভরসা রেখে আল্লাহর কাছে দোয়া চাইবো এবং ইন-শা-আল্লাহ্ আল্লাহ তাআলা সেই দোয়া অবশ্যই কবুল করবেন।</t>
  </si>
  <si>
    <t>জৈন ধর্মের মূল শিক্ষা হলো অহিংসা, অর্থাৎ জীবজন্তু, উদ্ভিদ এবং সমস্ত জীবের প্রতি দয়ালু মনোভাব পোষণ করা, যা সমগ্র পৃথিবীকে শান্তিপূর্ণ ও সমৃদ্ধিশালী করে তোলে।</t>
  </si>
  <si>
    <t>বিশ্বের যেসব ব্যক্তি ও সংস্থা যথাযথ ভূমিকা নিলে ফিলিস্তিনের জনগণের উপর পরিচালিত ইসরাইলের নৃশংস হত্যাযজ্ঞ বন্ধ হতে পারে, তারা আজ সুকৌশলে যদি নিরবতা অবলম্বন করে, নিজেদের দৃষ্টিকে সরিয়ে রাখেন, তাহলে এই জঘন্যতম অন্যায়ের জন্য একদিন সৃষ্টিকর্তার আদালতে জবাবদিহী করতে হবে।</t>
  </si>
  <si>
    <t>দুনিয়া জুড়ে মুসলমানদের সবচেয়ে বড় ধর্মীয় উৎসব ঈদ। এর একটি ঈদ-উল ফিতর, আর অন্যটি ঈদ-উল আযহা, যাকে কোরবানীর ঈদও বলা হয়।</t>
  </si>
  <si>
    <t>২০১৯ সালে জানুয়ারির শেষের দিকে কেন্টাকির লুইসভিলে স্বামীনারায়ণ মন্দিরে হামলার ফলে মন্দিরের ক্ষতি হয় এবং মন্দিরের দেয়ালে হিন্দুবিদ্বেষী স্লোগান লেখা হয়।</t>
  </si>
  <si>
    <t>ফ্রান্সে গত পাঁচ বছরে একের পর সন্ত্রাসী হামলা হয়েছে। দু'শরও বেশি মানুষ মারা গেছে। ফলে, কট্টর ডানপন্থী দলগুলোর কাছে থেকে চাপে পড়েছেন মি. ম্যাক্রঁ।</t>
  </si>
  <si>
    <t>শিক্ষা এবং অর্থনৈতিকভাবেও তারা এগিয়ে ছিলো। ফলে নব্য মুসলিম রাজনীতির উত্থানকে ভালোভাবে নেয়নি হিন্দুরা। শিক্ষা এবং আর্থিকভাবে অগ্রসরমান হিন্দুরা নতুন মুসলিম সরকারকে নানাভাবে অসহযোগিতা করতে থাকে। যার অন্যতম প্রকাশ ঘটে নোয়াখালীসহ অনেক স্থানে। হিন্দুরা যেমন মুসলিমদের রাজনৈতিক উত্থানে উদ্বিগ্ন ছিলো তেমনই মুসলিমদের মধ্যেও একটি অংশ হিন্দু জমিদারদের বিরুদ্ধে তাদের পুরোনো ক্ষোভ ঝাড়ার একটি সুযোগ খুজছিলো। আর সে সুযোগটিই তারা পেয়ে গিয়েছিলো ভারতে ব্রিটিশ শাসনের শেষদিকে।[১৩]</t>
  </si>
  <si>
    <t>এটা একঈশ্বরবাদের আতুর ঘর। এখনে থেকেই আব্রাহাম,যিশু,মহম্মাদ তাদের ধর্মিয় ধারনা তৈরি করেন। ও সেটা পৃথিবী যুড়ে ছড়ীয়ে দেন। তাই একঈশ্বরবাদীদের কাছে জায়গাটার বিসেস গুরুত্য আছে।</t>
  </si>
  <si>
    <t>আল্লাহ ছাড় দেয় কিন্তু ছেড়ে দেন না।। নিশ্চয় আল্লাহ এর কাঠগড়ায় এই অন্যায় এর বিচার হবে সেদিন কি জবাব দিবে এরা।। যা হোক আল্লাহ যাঁরা এই অন্যায় করেছে তাদের হেদায়েত দান করুন।।</t>
  </si>
  <si>
    <t>"আমি মনে প্রাণে বিশ্বাস করি বাংলাদেশের বৃহৎ জনগোষ্ঠীর সাথে হিন্দুদের কোন বৈরিতা নেই, তাদের মধ্যে বরং সম্প্রীতি আছে।</t>
  </si>
  <si>
    <t>আত্মহত্যার দ্বিতীয় কারণটি হলো ভুল প্রত্যাশা। এ কারণেও অনেকে আত্মহত্যা করে থাকে। যেমন কেউ ভাবল, এভাবে বা এই উদ্দেশ্যে আত্মহত্যা করলে এতে সে গ্লানি ও কষ্ট থেকে মুক্তি লাভ করবে।</t>
  </si>
  <si>
    <t xml:space="preserve">ধর্ম মানুষের আধ্যাত্মিক উন্নতির পথপ্রদর্শক, যা সকলকে মানবতার দিকে আহ্বান করে </t>
  </si>
  <si>
    <t>প্রকৃত কোন হিন্দু অথবা মুসলমান এমন কাজ করতে পারে না বা এমন কাজের সমর্থনও করতে পারে না। কোন ধর্মই এমন কাজকে অনুমতি দেয় না। সংখ্যালঘু হিন্দু ভাইয়েরা আমাদেরই প্রতিবেশী।</t>
  </si>
  <si>
    <t xml:space="preserve">কেউ পাইপ দিয়ে, কেউ বালতি দিয়ে মা বোনের মাথায় পানি ঢেলে দিচ্ছে, কেউ একজন এসে রং মেখে দিচ্ছে। আর পরিস্থিতির স্বীকার মুসলিম ৩ জন ভীতসন্ত্রস্ত হয়ে ব্যর্থ প্রতিক্রিয়া জানানোর চেষ্টা করছে। </t>
  </si>
  <si>
    <t>আল বদর, রাজাকার এবং পূর্ব পাকিস্তান কেন্দ্রীয় শান্তি কমিটির সদস্যরা আগুন লাগিয়ে অসংখ্য আবাস্থল লুট করেছিল। পাকিস্তান সেনাবাহিনী মহিলাদের ধর্ষণ করেছে। গণহত্যার পরের দিন, বেঁচে থাকা ব্যক্তিরা বাগবাটি ও ধলদবের পূর্ববর্তী জমিদারদের নির্জন বাড়ির কূপে মৃতদেহ ফেলে দেয়।</t>
  </si>
  <si>
    <t>গণহত্যায় বাড়িয়া এবং নিকটবর্তী কামারিয়া থেকে প্রায় ২০০ বাঙালি হিন্দু নিহত হয়, এবং আরও কয়েক শতাধিক আহত হয়।</t>
  </si>
  <si>
    <t>১৯৮৭ - হাশিমপুরা হত্যাকাণ্ড: মেরঠে পুলিশ ও আধাসামরিক বাহিনী মুসলিম যুবকদের ধরে নিয়ে হত্যা করে, প্রায় ৪২ জন নিহত হয়।</t>
  </si>
  <si>
    <t>প্রথমে আমিরের লাল সিং চাড্ডার পর কিছুদিন আগে শাহরুখ খানের ‘পাঠান’ সিনেমাটিকে বয়কটের ডাক দিয়েছিলেন হিন্দুত্ববাদীরা। সনাতনি হিন্দুদের এই সিনেমা দেখতে বারণ করেছিলেন উত্তরপ্রদেশের মুখ্যমন্ত্রী যোগী আদিত্যনাথের গুরুভাই সাধু দেবনাথ।</t>
  </si>
  <si>
    <t>২০১৮ সালে বাংলাদেশে যে ডিজিটাল নিরাপত্তা আইন তৈরি করা হয়েছে, সেখানে প্রযুক্তি ব্যবহার করে ধর্মীয় অনুভূতিতে আঘাত বা ধর্ম বিশ্বাসে আঘাত করার শাস্তি আরও বাড়ানো হয়েছে।</t>
  </si>
  <si>
    <t>বিকারগ্রস্ত মানু‌ষের নামটা আড়াল করা উচিৎ হয়নি ওদের কে ইট দিয়ে না মারলে বোধশক্তি ফিরবেনা।</t>
  </si>
  <si>
    <t>২০০৮ সালে হারাষ্ট্রের মালেগাঁও শহরে একটি মসজিদের বাইরে বিস্ফোরণ হিন্দুত্ববাদী সংগঠনের সদস্যদের দ্বারা পরিচালিত বলে তদন্তে উঠে আসে।</t>
  </si>
  <si>
    <t>নবী ধর্মের এই বাড়াবাড়িকেই ভয় করেছেন কিন্তু ধর্মের আফিমখোর সেকথা মনে রাখেনি। আফিম বিক্রেতারা খুব এক্টিভ।</t>
  </si>
  <si>
    <t>"আমরা শান্তি চাই। যদি আপনারা শান্তি চান, তবে আমরা শান্তির পথ অনুসরণ করতে সদা প্রস্তুত। আমাদের জন্য একমাত্র বিকল্প শান্তিপূর্ণ ভারত হবে।"</t>
  </si>
  <si>
    <t>চৌমুহনীতে সংঘর্ষের জের ধরে মিছিলকারীরা হিন্দু সম্প্রদায়ের লোকজনের শ্রীকৃষ্ণ মিষ্টান্ন ভান্ডার, রামকৃষ্ণ মিষ্টান্ন ভান্ডারসহ কিছু দোকানপাট ও বাড়িঘরে হামলা চালায়।[৩৮] হামলার সাথে জড়িত থাকার কারণে পুলিশ তিন ব্যক্তিকে(১৫ই অক্টোবর) আটক করে।[৩৭] পুলিশের তথ্য অনুযায়ী, হামলার কারণে যতন কুমার সাহা নামে এক ব্যক্তির মৃত্যু হয়।</t>
  </si>
  <si>
    <t>দেশ ভাগের পূর্ব একটা শ্রেনী ইচ্ছাকৃত ভাবে পরিকল্পনা করে বিভেদ তৈরী করতো যেন রায়ট শুরু হয় এবং তাদের অসৎ উদ্দেশ্য পূরণ হয়। এখানে কারা কাঠি নাড়তেছে জানি না, তবে ভবিষৎ আমাদের পূর্বেই জানিয়ে দেওয়া হয়েছে।</t>
  </si>
  <si>
    <t>সঠিক জীবন যাপন এবং আধ্যাত্মিক উন্নতির জন্য হিন্দু ধর্মের নানা দিক সমর্পণ করতে শেখায়।</t>
  </si>
  <si>
    <t>পোপ ফ্রান্সিস যে বাংলাদেশের মতো দেশগুলোকে গুরুত্ব দিচ্ছেন, কার্ডিনাল নিয়োগ তারই প্রমাণ। ক্যাথলিক খ্রিস্টানরা মনে করেন, পোপ হচ্ছেন যিশু খ্রিস্টের সরাসরি প্রতিনিধি। পোপের সিদ্ধান্ত ক্যাথলিক খ্রিস্টানদের জন্য অভ্রান্ত।</t>
  </si>
  <si>
    <t>অসাধারণ আলোচনা। এভাবে যদি সবাই ভাবত তাহলে ইসলাম পালন অনেক সহজ হয়ে যেত। আপনাদের মত বড় বড় মিডিয়া ব্যাক্তিত্বরা যদি ইসলাম পালনে এইরকম গুরুত্ব দেওয়া শুরু করেন তাহলে এটা দ্বীনের জন্য খুবই উপকারী।</t>
  </si>
  <si>
    <t>এমন কেউ নেই?? যিনি বাংলাদেশের সব বিশ্ববিদ্যালয়, কলেজ, স্কুলে প্রতিবছর কুরআন তেলাওয়াত প্রতিযোগিতা আর মাহফিলের আয়োজন করবে। কোন মুসলিম নেতা নেই??</t>
  </si>
  <si>
    <t>মুহাম্মাদ নামের বাংলা অর্থ "প্রশংসনীয়" এবং এই নামটি পবিত্র কুরআন শরীফে মোট চারবার এসেছে।</t>
  </si>
  <si>
    <t>মেয়ের এভাবে খাওয়াটা অন্যায় ঠিকাছে। তবে যারা ভিডিও করেছে এদের মতলব এবং মনমানসিকতা চরম পর্যায়ের জঘন্য। এরা একটা গ্রুপই আছে।</t>
  </si>
  <si>
    <t xml:space="preserve">ইসলাম ধর্ম মেয়েদের কে কখনোই পুরোপুরি স্বাধিনতা দিয়ে রাখেনি। পিতা,স্বামী, বড় ভাই কাউকে না কাউকে দায়িত্ব দিয়ে রেখেছেন। </t>
  </si>
  <si>
    <t> হিন্দু প্রধান কলকাতায় মুসলিমদের একটি রাজনৈতিক কর্মসূচীকে ঘিরে সেখানে মুসলিমদের বিরুদ্ধে হিন্দুদের সম্মিলিত হামলা এবং তাতে হাজার হাজার মুসলিম নিহত হওয়ার খবর অতিরঞ্জিতভাবে ছড়িয়ে পড়ায় পূর্ববর্তী পুঞ্জিভুত ক্ষোভের আগুনে নতুন করে ঘি ঢালার পরিস্থিতি তৈরি হয়। </t>
  </si>
  <si>
    <t>ডেমরা গণহত্যা ১৯৭১ সালের ১৩ ই মে দখলদার পাকিস্তান সেনাবাহিনী পাবনা জেলার বর্তমান ফরিদপুর উপজেলার ডেমরা ইউনিয়নের অন্তর্গত গ্রামের নিরস্ত্র হিন্দু বাসিন্দাদের উপর নির্মম এই গণহত্যা চালিয়েছিল। অনুমান করা হয় যে একদিনেই ৮০০-৯০০ মানুষ মারা গিয়েছিল। [১][২] ধর্ষণ ও লুণ্ঠনও করা হয়েছিল এবং মসজিদ, মন্দির, স্কুল ও ঘরবাড়ি জ্বালিয়ে দেওয়া হয়েছিল।</t>
  </si>
  <si>
    <t>সুবাহানাল্লাহ আল্লাহ তায়ালার এই নাজ নেয়ামতের কথা শুনে চোখে পানি ধরে রাখতে পারি না 🥹নিশ্চয়ই আল্লাহ তাআলা মহান</t>
  </si>
  <si>
    <t>ধর্মপ্রাণ মুসলিম হিসাবে এই ঘটনার তীব্র নিন্দা জানাচ্ছি, সাথে সাথে সঠিক তদন্তের মাধ্যমে অপরাধীদের দৃষ্টান্তমূলক শাস্তি আশা করছি।</t>
  </si>
  <si>
    <t xml:space="preserve">যারা ধর্ম ব্যবসা করেন যে কোন চ্যানেল বা ভিডিওতে ইসলাম ধর্মের মন্তব্য করেন তাদের জন্য আমার মন খুব খুশি লাগলো। </t>
  </si>
  <si>
    <t>রোমান ক্যাথলিক ধর্ম বাঙালী খ্রিস্টানদের মধ্যে প্রধান, অন্যদিকে বাকিরা বেশিরভাগই ব্যাপটিস্ট এবং অন্যান্য। গারো, সাঁওতাল, ওরাও, চাকমা, খাসি, লুশেই, বাওম ইত্যাদি কিছু আদিবাসী সম্প্রদায়ের মধ্যে খ্রিস্টান ধর্মের অল্প সংখ্যক অনুসারী রয়েছে।</t>
  </si>
  <si>
    <t>সেকালে সাম্প্রদায়িক সন্ত্রাসের প্রকৃতি ছিল এক রকম, এ কালে তাতে যোগ হয়েছে নতুন উপাদান—জঙ্গিবাদ।</t>
  </si>
  <si>
    <t>তৎকালীন ভিক্টোরিয়া পার্কে (বর্তমান বাহাদুর শাহ পার্ক) এসে তাদের মিছিল শেষ হয়। দুপুর ১২ টার দিকে পার্কে আসা মিছিল থেকে বক্তারা হিংস্র হিন্দু বিদ্বেষী বক্তব্য প্রদান করে যাদের মধ্যে অনেকেই ছিল সচিবালয়ের কর্মকর্তা। </t>
  </si>
  <si>
    <t>খুব খারাপ লাগে এবিপি আনন্দ, জী ২৪ ঘণ্টা তে কমেন্ট সেকশনে পুরুষেরা তো মহিলাদের স্বাধীনতা চলে যাবে , এই খবর টা শুনে তালিবানদের জয়গান গাইছে। বিশেষ করে মুসলিম ছেলেরা, বাংলাদেশের ছেলেরা আফগান মেয়েদের নিয়ে যাতা কমেন্ট করে যাচ্ছে। এরা নরকের কিটের থেকেও অধম।</t>
  </si>
  <si>
    <t>মেজাজের ভারসাম্যহীনতা ও বক্ষের অপ্রশস্থততা। কুরআনের আয়াত দ্বারা প্রভাবিত না হওয়া। আল্লাহর জিকির ও দুয়ার ব্যাপারে গাফিল হওয়া। হারাম কাজ হতে দেখলেও খারাপ না লাগা।</t>
  </si>
  <si>
    <t>৩ মার্চ, বাংলাদেশ হাইকোর্ট নোয়াখালী জেলার হিন্দুদের সুরক্ষা নিশ্চিত করতে এবং হামলায় বিধ্বস্ত হিন্দুদের মন্দির ও বাড়ি মেরামত করার জন্য সরকারকে নির্দেশ দেয়। এটি নোয়াখালী জেলা পুলিশ, জেলা প্রশাসন এবং পুলিশ মহাপরিদর্শককে হামলার সাথে জড়িতদের বিরুদ্ধে ব্যবস্থা নিতে স্ব-প্রণোদিত বিজ্ঞপ্তি করে।</t>
  </si>
  <si>
    <t>অ্যামনেস্টি ইন্টারন্যাশনাল জানায় যে সেদিন প্রায় ৯৯ জন বাঙালি হিন্দুকে হত্যা করা হয়েছিল।[৪৮][৪৯]এরা নিজেদেরকে চাটগাইয়া হিন্দু হিসেবে দেয়।[৫০] মায়ানমারে এবং বাংলাদেশী শরণার্থী শিবিরে বাঙালি হিন্দুরা (বিশেষ করে মহিলারা) রোহিঙ্গাদের হাতে অপহরণ এবং জোরপূর্বক ধর্মান্তরিত হয় ।</t>
  </si>
  <si>
    <t>গণহত্যার পরে বেশিরভাগ হিন্দু ভারতে পালিয়ে এসেছিলেন। তাদের সম্পত্তি রাজাকার এবং তাদের সমর্থকরা দখল করে নিয়েছিল। ধীরে ধীরে হিন্দুরা এই অঞ্চলে সংখ্যালঘুতে পরিণত হয়। পরবর্তীকালে বৈদ্যাদঙ্গী গ্রাম নদীভাঙ্গনের কারণে হারিয়ে যায়।</t>
  </si>
  <si>
    <t>এপোলজেটিকরা সবচেয়ে বড় সমস্যা ইসলামের। ধর্ম নিয়ে লজ্জিত হলে তোরা এই ধর্ম ছেড়ে দেস না কেন?</t>
  </si>
  <si>
    <t>আগুনের সামনে এউচ্চ বাঁশের মাচা তৈরি করা হয়েছিল এবং, যখন শিখাগুলি তাদের সবচেয়ে শক্তিশালী ছিল, তখন বিধবা মাচায় আরোহণ করে এবং আগুনে ডুব দেয়।</t>
  </si>
  <si>
    <t>একজন পাদ্রি মদ ও রুটি উৎসর্গ করেন, যেগুলি যথাক্রমে যীশুর রক্ত ও দেহের প্রতিনিধিত্বমূলক।</t>
  </si>
  <si>
    <t>এখন যদি তাসকিনের বউ ওয়েস্টার্ন কোন পোশাক পড়ে ছবি দিত তা হলেও এসব সেক্যুদের গা জ্বলতো...বলতো বউকে পর্দা করায় না ইত্যাদি... যেমন সাকিবের বউকে নিয়ে বলে! এদের আসলে স্বভাবটাই এরকম!...পাত্তা না দেওয়াই ভালো।</t>
  </si>
  <si>
    <t>ভিন্ন ধর্মাবলম্বী সবার প্রতি আমার সম্মান রেখেই বলছি যখন অনাকাঙ্ক্ষিতভাবে পূজায় হামলা হয় তখন আমরা সবাই সহমর্মিতা দেখাই।</t>
  </si>
  <si>
    <t>১৬ই মার্চে পাঁচ জন হিন্দুসদস্য সহ সাত জনের একটি বেসরকারি তদন্ত দল, যারা কালশিরা গণহত্যা নিয়ে তদন্ত করছিলেন, তাদেরকে গ্রেফতার করা হয়।তারা কালশিরা গনহত্যার কারণ ও বিস্তৃতিসহ একটি তদন্ত প্রতিবেদন করতে সক্ষম হন যা ভারতীয় গণমাধ্যমে প্রকাশিত হয়।</t>
  </si>
  <si>
    <t>নির্যাতনের বীভৎসতা সহ্য করতে না পেরে বরিশালের নৌ বন্দর এলাকা মুলাদী পুলিশ স্টেশনে শত শত হিন্দু এসে আশ্রয় গ্রহণ করে।কিন্তু নিজেদের এলাকা থেকে প্রাণ বাঁচাতে আশ্রয় নেয়া হতভাগ্য হিন্দুদেরকে পুলিশ স্টেশন কম্পাউণ্ডের মধ্যেই নির্মম ভাবে হত্যা করে আশেপাশের মুসলিমরা।</t>
  </si>
  <si>
    <t>ইসলাম ধর্মকে অবমাননা করার ফল যদি মৃত্যু হয়, তাহলে নবীজির আমলে কোন কাফের বেঁচে থাকতে পারতো না, আমাদের আরও সহনশীল হওয়া প্রয়োজন</t>
  </si>
  <si>
    <t> ২০০০ সালের মে মাসে ১৯ আসামির মধ্যে ১৬ জন আত্মসমর্পণ করে এবং পরে তাকে জামিনে মুক্তি দেওয়া হয়, যদিও ৩ জন ইতোমধ্যে মারা গিয়েছিল। </t>
  </si>
  <si>
    <t xml:space="preserve">ধর্মগ্রন্থ পোড়ানো সেটা যে কোন ধর্মের হোক না কেন মত প্রকাশের স্বাধীনতা কিভাবে হতে পারে ? সকল মুসলিম দেশের জেগে ওঠা উচিত। একজন মুসলিম হিসেবে তীব্র নিন্দা, ক্ষোভ ও প্রতিবাদ জানাচ্ছি। </t>
  </si>
  <si>
    <t xml:space="preserve"> দাঙ্গার প্রধান শিকার ছিল শহরের মুসলিম সম্প্রদায়; প্রায় ১০০ জন নিহত হয়, কয়েকশ গুরুতর আহত হয়, তাদের ২,৫০০ বাড়ি ধ্বংস হয় এবং ১২,০০০ মুসলিম মানুষ গৃহহীন হয়।</t>
  </si>
  <si>
    <t xml:space="preserve">মেহেরপুর সদর উপজেলা গহরপুর সুজনের বিরুদ্ধে আইনগত ব্যবস্থা নেওয়া হোক! ইসলাম ধর্ম নিয়ে উল্টাপাল্টা বক্তব্যেরজন্য। </t>
  </si>
  <si>
    <t>ধৈর্য ও স্থিরতার মাধ্যমে বিজয় লাভ সম্ভব। খন্দকে আমরা রাসূল সা:-কে দেখতে পাই, তিনি সাহাবায়ে কেরাম থেকে পরামর্শ নিয়ে পরিখা খনন করতে। সমর পারদর্শী সালমান ফারসি রা: ছিলেন প্রধান পরামর্শদাতা। </t>
  </si>
  <si>
    <t xml:space="preserve">সেই সময় চারটি সাজোয়া যানে পাকিস্তান সেনাবাহিনীর একটি সৈন্যদল কালিগঞ্জ বাজারে এসে পৌঁছায়। কিছু বুঝে ওঠার আগেই সেনাবাহিনী গুলি চালাতে শুরু করে। ঘটনায় বেঁচে যাওয়া অমরকৃষ্ণ অধিকারী ভাষ্যানুসারে, একজন পাকিস্তানি মেজর শরণার্থীদের দুইভাগে ভাগ করেন। </t>
  </si>
  <si>
    <t>খাজা নাজিমুদ্দিন তার বক্তৃতায় প্রাথমিকভাবে শান্তিপূর্ণতা ও সংযমের কথা বললেও পরবর্তীকালে প্রভাব বিনষ্ট করেন ও উত্তেজনা ছড়িয়ে দেন এই বলে, যে সকাল ১১ টা অবধি আহত সমস্ত ব্যক্তিই মুসলমান এবং মুসলিম সম্প্রদায় শুধুমাত্র আত্মরক্ষায় প্রতিশোধ নিয়েছিল।</t>
  </si>
  <si>
    <t>নোয়খালী জেলার রামগঞ্জ, বেগমগঞ্জ, রায়পুর, লক্ষ্মীপুর, ছাগলনাইয়া ও সন্দ্বীপ থানা এবং ত্রিপুরা জেলার হাজীগঞ্জ, ফরিদগঞ্জ, চাঁদপুর, লাকসাম ও চৌদ্দগ্রাম থানার অধীনে সর্বমোট প্রায় ২০০০ বর্গকিলোমিটার এলাকা ক্ষতিগ্রস্ত হয় ধর্মীয় দাঙ্গার কারণে।</t>
  </si>
  <si>
    <t>ধর্মবাজ, ধর্মব্যবসায়ী আর ধার্মিক এক জিনিস নয়। আমাদের দেশে ধর্মবাজ, ধর্ম ব্যবসায়ীর দৌরাত্ম দৃশ্যমান, ধার্মিকের সংখ্যা নগন্যই হবে।</t>
  </si>
  <si>
    <t>হিন্দুদের উপর ৩০ অক্টোবর থেকে হামলা শুরু হয় এবং বিরতিহীন ভাবে ২ নভেম্বর পর্যন্ত তা চলতে থাকে।</t>
  </si>
  <si>
    <t>ভাঙ্গা ধর্ম নীতি মানবতার সঙ্গে নিয়মিত টাকাসহ মিলে প্রতিষ্ঠান। এটি নৈতিক এবং সামাজিক অবমাননার একটি চিহ্ন।</t>
  </si>
  <si>
    <t>২০২০ সালে আর্জেন্টিনায় ইহুদি সম্প্রদায়ের একটি ধর্মীয় প্রতিষ্ঠানে ঢুকে হামলা চালানো হয়, এতে কয়েকজন ধর্মীয় নেতা আহত হন।</t>
  </si>
  <si>
    <t>প্রতিটি নির্বাচনী জনসভাতেই বিজেপির হিন্দুত্ববাদী রাজনীতির কড়া সমালোচনা করছেন তার নিজস্ব বক্তৃতার স্টাইলে।</t>
  </si>
  <si>
    <t>মুসলিমদের উপর হামলার পর শ্রীলঙ্কায় জরুরী অবস্থা</t>
  </si>
  <si>
    <t>মূর্তির পায়ের উপর পবিত্র ধর্মগ্রন্থ কোরআন রাখার ঘটনায় তীব্র নিন্দা ও প্রতিবাদ জানাচ্ছি যে বা যারা ধর্মীয় সম্প্রতি নষ্ট করার জন্য এমন ন্যাক্কারজনক ঘটনা ঘটিয়েছে তাদেরকে আইনের আওতায় এনে বিচারের দাবি জানাচ্ছি।</t>
  </si>
  <si>
    <t>হে ঈমানদারগন, যদি কোন ফাসেক তোমাদের কাছে কোন খবর নিয়ে আসে তাহলে তা অনুসন্ধান করে দেখ৷ এমন যেন না হয় যে, না জেনে শুনেই তোমরা কোন গোষ্ঠীর ক্ষতি করে বসবে এবং পরে নিজেদের কৃতকর্মের জন্য লজ্জিত হবে৷</t>
  </si>
  <si>
    <t>বিশেষ করে ধর্মপ্রচারক এবং পেন্টেকোস্টাল খ্রিস্টানরা এই ধরনের ক্রিয়াকলাপকে উৎসাহ দেয়। ফলে মাঝে মাঝেই খ্রিস্টান ধর্মাবলম্বী আফ্রো-ত্রিনিদাদিয়ানরা হিন্দু ইন্দো-ত্রিনিদাদিয়ানদের উপর নানা ভাবে অত্যাচার করে ।[</t>
  </si>
  <si>
    <t>এই দেশে নাস্তিকদের থেকেও ইসলামের বড় শত্রু হলো ইসলামের নামে লেবাসধারী সেকুলারকুল।রাবিশ,খবিশ।</t>
  </si>
  <si>
    <t>ব্লাসফেমি: কী করলে ধর্মীয় অবমাননা হয়? আইনে কী আছে? শাস্তি কি?</t>
  </si>
  <si>
    <t>নরওয়েতে ইসলামবিরোধী গোষ্ঠীগুলো প্রকাশ্যে কোরআন পোড়ানোর চেষ্টা করলে মুসলিমরা বাধা দেয় এবং দুই পক্ষের মধ্যে সংঘর্ষ হয়, এতে কয়েকজন আহত হন। ঘটনাটি ২০১৯ সালের।</t>
  </si>
  <si>
    <t>এক. ক্ষমতাসীন অনির্বাচিত শাসক গোষ্ঠী যাদের আরো দীর্ঘ সময় অবৈধভাবে ক্ষমতায় থাকার জন্য বাংলাদেশকে সাম্প্রদায়িক রাষ্ট্র দেখিয়ে আন্তর্জাতিক লেজিটিমেসি আদায় করা । দুই. সীমান্তের ওপারে বাংলাদেশ এবং মুসলিম বিদ্বেষী দাঙ্গাবাজ সন্ত্রাসী বিজেপি</t>
  </si>
  <si>
    <t>গতবছর "কুরআন অনুবাদ পাঠ প্রতিযোগিতা" এর পুরস্কার বিতরণী অনুষ্ঠানের ভেন্যুর জন্য অডিটোরিয়ামে অনুমতি দেওয়া হয়নি,</t>
  </si>
  <si>
    <t>আত্মহত্যাকারী শুধু নিজের ক্ষতিই করে না বরং নিজের পরিবার, নিকটাত্মীয় ও বন্ধু-বান্ধব সবাইকেই ক্ষতির মুখে ঠেলে দেয়। তাই আত্মহত্যার শাস্তি ভয়াবহ।</t>
  </si>
  <si>
    <t>তীব্র নিন্দা ও প্রদিবাদ জানাচ্ছি, যত দ্রুত সম্ভব তাদের দৃষ্টান্তমূলক শাস্তির দাবি জানাচ্ছি জাতে ভবিষ্যতে কেউ এইরকম জগন্নতম কাজ করার সাহস না পায়।</t>
  </si>
  <si>
    <t>জোরপূর্বক বা জোরপূর্বক নয়, ভোসলে পরিবারের নারীদের সতীদাহ করার বেশ কিছু ঘটনা ঘটেছে। একজন ছিলেন শিবাজীর জ্যেষ্ঠ নিঃসন্তান বিধবা, পুতলাবাই, যিনি তার স্বামীর মৃত্যুর পর সতীদাহ করেছিলেন।</t>
  </si>
  <si>
    <t>প্রতিমাগুলোর হাত-পা, মাথা ভেঙে চূর্ণ-বিচূর্ণ করে ফেলেছে। আবার কিছু প্রতিমা ভেঙে পুকুরের পানিতে ফেলে রেখেছে।</t>
  </si>
  <si>
    <t>তখনও সেগুলো ছিল তাৎক্ষণিক ক্ষোভের বহি:প্রকাশ। এ নিয়ে ডেনমার্কের সাথে সম্পর্ক খারাপ বা ডেনমার্কের ভাবমূর্তি যে স্থায়ীভাবে নষ্ট হয়ে গেছে তা হয়নি।</t>
  </si>
  <si>
    <t>জানাযা একটি বিশেষ প্রার্থনা যা কোনো মৃত মুসলমানকে কবর দেয়ার পূর্বে সংগঠিত হয়। </t>
  </si>
  <si>
    <t>রোববার জাতীয় প্রেসক্লাবে গুলজা গণহত্যার ২৬তম বার্ষিকী উপলক্ষে ‘উইঘুর মুসলিমদের মুক্তি আর কতদূর’ শীর্ষক এক আলোচনা সভায় বক্তারা এ আহ্বান জানান। ইসলামিক প্রগতিশীল জনতা ফ্রন্ট আয়োজিত এই আলোচনা সভায় বিশিষ্ট লেখক, গবেষক, বরেণ্য শিক্ষাবিদ ও বিভিন্ন ইসলামী দলের শীর্ষ নেতারা বক্তব্য রাখেন।</t>
  </si>
  <si>
    <t xml:space="preserve">অনুরাগ ওরফে বাবু ভাইয়া একজন কট্টর হিন্দুবাদী লোক। সে তার হিন্দুবাদী ব্রোসেনাদের ইমোশন বেইচা টাকা কামায়। </t>
  </si>
  <si>
    <t>ইসরাইলের হামলায় ইমাম, মুয়াজ্জিন ও হাফেজসহ শতাধিক ধর্মীয় ব্যক্তিত্ব নিহত হয়েছেন। গাজার বাসিন্দারা জানিয়েছেন, রমজান মাসের তারাবিহ নামাজের জন্য পর্যাপ্ত জায়গা পাওয়া যাচ্ছে না, কারণ মসজিদগুলো ধ্বংস করা হয়েছে।</t>
  </si>
  <si>
    <t>এ তো ভগবান আর ঈশ্বরের পার্থক্যটাই বোজে কি বোজাচ্ছে? কি জ্ঞান দিচ্ছে,</t>
  </si>
  <si>
    <t>হিন্দুদের উপর এই গণহত্যার শুরু হয়েছিল ১৯৪৬ সালের ১০ অক্টোবর কোজাগরি লক্ষ্মী পূজার[৩] দিন এবং প্রায় চার সপ্তাহ ধরে অব্যাহত ছিল। এতে প্রায় কমপক্ষে ৫,০০০ হিন্দু হত্যা করা হয়েছে বলে অনুমান করা হয়।</t>
  </si>
  <si>
    <t>বাংলাদেশের দক্ষিণাঞ্চলীয় জেলা কক্সবাজারের রামু উপজেলায় ২০১২ সালের ২৯শে সেপ্টেম্বর মধ্যরাতে ১২টি বৌদ্ধ বিহার ও প্রায় ৩০টি বসতঘরে হামলা, লুটপাট ও অগ্নিসংযোগ করে দুষ্কৃতিকারীরা। ফেসবুকে শেয়ার হওয়া একটি পোস্টের জের ধরে ওই হামলার ঘটনা ঘটে।</t>
  </si>
  <si>
    <t>আরে পা চাটা গোলাম, মিডিয়া সঠিক কথাটা তুলে ধর। এই রাষ্ট্র ইহুদীদের নয়, এই রাষ্ট্র ফিলিস্তিনিদের, তারা এখানে আশ্রিত জাতি। যখন বিশ্বের কোথাও জায়গা পায়নি, তখন ফিলিস্তিনিরাই তাদের আশ্রয় দিয়েছিল।</t>
  </si>
  <si>
    <t>অভিমানে,নি:সংজ্ঞতায় একজন মানুষ,কিংবা শিল্পী আত্মহত্যা করতে পারে? যদি ও আত্মহত্যা মহাপাপ, আর এটা কাম্য ও নয়।</t>
  </si>
  <si>
    <t>সনাতন বলতে যদি পুরনো হয় তাহলে পৃথিবীর প্রথম যে মানুষ তার ধর্ম তো পুরনো হবে তাহলে সে কি ছিলো হিন্দু নাকি মুসলিম হিন্দু ভাইদের কাছে প্রশ্ন।</t>
  </si>
  <si>
    <t xml:space="preserve">ভিন্নধর্মাবলম্বীদের ধর্ম পালনে বাধা দেয়া তো দূরে থাক, ওদের মানা স্রষ্টাকে গালি দেয়া পর্যন্ত কুরআনে নিষিদ্ধ। </t>
  </si>
  <si>
    <t> দুপুর ২টার দিকে গঙ্গাচড়া উপজেলার খলেয়া ইউনিয়নের শলেয়াশাহ ও বালাবাড়ি গ্রাম এবং পাশের মমিনপুর গ্রামসহ বিভিন্ন মসজিদ-মাদ্রাসাসহ বিভিন্ন এলাকা থেকে জুমার নামাজের পর দলে দলে লোকজন লাঠিসোটা নিয়ে বিক্ষোভ শুরু করে।</t>
  </si>
  <si>
    <t>পৃথিবীতে সৃষ্টি শুরুতে ইসলাম ছিল এবং পৃথিবীর ধ্বংস শেষ পর্যন্ত থাকবে</t>
  </si>
  <si>
    <t xml:space="preserve">যারা ইসলামের পূর্ণ শান্তি স্বাধীনতা ও সম্প্রিতী সম্পর্কে অবগত তারা কখনো-ই ইসলাম ধর্ম নিয়ে উগ্রবাদ মনোভাব সম্পন্ন পোস্ট করতে পারে না! </t>
  </si>
  <si>
    <t xml:space="preserve">ধর্মান্ধ, মৌলবাদী, সাম্প্রদায়িক গোষ্ঠীর চালানো ওই নৃশংস হামলায় প্রাণ হারান নূর ইসলাম, সন্ধ্যা রানী, রামকৃষ্ণ, তপন, বাবুল সূত্রধরসহ অন্তত ১০ জন শিল্পী-কর্মী ও সাধারণ মানুষ। আহত হন দেড় শতাধিক শিল্পী-কর্মী ও সংস্কৃতিমনা সাধারণ মানুষ। </t>
  </si>
  <si>
    <t>দাঙ্গার পরে কলকাতার মুসলমানরা আগের চেয়ে আরও বেশি ঘৃণ্য হয়ে উঠল</t>
  </si>
  <si>
    <t>তারা সবাই কিন্তু মুসলিম নামধারী। হয়তো স্বাধীনতা আর নিরাপত্তা পেলে এই পরিচয় মুছে ফেলতো।</t>
  </si>
  <si>
    <t>জন্মগত ভাবে ধর্ম পাওয়া যায়,কিন্তু মানুষ হতে হলে তো অনেক কিছু জানতে বুঝতে হয়।</t>
  </si>
  <si>
    <t>আমাদের সমাজ অবৈধ সম্পর্ক গুলো ঠিকই মেনে নেয় আর একটা বৈধ ও সুন্দর সম্পর্কের শেষ পরিনতি হল আত্নহত্যা। ধিক্কার জানাই এমন সমাজ ব্যবস্থার</t>
  </si>
  <si>
    <t>‘যখন তারা ধর্ম নিয়ে কথা বলে, আমি তাদের সততা নিয়ে প্রশ্ন করি’</t>
  </si>
  <si>
    <t>ঢাবির এই সিদ্ধান্ত আমরাও সমর্থন করি না। আমরাও তো ইফতারে অংশগ্রহন করি।</t>
  </si>
  <si>
    <t>আমি একজন মুসলমান হিসেবে বলছি.এই কুরআনকে যারা অপমান করেছে.তাদেরকে কঠিন শাস্তি দেওয়া হোক.আল্লাহ আপনি এই.জালিমের হাত থেকে কোরআনকে হেফাজত করুন</t>
  </si>
  <si>
    <t>বাংলাদেশের কক্সবাজার সদর হাসপাতালের মর্গে আইনি জটিলতায় ২৬দিন পড়ে থাকার পর অবশেষে কিশোরী একটি মেয়ের মরদেহের গতি হয়েছে।</t>
  </si>
  <si>
    <t>গোষ্ঠীটি কোপেনহেগেনে কুরআন পোড়ানোর পাশাপাশি ইসলামবিরোধী বিভিন্ন স্লোগানও দেয়। ড্যানিশ পুলিশের উপস্থিতিতে গোষ্ঠীটি কুরআন পোড়ানোর মতো জঘন্য ঘটনা ঘটায়। পরে তারা কুরআন পোড়ানোর পুরো ঘটনাটি সামাজিক যোগাযোগমাধ্যমে শেয়ার করে। </t>
  </si>
  <si>
    <t>ঘটনার পরে স্থানীয় হিন্দুরা ভয়ের মধে ছিল।[৩৭] ১২ মার্চ রাতে দুর্বৃত্তরা নাটোর জেলার সিংড়া উপজেলার অন্তর্গত পাকুরিয়া গ্রামের একটি হরি মন্দিরে প্রবেশ করে এবং প্রতিমাটি ধ্বংস করে।[৩৮] ১৯ মার্চ দুর্বৃত্তরা বগুড়া জেলার গাবতলী উপজেলার চারটি হিন্দু মন্দিরে প্রতিমা অবমাননা করে।</t>
  </si>
  <si>
    <t>যার বিরুদ্ধে ধর্মীয় অবমাননার অভিযোগ তোলা হচ্ছে সেই টিটু রায়ের বাড়ি গঙ্গাচড়ার ঠাকুরতাড়ি গ্রামে হলেও তিনি সেখানে থাকেন না। নারায়ণগঞ্জে বসবাস করেন।</t>
  </si>
  <si>
    <t>পিয়েরে ডিলানি নামক একজন প্রত্যক্ষদর্শী বরাতে জানা যায়,সেদিন কমপক্ষে ২,০০০ হিন্দুকে নির্মম ভাবে হত্যা করে মুসলিমরা।[৩৫] একই দিনে ভৈরববাজার ও কিশোরগঞ্জের মধ্যবর্তী সরাচর নামক রেলস্টেশনে হিন্দু যাত্রীদেরকে ধরে ধরে হত্যা করা হয়।</t>
  </si>
  <si>
    <t>এই নোংরা অমানুসিকতার তীব্র নিন্দা জ্ঞাপন করছি এবং নেক্কারজনক ঘটনায় জড়িতদের অতি দ্রুত গ্রেফতারপূর্বক দৃষ্টান্তমূলক শাস্তি কার্যকরের জোড় দাবী জানাচ্ছি.</t>
  </si>
  <si>
    <t>একই গ্রামের শোভারানী বসু ও তার দু’কন্যাকে পৈশাচিক নির্যাতন করে হত্যা করা হয়।[১৬] নরসিংদীর (তৎকালীন নারায়ণগঞ্জের অন্তর্গত) গ্রামে গ্রামে হত্যা,ধর্ষণ,লুটপাট আর অগ্নিসংযোগ করে মুসলিমরা।কমপক্ষে ৩৫০ টি হিন্দু বাড়ি পুড়িয়ে দেয় তারা।</t>
  </si>
  <si>
    <t>রমনা মন্দির ধ্বংসের তিন দিন পর তিনি সেখানে এসে পোড়া মানব কঙ্কালের পাশাপাশি প্রায় ১৪টি পচনশীল লাশ দেখতে পান। সেই লাশগুলো ফুলে গিয়েছিল ও দুর্গন্ধ ছড়াচ্ছিল। ধ্বংসপ্রাপ্ত মন্দির ও আশ্রমের ভেতরে আরও ১০টি মৃতদেহ পাওয়া যায়।</t>
  </si>
  <si>
    <t>ভাঙচুর করা হয় অন্তত ৭টি মন্দির[৯] এবং প্রার্থনাঘরগুলোর বিগ্রহগুলো।[১০] একজন ভুক্তভোগীর তথ্যমতে ঝুমনকে গ্রেফতারের পর পুলিশ গ্রামবাসীকে আশ্বস্ত করেছিল, কোনো ধরনের অপ্রীতিকর ঘটনা ঘটবে না। কিন্তু পরদিনই এ ভাঙচুর চেয়ারম্যানের সামনেই সংগঠিত হয়।</t>
  </si>
  <si>
    <t>বদর ছিল দুই বাহিনীর মধ্যে প্রথম বড় আকারের যুদ্ধ। যুদ্ধে সুসংগঠিত মুসলিমরা মক্কার সৈনিকদের সারি ভেঙে ফেলতে সক্ষম হয়। যুদ্ধে মুসলিমদের প্রধান প্রতিপক্ষ আবু জাহল নিহত হয়। </t>
  </si>
  <si>
    <t xml:space="preserve">মুসলমানদের ধর্মের উপর বার বার অপমানজনক করতাছে অথচ তার সঠিক বিচার শাস্তি তেমন দেখতাছি না,,,তাই দিন দিন ধর্মের উপর অপমানকর বাড়তেছে,,,সুতরাং এর কঠিন জবাব একদিন দিতে হবেই এই দুনিয়াতে বা পরকালে </t>
  </si>
  <si>
    <t>ধর্ম নিয়ে এরকম বাড়াবাড়ির এবং রাজনীতির অবসান চান আক্রান্ত শ্যামল কান্তি ভক্ত।</t>
  </si>
  <si>
    <t>রাতে ঘুমানোর সময় আমরা বোরকা পরে ঘুমাতাম, কারণ অনেক সময় রাতে বোমা হামলা হয়, রাতে মারা গেলে কেউ যেন আমাদের বেপর্দা না দেখে।</t>
  </si>
  <si>
    <t>দুর্ঘটনা-মৃত্যু বেদনাহত করলেও এমন মৃত্যুর বিষয়ে নবীজি সাল্লাল্লাহু আলাইহি ওয়াসাল্লামের পক্ষ থেকে সুসংবাদ রয়েছে। তিনি এমন মৃত্যুকে শহিদের মৃত্যু বলে ঘোষণা দিয়েছেন। ইসলামে শাহাদাতের মৃত্যু সব থেকে মর্যাদার।</t>
  </si>
  <si>
    <t> হিন্দু সম্প্রদায়ের কতিপয় হিন্দুত্ববাদী ভারতের দালালদের বলছি;দালালি বাদ দিয়ে বাংলাদেশে বসবাস করুক! বাংলাদেশকে নিজেদের দেশ ভাবুন!!,,,,,,, সাম্প্রদায়িক দাঙ্গা লাগানোর চেষ্টা থেকে বিরত থাকুন!!</t>
  </si>
  <si>
    <t>এমনকি মদিনায় ফিরে সাহাবায়ে কেরাম (রা.)-দের স্ত্রীদের ব্যাপারে বাজে কবিতা বলতে শুরু করে এবং কটূক্তির মাধ্যমে তাঁদের ভীষণ কষ্ট দিতে থাকে।</t>
  </si>
  <si>
    <t>আমরা এ ঘটনার তীব্র নিন্দা জানাচ্ছি। ধর্মীয় অনুভূতিতে আঘাত কোন মানুষের কাজ নয়, এরাই সৃষ্টির নিকৃষ্ট জীব। ঐ দেশের সরকারের উচিত এদের বিরুদ্ধে কোঠর পদক্ষেপ নেওয়া। আর না এর জন্য চরম মূল্য দিতে হবে।</t>
  </si>
  <si>
    <t>২০১৬ সালের নাসিরনগরের সাম্প্রদায়িক সহিংসতায় ৩০ অক্টোবর নাসিরনগর উপজেলায় ইসলামিক উগ্রপন্থীদের দ্বারা সংখ্যালঘু হিন্দু সম্প্রদায়ের উপর হামলা হয়েছিল।</t>
  </si>
  <si>
    <t>সব দেশ নিন্দা জানালে ও বাংলাদেশ জানাতে পারে না, কারন আমাদের দেশ তো হিন্দু ধর্মের রাষ্ট্র। প্রধানমন্ত্রী হিন্দু, প্রধানমন্ত্রীর পরকীয়া চলে ও হিন্দু রাষ্ট্র ইন্ডিয়ার সাথে, তা হলে বলুন আমরা কীভাবে নিন্দা জানাবো? মদি জি রাগ করবেন তো প্রেমিকার ওপর।</t>
  </si>
  <si>
    <t> তালিবানরা কত ভালো, সকলকে ক্ষমা করে দিয়েছে।..... আর কাশ্মীরের অত্যাচার কি মানা যায়।... এখোনই না।.... কাশ্মীরী হিন্দু পন্ডিত না কারা যেন কাশ্মীরের থাকতো? তার কি জন্য যেন পালিয়ে এসেছিল?......</t>
  </si>
  <si>
    <t>তৎকালীন রাজশাহী জেলার নওগাঁর নিকটে অবস্থিত মইনাম গ্রামের সকল হিন্দু গ্রামবাসীকে নিষ্ঠুর ভাবে হত্যা করা হয়;শুধুমাত্র দুটি নাবালিকাকে বাঁচিয়ে রাখা হয়।[২০] দুরুশা নামক স্থানের সাঁওতাল আদিবাসী সম্প্রদায়ও হিন্দু বিরোধী এই পাশবিক হত্যাযজ্ঞের শিকার হয়।</t>
  </si>
  <si>
    <t>শেষ পর্যন্ত প্রাণ বাঁচানোর জন্য বাধ্য হয়ে বৌদ্ধদের একটা অংশ হিন্দু ধর্ম গ্রহণ করে বর্ণ প্রথার সর্বনিম্নে স্থান পায়। বৌদ্ধদের আরেকটি অংশ দিল্লির মুসলিম শাসক কুতুবুদ্দিন আইবেকের শরণাপন্ন হয় এবং বৌদ্ধদের রক্ষায় বাংলায় মুসলিম সেনাবাহিনী পাঠানোর জন্য অনুরোধ করে।</t>
  </si>
  <si>
    <t>উত্তর নোয়াখালী জেলার রায়গঞ্জ থানার অধীনে থাকা অঞ্চলগুলোতে ১৯৪৬ খ্রিস্টাব্দের ১০ অক্টোবর গণহত্যা শুরু হয়।[৪৭] এই গণহত্যাকে "মুসলিম উচ্ছৃঙ্খল জনতার সংগঠিত ক্রোধ" হিসেবে আখ্যায়িত করা হয়েছিল।</t>
  </si>
  <si>
    <t>আমাদের শান্তির ধর্ম ইসলামে এ ধরণের ছল চাতুরী মানায়না। আদালতের প্রতি প্রত্যাশা থাকবে, এ ধরণের বিতর্কিত জায়গায় যেন মসজিদ নির্মাণের মাধ্যমে হিন্দু মুসলিম ঐক্যবদ্ধ হয়ে শান্তিপূর্ণভাবে coexist করার পরামর্শ দেয়।</t>
  </si>
  <si>
    <t>তাদের মধ্যে বাহাত্তর জনের পরিচয় জানা যায়নি, নিহতদের বেশিরভাগই ছিল বাঙালি হিন্দু অথবা মুসলিম এবং আওয়ামী লীগের সদস্য বা স্বাধীন বাংলাদেশের সমর্থক। ১৯৯২ সালে একটি মার্বেল ফলক দিয়ে একটি স্মৃতিসৌধ নির্মিত হয়েছিল যেখানে নিহত ৭২ জন এবং অন্যত্র মারা যাওয়া ছয় জনের নাম রয়েছে।</t>
  </si>
  <si>
    <t>ধার্মিক প্রজাতির মানুষদের একটু বোধ হয় আর কি। ঠান্ডা মাথায় ভাবতে হবে, ধর্মে উচ্ছৃঙ্খলতার স্থান নেই। হুজুর যথার্থ বলেছেন, যারা একাজ করেছে তারা বকধার্মিক, তাদের ফাঁদে পা দিয়ে আমরা ইসলামের সৌন্দর্য নষ্ট করতে রাজি নয়। প্রত্যেকের স্বীয় ধর্ম পালনের অধিকার আছে। অযথা বিষয় টা আর ফেইসবুকে ঘোলাটে না করলে বেটার</t>
  </si>
  <si>
    <t>আমার কাছে তো সেকুলারদের কুকুরের মত লাগে..কাজ ই হলো ইসলামের পিছনে লেগে থাকা আর ইহুদী আব্বুদের বেলায় চুপ থাকা</t>
  </si>
  <si>
    <t>দুটো বুদ্ধের মূর্তি হর্ষের ধ্বংসাভিযানের হাত থেকে বেঁচে যায় তা রাজা জয়সিংহের (রাজত্ব ১১২৮-১১৪৯) আমলে ধ্বংসপ্রাপ্ত হয়। তাছাড়াও শ্রীনগরের কাছে আরিগোনের বৌদ্ধ বিহার আগুনে পুড়িয়ে ফেলা হয়।</t>
  </si>
  <si>
    <t>মসজিদটি রামকোট ("রামের দুর্গ") পাহাড়ের উপর অবস্থিত ছিল।[৪] হিন্দু জাতীয়তাবাদীদের মতে, বাকি জায়গাটিতে পূর্ব থেকে বিদ্যমান রামের একটি মন্দির ধ্বংস করেন। এই মন্দিরের অস্তিত্ব একটি বিতর্কের বিষয়।</t>
  </si>
  <si>
    <t>ধর্ম থাকলে সাম্প্রদায়িকতা থাকবেই। আমরা সবাই সাম্প্রদায়িকতাই বিশ্বাসী। নিজেদের বিশ্বাসকে সবার উপরে প্রতিষ্ঠা করতে চাই, যে যে ধর্মে বা যে বিশ্বাসেই বিশ্বাসী হইনা কেন। </t>
  </si>
  <si>
    <t>অনিচ্ছুক শিকারটিকে মারাত্মক জায়গার দিকে জোর করে, তাকে কাঠের উপর বসিয়ে, তার হাত-পা বেঁধে রেখেছিলেন, যাতে সে পালিয়ে না যায়, আর সেই অবস্থায় নিরীহ প্রাণীটিকে জীবন্ত পুড়িয়ে মারা হয়।</t>
  </si>
  <si>
    <t>আপনি বার বার হিন্দু ধর্ম বলছেন, কিন্তু আমাদের ধর্ম সনাতন ধর্ম</t>
  </si>
  <si>
    <t>আল্লাহর ইচ্ছা ও পরিকল্পনা অনুযায়ীই সব কিছু সংঘটিত হয়। আর আল্লাহ তা পূর্ব থেকেই নির্ধারণ করে রেখেছেন। আল্লাহ বলেন, ‘জলে ও স্থলে যা কিছু আছে তা তিনিই অবগত, তাঁর অজ্ঞাতসারে একটি পাতাও পড়ে না। মাটির অন্ধকারে (ভূগর্ভের অন্ধকার স্তরে) এমন কোনো শস্যকণাও অংকুরিত হয় না অথবা রসযুক্ত কিংবা শুষ্ক এমন কোনো বস্তু নেই যা সুস্পষ্ট কিতাবে নাই। </t>
  </si>
  <si>
    <t>এ ধর্মের শিক্ষায়, মানুষকে তাদের অন্তরের শুদ্ধতা এবং পারস্পরিক সম্পর্কের সুষ্ঠুতা বজায় রাখতে উৎসাহিত করা হয়।</t>
  </si>
  <si>
    <t>বেশি বেশি করে আমরা আল্লাহর কাছে চাইবো, হোক সেটা অসম্ভব। আল্লাহ আমাদের দোয়া এমন ভাবে কবুল করবেন যে আমরা নিজেরাই অবাক হয়ে যাবো।</t>
  </si>
  <si>
    <t xml:space="preserve">গত ২৫ ডিসেম্বর শুক্রবার দুপুরে রাজশাহীর বাগমারায় কাদিয়ানীদের উপাসনালয়ে আত্মঘাতী বোমা হামলার ঘটনা ঘটেছে। সংবাদমাধ্যমে খবর এসেছে, এ ঘটনায় বোমা হামলাকারী নিজে নিহত হয়েছে। </t>
  </si>
  <si>
    <t>বৌদ্ধ পুরুষ নামে একটি ভুয়া ফেসবুক অ্যাকাউন্টের টাইমলাইনে কোরআন অবমাননাকারী একটি ছবি ট্যাগ করার প্রতিক্রিয়ায় জনতা ১২ টি বৌদ্ধ মন্দির ও মঠ এবং ৫০ টি বাড়ি ধ্বংস করে।</t>
  </si>
  <si>
    <t>তাদের কাছে পুলিশ মূল ষড়যন্ত্রকারী লুৎফর রহমান, সাইফুল ইসলাম ও রবিউল হাসানের কথা জানতে পারে। পুলিশ বলে,"কুমিল্লার ঘটনার জের ধরে পোশাক শ্রমিকদের কৌশলে রাস্তায় নামিয়ে মন্দির ভাঙচুর করতে মুখ্য ভূমিকা পালন করে জামায়াত-শিবিরের নেতা[৬৪][৬৫] লুৎফর রহমান, সাইফুল ইসলাম ও রবিউল হাসান নামে তিন ব্যক্তি।</t>
  </si>
  <si>
    <t>সরকারী পরিসংখ্যান অনুসারে, ১৯৫৪ থেকে ১৯৮২ সালের মধ্যে এবং ১৯৬৮ থেকে ১৯৮০ সালের মধ্যে ৬,৯৩৩ জন সাম্প্রদায়িক সহিংসতার ঘটনা ঘটেছে, সেখানে [১৭] ৫৩০ জন হিন্দু এবং ১৫৯৮ জন ছিল মুসলিম, মোট ৩,৯৯৯ জন সহিংসতার ঘটনায় মারা গিয়েছিল।</t>
  </si>
  <si>
    <t>দেশ বিভাগের পর থেকে মুসলিম সম্প্রদায় গুজরাতে সহিংসতায় লিপ্ত হয়েছে। এই ঘটনার সূচনা পয়েন্টটি ছিল গোদরা ট্রেন পোড়ানো যা মুসলমানরা করেছিল বলে অভিযোগ ছিল। মৃত্যুর সংখ্যা পরিসংখ্যানগুলি সরকারী হিসেব অনুসারে ৭৯০ জন মুসলিম এবং ২৫৪ জন হিন্দু নিহত হওয়া সহ ২ হাজার মুসলমান মারা গেছে।</t>
  </si>
  <si>
    <t>যদি মেয়ে বিশ্বাস করতো যে সমাজ প্রতিবাদ করবে, তাকে সমর্থন করবে, তাকে নস্ট মেয়ে বলে ঘৃনা করবেনা তবে মেয়েটি আত্নহত্যা করতো না।</t>
  </si>
  <si>
    <t xml:space="preserve">আল্লাহ কোরআনে স্পষ্ট ভাবে বলে দিয়েছে যে মানুষ এবং জিনকে আল্লাহ খেলতাম আসার জন্য সৃষ্টি করেন নাই পৃথিবীর মধ্যে মহান ব্যক্তি হচ্ছে আমাদের নবী সাঃ আমাদের জীবন থেকে তাকে বেশি ভালবাসতে হবে| </t>
  </si>
  <si>
    <t>রূপ কানওয়ারের ক্ষেত্রে, দীনেশ ভুগরা বলেছেন যে সম্ভাবনা রয়েছে যে আত্মহত্যাগুলি "গুরুতর শোকের ফলস্বরূপ ব্যক্তিগতকরণের অবস্থা" দ্বারা উদ্ভূত হতে পারে, তারপর যোগ করেন যে এটা অসম্ভাব্য যে কানওয়ারের মানসিক অসুস্থতা ছিল এবং সংস্কৃতি সম্ভবত ভূমিকা পালন করেছে।</t>
  </si>
  <si>
    <t>বিচার না পেয়ে আত্মহত্যা, বিচার পাওয়ার জন্য আত্মহত্যা, ধর্মীয় আলোচনায় হামলা, ধর্ম পালন করতে গিয়ে হামলার শিকার, নিত্যপ্রয়োজনীয় জিনিসের চড়া দাম, ক্লাসে ছাত্রকে শিক্ষকের গুলি করা।</t>
  </si>
  <si>
    <t>আপনি আমার লেখাটি বুঝতে পারেন নি। কেউ যদি হিন্দুদের সমালোচনা করে সেটা আমাদের লাভ কারন সমালোচনার মাধ্যমে আমাদের ভুলত্রুটি বুঝে আমরা সেই ভুলত্রুটিগুলো শুধরে নিতে পারি…</t>
  </si>
  <si>
    <t>অফিসিয়ালি আজকে থেকে ঢাবিতে কুরআন পড়া নিষিদ্ধ করা হলো এর মাধ্যমে। আজকের দিনটি মনে রাখুন। বারবার এই দিনটি আগামিতে ফিরে আসবে।</t>
  </si>
  <si>
    <t>দিন দিন সামাজিক অবক্ষয় বেশি হচ্ছে ধর্মীয় অবক্ষয় সামাজিক যোগাযোগ মাধ্যমে।</t>
  </si>
  <si>
    <t xml:space="preserve">অসংখ্য ধন্যবাদ আপনাকে.. একটা অনুরোধ রইল প্রতি সপ্তাহে অন্তত একটা ভিডিও কুরআন মজিদ এর অলৌকিকতা। সত্যতা নিয়ে এধরণের বিশ্লেষণ ধর্মী ভিডিও দিয়েন.। </t>
  </si>
  <si>
    <t>২০১২ সালে রামুতে বৌদ্ধ পল্লী ও মন্দিরে হামলা হয় উত্তম বড়ুয়া নামে এক যুবকের  ধর্ম অবমাননার ফেসবুক পোস্টের কথা বলে৷ কিন্তু পরে তদন্তে ওই পোস্টের কোনো সত্যতা পাওয়া যায়নি৷</t>
  </si>
  <si>
    <t>মার্কিন যুক্তরাষ্ট্র এবং অন্যান্য পশ্চিমা সহযোগীদের অর্থায়ন ও অস্ত্র সরবারাহের মাধ্যমে হাজার হাজার ফিলিস্তিনি বেসামরিক নাগরিক- শিশু, ডাক্তার, শিক্ষক, সাংবাদিকদের হত্যা করা হচ্ছে। তাদের আচরণ অনেকটা এমন যে, এই বেসামরিক লোকেরাও যেন তাদের শত্রু। </t>
  </si>
  <si>
    <t>ভাগলপুরে সাম্প্রদায়িক দাঙ্গায় প্রায় ১,০০০ জন নিহত হন, যাদের অধিকাংশই মুসলিম, এবং বহু ঘরবাড়ি পুড়িয়ে দেওয়া হয়।</t>
  </si>
  <si>
    <t>ইহুদী আর ইসলামর ভিন্নতা শুধু সময়ের যদি দুইটা ধর্ম সম্পর্কে ধারণা থাকে,,,,,তাঁরা বনী ঈসরায়েল এর নবী রাসূল দের মানে,, আর মুসলিম রা বনী ঈসরায়েল সহ সকল নবী রাসূল কে মানেন, শেষ নবী মুহাম্মদ সল্লাল্লাহু আলাইহি ওয়াসাল্লামকে কে আদর্শ মানেন।</t>
  </si>
  <si>
    <t>১৯৪১ সালের আদমশুমারি অনুসারে পূর্ববঙ্গের জনসংখ্যার ২৪.৫% অমুসলিম, যাদের অধিকাংশ বাঙালি হিন্দু।[২] আবার পশ্চিমবঙ্গের ৩০.২%ছিল মুসলিম এবং বাকিরা সবাই ছিল হিন্দু।[৩]</t>
  </si>
  <si>
    <t>একটি গোষ্ঠী ধর্মকে নিয়ে রাজনীতি করে, তবে আমরা ধর্ম ব্যবসায়ী না, আওয়ামী লীগ ধর্মকে নিয়ে রাজনীতি করে না। ধর্ম যার যার রাষ্ট্র সবার।</t>
  </si>
  <si>
    <t>কিন্তু কিছু মানুষ আছেন যারা ধর্মে বিশ্বাস করেননা কিন্তু ধার্মিক সংখ্যালঘু তে বিশ্বাস করেন !!! তারা হলেন সেকুলার। যারা করোনার থেকেও বেশি ভয়ঙ্কর।</t>
  </si>
  <si>
    <t>উধয়নিধি সনাতন ধর্ম নির্মূলের কথা বলেছেন। শুধু তাই নয়, সনাতন ধর্মকে তিনি মশা, ডেঙ্গি, করোনা ও ম্যালেরিয়ার সঙ্গে তুলনা করেছেন।</t>
  </si>
  <si>
    <t>হিংসা আর বিদ্বেষ ছড়ানো লোকের কোন স্থান নেই।</t>
  </si>
  <si>
    <t>মহান সৃষ্টিকর্তা কেন ধর্মের কোন চিহ্ন রাখেন নাই মানব দেহে ??? কারণ তিনি জানেন সব মানুষ তিনি একই ভাবে সৃষ্টি করেছেন --- আমরা যাতে মানুষে মানুষে বিভেদ সৃষ্টি না করি।</t>
  </si>
  <si>
    <t>যে দল ধর্মভিত্তিক রাজনীতি করে, তাদের নীতি ও মতাদর্শের বিষয়ে ভিন্নমত পোষণ করলেও, এখানকার ক্ষমতাসীন দল সংখ্যালঘুদের সঙ্গে বোঝাপড়ার ক্ষেত্রটি আরও সুদৃঢ় করেছে।</t>
  </si>
  <si>
    <t>ইফতার জুম্মা আর ঈদের নামাজকে সমাজে অপ্রয়োজনীয় হিসাবে বোঝাবে। তখন মসজিদ অপ্রয়োজনীয় হয়ে পড়বে। অপ্রয়োজনীয় মসজিদ দিয়ে এতটা দামি জায়গা অযথাই অকেজো করে রাখার কোন মনে হয় না... বাবরি মসজিদ।</t>
  </si>
  <si>
    <t>বাংলাদেশে হিন্দুদের নিরাপত্তা নিয়ে ভারতের বিজেপি ও কংগ্রেসের নেতারও কথা বলছেন, এমনকি সে দেশে সোশাল মিডিয়ায় ব্যাপক আলোচনা চলছে। তবে ভারতে বিজেপি সরকার ক্ষমতায় আসার পর যে হিন্দুত্ববাদী রাজনীতি শুরু করেছে।</t>
  </si>
  <si>
    <t>মধ্যাঞ্চলীয় ক্যান্ডি শহরের কিছু কিছু এলাকায় আবার কারফিউ জারি করা হয়েছে যেখানে সংখ্যাগুরু বৌদ্ধ সিনহালারা মুসলিমদের মালিকানাধীন দোকানপাট ও বাড়িঘরে ভাঙচুর ও অগ্নিসংযোগ করছিলো।</t>
  </si>
  <si>
    <t>সাতক্ষীরায় জামায়াতে ও শিবিরকর্মীরা হিন্দু বাড়িঘর ও ব্যবসায়িক প্রতিষ্ঠানে হামলা চালায়। সাতক্ষীরা পৌরসভার কদমতলা, সিটি কলেজ মোড় এবং আবেদার হাট এলাকায় শতাধিক হিন্দু আবাস এবং ব্যবসা প্রতিষ্ঠান লুট করে ধ্বংস করা হয়।</t>
  </si>
  <si>
    <t xml:space="preserve">ধর্ম নিয়ে কটাক্ষ করে উষ্কানি মুলক পোস্ট </t>
  </si>
  <si>
    <t>কুরআনে আল্লাহ মানুষকে শেখান যে, দয়া শুধু মানুষের জন্য নয়, বরং পশু-পাখির প্রতিও সহানুভূতি থাকা উচিত।</t>
  </si>
  <si>
    <t>আপনার মত নোংরা মানসিকতার মুসলিমদের বলতে চাই এখনো সময় আছে নিজেদেরকে বদলে নিন...... শুধু আপনি কেন আপনার মত নোংরা মানসিকতার কিছু হিন্দু ভাইয়েরাও আছে তাদেরকেও বলি, এখনো সময় আছে আপনারাও ভাবনা চিন্তা বদলে ফেলেন।</t>
  </si>
  <si>
    <t>২০০৯ সালে ‘বেসিক ইনফরমেশন অন ইসলাম’ শীর্ষক দুটি সেমিনারে নবী মুহাম্মদ (সা.)-এর বিয়ে নিয়ে কটূক্তি করেছিলেন মিসেস ‘এস’ নামে অস্ট্রীয় এক নাগরিক।</t>
  </si>
  <si>
    <t>এমন অনেক কিছু আছে যার শুধু বিরোধিতা নয়, তাদের নির্মূল করতে হবে। মশা, ডেঙ্গি, করোনা ও ম্যালেরিয়া এমন বিষয় যেগুলোর আমরা বিরোধিতা করতে পারি না। এগুলিকে আমাদের নির্মূল করতে হবে। সনাতনও সেরকমই বিষয়। বিরোধিতা নয়, সনাতনের নির্মূল করাই আমাদের প্রথম কাজ।</t>
  </si>
  <si>
    <t>গত কয়েক বছর ধরে ফেসবুকে ধর্ম অবমাননার পোস্ট দেয়া হয়েছে এই অজুহাত তুলে সংখ্যালঘুদের ওপর হামলার প্রবণতা বাড়ছে৷ আবার  ভুয়া তথ্য ফেসবুকে ছড়িয়ে হামলার ঘটনাও ঘটানো হচ্ছে৷</t>
  </si>
  <si>
    <t>যেখানেই হিন্দুদেরকে পাওয়া যাচ্ছিল সেখানেই তাদেরকে হত্যা করতে শুরু করে মুসলিমরা।[১৬] বিকেলের মধ্যেই ঢাকার ৯০% হিন্দু দোকান এবং ব্যবসা প্রতিষ্ঠান[১৭] লুট করা হয় এবং সেগুলোর অধিকাংশ আগুন লাগিয়ে ছাই করে ফেলা হয়</t>
  </si>
  <si>
    <t>ফ্রান্সিস টুকারের মতে, হিন্দু সংবাদমাধ্যম বিশৃঙ্খলার মারাত্মক অতিরঞ্জিত সংবাদ প্রকাশ করেছিল।[৫১] তবে নিরপেক্ষ এবং ব্যাপকভাবে গৃহীত মতানুযায়ী মৃত্যুর সংখ্যা ছিল প্রায় ৫০০০-এর কাছাকাছি।</t>
  </si>
  <si>
    <t>যা হিন্দু ইতিহাসের একটি দুঃখজনক এবং পুনরাবৃত্তিমূলক ব্যাপার । এতে একদল ভিন্ন ধর্মীয় বিশ্বাসের লোকেরা হিন্দুধর্মের কাউকে তাদের নিজস্ব নৈতিক ও ব্যক্তিগত পরিচয়ের অনুভূতি থেকে আলাদা করে দেখে।</t>
  </si>
  <si>
    <t>আমরা ‘ভারতীয়’  এছাড়া আর কোন ধর্মের নই। আর তা হতেও চাই না।এবং আমাদের এই পরিচয়ে গর্বিত।</t>
  </si>
  <si>
    <t>হিন্দু বৌদ্ধ খ্রিস্টান ঐক্য পরিষদের সাধারণ সম্পাদক রানা দাশগুপ্ত অভিযোগ করেন, ‘‘এক ইমাম সাহেবের নেতৃত্বে হামলা হয়৷ তাদের সঙ্গে মাইকও ছিলো৷''</t>
  </si>
  <si>
    <t>ষষ্ঠীতলায় হিন্দুদের ঘরবাড়িতে অগ্নি সংযোগ। নারকেল ডাঙ্গা মেইনরোডের কাছে পড়ে আছে ৫ টি মৃতদেহ।</t>
  </si>
  <si>
    <t xml:space="preserve">শবে-বরাতের মত একটা মহিমান্বিত রাত নিয়ে যারা বাজে মন্তব্য করে আল্লাহপাক তাদের জ্ঞান দাও। </t>
  </si>
  <si>
    <t>সলামি পণ্ডিত ইবনে কাসিরের মতে, আরব পৌত্তলিকরা আল্লাহকে অদৃশ্য ঈশ্বর এবং মহাবিশ্বের স্রষ্টা ও নিয়ন্ত্রণকারী হিসেবে বিবেচনা করতো।</t>
  </si>
  <si>
    <t xml:space="preserve">বেইলী রোডের অগ্নিকাণ্ডে নিহত একজনের ধর্ম নিয়ে ধোঁয়াশা সৃষ্টি হয়েছে।  কেউ বলে হিন্দু, কেউ বলে মুসলিম।  দাহ হবে না কবর হবে, এই নিয়ে দ্বন্দ্ব কেন? </t>
  </si>
  <si>
    <t>শক্তিশালী গুপ্ত সাম্রাজ্যের আমল থেকে শাসনযন্ত্র ধীরলয়ে হিন্দুত্বের প্রভাবে ফিরে যায়। স্থানীয় রাজারা তখন থেকে বৌদ্ধ ধর্মের চেয়ে হিন্দু ধর্মের দিকে ঝুঁকে পড়ে – আর বৌদ্ধ ভিক্ষুদের চেয়ে হিন্দু ব্রাহ্মণদের সাথে মিত্রতা গড়ে তোলার দিকে বেশি মনোযোগ দিতে থাকে। </t>
  </si>
  <si>
    <t xml:space="preserve">পাঁচমিশালী বন্ধুবান্ধবের একজন ছিল স্বধর্ম বিদ্বেষী। বিশেষ কোনো কারনে তার পছন্দ ছিল খ্রিশ্চান ধর্ম। এতই পছন্দ ছিল যে সে সিদ্ধান্ত নিল ধর্মান্তরিত হবার। </t>
  </si>
  <si>
    <t>প্রতিবেদনে প্রকাশ পায় যে, ১৯৯২ সালে লোগাংয়ে শতশত লোক হত্যা করা হয় যাতে জীবন্ত পুড়ে ফেলাসহ আত্মরক্ষার্থে পালিয়ে যাবার সময় গুলি করে হত্যা করা হয়েছে। </t>
  </si>
  <si>
    <t>এদের সত্যের পথে পরিচালিত করুন, সঠিক জ্ঞান দান করুন এবং শান্তি ও আলোর পথে চলার তৌফিক দিন। ইসলামের সুন্দর শিক্ষা যেন তাদের হৃদয়ে প্রোথিত হয় এবং তারা কল্যাণের পথে অগ্রসর হতে পারে। 'লা ইলাহা ইল্লাল্লাহু মুহাম্মাদুর রাসুলুল্লাহ সাঃ'।</t>
  </si>
  <si>
    <t>২০০৭ সালের ক্রিসমাসে সহিংস ঘটনাগুলির মাধ্যমে উত্তেজনা শুরু হয় বলে জানা গেছে, যার ফলে ১০০ টিরও বেশি গির্জা এবং গির্জা প্রতিষ্ঠান পুড়িয়ে দেওয়া হয়, যার মধ্যে হোস্টেল, কনভেন্ট এবং ৭০০ টিরও বেশি বাড়িঘর ছিল। ক্রিসমাসের তিন দিনের মধ্যে তিনজন ব্যক্তি নিহত হন।</t>
  </si>
  <si>
    <t>নিউজিল্যান্ডের দুটি মসজিদে সন্ত্রাসী হামলার ঘটনায় নিজেকে নিয়ে সৃষ্ট বিতর্কের বিষয়ে মিডিয়ার ওপর ক্ষুব্ধ হয়েছেন মার্কিন প্রেসিডেন্ট ডোনাল্ড ট্রাম্প। মিডিয়া এ হামলার দায়ভার তার ওপর চাপানোর ‘হাস্যকর চেষ্টা’ করছে বলেও অভিযোগ করেন তিনি।</t>
  </si>
  <si>
    <t>আসলে মত প্রকাশের স্বাধীনতা মানে এই নয় যে, ইচ্ছেমত সব কিছু করা সম্ভব। ধর্মীয় স্বাধীনতা ও বিশ্বাস অনেকের জন্য অত্যন্ত সংবেদনশীল বিষয় এবং এটাকে তুচ্ছতাচ্ছিল্য করা চরম বোকামি ছাড়া আর কিছুই নয়।</t>
  </si>
  <si>
    <t>এই ধর্মের উপস্থিতি ১৫০৬-০৭ সালে গুরু নানকের মাধ্যমে হয় এবং গুরু নানক ফিরে গেলে তার অনুসারীরা ধর্ম প্রচারের জন্য রয়ে যায়। যখন কিছু বাঙালি এই ধর্ম বিশ্বাস গ্রহণ করে, তখন একটি শিখ সম্প্রদায়ের জন্ম হয়।</t>
  </si>
  <si>
    <t>রাজা দীনেন্দ্র স্ট্রীটের প্রায় সমস্ত হিন্দু বাড়িতে আগুন লাগিয়ে দেওয়া হয়েছে</t>
  </si>
  <si>
    <t>মুসলিমদের জন্য নামাজ যেমন ফরজ,পর্দাও তেমনি ফরজ,আপনি যদি মারা যান, মৃত্যুর পরেও শুধু বেপর্দা প্রোপাইল ছবির জন্য গুনাহ লেখা হতে থাকবে,</t>
  </si>
  <si>
    <t>অপারেশন সার্চলাইটের উদ্বোধন শেষে খুলনায় শান্তি কমিটি ও রাজাকার বাহিনী আয়োজন করা হয়। এপ্রিল মাসে, রাজাকাররা হিন্দুদের উপর নির্যাতন শুরু করে এবং তাদের সম্পত্তি লুট করে। </t>
  </si>
  <si>
    <t> রাজাকারদের একজন সেনকে জয় বাংলা বলতে বললেন। তিনি জয় বাংলা উচ্চারণ করার সাথে সাথেই একজন পাকিস্তানি সৈনিক তার রাইফেলের পিপা রজনী সেনের গলায় ঢুকিয়ে গুলি করে হত্যা করে।</t>
  </si>
  <si>
    <t> তেহরানের প্রখ্যাত গবেষক আব্বাস সালিমি নামিন। পবিত্র কোরআন অবমাননার ব্যাপারে তিনি বলেন, ‘এটা (কোরআন পোড়ানো) মুসলিমদের ধর্ম বিশ্বাসের অবমাননা। কিন্তু এর চেয়ে দুর্ভাগ্যজনক হলো মতপ্রকাশের স্বাধীনতা রক্ষার নামে বিশাল একটা জনগোষ্ঠীর ধর্মীয় মূল্যবোধকে অপমান করা হচ্ছে।’</t>
  </si>
  <si>
    <t>তার উপাসনা অথবা সহায়তা প্রার্থনার জন্যে কাউকে বা কিছুর মধ্যস্থতার প্রয়োজন নাই</t>
  </si>
  <si>
    <t>সম্প্রতি সুইডেনে যে কোরআন পোড়ানো হয়েছে, এর পেছনে রয়েছে সুইডেনে বসবাসরত এক ইরাকি খ্রিস্টান। অনেকেই মনে করেন, ইউরোপে মুসলিম ও অমুসলিমদের মধ্যে সাম্প্রদায়িক দাঙ্গা লাগিয়ে দেয়াই এই কোরআন অবমাননার উদ্দেশ্য।</t>
  </si>
  <si>
    <t>সুইডেনে মুসলিমদের পবিত্র ধর্মীয় গ্রন্থ পোড়ানো যুবক সালওয়ান মোমিকা’কে (৩৮) গুলি করে হত্যা করা হয়েছে। ধর্মীয় গ্রন্থে আগুন দিয়ে সহিংস প্রতিবাদ বিক্ষোভে উস্কানি দিয়েছিল সে।</t>
  </si>
  <si>
    <t>এই ঘটনাকে তৎকালীন বিবিসি সংবাদদাতা তুরাল ভারিয়া "ধ ঢ়ৎব-ঢ়ষধহহবফ ঢ়ড়মৎড়স," নামে উল্লেখ করেন এবং ১৯৯০ সাল থেকে এই পরিকল্পনা তৈরি হয় মর্মে তিনি তার অনুসন্ধানী রিপোর্টে বাবরী মসজিদ ধ্বংসকে "ঃযব ভরহধষ ঢ়ৎড়াড়পধঃরড়হ" নামে অভিহিত করেন। </t>
  </si>
  <si>
    <t>জুনাইদ হাফিজের পক্ষে তার প্রথম আইনজীবী ২০১৪ সালে এই মামলার দায়িত্ব নেয়ায় সে বছরই তাকে গুলি করে হত্যা করা হয়।</t>
  </si>
  <si>
    <t>স্থানীয় মুসলিমরা খুব আগ্রহ সহকারে এই পোস্টার দেখত এবং কিছু অতি উৎসাহী এর বিরুদ্ধে প্রতিশোধ নেয়ার শপথ নেয়। ১১ই ফেব্রুয়ারি গোবিন্দ পার্কে আয়োজিত র‍্যালিতে হিন্দুর রক্তের জন্য হুঙ্কার ছাড়ে মুসলিমরা।</t>
  </si>
  <si>
    <t>Ramadan কোনো মজা করার topic না যে তোমরা বিটিএস মেম্বারদের মাথায় টুপি/হিজাব ইডিট করে বসিয়ে ক্যাপশন দিবা 'আমার আর আমার জামাই (যেকোনো বিটিএস মেম্বার)এর পক্ষ থেকে রমজান মুবারক " ইত্যাদি ইত্যাদি!</t>
  </si>
  <si>
    <t>কুমিল্লায় নামাজ চলাকালে মসজিদে হামলা-ভাঙচুর, আহত ৪</t>
  </si>
  <si>
    <t>দাঙ্গাসমূহ কলকাতা সহ হিন্দু-অধ্যুষিত পশ্চিম বাংলা ও মুসলিম-অধ্যুষিত পূর্ব বাংলার (অধুনা বাংলাদেশ) মধ্যে বাংলার বিভাজনের একটি পথ উন্মুক্ত করেছিল।[৮]</t>
  </si>
  <si>
    <t xml:space="preserve">প্রত্যেকটা ইসলাম বিদ্বেষি কাজের বিরুদ্ধে মুসলমানরা প্রতিবাদ করতে গিয়ে মার খেয়ে আসে, অথচ যারা এই বিদ্বেষগুলো ছড়ায় তাদের বিরুদ্ধে কখনই কোনো ব্যবস্তা নেওয়া হয় না। এটাই হলো বাংলাদেশের বিচার ব্যবস্তা </t>
  </si>
  <si>
    <t>যখন কোনো ব্যক্তি বিধি-বিধানের বাইরে অন্য কোনো ব্যক্তির জীবন নিয়ে নেয় তখন তাকে হত্যা হিসেবে অভিহিত করা হয়। ইসলাম ধর্মে কুরআন ও হাদীসে এ জাতীয় হত্যাকে হারাম ঘোষণা করা হয়েছে।</t>
  </si>
  <si>
    <t>সোশাল মিডিয়ায় এই ঘটনার ছবি-ভিডিও ছড়িয়ে পড়ার পর চাঁদপুর, চট্টগ্রাম, কক্সবাজারেও মন্দিরে হামলার ঘটনা ঘটে। প্রশ্ন হলো, কোন ঘটনার সত্যতা যাচাই না করে ফেসবুক কর্তৃপক্ষ কেন এহেন ঘটনা প্রচার করার সুযোগ দেয়? এক্ষেত্রে ফেসবুক কর্তৃপক্ষকেও সাম্প্রদায়িক সম্প্রীতি বিনষ্টকারী বলা যায় কিনা?</t>
  </si>
  <si>
    <t>খাবারের ব্যাপারে যদি কথা বলি তাহলে বলতে হবে বিজ্ঞানের কথা যে সকল খাবার মানুষের জন্য কল্যাণকর আপনি যদি খোঁজ করেন দেখবেন ইসলামে আগে থেকেই বলেছে এই ধরনের খবর মানুষের জন্য কল্যাণকর এবং ওই ধরনের খবর মানুষের জন্য ক্ষতি</t>
  </si>
  <si>
    <t>এক হিন্দু যুবক ফেসবুকে ধর্মীয় অবমাননাকর পোস্ট দিয়েছেন- এমন অভিযোগ তুলে এলাকায় উত্তেজনা ছড়িয়ে দেয়া হয়। ওই যুবকের বাড়িটি রক্ষা করতে পারলেও বেশ কিছু দূরের হিন্দুদের বাড়ি-ঘরে আগুন দেয় উন্মত্ত জনতা।</t>
  </si>
  <si>
    <t>হিটলার এবং সাদ্দাম হোসেন বেঁচে নেই, থাকলে এমনটা দেখতে হতো না কারণ এই ইহুদিরা হিটলার এবং সাদ্দামের চোখের বালি ছিল, এজন্যই হিটলারে ৬০ লাখ ইহুদি মেরে বিশ্ব রেকর্ড ছিল।</t>
  </si>
  <si>
    <t>ইতোমধ্যে কথিত আল কায়েদার তরফ থেকে ভারত ও বাংলাদেশে হামলার হুমকি দেয়া হয়েছে। জনগণের সেন্টিমেন্ট কাজে লাগিয়ে কোনো নেপথ্য শক্তি দেশকে যেন উগ্রবাদের হুমকির মুখে ঠেলে দিতে না পারে সেদিক বিবেচনা করেও সরকারকে জনগণের ভাবাবেগের মূল্য দিতে হবে।</t>
  </si>
  <si>
    <t>আপনি যার ইবাদত বা পূজা করবেন, সেটি সম্পূর্ণ আপনার ব্যক্তিগত বিশ্বাস ও স্বাধীনতা। তবে আসুন, আমরা সবাই একে অপরের বিশ্বাসকে সম্মান করি এবং সৌহার্দ্যপূর্ণ পরিবেশ তৈরি করি।</t>
  </si>
  <si>
    <t>মুসলিম ব্রাদারহুডের কর্মীদের গ্রেফতার করার অযুহাত দেখিয়ে বাড়িঘরেও চালানো হয় হামলা ও গ্রেফতার অভিযান। গণবিধ্বংসী যান দিয়ে গণহত্যা চালানো হয় শহরজুরে। হত্যা করা হয় অন্তত ৪০ হাজার মুসলিমকে।</t>
  </si>
  <si>
    <t>মণ্ডলীর কেন্দ্রীয় প্রশাসন, যার নাম “পবিত্র পোপরাজ্য”, ইতালির রোম শহরের অভ্যন্তরীণ একটি স্বতন্ত্র নগররাষ্ট্র ভ্যাটিকান সিটিতে অবস্থিত।</t>
  </si>
  <si>
    <t>আজিব এক দুনিয়া।আসলে ডিপ্রেশনে পরলে একটা মানুষ কি পরিমান বাঁচার চেষ্ঠা করে সে জানেে।দুনিয়ার মানুষ তাকে মেরে ফেলে,খুন করে।</t>
  </si>
  <si>
    <t>আমি একজন প্র্যাকটিসিং মুসলমান। আমার ধর্ম আমাকে শিক্ষা দিয়েছে ৫ ওয়াক্ত নামাজ ফরজ, ১ মাস রোজা রাখা ফরজ, যাকাত দেয়া, হজ আদায় করা ফরজ। টাখনুর ওপর কাপড় পড়া পুরুষের জন্য ফরজ।</t>
  </si>
  <si>
    <t>আপনাকে কিছু মানুষ এখন আবার শাহবাগি ট্যাগ লাগিয়ে দিছে। আমি শুধু চিন্তা করি ওরা কারা আসলে..?যাদের বিন্দুমাত্র যোগ্যতা নেই আপনার সমালোচনা করার ওরা এইসমস্ত ট্যাগ দিয়ে বেড়ায়...!</t>
  </si>
  <si>
    <t>পরদিন এলাকায় মাইকিং করে নাসিরনগর উপজেলা সদরে আলাদা দুটি প্রতিবাদ সমাবেশ অনুষ্ঠিত হয়। সমাবেশে অংশগ্রহণকারীরা নাসিরনগরে হিন্দুদের মন্দির ও বাড়িঘরে হামলা চালায়। </t>
  </si>
  <si>
    <t>ভারতে মুসলিমদের বিরুদ্ধে সহিংসতা</t>
  </si>
  <si>
    <t>সকল হিন্দুদের বলছি প্রতিটা মন্দিরে আপনি নিরাপদ রাখতে দা কোরাল কাচি হাতে রাখুন, নিজেই করুন, নিরাপত্তা নিশ্চিত করুন।</t>
  </si>
  <si>
    <t>এক ছোটবোনের মুখে শুনলাম আহসানউল্লাহ বিশ্ববিদ্যালয়ের সেমিস্টার ফাইনাল হবে অষ্টমীর দিনে। চিন্তা করতে পারছেন সনাতন ধর্মাবলম্বী শিক্ষার্থীরা পরীক্ষা দিবে নাকি উৎসব পালন করবে</t>
  </si>
  <si>
    <t>কোরআন হেফাজত করার মালিক মহান আল্লাহ্ নিজেই।হে আল্লাহ, আপনি পবিত্র কুরআন কে হেফাজত করুন,আর চক্রান্ত কারীদের ধ্বংস করে দেনআল্লাহ বলেন.... নিশ্চয়ই কোরআন মাজীদ নাযিল করেছি এবং নিঃসন্দেহে এর হেফাজত কারী আমি নিজেই।।</t>
  </si>
  <si>
    <t>আল্লাহ এই ভিডিওট যারা যারা দেখবে শুনবে এবং এর উপর আমল করবে সবাইকে তুমি হেদায়েত করিও এবং আমি সহ সবাইকে তুমি জান্নাতি মেহমান হিসেবে কবুল করিও আমিন আর শায়েখকে নেক হায়াত দান করিও</t>
  </si>
  <si>
    <t xml:space="preserve">যেই সুশীলদের হুজুর নিয়ে এত চুলকানি; এরা মারা গেলেও ত দেখি হুজুরদের পায়ে ধরে এসে জানাজা পড়াতে নিয়ে যায়। </t>
  </si>
  <si>
    <t xml:space="preserve">বটতলায় কোরআন তেলাওয়াতের আয়োজন করা শিক্ষার্থীদের বিরুদ্ধে কেন শাস্তিমূলক ব্যবস্থা নেওয়া হবে না সেটিরও লিখিত উত্তর দিতে বলা হয়েছে আরবী বিভাগকে পাঠানো কলা অনুষদের সেই চিঠিতে। </t>
  </si>
  <si>
    <t>একভাগকে পার্শ্ববর্তী খালের ধারে নিয়ে হত্যা করা হয় এবং অপর দলকে তৎক্ষণাৎ সেখানেই গুলি করে হত্যা করা হয়।[৬] ঘটনাস্থলে মৃতদের সাথে গুলিতে আহতদের জীবিত কবর দেওয়া হয়।</t>
  </si>
  <si>
    <t>এটা সত্যিকার অর্থে একটি উপকারী গবেষণা হবে, যখন এটি মানুষের চিন্তার মতো পরিপূর্ণ হয়ে উঠবে, যখন ধর্মীয় সহিংসতার নানা উপাদান বিশ্লেষণ করে সিদ্ধান্ত নেয়ার ক্ষমতা অর্জন করবে।</t>
  </si>
  <si>
    <t>মুঘল আমলে মুসলমানদের প্রকাশ্যে খ্রিস্টধর্মে দীক্ষিত করতে পারতো না যাজকরা। কারণ বাদশাহের অনুমতি ছাড়া তারা যেমন ধর্ম পরিবর্তন করতে যেত না, তেমনি সেটা করলে যাজকদেরও বিপদে পড়তে হতো।</t>
  </si>
  <si>
    <t>পোল্যান্ডে মুসলিমদের সাংস্কৃতিক কেন্দ্র লক্ষ্য করে হামলা চালানো হয়, এতে ধর্মীয় পাঠদান ব্যবস্থা ক্ষতিগ্রস্ত হয় এবং শিক্ষার্থীরা আহত হয়।</t>
  </si>
  <si>
    <t xml:space="preserve">ছোট বেলায় অনেক বন্ধু ছিল। সবাই একসাথে খেলতাম, স্কুলে যেতাম, ঈদ হোক আর পূজো হোক সবাই একসাথেই ঘুরতে যেতাম। ধর্মীয় নয় বরং সামাজিক উৎসব হিসেবেই পরিচিত ছিল এগুলো আমাদের কাছে। মসজিদে গিয়ে যেমন শিরনী খেতাম তেমনি মন্দিরে বসে প্রসাদও খেতাম। </t>
  </si>
  <si>
    <t>তীব্র নিন্দা প্রস্তাব করলাম আমি সারা বিশ্ব মুসলিমদের উদ্দেশ্যে করে বলছি আপনার ও এর প্রতিবাদ করুন আমিন</t>
  </si>
  <si>
    <t>হে আল্লাহ! আমাদের কল্যাণ দাও পৃথিবীতে এবং কল্যাণ দান করো পরকালেও। আর জাহান্নাম থেকে আমাদেরকে রক্ষা করো। তিনি (বর্ণনাকারী) বলেন, তখন তিনি তার জন্য আল্লাহর কাছে দোয়া করেন। আর আল্লাহ তাকে সুস্থ করে দেন।</t>
  </si>
  <si>
    <t>প্রেস রিলিজে স্পেশাল রিপোর্টার বলেছেন যে "তিনি ইরানে বাহাই সম্প্রদায়ের সদস্যদের সাথে আচরণের বিষয়ে প্রাপ্ত তথ্যের দ্বারা অত্যন্ত উদ্বিগ্ন।" তিনি আরও বলেছেন যে "বিশেষ প্রতিবেদক উদ্বিগ্ন যে এই সর্বশেষ উন্নয়ন ইঙ্গিত দেয় যে ইরানে ধর্মীয় সংখ্যালঘুদের বিষয়ে পরিস্থিতি আসলে অবনতির দিকে যাচ্ছে।"</t>
  </si>
  <si>
    <t xml:space="preserve">হিন্দুদের ধর্মীয় ব্যক্তিত্ব চৈতন্য অনেক লোক জড়ো করে বিকট শব্দে কীর্তন করত। স্থানীয় মুসলমান কাজী জনগণের অসুবিধা হওয়ার কারণে এধরণের অনুষ্ঠান বন্ধ করতে নির্দেশ দিলেন। </t>
  </si>
  <si>
    <t>বাংলাদেশে আসলেই হিন্দু মুসলিমের মধ্যে সম্পর্ক কখনোই যুদ্ধংদেহী না। আমার কলেজ লাইফে তিথি রায় নামে এক হিন্দু ব্যাচমেট ছিলো, মেয়েটা খুব হাসিখুশি। আমার ঠিক পাশের সিটে ওর বেস্ট ফ্রেন্ড বসতো, টিফিনের সময় হলেই ও আমার সিটে চলে আসতো, আমি অন্য কোথাও গিয়ে টিফিন সারতাম, সালাত পড়তে যেতাম।</t>
  </si>
  <si>
    <t>যুক্তরাষ্ট্রের 'লাইব্রেরি অব কংগ্রেস' এর মতে ২০১৭ সালে ৭৭টি দেশের আইনে 'ব্লাসফেমি, ধর্ম অবমাননা, ধর্মীয় অনুভূতিতে আঘাত ও অনুরূপ আচরণ'কে অপরাধ হিসেবে চিহ্নিত করা হয়।</t>
  </si>
  <si>
    <t>কোরআনের নির্দেশনা অনুসারে, ইসলাম ধর্ম মানুষের মধ্যে শান্তি এবং সাম্যের প্রতিষ্ঠা নিশ্চিত করতে চায়।</t>
  </si>
  <si>
    <t>হিংসাত্মক ঘটনা কম পরিমাণে ১৯৮০র নভেম্বর পর্যন্ত চলেছিল। একটা কড় হিংসাত্মক ঘটনা সেপ্টেম্বরে হিন্দুদের উৎসব রাখী বন্ধন-এর দিন সংঘটিত হয়েছিল । অক্টোবরের শেষের দিকে আততায়ীর হাতে কম করে হলেও ১৪জনের মৃত্যু ঘটেছিল।</t>
  </si>
  <si>
    <t>আমরা প্রকাশ্যে কোনো মাধ্যমে নামাজ পড়তে যাবেন না, একথা বলতে চাই না।  একইসাথে মানুষ করোনা সম্পর্কে সচেতন হবে, সেটাও আমরা চাচ্ছি। কাজেই কৌশলে আমরা ব্যবস্থা নিচ্ছি।</t>
  </si>
  <si>
    <t>ধর্মের প্রতি সত্যিকারের আনুগত্যে মানুষের মধ্যে সদ্ভাবনা এবং সমঝোতা প্রতিষ্ঠিত হয়, কারণ প্রতিটি ধর্মই মানবতার মঙ্গল চায়, যেখানে ভিন্ন ভিন্ন ধর্মের মানুষ একে অপরের প্রতি সহানুভূতি ও ভালোবাসার সঙ্গে জীবনযাপন করতে পারে।</t>
  </si>
  <si>
    <t>গত বছরের ২ নভেম্বর কুষ্টিয়ার ভেড়ামারা উপজেলার মো. সেলিম খান নামের এক ব্যক্তি ফেসবুকের একটি গ্রুপে নাফিসা চৌধুরী নামের অপর এক ব্যক্তির ফেসবুকে দেওয়া একটি স্ট্যাটাসের নিচে কমেন্টের ঘরে কুরুচিপূর্ণ মন্তব্য করেন। ফেসবুকের কমেন্টের ঘরে এমন আপত্তিকর মন্তব্য পরবর্তী সময়ে ভাইরাল হয়। অনেকে এমন মন্তব্যের প্রতিবাদ জানিয়ে সেলিম খানের শাস্তি দাবি করেন।’</t>
  </si>
  <si>
    <t>জৈন ধর্মের মূলমন্ত্র হলো ‘অহিংসা পরমো ধর্ম’, যার মানে হলো, সকল জীবের প্রতি দয়ালু মনোভাব পোষণ করাই সর্বোচ্চ ধর্ম।</t>
  </si>
  <si>
    <t>ধর্মযুদ্ধে হও শহিদ যীশুর নামে করো ক্রুশ ধারণ সতীত্ব প্রমাণে দাও অগ্নিকুণ্ডে ঝাঁপ</t>
  </si>
  <si>
    <t>ধর্মীয় অনুশীলন কাঠামোতে ধর্মগ্রন্থ কিংবা ধর্ম অবমাননা সংঘটিত হওয়ার পরিপ্রেক্ষিতে মারমুখী আচরণ এবং সহিংস প্রতিক্রিয়ার প্রকাশ ইসলাম সমর্থন করে কিনা, কিংবা ধ্বংসোন্মুখ প্রতিক্রিয়াশীল কর্মকাণ্ড পরিচালনার সামান্যতমও ইঙ্গিত দেয় কিনা—তা ইসলাম ধর্মের অনুসারী হিসেবে আমাদের অবশ্যই ভেবে দেখা দরকার।</t>
  </si>
  <si>
    <t>যুদ্ধের পূর্বে ৬২৩ থেকে ৬২৪ সালের মধ্যে মুসলিম ও কুরাইশদের মধ্যে বেশ কিছু খন্ডযুদ্ধ হয়। বদর ছিল দুই বাহিনীর মধ্যে প্রথম বড় আকারের যুদ্ধ। যুদ্ধে সুসংগঠিত মুসলিমরা মক্কার সৈনিকদের সারি ভেঙে ফেলতে সক্ষম হয়।</t>
  </si>
  <si>
    <t>"আগের ঘটনাগুলোতে যেমন ফেসবুকে ধর্ম অবমাননার অভিযোগ তোলা হয়েছে। এরপর হিন্দুদের বাড়িঘ বা মন্দিরে হামলা করা হয়েছে। নড়াইলের ঘটনাও ঠিক একইভাবে ঘটানো হয়েছে" বলেন মি: আহমদ।</t>
  </si>
  <si>
    <t>আপনি ধর্মকে বাদ দিতে বলে আপনি মূর্খের প্রমাণ দিচ্ছেন।আর আপনি এখানে ইসলামকে না টানলেও পারতেন মন মানসিকতা পরিবর্তন করুন।</t>
  </si>
  <si>
    <t> ঘরে মজুদ থাকা ধান-চাল,শস্যদানা,পাট এবং ঘরের অন্যান্য ব্যবহার্য দ্রব্যাদি লুট করে নিয়ে যায়। জাহানপুর গ্রামের হিন্দু শরণার্থীদের নিকটে থাকা সোনার গহনা লুট করে মুসলিমরা।</t>
  </si>
  <si>
    <t>কুরআনে উল্লেখ করা হয়েছে যে, পশু-পাখিরাও একটি জাতি, যাদের জন্য আল্লাহ জীবন ব্যবস্থা নির্ধারণ করেছেন এবং তাদের প্রতি সদয় হওয়া আবশ্যক।</t>
  </si>
  <si>
    <t>হে আল্লাহ যে শয়তান আমাদের পবিত্র কুরআন শরীফকে পুরিয়েছে, তাকে তুমি তোমার অলৌকিক শক্তি দিয়ে তার হাত, পা, পঙ্গু করে দাও। ,</t>
  </si>
  <si>
    <t>এখন কোথায় জাতিসংঘ। কোথায় ইউনেস্কো। কোথায় মানবিধিকার সংগঠন গুলো। ইসরায়েলদের বিপক্ষে কথা বলার মতো কেউ নেই। ধিক্কার জানাই জাতিসংঘকে।</t>
  </si>
  <si>
    <t>পাকিস্তানের বেলুচিস্তানে মুসলমানের কি করছে, চীন কি করছে, সৌদি আরব কি করতেছে, ইন্দোনেশিয়ায় কি হইছে" এবং এটা অমুসলিম ভাইরা গনহারে শেয়ার দিচ্ছে।</t>
  </si>
  <si>
    <t>তবে হাশরের ময়দানে আল্লাহ চাইলে দয়া ক'রে আত্মহত্যাকারীকে মাফ করে দিতে পারেন। কারণ আল্লাহ শিরক ছাড়া অন্য যে কোন গুনাহ মাফ করে দিতে পারেন নিজের ইচ্ছাতে।</t>
  </si>
  <si>
    <t>এমন একটা সংগঠন থাকা উচিত যেখানে ধর্মে ফেরত আসা লোকদের ধর্ম শিক্ষা ও সকল সহযোগিতা করা হবে।</t>
  </si>
  <si>
    <t>ধর্মীয় শিক্ষার প্রসারতা যদি নিশ্চিত করা যায় এবং মানবীয় মূল্যবোধ ও নৈতিকতার সমন্বয় যদি বাস্তব জীবনে করা যায়, তাহলেই কেবল আত্মহত্যা থেকে পরিত্রাণ পাওয়া সম্ভব। </t>
  </si>
  <si>
    <t>এক শ্বেতাঙ্গ ব্যক্তি ধর্মীয় ও বর্ণবিদ্বেষী মনোভাব থেকে তিনটি আফ্রিকান-আমেরিকান চার্চে আগুন ধরিয়ে দেয়, যা ঘৃণাজনিত অপরাধ হিসেবে চিহ্নিত হয়।</t>
  </si>
  <si>
    <t>টঙ্গীর তুরাগ তীরে চলছে বিশ্ব ইজতেমার দ্বিতীয় পর্ব। ইজতেমার ময়দানে আগত আরও এক মুসল্লির মৃত্যু হয়েছে। সোমবার (৩ ফেব্রুয়ারি) দিবাগত রাত সাড়ে ১১টার দিকে ৩১ নাম্বার খিত্তায় তার মৃত্যু হয়।  এ নিয়ে মৃতের সংখ্যা দাড়ালো ৭ জন।</t>
  </si>
  <si>
    <t xml:space="preserve">প্রোপাগান্ডার মুল উদ্দেশ্য ধর্ম দিয়ে জাতির মেরুদণ্ড ভেঙ্গে ফেলা।  ক্রাইম। হোক সেটা কোন মুসলমান করুক কিংবা হিন্দু। </t>
  </si>
  <si>
    <t>১৩ মে তারিখে রিপোর্ট করা হয় যে, ধর্মপুর গ্রামে মুসলিমরা এক হিন্দু গৃহবধুকে ধর্ষণকালে উদ্ধার করা হয়।[৭৭] ১৬ মে তারিখে এরকম আরও দু’জন হিন্দু নারীকে উদ্ধার করা হয়।</t>
  </si>
  <si>
    <t>পুরানের অনেক রচয়িতাও মিথ্যা কলঙ্ক, অপবাদ, চরিত্রহরণের মাধ্যমে ঘৃণার এই পরম্পরা অব্যাহত রাখেন। এমনকি বিপন্ন সময়েও কোনো বৌদ্ধের বাড়িতে প্রবেশ করাকে ব্রাহ্মণদের জন্যে মহাপাপ হিসেবে তাদের ধর্মগ্রন্থ নারদীয় পুরানে আজ্ঞায়িত করা হয়। </t>
  </si>
  <si>
    <t>মানুষ তার জীবন ও সম্পদের রক্ষক। মানুষের দায়িত্ব ও কর্তব্য হলো আল্লাহর দেওয়া জীবন, আল্লাহর দেওয়া সময় বা আয়ু, আল্লাহর দেওয়া সম্পদ, আল্লাহর দেওয়া মেধা, আল্লাহর দেওয়া সুযোগ ও সামর্থ্য;</t>
  </si>
  <si>
    <t>অচিরেই বাংলাদেশে 'হিন্দু মুসলিম দাঙ্গা' হতে পারে।</t>
  </si>
  <si>
    <t>২৬ শে মার্চ, পাকিস্তানি দখলদারি সেনাবাহিনীরা অপারেশন সার্চলাইট শুরু করে এবং হিন্দুদের বিতাড়িত করতে লক্ষস্থির করে। সহস্রাধিক হিন্দুদের মার্চ এবং এপ্রিল মাসে হত্যা করা হয় ফলে হাজার হাজার হিন্দু শরণার্থী হয়ে ভারতে আশ্রয় নেয়।</t>
  </si>
  <si>
    <t>জানি না কদিন পর হয়তো এসব শুনতে হবে অশ্লীলতা ব্যক্তি স্বাধীনতা; ব্যক্তির কাছে ভাল লাগার বিষয় সুতরাং এটা হারাম কেন হবে![নাউজুবিল্লাহ]</t>
  </si>
  <si>
    <t>১৫৯৮ সালে ফাদার ফ্রান্সিসকো এবং ফাদার দমিঙ্গো ডি'সুজা হুগলীতে পৌঁছেন। তার আগে ১৫৮০ সালে পর্তুগিজরা হুগলীতে বসতি স্থাপন করেছিল। তারা পৌঁছে সেখানে তৈরি হওয়া গির্জার দায়িত্ব নিয়ে একটি স্কুল ও হাসপাতাল নির্মাণ করেন।</t>
  </si>
  <si>
    <t>অশ্বিনী কুমার দে’র এক মেয়েকে অপহরণ করে নিয়ে যায়। পরের দিন ধর্ষিত, বিকৃত, জ্ঞানশূন্য অবস্থায় হতভাগ্য মেয়েটির দেহ বাড়িতে ফেরত পাঠানো হয়।[৩৪] ১৫ই ফেব্রুয়ারির রাতে মুসলিমরা ঢাকা দক্ষিণের ভরত দত্তের দুজন অবিবাহিত মেয়েকে ধর্ষণ করে। </t>
  </si>
  <si>
    <t>এটা সে কুরআন, যা মহান আল্লাহর বাণী। যারা পুড়িয়েছে, তারা আল্লাহর পোড়া থেকে বাঁচবে কী করে? এদের চেয়ে বড় বড় ফেরাউন শেষ হয়ে গেছে। আল্লাহ আমাদেরকে হিদায়েত দিন, যেন ঈমান ঠিক থাকে।</t>
  </si>
  <si>
    <t>১৯৮৪ সালের শিখবিরোধী দাঙ্গায় হাজার হাজার শিখ সম্প্রদায়ের মানুষ হত্যা করা হয়, যা ধর্মীয় অসহিষ্ণুতার জঘন্য উদাহরণ।</t>
  </si>
  <si>
    <t>সব মানুষের কাছে তার ধর্ম সবচেয়ে বড়।ধর্মের মুল যেই বিষয়টি তাকে অবজ্ঞা, অপমান করা অন্যায়।একজনের ধর্মকে অবহেলা করা মানে নিজেরটাকেও অবহেলা করা।এটা যে বুঝে আমারটা যেমন আমার কাছে,তাদের ধর্ম ও তাদের কাছে আপন।তাই সেই লোকদের কোন ধর্ম নাই।</t>
  </si>
  <si>
    <t>নবিজি (স.) আত্মহত্যাকারীর জানাজা আদায় না করা থেকেই অনুমান করা যায় যে, আত্মহত্যা কত বড় পাপ। আত্মহত্যা ইহকাল-পরকাল উভয়টিই ধ্বংস করে দেয়।</t>
  </si>
  <si>
    <t>২১শে আগস্ট ২০০৬-এ, ৪০-বছর-বয়সী নারী, জনকরানি, সাগর জেলায় তার স্বামী প্রেম নারায়ণের অন্ত্যেষ্টিতে পুড়ে মারা যান; জনকরানিকে কেউ এই কাজ করতে বাধ্য বা প্ররোচিত করেনি।</t>
  </si>
  <si>
    <t>দ্বিতীয় বিশ্বযুদ্ধের সময়, নাৎসি এবং তাদের মিত্ররা প্রায় ষাট লাখ ইহুদিকে হত্যা করেছিল। ওই গণহত্যা ‘হলোকাস্ট’ নামে পরিচিত।</t>
  </si>
  <si>
    <t xml:space="preserve">বেগানা মহিলাদের বাস্তব চেহারা দেখা বা ছবি দেখা দুটো ই শরীয়ত বিরোধী চোখের জিনা যা হারাম। </t>
  </si>
  <si>
    <t>আল্লাহ্ যখন মুসলমানদের আলাদা কিবলা দিয়েছেন ও নবীও তা মেনে নিয়েছেন, তাহলে আল আকসা নিয়ে এত বাড়াবাড়ি না করলে ভালো হত।</t>
  </si>
  <si>
    <t>সেটিকে আমরা ষড়যন্ত্র বলেছি, তারপর দফায় দফায় বিভিন্নভাবে হামলা হয় ঠিকই, কিন্তু পূজামণ্ডপে এরকম ন্যাক্কারজনক ঘটনা এবং তাকে কেন্দ্র করে লাগাতার যে সাম্প্রদায়িকতা, অনাচার, তাণ্ডব, হত্যা, ধর্ষণ - এটা খুবই একটা ভয়াবহ পরিস্থিতি।</t>
  </si>
  <si>
    <t>ভার্সিটি-স্কুল-কলেজের শিক্ষকরা কি পরিমাণ যৌন কেলেঙ্কারি করে সেটা গুগলে একটু ঘাটাঘাটি করলেই বুঝতে পারবেন। কোন এক ভার্সিটিতে নাকি ধর্ষণে সেঞ্চুরিও হয়েছে... কই সেগুলো নিয়ে ত সেক্যু, নাস্তিকরা কোন ফ্লিম করে না।</t>
  </si>
  <si>
    <t>চরভদ্রাসন গণহত্যা ১৯৭১ সালের মে মাসের মাঝামাঝি সময়ে পাকিস্তানি দখলদার সেনা ও রাজাকারদের দ্বারা ফরিদপুর জেলার চরভদ্রাসনে নিরস্ত্র হিন্দু বাসিন্দাদের উপরে চালানো গণহত্যা বোঝায়।</t>
  </si>
  <si>
    <t>যাদের ভিতরে সামান্য কিছু ইমান আছে।তারা যেন ইজরায়েলের পন্য বর্জন করি কেননা এই পন্য বিক্রয় এর টাকা দিয়ে ফিলিস্তিনি মুসলমানদের ধ্বংস করার কাজে ব্যবহার করা হয়।</t>
  </si>
  <si>
    <t>বাংলাদেশ স্বাধীন হবার পর উক্ত স্থানে একটি স্মৃতিসৌধ বানানো হয়। স্মৃতিসৌধের গায়ে গণহত্যায় নিহত ৬৯ জনের নাম লেখা রয়েছে।[৫] ২৭ মার্চ ২০১১ সালে, রমনা কালী মন্দিরের গণহত্যায় নিহতদের সম্মানে রমনা কালী মন্দিরের সামনে প্রাঙ্গণে একটি স্মরণসভা অনুষ্ঠিত হয়।[</t>
  </si>
  <si>
    <t xml:space="preserve">এদের বিচারের আওতায় আনার সুযোগ করে দেয় কারণ এই মহলটি সমাজের শত্রু জাতির শত্রু হিন্দু মুসলিমের শত্রু  তাই আমি হিন্দু মুসলিম সম্প্রদায়ের কাছে বলছি আপনারা নিজ নিজ অবস্থান থেকে সজাগ ও সতর্ক থাকুন </t>
  </si>
  <si>
    <t>ডেপুটি পুলিশ কমিশনার ট্রেসি লিনফোর্ড বলেন, 'ডন' মার্কিন যুক্তরাষ্ট্রের ধর্মীয় মৌলবাদী কেউ হবেন বলে আমাদের বিশ্বাস এবং 'বাড়ি' বলতে  খ্রিস্টানদের স্বর্গকে উল্লেখ করা হয়েছে।</t>
  </si>
  <si>
    <t>আমার সন্তানকে নিয়ে আমি খুবই চিন্তায় ছিলাম। আপনার বয়ান শুনে আমার মনটা শান্ত হয়ে গেছে।। আল্লাহপাক যেন আমাএ সন্তানকে সুপথে নিয়ে আসে</t>
  </si>
  <si>
    <t>হে আল্লাহ তুমি ইহুদিদের যথাযথ শাস্তি দাও।যে হাতে আমাদের পবিত্র কোরআন পুড়িয়েছে ঐ হাত তুমি ধ্বংস করে দাও। পবিত্র কোরআন আপনি হেফাজত করুন।</t>
  </si>
  <si>
    <t>কিছু আলেম এই রাতে মুসলমানদের কবরস্থানে গিয়ে কুরআনের কিছু অংশ তেলাওয়াত করা এবং মৃতদের জন্য প্রার্থনা করা যুক্তিসঙ্গত বলে মনে করেন।</t>
  </si>
  <si>
    <t>ধর্ম মানুষের মধ্যে আত্মবিশ্বাস এবং দৃঢ়তা সৃষ্টি করে। এটি তাকে জীবনের কঠিন মুহূর্তে সাহসী এবং দৃঢ় থাকতে উৎসাহিত করে।</t>
  </si>
  <si>
    <t>আলহামদুলিল্লাহ। যত বেশি শুনি, ততই নিজেকে পরিবর্তন করা সহজ হয়ে যায়। Love you, উস্তাদ নোমান আলী।"</t>
  </si>
  <si>
    <t>আপনি অন্য ধর্মের একজন মহামানব কে নিয়ে বাজে মন্তব্য করে নিজেকে কি প্রমান করতে চাইলেন??</t>
  </si>
  <si>
    <t>কুমিল্লার ব্রাহ্মণপাড়া উপজেলার ধান্যদৌল গ্রামের একটি জামে মসজিদে মল-মূত্র ত্যাগ, ২৫/৩০ টি কুরআন শরীফ ছিড়ে ফেলা, কোরআন রাখার রেল ও মসজিদের ৪ টি জানালার গ্লাস ভাংচুর করার খবর পাওয়া গেছে ।</t>
  </si>
  <si>
    <t>বাংলাদেশে হিন্দুদের উপর ক্রমাগত হামলা নিয়ে গুরুতর উদ্বেগ প্রকাশ করে দক্ষিণ আসাম বাঙ্গালী হিন্দু সমিতি বাংলাদেশের হিন্দুদের উপর অত্যাচার বন্ধে ভারতীয় রাষ্ট্রপতি প্রণব মুখার্জির হস্তক্ষেপের দাবি জানায় সংগঠনটি।</t>
  </si>
  <si>
    <t>প্রাচীন আইন অনুযায়ী, কোনো ধর্মীয় সমাবেশে গন্ডগোল করা, অন্য ধর্মের সমাধিস্থানে প্রবেশ করা, ধর্মীয় বিশ্বাস অপমান করা বা ইচ্ছাকৃতভাবে কোনো ধর্মীয় স্থান বা বস্তু ধ্বংস বা তার ক্ষতি করায় সর্বোচ্চ ১০ বছরের কারাদন্ড দেয়া যেতো।</t>
  </si>
  <si>
    <t>পূজামণ্ডপটিতে কে বা কারা কুরআন রেখেছিল, তাদের চিহ্নিত করতে তদন্ত কমিটি গঠন করা হয়।[১৪] কুমিল্লায় পূজামণ্ডপের ঘটনা নিয়ে ফেসবুকে লাইভ ভিডিও ছড়ানোর জন্য ফয়েজ আহমেদকে ১৩ অক্টোবর রাতে ও গোলাম মাওলাকে ১৪ অক্টোবর রাতে পুলিশ গ্রেফতার করে।</t>
  </si>
  <si>
    <t>একদিন সব ঠিক হয়ে যাবে কিন্তু আত্মহত্যা করো না আত্মহত্যা মহাপাপ</t>
  </si>
  <si>
    <t>ধ্রুপদী ধর্মীয় বর্ণনা অনুসারে, ইসলাম পূর্ব যুগে, হানিফ ধর্মাবলম্বী আরব কবিরা, যাদের রহস্যময় ক্ষমতার অধিকারী বলেও মনে করা হত, তাদের কবিতায় একজন নবীর আসন্ন আগমনের ভবিষ্যদ্বাণী করেছিলেন।</t>
  </si>
  <si>
    <t>কারণ স্বাধীনতার নামে ভারতীয় এই অধীনতা হিন্দুত্ববাদিদের হাত ধরেই এসেছে ।</t>
  </si>
  <si>
    <t>বেশিরভাগ হিন্দু সম্প্রদায়, বিশেষ করে উত্তর ভারতে, শুধুমাত্র দুই বছরের কম বয়সীদের মৃতদেহ সমাধি করে, যেমন বাচ্চা মেয়েদের।</t>
  </si>
  <si>
    <t>আরব বিশ্ব এখনে কেনো চুপ??? আল্লাহ এই হর্তাকর্তাদের কখনোই ক্ষমা করবে না আল্লাহ তুমি নির্যাতিত মুসলিমদের সহায় হও</t>
  </si>
  <si>
    <t>এমতাবস্থায় মুসলিম প্রধান দেশগুলো নিরব ভূমিকা পালন করছে এ যেন পুরুষত্বহীন সব সরকার।</t>
  </si>
  <si>
    <t>মহাকুম্ভ মেলা ভারতের এক অদ্বিতীয় ধর্মীয় উৎসব হিসেবে পরিচিত, যেখানে প্রত্যেক মানুষ ঈশ্বরের প্রতি বিশ্বাস এবং শ্রদ্ধা নিয়ে অংশগ্রহণ করেন, কিন্তু কিছু অপ্রত্যাশিত পরিস্থিতির কারণে দুঃখজনক ঘটনা ঘটেছে।</t>
  </si>
  <si>
    <t>১৯৭৬ সালের আপোষনামায় তৎকালীন জেলা প্রশাসক মহোদয় মসজিদের নামে উক্ত জমি বরাদ্দ দেন এবং তার মাধ্যমে সেখানে মসজিদের মালিকানা প্রতিষ্ঠিত হয়।সেটার প্রমাণ দলীল আকারে সংরক্ষিত আছে কিন্তু কুচক্রী মহল তা মানতে চায় না।</t>
  </si>
  <si>
    <t>কালকে তারাবি পড়বার কারণে হোস্টেলে যাদেরকে হামলা করে আহত করা হয়েছে তারাও বিশ্বিবদ্যালয়ের শিক্ষার্থী!</t>
  </si>
  <si>
    <t>আমরা নিজেরা কোরআন পড়ি, হাদিস পড়ি, ইসলামি বিভিন্ন বই পড়ি, আর যখন কোনো মুরতাদ ইসলাম নিয়ে বিভ্রান্তি ছড়ায়, আমরা মনোযোগ দিয়ে তা পড়ি এবং যাচাই-বাছাই করে সঠিক পথের অনুসরণ করি। আল্লাহ আমাদের সঠিক বুঝ দান করুন।</t>
  </si>
  <si>
    <t>এটা কোনোভাবেই কাম্য নয়। ইসলাম কোন ধরনের ধর্মীয় সংঘাতকে সমর্থন করে না।</t>
  </si>
  <si>
    <t>আইসিএস শৈবাল গুপ্তের স্ত্রী অশোকা গুপ্ত লেখেন,স্বেচ্ছাসেবীরা যে পথে যাতায়াত করত সে পথে মুসলিমরা দলবেঁধে মল-মুত্র ত্যাগ করত।এছাড়া আবর্জনা,কাঁচের টুকরো বিছিয়ে রেখে দিত।</t>
  </si>
  <si>
    <t>এই চুক্তির অর্থ উভয় পক্ষকে একে অপরকে আক্রমণ করা, একে অপরের শত্রু সম্মেলনে যোগদান করা বা একে অপরের শত্রুদের সমর্থন করা থেকে নিষেধ করা হয়েছিল।  উইলিয়াম মন্টগোমেরি ওয়াট এটিকে মক্কা লোকদের উস্কে দেওয়ার মুহাম্মদের ইচ্ছাকৃত প্রচেষ্টা হিসাবে দেখেছিলেন।</t>
  </si>
  <si>
    <t>ধর্মের মাধ্যমে মানুষের কাছে জীবনের গভীর অর্থ এবং উদ্দেশ্য উপলব্ধি করা সম্ভব হয়, যা তাকে সত্যিকারের সুখী করে তোলে।</t>
  </si>
  <si>
    <t>আমি প্রায়ই এই জান্নাতীদের বর্ণনা শুনি, আর অভিভূত হই! মহান আল্লাহ আমাদের জন্যই রেক করেছেন! আহমাদকে সঠিকভাবে জীবন কাটানোর তাওফিক দান করুন! আমীন।</t>
  </si>
  <si>
    <t>আমার সমস্ত মন খারাপ, দুশ্চিন্তা আর হতাশার শেষ ঠিকানা এই ভিডিওটা, নিমেষেই মন ভালো হয়ে যায়, আলহামদুলিল্লাহ।</t>
  </si>
  <si>
    <t>তরবারি দিয়ে চুলের গোছা কেটে নিয়ে মনে মনে অধিষ্ঠান করলেন, ‘যদি বুদ্ধ হওয়ার মতো গুণ আমার মধ্যে থেকে থাকে তাহলে ঊর্ধ্বদিকে নিক্ষিপ্ত চুলের গোছা মাটিতে না পড়ে আকাশে স্থিত থাকুক।</t>
  </si>
  <si>
    <t>ষষ্ঠ শতকে যখন আরবে অন্ধকার যুগের যবনিকা বিদীর্ণ করে ইসলামের পুনরায় অভ্যুদয় হয়েছে তখন ব্রাহ্মণ্যবাদীদের হাতে বাংলায় চলছিল বৌদ্ধ নিধন যজ্ঞ।</t>
  </si>
  <si>
    <t>১৪ জুন সকালে, প্রায় সূর্যোদয়ের ২ ঘণ্টা পূর্বে, পাকিস্তানি সেনাবাহিনীর ২৫ থেকে ৩০ জন সৈন্যের একটি দল চারটি ট্যাংকে করে আদিত্যপুর গ্রামে এসে পৌঁছায়।[১][২] আধাঘণ্টার ভিতর পাকিস্তানি সেনাবাহিনীরা স্থানীয় রাজাকারদের সহযোগিতায় পুরো গ্রাম বেষ্টন করে ফেলে, যদিও পুরো গ্রাম তখনো নিদ্রিত অবস্থায় ছিল।</t>
  </si>
  <si>
    <t>ঠাকুরগাঁওয়ের বালিয়াডাঙ্গী উপজেলায় এক রাতে ১২টি মন্দিরের ১৪টি প্রতিমা ভাঙচুরের ঘটনা ঘটেছে। গতকাল শনিবার রাতে উপজেলার ধনতলা ইউনিয়নের আটটি, পাড়িয়া ইউনিয়নের তিনটি ও চাড়োল ইউনিয়নের একটি মন্দিরের ওই ১৪টি প্রতিমা ভাঙচুরের ঘটনা ঘটে।</t>
  </si>
  <si>
    <t>ব্যাপটিস্টদের কোনও কেন্দ্রীয় শাসন কর্তৃত্ব না থাকায়, এক গির্জা থেকে অন্য গির্জায় ব্যাপটিস্টদের বিশ্বাস সম্পূর্ণরূপে সামঞ্জস্যপূর্ণ নয় ।</t>
  </si>
  <si>
    <t>সুইডেনে পবিত্র কোরআন শরীফ পোড়ানোর প্রতিবাদে বিক্ষোভ করেছে ইসলামী আন্দোলন বাংলাদেশসহ বিভিন্ন ইসলামী সংগঠন। শুক্রবার বাদ জুমা জাতীয় মসজিদ বায়তুল মোকাররমের সামনে এ বিক্ষোভ হয়।</t>
  </si>
  <si>
    <t>এসব ফানি পোস্টে প্রচুর লাইক,কমেন্ট,শেয়ার এসেছে-ধর্মকে একটু নিচু করে দেখাতে পেরে সবাই বেশ খুশি।</t>
  </si>
  <si>
    <t>সর্বকালের সর্বশ্রেষ্ঠ মহামানব, ইসলামের শেষ নবী হযরত মোহাম্মদ (সা.) এর প্রতি ভারতের ক্ষমতাসীন বিজেপি’র মুখপাত্রদের অসম্মান ও কটূক্তিপূর্ণ মন্তব্যের জেরে বিশ্বজুড়ে তোলপাড় দেখা দিয়েছে।</t>
  </si>
  <si>
    <t>আল্লাহ তুমি ইসলামকে হেফাজত করো,,ইসলামের প্রতিটা মুসলিমকে হেফাজত দান করো এবং ইসলামের কোরআনকে হেফাজত করো,,আল্লাহ আজকের এই গটনা কোন ভাবেই মেনে নেয়া যায় না</t>
  </si>
  <si>
    <t>বুধবার সকালে কয়েক হাজার মানুষ দা-লাঠিসহ নোয়াগাঁও গ্রামে মিছিল নিয়ে এসে ভাঙচুর করে ৮৭টি হিন্দু বাড়ি। এসব বাড়িঘর থেকে লুটে নিয়ে যায় টাকাপয়সা-স্বর্ণালংকার।</t>
  </si>
  <si>
    <t>হিন্দুদের ওপর প্রতিনিয়ত অত্যাচার হচ্ছে জানিয়ে বাংলাদেশ হিন্দু পরিষদের সভাপতি দীপংকর শিকদার দিপু বলেন, ‘আমাদের ওপর এভাবে দলবেঁধে হামলা করেছে। বাড়িঘর ভাঙচুর, নারীদের শ্লীলতাহানি, লুটপাটসহ যা খুশি তা করে যাচ্ছে। আমারা দেশের শান্তিপ্রিয় মানুষ, আমরা শান্তিতে থাকতে চাই।’</t>
  </si>
  <si>
    <t>হুজুর, আপনি তো পারেন বুঝতে, কিন্তু আমরা যারা শিখতে আসছি, আমরা আপনার দ্রুত বলার সময় বুঝতে কিছুটা সময় নিতে পারি। তাই আপনি যদি গুন্নাগুলো বলার সময় একটু ধীরে বলতেন, তাহলে খুব ভালো হতো। আল্লাহ আপনাকে নেক হায়াত বাড়িয়ে দিক।</t>
  </si>
  <si>
    <t>ভারতীয় খ্যাতির প্রাথমিক দশকগুলিতে ভারতীয় হিন্দুরা এখানে খ্রিস্টান সংখ্যাগরিষ্ঠদের দ্বারা অবমাননার শিকার হয়েছিল।[৬৯] হিন্দুরা ত্রিনিদাদের ইতিহাস ও সংস্কৃতিতে অনেক অবদান রেখেছে যদিও রাজ্যটি ঐতিহাসিকভাবে হিন্দুদের দ্বিতীয় শ্রেণীর নাগরিক হিসেবে বিবেচনা করে।</t>
  </si>
  <si>
    <t>কয়দিন পরে দেখা যাবে, ইসলামের অন্য-অন্য ফরজ কাজের উপর এই সরকার হস্তক্ষেপ করবে।</t>
  </si>
  <si>
    <t>গুলজা গণহত্যা দিবস ও চীনে ২২ লাখ তুর্কি ও উইঘুর মুসলিমদের দীর্ঘদিন ধরে গণহত্যা, হত্যা, ধর্ষণ, নির্যাতন, যৌন নিপীড়ন, জোরপূর্বক আটকে রাখার প্রতিবাদে এ ‘প্রতিবাদ ও আলোচনা সভার’ আয়োজন করা হয়েছে বলে জানিয়েছে ইসলামিক প্রগতিশীল জনতা ফ্রন্ট ।</t>
  </si>
  <si>
    <t>তাদেরকে দেশত্যাগে এবং অন্য দেশে আশ্রয় নিতে বাধ্য করা হয়। নির্যাতিত হিন্দুদের মধ্যে অনেকেই ১৯৯২ সালে এবং এরপরে ভারতে শরণার্থী হিসেবে আসতে শুরু করে।[৩২][৩৩][৩২][৩২][৩৪]ভারতে ঐতিহাসিকভাবে নির্যাতিত হিন্দুদের শরণার্থীদের জন্য নাগরিকত্ব (সংশোধন) আইন, ২০১৯ তৈরি করা হয়েছে।</t>
  </si>
  <si>
    <t>টুপি পরিধান করুন (সুন্নাত কিনা সে তর্ক রাখুন। সুন্নাহ না হলেও এটা মুসলমানিত্বের চিহ্ন। আইডেনটিটি পলিটিক্স)</t>
  </si>
  <si>
    <t>পৃথিবীর শ্রেষ্ট চরিত্রবান মহামানব গৌতম বুদ্ধ। ওনি সকল মহামনবের আদর্শ। বুদ্বর আদর্শই পৃথিবীতে শান্তি আনা সম্ভব।</t>
  </si>
  <si>
    <t xml:space="preserve">যারা আত্মহত্যা করে তারা বেশীরভাগ ইসলাম ধর্মের বাহিরে চলে যায়,অথাৎ ধর্ম পালন করে না,দুনিয়ার মোহে পড়ে আল্লহকে ভুলে যায় ! </t>
  </si>
  <si>
    <t>মার্কেটিং করা হয়নি বিষয়টি নিয়ে। সেই সঙ্গে পর্যটকদের ওসব জায়গায় যাবার জন্য অবকাঠামো, তারা কোথায় গিয়ে থাকবেন এসব বিষয়ে প্রয়োজনীয় উদ্যোগ নেওয়া হয়নি।</t>
  </si>
  <si>
    <t>ধর্মের ক্ষেত্রেও আমাদের তাই করা উচিত। হুজুর বা পুরোহিত বা যাজকের কথা শুনে ধর্ম পালন করবেন না। নিজে ধর্মগুলো মনোযোগ দিয়ে পড়ুন। নিজের বিচারবুদ্ধি অনুযায়ী সেগুলোর যথার্থতা বিচার করুন। তার পর সিদ্ধান্ত নিন।</t>
  </si>
  <si>
    <t>দলিত বিদ্রোহ এগিয়ে নিতেই আমরা বৌদ্ধ ধর্ম গ্রহণ করলাম..আরো যে সব দলিত নীরবে নির্যাতন ভোগ করছে, তারাও আজ অথবা কাল বৌদ্ধ হয়ে যাবে।</t>
  </si>
  <si>
    <t>হয়তো এমন কোনো দেশ নেই যেখানে, ধর্মীয় উৎসব পালন করলে স্বাধীনতার খায়েশ বলে বিকৃত মানসিকতার পরিচয় দেওয়া হয়। ২টি সম্পূর্ণ পৃথক ইস্যু কে এভাবে উপস্থাপন করা কতটা লজ্জাজনক?</t>
  </si>
  <si>
    <t>ইসলাম এবং নারীবাদ---এই শব্দবন্ধ দেখে অনেকেরই মনে প্রথম যে প্রতিক্রিয়া হবে তা হচ্ছে এ দুটি পরস্পর বিরোধী একটি ব্যাপার। অনেক মুসলিম নারীবাদকে সমর্থন করেন না। এ নিয়ে সামাজিক মাধ্যমসহ বিভিন্ন প্ল্যাটফর্মে বিতর্ক আর বিতণ্ডারও শেষ নেই।</t>
  </si>
  <si>
    <t xml:space="preserve">যতটুকু শুনেছি দু'জন লোক মসজিদে হোন্ডা (মোটরসাইকেল) নিয়ে নামাজ পড়তে এসেছিল। আসরের নামাজ। তো নামাজ পড়া শেষে, যে কোনো কারণেই হোক তাদের সঙ্গে মসজিদে যারা ছিল, </t>
  </si>
  <si>
    <t>হিন্দুধর্ম এবং অন্যান্য ঘৃণ্য অপরাধ সম্পর্কে সচেতনতা ছড়িয়ে দেওয়ার জন্য মেয়র একটি পরিচ্ছন্নতা অভিযানের প্রচেষ্টা করেছিলেন। মন্দিরে হামলার জন্য ১৭ বছর বয়সী একজনকে গ্রেফতার করা হয়েছিল।[</t>
  </si>
  <si>
    <t>আপনি মুসলিম হওয়া সত্ত্বেও আপনাকে কেউ মুসলিম বললে যদি আপনার অনুভূতিতে আঘাত লাগে, তাহলে আপনি ইসলাম ত্যাগ করা উচিত। ঠিক তেমনি অন্য ধর্মের বেলায়ও।</t>
  </si>
  <si>
    <t>আল্লাহ আপনাকে দীর্ঘ হায়াত দান করুন। যাতে সামনে আমরা আরো এমন লেকচার পেতে পারি। আল্লাহ আপনাকে সাদাকায়ে জারিয়ার সওয়ব দান করুন</t>
  </si>
  <si>
    <t>ইরাকে শিয়া-সুন্নি বিভেদের ফলে আত্মঘাতী হামলা ও সাম্প্রদায়িক সহিংসতায় হাজার হাজার মানুষের মৃত্যু ঘটেছে।</t>
  </si>
  <si>
    <t> ব্রিটিশ শাসন ১৯৪৬ সালের অক্টোবর-নভেম্বর সংগঠিত তৎকালীন পূর্ববঙ্গের নোয়াখালী ও ত্রিপুরা জেলায় স্থানীয়দের দ্বারা সংঘটিত ধারাবাহিক গণহত্যা, ধর্ষণ, অপহরণ, হিন্দুদের জোরপূর্বক ধর্মান্তর, লুটপাট এবং অগ্নিসংযোগের ঘটনা।</t>
  </si>
  <si>
    <t>কিন্তু সকাল গড়িয়ে দুপুরে পৌঁছানোর আগেই ঢাকার বিভিন্ন পাড়া-মহল্লায় বিক্ষোভ মিছিল শুরু হয়। বিভিন্ন জেলায়ও একই ধরণের বিক্ষোভ মিছিল হয় বিক্ষুব্ধ ইসলামী জনতার ব্যানারে।</t>
  </si>
  <si>
    <t>বিভিন্ন ধর্মের পবিত্র ইতিহাস ও আখ্যান রয়েছে, যা পবিত্র গ্রন্থ, প্রতীক ও পবিত্র স্থানগুলোতে সংরক্ষিত হতে পারে, যার প্রাথমিকভাবে উদ্দেশ্য জীবনের অর্থ প্রদান। </t>
  </si>
  <si>
    <t>বাংলাদেশ পূজা উদযাপন পরিষদের সাংগঠনিক সম্পাদক বিপ্লব দে বলেন, নিহত ওই তরুণীর নাম অভিশ্রুতি শাস্ত্রী। সনাতন ধর্মের অনুসারি তিনি। পূজার্চনায় নিয়মিত অংশ নিতেন রমনা কালী মন্দির ও ঢাকেশ্বরীতে।</t>
  </si>
  <si>
    <t xml:space="preserve">আমি বাইবেল গীতা সব ধর্ম গ্রন্থ কে আমরা সম্মান করি দুঃখের বিষয় মুসলিমদের আল কুরআন পুড়িয়ে ভিন্ন দৃষ্টান্ত সৃষ্টি করেছে এর জন্য ধিক্কার জানাই ...আল্লাহ আপনি পবিত্র কুরআন শরীফ কে রক্ষা করুন আমিন </t>
  </si>
  <si>
    <t>আত্মহননের আগে সে জানতেই পারল না জীবনটি ছিল তার নিজের</t>
  </si>
  <si>
    <t>ইসলাম ধর্মে হিন্দু আর বোদ্ধ যাই বলেন সবার জান মালের নিরাপত্তার জোরালো বিধান আছে</t>
  </si>
  <si>
    <t>আহমেদাবাদের মুসলমানরা এ দাঙ্গায় সবচেয়ে বেশি ক্ষতির শিকার হয়েছিল।মুসলমানদের প্রায় ১০০ জন নিহত হয়েছিল, কয়েকশ গুরুতর আহত হয়েছিল, তাদের ২,৫০০ বাড়ি ধ্বংস হয়েছিল এবং ১২,০০০ মানুষ গৃহহীন হয়েছিল।</t>
  </si>
  <si>
    <t>ইসলামী জঙ্গিরা মিনিয়ার শহরের কপটিক খ্রিস্টানদের একটি বাসে গুলি চালিয়ে ২৮ জনকে হত্যা করে, যা দেশটিতে সংখ্যালঘু খ্রিস্টানদের বিরুদ্ধে সহিংসতার অংশ।</t>
  </si>
  <si>
    <t>খ্রিস্টান মিশনারিরা অনেক স্কুল, হাসপাতাল ও দরিদ্র ও প্রবীণ নাগরিকদের জন্য আশ্রয়কেন্দ্র ও বৃদ্ধাশ্রম পরিচালনা করেন।  তাঁরা  ভারত এবং বাংলাদেশ সরকারের নিকট থেকে সমর্থন প্রাপ্ত। বাংলা অঞ্চলে কলকাতা, ঢাকা এবং চট্টগ্রাম নগরীতে উল্লেখযোগ্য খ্রিস্টান জনগোষ্ঠী আছে।</t>
  </si>
  <si>
    <t>লোকসভা নির্বাচন ২০১৯: পশ্চিমবঙ্গের ভোটে ধর্ম এবার গুরুত্ব পাচ্ছে ?</t>
  </si>
  <si>
    <t>দক্ষিণ এশিয়ার দেশ বাংলাদেশে এই দিবসটি যথাযোগ্য মর্যাদায় প্রতি বছরই পালিত হয়। বৌদ্ধধর্মের উৎসব হলেও ধর্মীয় সম্প্রীতির দেশ হিসেবে বাংলাদেশে সর্বসাধারণের জন্য এই দিনটি সরকারি ছুটি থাকে।</t>
  </si>
  <si>
    <t>১৯৮০ - মোরাদাবাদ দাঙ্গা: উত্তরপ্রদেশের মোরাদাবাদে মুসলিম ও পুলিশের মধ্যে সংঘর্ষে প্রায় ৪০০ জন মারা যায়।</t>
  </si>
  <si>
    <t>রাসূল সাল্লাল্লাহু ‘আলাইহি ওয়াসাল্লাম মদীনাতে তার গায়েবানা জানাযা আদায় করেছিলেন। অনেক বড় বড় সাহাবী রাসূল সাল্লাল্লাহু ‘আলাইহি ওয়াসাল্লাম-এর জীবদ্দশায় ভিন্ন স্থানে মৃত্যুবরণ করেন; </t>
  </si>
  <si>
    <t>পত্রিকার কর্মকাণ্ড নিষিদ্ধ বা দৃষ্টান্তমূলক শাস্তির কথা বললে সেই খুনিদেরই পরোক্ষভাবে সমর্থন করা হয়,কারণ এখানে যারা ভিকটিম, তাদেরকেই দোষারোপ করা হচ্ছে । এখানে প্রয়োজন সহনশীলতা এবং একে অপরের বাক স্বাধীনতার প্রতি শ্রদ্ধা।</t>
  </si>
  <si>
    <t>আল্লাহ প্রদত্ত বা আসমানি ধর্মের পাশাপাশি পৃথিবীতে বহু মানবরচিত ধর্মের উদ্ভব ঘটেছে। কালের বিবর্তনে যেগুলো সমাজ ও মানবতার কল্যাণে গুরুত্বপূর্ণ ভূমিকা রেখেছে, সেগুলো টিকে রয়েছে।</t>
  </si>
  <si>
    <t>বিতর্কিত মামলা ছিল ছত্রপতি শাহুর বিধবা যিনি ১৭৪৯ সালে শাহুর মৃত্যুর পর সাতরা আদালতে উত্তরাধিকার সংক্রান্ত রাজনৈতিক চক্রান্তের কারণে সতীদাহ করতে বাধ্য হন। </t>
  </si>
  <si>
    <t>ক্যাথলিক মণ্ডলীর সাতটি প্রধান অনুষ্ঠান আছে, যাদের মধ্যে সবচেয়ে গুরুত্বপূর্ণটি হল যীশুর নিস্তারপর্বের ভোজ উদ্‌যাপন অনুষ্ঠান। বহু মানুষের উপস্থিতিতে স্ত্রোত্রপাঠের মাধ্যমে এটি সম্পন্ন করা হয়।</t>
  </si>
  <si>
    <t>লারমা ও অন্যান্য পার্বত্য আদিবাসীর প্রতিনিধিগণ বাংলাদেশের সংবিধানের খসড়ার বিপক্ষে অবস্থান নেন। তাদের মতে ঐ সংবিধানে নৃজাতিগোষ্ঠীকে স্বীকৃতিসহ অ-মুসলিম ও অ-বাঙ্গালীদের সংস্কৃতিকে স্বীকৃতি দেয়া হয়নি।</t>
  </si>
  <si>
    <t>আমি জানিনা, যে ১০টি বৌদ্ধগ্রামে আগুন লাগানো হলো, লুট করা হলো, কত মানুষ মারা গেলেন বুঝি জানা যাবে না কোনো দিন... কোনো দিন কি জানতে পারা যাবে, কোন বেহেশতের লোভ দেখিয়ে এই মানুষগুলোকে উদ্ধীপ্ত করেছে কে?’</t>
  </si>
  <si>
    <t>২৩শে এপ্রিল, গোটা রাজশাহী বিভাগ-এ সংখ্যালঘু সম্প্রদায়ের ওপর আক্রমণ শুরু হয়।. জেলাশাসক দাঙ্গা ঠেকানোর জন্যে কোনো ব্যবস্থা নেননি। কয়েকদিন ধরে খুন, ধর্ষণ, লুঠপাট চলে। রাজশাহী রেলস্টেশনে পলায়নরত হিন্দুদের ওপর আক্রমণ হয়। নাটোর রেলস্টেশন ও তার পাশের বাজারে পলায়নরত হিন্দুদের ওপর আক্রমণ হয়।[</t>
  </si>
  <si>
    <t>একমাত্র আল-কোরআন পৃথিবীতে আসার পর সমস্ত ধর্ম ও জাতিকে চ্যালেঞ্জ করেছে যে, এটাই বর্তমানে সঠিক বিধান। এটি বারবার প্রমাণ হওয়ার পরও অনেকেই তা মানে না, আফসোস।</t>
  </si>
  <si>
    <t>ইসলামি বিধানে আত্মহত্যা নাজায়েজ; এর প্রতিফল চিরস্থায়ী জাহান্নাম। যে ব্যক্তি আত্মহত্যা করে, সে শুধু তার নিজের ওপরই জুলুম করে না বরং এতে মা-বাবা, ভাইবোনসহ আত্মীয়-পরিজন সবাই খুব কষ্ট পায় এবং অত্যন্ত বিচলিতবোধ করে।</t>
  </si>
  <si>
    <t>আমি কখনো মূর্খ হিন্দুর সাথে তর্ক করি না, যার ভাষা ব্যবহার ঠিক নাই তার জ্ঞান কতটুকু হবে তা আমার জানা নাই। ধন্যবাদ আপনার অসাধারণ ব্যবহারের জন্য।</t>
  </si>
  <si>
    <t>শ্রীলঙ্কায় মুসলিমদের দোকান ও মসজিদে হামলা হয় বৌদ্ধ জাতীয়তাবাদীদের দ্বারা।</t>
  </si>
  <si>
    <t>গীতার বানী বিশ্বব্রহ্মাণ্ড সৃষ্টির বিষয়। সনাতন ধর্মে যত আলোচনা তত সঠিক তথ্য উঠে আসবে। সনাতন তথা হিন্দু ধর্মই একমাত্র মানুষের শান্তি এবং মুক্তির পথ।</t>
  </si>
  <si>
    <t>জীবনে হতাশা, দুঃখ ও নৈরাশ্য আসবে। তবে তখন ধৈর্য ধারণ করতে হবে। শয়তানের ফাঁদে পা দিয়ে নিজেকে শেষ করে দেওয়া কোনো সমাধান নয়। বরং দুঃসময়ে আল্লাহর দিকে ফিরে আসতে হবে। ইসতিগফার করতে হবে।</t>
  </si>
  <si>
    <t>মুসলিমদের প্রথম কেবলা জেরুজালেম অবশ্যই মুসলিমদের স্থান।কারণ আগের ধর্মগুলো বাতিল হয়ে ইসলাম সত্য ও চিরস্থায়ী ধর্ম হিসেবে প্রমাণিত হয়েছে মহাবিস্ময়কর,মহাবিজ্ঞানময় আল কোরআনেই।</t>
  </si>
  <si>
    <t>এটি বিধবার সম্পত্তি দখলের উপায় ছিল যার হিন্দু আইন অনুসারে তার মৃত স্বামীর সম্পত্তির উত্তরাধিকারী হওয়ার অধিকার ছিল এবং সতীদাহ উত্তরাধিকারীকে নির্মূল করতে সাহায্য করেছিল;</t>
  </si>
  <si>
    <t>ওদের কি লজ্জা আছে নাকি,পুরাই কুকুরের মত বেহায়া, বেলজ্জা।তাই ওদের কথা কখনোই ধরা উচিৎ নয়।কুত্তার দিকে তাকালেও তাদের দিকে তাকানো উচিত নয়।</t>
  </si>
  <si>
    <t>এই মৃত্যুর জন্য দায়ী মিডিয়া। ভাইরাল হওয়ায় সামাজিক ও মানসিকভাবে হেনস্থার শিকার হয়ে মৃত্যুর পথ বেছে নিয়েছেন। কিছু নামধারী সাংবাদিক, মিডিয়া ও ভূঁইফোড় নিউজ পোর্টালের বিবেকহীন রিপোর্টারদের আইনের আওতায় আনা জরুরি।</t>
  </si>
  <si>
    <t>ইহুদীদের কাছে ইজরায়েল ভূমি ধর্মীয় তীর্থস্থান। বিশেষ করে জেরুজালেম। মুসলিমদের কাছে আরবের মক্কা ও মদীনা ধর্মীয় তীর্থস্থান। সেই সাথে জেরুজালেমকেও পবিত্র নগরী মনে করেন।</t>
  </si>
  <si>
    <t xml:space="preserve">চীনের সংখ্যালঘু উইঘুর মুসলিমদের সামাজিক, রাজনৈতিক, অর্থনৈতিক ও ধর্মীয় স্বাধীনতা বিঘ্নিত। তাদের মানবিক অধিকারও লুন্ঠিত। চলছে অকথ্য অত্যাচার। গণহত্যা চালাচ্ছে শি জিনপিংয়ের সরকার। </t>
  </si>
  <si>
    <t>মনে মনে ভাবছিলাম, বাইরে হিন্দু-মুসলিম দাঙ্গা অবস্থা চলছে, আর বার্থের ভিতরে আমরা অচেনা-অজানা দুই হিন্দু-মুসলিম পরিবার, যেখানে আমাদের পোশাক আশাক দেখে আমাদেরকে 'কট্টরপন্থী মুসলিম' ভেবে নিতে ওদের দেরি হওয়ার কথা না।</t>
  </si>
  <si>
    <t>ওরে বাটপার, আল্লাহর গজব পড়বে তোর ওপর! তুই বলছিস, ইসলাম সেদিন তোর বাড়ি কয়বার তোরই তল্লাশি করতে এসেছিল?</t>
  </si>
  <si>
    <t>অ্যারিস্টোবুলাস ভারতে এক বা একাধিক উপজাতির বিধবা হিসাবে স্বামীর চিতায় আত্মত্যাগ করতে শুনেছেন সে সম্পর্কে লেখকদের বিভিন্ন মতামত রয়েছে, একজন লেখক আরও উল্লেখ করেছেন যে বিধবারা যারা মারা যেতে অস্বীকার করেছিল তাদের অপমান করা হয়েছিল।</t>
  </si>
  <si>
    <t>২ অক্টোবর রবিবার রাত সাড়ে ৯ টার দিকে কিশোরগঞ্জে শ্যাম সুন্দর জিউর আখরা ও শিব মন্দিরের দুর্গাপূজা মন্ডপে দুর্বৃত্তদের হামলা ঘটে। হামলায় মো: শফিকুল ইসলাম নামে এক পুলিশ কনষ্টেবলকে মারধর করা হয়।</t>
  </si>
  <si>
    <t>হিন্দু রক্ষা হলে পুজা কীর্তন মন্দির তৈরী করলে ধর্ম থাকবে। মন্দির আরবে কাবা মন্দির ছিল, ৮৫০০ বছর আগে সেখানে কাবা শিব মন্দির বানিয়েছিল।</t>
  </si>
  <si>
    <t>তেঘারি নামক একটি গ্রামের সকল হিন্দু প্রাণ বাঁচাতে কোলকাতায় পাড়ি জমায়। কিন্তু যাত্রাপথেও তারা নিস্তার পায়নি। তাদের সঙ্গে থাকা সকল দ্রব্যসামগ্রী আনসার বাহিনী এবং মুসলিমরা লুট করে নেয়।[</t>
  </si>
  <si>
    <t>কোরআন কে পুড়িয়েছে সে ব্যক্তির পরিচয় কিন্তু বাংলাদেশের কনো মিডিয়া প্রকাশ করেনি! কেন ? কারন যারা কোরআন পুড়িয়েছে তারা হলো ইরাকি মুসলিম</t>
  </si>
  <si>
    <t>কুমিল্লার নানুয়া দীঘির পারে একটি পূজা মন্ডবে মুর্তির পায়ের উপর কে বা কারা পৃথিবীর শ্রেষ্ঠ কিতাব পবিত্র কুরআন মাজিদ রেখে দেয়, এতে মুসলিম ধর্মের উপর সরাসরি আঘাত আসে।</t>
  </si>
  <si>
    <t>মধ্যপ্রাচ্যের বিভিন্ন দেশে শিয়া-সুন্নি সংঘর্ষ প্রায়ই প্রাণঘাতী দাঙ্গায় রূপ নেয়।</t>
  </si>
  <si>
    <t>১৮০৯ সালে উইলিয়াম কেরি বাইবেল বাংলায় অনুবাদ করেছিলেন। ব্রিটিশ ভারতের রাজধানী কলকাতায় অনেক উচ্চ-শ্রেণীর বাঙালি নবজাগরণের সময়ে মিশনারিদের প্রচারে আকৃষ্ট হয়ে খ্রিস্টধর্মে ধর্মান্তরিত হয়েছিল।</t>
  </si>
  <si>
    <t>পাকিস্তানি সৈন্যরা পৈশাচিক হাসিতে ফেটে পড়ে এবং বলে যে এটি "নৌকা" মার্কায় ভোট দেওয়ার পরিণতি। বাকি পুরুষ লোকেদের গুলি করে হত্যা করা হয়। এ সময় ৮০-১০০ জনকে হত্যা করা হয় বলে প্রত্যক্ষদর্শীদের জবানবন্দি থেকে জানা যায়। </t>
  </si>
  <si>
    <t>সাম্প্রতিক ঘটনা একজন মুসলমান হিসেবে আমার কাছে যারপরনাই হতাশাব্যঞ্জক ও নিদারুণ মর্মপীড়াদায়ক।</t>
  </si>
  <si>
    <t>অমানবিক আচরনকারীর কোথাও প্রবেশাধিকার নেই।কেউ পছন্দ করেন না। যদি কেউ ভালো পথে নেই তবে তাকে আদরে বুঝিয়ে বলুন। </t>
  </si>
  <si>
    <t>দুঃখটা এটাই যে যারা পিটিয়েছে তাদের বেশিরভাগের নামের পূর্বেই হয়তো মোঃ / মোহাম্মদ যুক্ত।</t>
  </si>
  <si>
    <t>খুলনা ধর্মসভা মন্দিরের অনুষ্ঠানে বোমা হামলা, কনস্টেবল আহত,</t>
  </si>
  <si>
    <t>রাজ রাজেশ্বরী কালীবাড়ি মন্দিরে ও হামলা করা হয় । এতে দিলীপ কুমার দাস ইটের আঘাতে আহত হন। প্রথমে তাকে কুমিল্লা মেডিকেল কলেজ হাসপাতালে নেয়া হয়। পরে অবস্থার অবনতিতে তাঁকে ঢাকা মেডিকেল কলেজ হাসপাতালে নিয়ে যাওয়া হয়। ২১ অক্টোবর তার সেখানে মৃত্যু হয়।</t>
  </si>
  <si>
    <t>পরিপূর্ণ সুন্নাহর আলোকে মুসলমান জীবনযাপন করবে, সেদিন থেকে আল্লাহ আমাদের উপর দয়া করবেন, এর বিপরীতে গেলে বিধর্মীদের অত্যাচার সহ্য করতে হবে।</t>
  </si>
  <si>
    <t>ইন্ডিয়ানাতে একটি হিন্দু মন্দিরে হামলা চালিয়ে দেব-দেবীর মূর্তি নষ্ট করা হয় এবং ইসলামবিদ্বেষী স্লোগান লেখা হয়, যা ধর্মীয় অসহিষ্ণুতার স্পষ্ট চিত্র।</t>
  </si>
  <si>
    <t>কন্নগী, তার বিপথগামী স্বামী কোবলনের সতী স্ত্রী, মাদুরাইকে মাটিতে পুড়িয়ে দেয় যখন তার স্বামীকে অন্যায়ভাবে হত্যা করা হয়, তারপর স্বর্গে কোবলনের সাথে যোগ দেওয়ার জন্য একটি পাহাড়ে উঠে। </t>
  </si>
  <si>
    <t>পাকিস্তানের আহমদিয়া মুসলিম সম্প্রদায় দীর্ঘদিন ধরে ধর্মীয় বৈষম্যের শিকার, যার ফলে বহু মানুষ সহিংস আক্রমণে নিহত হয়েছে।</t>
  </si>
  <si>
    <t>ইভ টিজিং ধর্ষণ খুন রাহাজানী এগুলো বেড়ে যাচ্ছে তাতে পাপ হয় না। সমযৌনতায় লিপ্ত হচ্ছে সেটা পাপ হচ্ছে</t>
  </si>
  <si>
    <t>ইসলাম শিক্ষা বিভাগ ইসলামিক আয়োজন করলে, ইসলামের ইতিহাস ও সংস্কৃতি বিভাগ ইসলামবিষয়ক কর্মশালার আয়োজন করলে কিংবা আরবি বিভাগ কুরআনের আসর বসালে আপনাদের এত চুলকানি তৈরি হয় কেন?</t>
  </si>
  <si>
    <t xml:space="preserve">যখনই চতুরদিকে তাকাই অন্যায়, অত্যাচার, জুলুম দেখি মনটা এলোমেলো হয়ে যায়, ভেঙে পরি তখন ওস্তাদের লেকচার শুনে আবার আশা ফিরে পাই, অন্তর দৃষ্টি খুলতে থাকে আলহামদুলিল্লাহ। </t>
  </si>
  <si>
    <t>ইসলাম বিরোধী স্পষ্ট শর্টফিল্ম। ইসলামের বিরুদ্ধে ষড়যন্ত্র এবং রাসূল (সাল্লাল্লাহু আলাইহি ওয়া সাল্লাম) এর হাদিসকে তারা সরাসরি অবমাননা করেছে।</t>
  </si>
  <si>
    <t>এই হত্যার নেপথ্যে ধর্মীয় কারণ রয়েছে। সেখানে ইসলাম বিদ্বেষ এবং অভিবাসনবিরোধী প্রচুর কথা লেখা আছে। যারা ১৬৮৩ সালের ভিয়েনা যুদ্ধ প্রতিহত করেছে, এর আগে ১১৮৯ সালে যারা জেরুজালেমকে মুসলমানদের হাত থেকে রক্ষা করেছিল, তাদের কথাও উল্লেখ করা হয়েছে।</t>
  </si>
  <si>
    <t>সিডনির একটি গুরুদ্বারে ঢুকে কিছু লোক হামলা চালায়, এতে উপাসনালয় ক্ষতিগ্রস্ত হয় এবং কয়েকজন সিখ ধর্মাবলম্বী আহত হন।</t>
  </si>
  <si>
    <t>আমার মনে পড়ে না আমরা আগে কখনো আমাদের হিন্দু ভাই ব্রাদারের সাথে পূজা বনাম ঈদ রমজান নিয়ে তর্ক করতে দেখতে। বাংলাদেশে এটলিস্ট কখনো এই ব্যাপারে এরকম কিছু হতে দেখিনি।</t>
  </si>
  <si>
    <t xml:space="preserve">প্রতিমা, পূজামণ্ডপ, মন্দিরে ভাঙচুর ও অগ্নিসংযোগের ঘটনা ঘটেছে ১ হাজার ৬৭৮টি। আসক বলছে, এসব হামলায় আহত হয়েছে ৮৬২ জন হিন্দু ধর্মাবলম্বী। নিহত হয়েছে ১১ জন। </t>
  </si>
  <si>
    <t>চুকনগর গণহত্যা একটি সামরিক গণহত্যা যা পাকিস্তান সেনাবাহিনী ১৯৭১ মুক্তিযুদ্ধ চলাকালে সংঘটিত করে। গণহত্যাটি ১৯৭১ সালের ২০ মে খুলনার ডুমুরিয়া উপজেলার চুকনগরে ঘটে[১] যা বিশ্বের কোনো মুক্তিযুদ্ধের ইতিহাসে সর্ববৃহৎ একক গণহত্যা ।[</t>
  </si>
  <si>
    <t>ফিজির মেথোডিস্ট চার্চ হিন্দু সম্প্রদায়ের সাংবিধানিক সুরক্ষায় বিশেষভাবে আপত্তি জানায়। খ্রিস্টধর্মের রাষ্ট্রীয় পক্ষপাতিত্ব এবং মন্দিরগুলিতে পদ্ধতিগত আক্রমণে ফিজিয় হিন্দুরা বড় হুমকিতে আছে। একটি মানবাধিকার কমিশন গঠন সত্ত্বেও ফিজিতে হিন্দুদের দুর্দশা অব্যাহত রয়েছে।</t>
  </si>
  <si>
    <t>বাংলাদেশের প্রধানমন্ত্রী শেখ হাসিনা ২০১৫ সালে বৌদ্ধ ঐতিহ্য বিষয়ক দু'দিনের এক আন্তর্জাতিক সম্মেলনে, বাংলাদেশে বৌদ্ধ সংস্কৃতি ও ঐতিহ্যভিত্তিক পর্যটন বিকাশের কথা বলেছিলেন।</t>
  </si>
  <si>
    <t>সত্য এসেছে এবং মিথ্যা দূরীভূত হয়েছে, নিশ্চয়ই মিথ্যা দূর হবার।</t>
  </si>
  <si>
    <t xml:space="preserve">উত্তর ভারত (ফ্যাসিম পাওয়ার হাউস): ভারতের সামাজিক-অশুভ কট্টর হিন্দু সন্ত্রাসী দ্বারা জনসাধারণে একটি মুসলিম পরিবারকে রঙিন পাউডার দিয়ে হয়রানি করা হয়েছিল। </t>
  </si>
  <si>
    <t>মানবতার চেয়ে ধর্মকে প্রাধান্য দেওয়ার প্রবণতা বহু মানুষের জীবন কেড়ে নিয়েছে, যা ইতিহাসের বেদনাদায়ক দৃষ্টান্ত।</t>
  </si>
  <si>
    <t>ওয়ানধামা গণহত্যা এবং ২০০০ সালের অমরনাথ তীর্থযাত্রার গণহত্যার মতো ঘটনায় অনেক কাশ্মীরি পণ্ডিতকে ইসলামপন্থী জঙ্গিরা হত্যা করেছে । [২১৭] [২১৮] [২১৯] গণহত্যা ও জোরপূর্বক উচ্ছেদের ঘটনাকে কিছু পর্যবেক্ষক জাতিগত নির্মূল বলে অভিহিত করেছেন। </t>
  </si>
  <si>
    <t>ডঃ তাজ-উল-ইসলাম হাশমী মনে করেন,নোয়াখালী গণ হত্যায় যে পরিমান হিন্দুকে হত্যা করা হয়েছে তার কয়েকগুন বেশি হিন্দু মহিলাদের ধর্ষণ এবং ধর্মান্তকরন করা হয়েছে।</t>
  </si>
  <si>
    <t>২০১৬ সালে উগ্রপন্থী গোষ্ঠীগুলো বগুড়ায় এক হিন্দু পুরোহিতকে হত্যা করে, যা ধর্মীয় সংখ্যালঘুদের বিরুদ্ধে সহিংসতার অংশ ছিল।</t>
  </si>
  <si>
    <t>হিন্দু মুসলিম একত্রে শান্তিতে বসবাস করলে, তারা প্রতিদিনের জীবনে শান্তি, শ্রদ্ধা এবং ভালোবাসা প্রতিষ্ঠা করে, যা তাদের সমাজের উন্নতি এবং ঐক্যকে আরও শক্তিশালী করে তোলে।</t>
  </si>
  <si>
    <t>আমার অনেক বছরের আশা পূর্ণ হল একদিনে, তোমার নুরানী ছেহারা দেখে, আর সপ্নে ও দেখেছি কত বার তোমাকে। প্রথম তোমার ভালবাসার দাওয়াত পেয়ে তোমাকে বেশিরভাগ রমজান এবং রবিউল আউয়াল মাসের ও মিলাদুন নবীর সময় দেখি বেশি।</t>
  </si>
  <si>
    <t>হযরত মোহাম্মদ (স.) কে নিয়ে ফেসবুকে আপত্তিকর মন্তব্য করায় এক আসামিকে ২৫ লাখ টাকা ব্যাংক গ্যারান্টির মাধ্যমে (মুচলেকা) জামিন মঞ্জুর করে এমন অভিমত দিয়েছেন হাইকোর্ট।</t>
  </si>
  <si>
    <t>ধর্ম মানুষকে দুনিয়ার অসারতা অনুধাবন করতে শেখায়, যা তাকে পরকালীন জীবনের ভাবনায় শান্তি ও সান্ত্বনা অর্জনে সহায়তা করে এবং স্বাভাবিক জীবনযাপনে উদ্বুদ্ধ করে।</t>
  </si>
  <si>
    <t>পুলিশ ঘটনাস্থলে পৌঁছানোর পূর্বে শ্রীলঙ্কার কলম্বোতে বাংলাদেশি প্রতিবাদকারীদের দ্বারা দূতাবাসের কিছু জানালা ভাঙচুর করা হয়, পুলিশ ঘটনাস্থলে পৌঁছে প্রতিবাদকারীদের ছত্রভঙ্গ করে।</t>
  </si>
  <si>
    <t>হাদিস শরিফে আত্মহত্যার পরিণতি উল্লেখ করে বলা হয়েছে, নবি করিম (স.) বলেছেন, তোমাদের পূর্ববর্তী লোকদের মধ্যে এক ব্যক্তি ছিল, সে আহত হয়ে ছটফট করতে লাগল। এমতাবস্থায় সে ছুরি নিয়ে নিজেই নিজের হাত কাটল এবং ব্যাপক রক্তপাত ঘটাল। এতে তার মৃত্যু হলো</t>
  </si>
  <si>
    <t>ধর্মই সকল ধর্ম কে সন্মান করতে শিখিয়েছে। যে এর বিরুদ্ধে যাবে সেই শাস্তি ভোগ করবে! আর একজন মুসলিম হয়ে এর বিরুদ্ধে রুখে দাঁড়ানো আমাদের জিবনের সব থেকে বড় দায়িত্ব।</t>
  </si>
  <si>
    <t>রামুর কায়দাতেই হামলাটি হয়, তবে এখানে আক্রান্ত হয় হিন্দু সম্প্রদায়ের মানুষ। অভিযোগও সেই পুরনো—ফেসবুকে ইসলাম বিদ্বেষী ছবি।</t>
  </si>
  <si>
    <t>আমি অন্তত ইতর সেক্যুলারদের মতো ডাবল স্ট্যান্ডার্ড নিতে পারবো না। তাই সেক্যুলারদের ফাঁদে কখনো পা না দিয়ে নিজের মতাদর্শকে সবার গর্বের সাথে বয়ে চলতে হবে।</t>
  </si>
  <si>
    <t xml:space="preserve">যারা অত্যন্ত সুপরিকল্পিতভাবে আমাদের বিরুদ্ধে অপপ্রচারে ব্যস্ত, আমাদের পাব্লিক ইমেজ নষ্ট করতে ব্যস্ত। </t>
  </si>
  <si>
    <t xml:space="preserve">পৃথিবীর প্রধান ধর্মগ্রন্হ সমূহে একত্ববাদি সৃষ্টিকর্তার কথা বলা হয়েছে।এবং এ ও বলা আছে শেষ নবী হিসাবে হযরত মুহাম্মাদ (স)এর আগমন হবে। </t>
  </si>
  <si>
    <t>সার্ক চার জাতির ক্রিকেট টুর্নামেন্ট সমাপ্ত করা সম্ভব হয়নি।৭ ডিসেম্বর,বাংলাদেশ-এ এবং ভারতীয়-এ দলের মধ্যকার খেলা চলাকালে ঢাকা জাতীয় স্টেডিয়ামে (বর্তমান বঙ্গবন্ধু জাতীয় স্টেডিয়াম) প্রায় ৫,০০০ উন্মত্ত মুসলিম জনতা লোহার রড,বাঁশের লাঠি,ছুরি, রাম দা নিয়ে আক্রমণ করে।[</t>
  </si>
  <si>
    <t>জীবাণু মারতে ফিনাইল আর জিহাদি মারতে ইসরায়েল যথেষ্ট।</t>
  </si>
  <si>
    <t>লালমনিরহাটের পুলিশ বলছে, পাটগ্রামে শহীদুন নবী জুয়েল নামে এক ব্যক্তিকে পিটিয়ে হত্যার পর পুড়িয়ে ফেলার ঘটনায় ৫ জনকে গ্রেপ্তার করা হয়েছে।</t>
  </si>
  <si>
    <t>সরকার ইচ্ছে করলেই এই ধর্মান্ধ গোষ্ঠীকে দমন করতে পারত। কিন্তু বাংলাদেশের হিন্দুদের কথা সরকার কি আদৌ ভাবে? তাদের ভোটের কোন মূল্য নেই সরকারের কাছে, তাই হয়ত সরকার আজ কোন ব্যবস্থা নিচ্ছে না।'</t>
  </si>
  <si>
    <t>আমীর সৈয়দ রেজাউল করিম বিবিসি বাংলাকে বলেন, তার এসব মন্তব্যের জন্য প্রেসিডেন্ট ম্যাক্রঁকে মুসলমানদের কাছে নি:শর্ত ক্ষমা চাইতে হবে, এবং বাংলাদেশ সরকারকে সংসদে প্রস্তাব এনে ফ্রান্সের নিন্দা করতে হবে।</t>
  </si>
  <si>
    <t>উত্তর প্রদেশের মেরঠে পুলিশ ও উগ্রপন্থীদের দ্বারা ৪০ জনের বেশি মুসলিমকে হত্যা করা হয়, যা ভারতীয় ইতিহাসের অন্যতম নৃশংস ঘটনাগুলোর একটি।</t>
  </si>
  <si>
    <t>আইএস ও তালেবান শিয়া হাজারা মুসলিমদের উপর ধারাবাহিক হামলা চালিয়ে বহু মানুষকে হত্যা করে।</t>
  </si>
  <si>
    <t>৯৭০ সালের ডিসেম্বরে পাকিস্তানি নির্বাচনে শেখ মুজিবুর রহমানের আওয়ামী লীগ দলের উত্থান বাংলাদেশের অভ্যুদয়ের সূচনা করে। ফলে পাকিস্তানি সেনাবাহিনী পূর্ব পাকিস্তানে তথা বাংলাদেশে হিন্দুদের গণহত্যা করে।</t>
  </si>
  <si>
    <t>যদিও শয়তানের আরাধনা হিসেবে বিভিন্ন নাটক এবং সিনেমায় ব্ল্যাক ম্যাস বা কালো পোশাক পরে শয়তানের পূজার রীতিকে অশুভ হিসেবেই তুলে ধরা হয়, শয়তানের এই উপাসকরা অবশ্য স্বীকার করেছেন যে, তারা কেউই শয়তানকে আধ্যাত্মিক কোন সত্ত্বা হিসেবে বিশ্বাস করেন না।</t>
  </si>
  <si>
    <t> সকাল থেকে পাড়ায় পাড়ায় চলছে নানা রকম বাহারি পিঠা, পুলি, পায়েস তৈরির ধুম। এছাড়া ওয়াগ্যোয়াই পোয়ে উৎসবের মূল আকর্ষণ হলো মঙ্গল রথযাত্রা। </t>
  </si>
  <si>
    <t>এইসব ধর্ম ব্যবসায়ী হুজুরদের কারমে মানুষ আজ কোরানে অজ্ঞ। কোরান মানার কোন খবর নাই, কোরানের জন্য জীবন দিয়ে দিবে।</t>
  </si>
  <si>
    <t>প্রাচীনত্ব ও সমন্বয়বাদী হিন্দুধর্মের যাবতীয় বিষয়ধারার উৎস হিসেবে ঋগ্বেদ সর্বাধিক গুরুত্বপ্রাপ্ত গ্রন্থ। তাই এ গ্রন্থটির পুনর্পাঠ ও আদ্যোপান্ত বিশ্লেষণ সত্যনিষ্ঠতার প্রয়োজনে জরুরী। </t>
  </si>
  <si>
    <t>স্বধর্মীয় পাকিস্তানিদেরকে (বিদেশী ) আপন ভাবা আর অন্য ধর্মাবলম্বী বাঙ্গালীকে পরজাতি এবং দূরের মনে করাটা একধরণের বিভ্রান্তিকর ধারণা এবং সাম্প্রদায়িক মানসিকতার চর্চা ছাড়া আর কিছুই নয়।</t>
  </si>
  <si>
    <t>জৈন ধর্মের অনুসারীরা নিজেদের দেহ এবং মনকে শুদ্ধ করতে, বিভিন্ন আধ্যাত্মিক অনুশীলন ও ত্যাগের মাধ্যমে আত্মানুসন্ধানে বিশ্বাস করেন।</t>
  </si>
  <si>
    <t>উপনিষদ চর্চার অপরাধে শাহজাদা দারা শুকোহকে ঔরঙ্গজেব হত্যা করেছিলেন। হিন্দু ধর্ম সেরকম নয়। ঠিক সেই আয়াতটি পড়ে আপনার কথা মিলিয়ে নেবো।</t>
  </si>
  <si>
    <t xml:space="preserve">এক দল নাস্তিকের বাচ্চারা আমাদের আল কুরআন নিয়ে কি করেছিলো, শুধু মাএ রাজনৈতিক জন্য, হিন্দু ভাইরা তখন নিস্পাপ ছিলো। </t>
  </si>
  <si>
    <t>‘কলকাতা বিশ্ববিদ্যালয়ের ওপর বাঙালী মুসলমানদের ক্ষোভ ছিল ১৯০৫-এ পূর্ব বাংলা এবং আসাম প্রদেশ গঠনের অনেক আগে থেকেই।</t>
  </si>
  <si>
    <t>"তুমি মুসলিম। মালাউনেরা তোমার বিরুদ্ধে ষড়যন্ত্র করছে" ব্যস! সাথে সাথেই দেখবে ঠিক এই জাতিই ঢাল তলোয়ার নিয়ে আবার কচু কাঁটা করে দিবে ঐ হিন্দু সম্প্রদায় কেই। তোমাদের পক্ষ নিয়ে তাঁরা আবার ফেসবুকে স্ট্যাটাস দিবে হাদিস লিখে।</t>
  </si>
  <si>
    <t>মুরাদনগর থানার ওসি এসএম বদিউজ্জামান ঘটনার সত্যতা নিশ্চিত করে বলেন,মূর্তি ভাঙচুরের ঘটনায় যাত্রাপুর মন্দির কমিটির সভাপতি বিমল দাস বাদী হয়ে মুরাদনগর থানায় অজ্ঞাতদের আসামি করে একটি মামলা দায়ের করেছেন। পুলিশ এঘটনার তদন্ত করছে। ক্যাপশনঃ যাত্রাপুর গ্রামের ভাংচুর হওয়া প্রতিমা।</t>
  </si>
  <si>
    <t>১৯৯২’র বাংলাদেশ প্রোগ্রাম হল ভারতের বাবরী মসজিদ ইস্যুকে কাজে লাগিয়ে বাংলাদেশের সংখ্যালঘু হিন্দু ও অন্যান্য সম্প্রদায়ের উপর ইসলামী মনোভাব সম্পন্ন মুসলিমদের সুপরিকল্পিত ভাবে চালানো একটি ধারাবাহিক নিপীড়ন ও নির্যাতন।</t>
  </si>
  <si>
    <t>বিভিন্ন ধর্মীয় গোষ্ঠীর মধ্যে বিদ্বেষ ছড়িয়ে পড়ার ফলে নিরপরাধ ব্যক্তি প্রাণ হারিয়েছে, যা সামাজিক সম্প্রীতির জন্য হুমকি হয়ে দাঁড়িয়েছে।</t>
  </si>
  <si>
    <t>মুসলমানের সৃষ্টি, আদিপিতা, কীভাবে পৃথিবীর বুকে মুসলমানরা আবির্ভূত হয়েছে, তার একটা কমপ্লিট পরিচিতি ও দর্শন ইসলামের ইতিহাসের মধ্যে পাওয়া যায়। সেটিই হচ্ছে মূলত মানুষ সৃষ্টির ইতিহাস, তথা মুসলিম সৃষ্টির ইতিহাস। মুসলিম হলো নূরের তৈরি মাটির সংমিশ্রণে মানুষ।</t>
  </si>
  <si>
    <t>মহানবী (সা.)-কে অবমাননাকর মন্তব্য করার প্রায় দুই সপ্তাহ পর নূপুরের বিরুদ্ধে মামলা করা হয়। সাময়িক বহিষ্কারও করা হয় তাঁকে দল থেকে। একই অভিযোগে বিজেপির দিল্লি শাখার তৎকালীন গণমাধ্যম প্রধান নবীন কুমার জিন্দালের নামও রয়েছে। তাঁকেও স্থায়ীভাবে দল থেকে বহিষ্কার করেছে বিজেপি।</t>
  </si>
  <si>
    <t>১৯৯৩ সালে ছাত্র আন্দোলনে বসতি স্থাপনকারী ও আইন-শৃঙ্খলা বাহিনীর সদস্যরা আক্রমণ করে।[৩৩][৩৪] এরপর নানিয়াচরের গণহত্যায় ১০০ লোককে হত্যা করা হয়।</t>
  </si>
  <si>
    <t>২০১৮ সালে শ্রীলঙ্কার ক্যান্ডি ও অন্যান্য অঞ্চলে বৌদ্ধ চরমপন্থী গোষ্ঠীগুলো মুসলিম ব্যবসা প্রতিষ্ঠান, মসজিদ ও ঘরবাড়িতে হামলা চালিয়ে ধ্বংস করে।</t>
  </si>
  <si>
    <t>বাংলাদেশের সাবেক পররাষ্ট্র সচিব তৌহিদ হোসেনও মনে করেন না যে নবীর কার্টুন বিতর্ক এবং প্রেসিডেন্ট ম্যাক্রঁর কিছু মন্তব্য নিয়ে বাংলাদেশে ফ্রান্সের ভাবমূর্তিতে বড় কোনো ধস নামবে।</t>
  </si>
  <si>
    <t>হিন্দু ধর্মে বিশ্বাস করা হয় যে, সকল জীবের মধ্যে ঈশ্বরের আছেন, এবং তাই সবার প্রতি সম্মান প্রদর্শন করা উচিত।</t>
  </si>
  <si>
    <t>প্রধান ফেরেশতা জিবরাঈল কাবার সাথে সংযুক্ত করার জন্য জান্নাত থেকে কালো পাথরটি নিয়ে এসেছিলেন।</t>
  </si>
  <si>
    <t>ভণ্ডামির একটা লিমিট থাকে, তিলের ভেতর তাল আর তাদের ভেতর ছাল।</t>
  </si>
  <si>
    <t>ভিডিও ও মন্ডপে কুরআন শরীফের ছবিটা যতবার দেখেছি মানসিক ভাবে আহত হয়েছি।বিক্ষুদ্ধ হয়েছি।অশ্রু ঝড়েছে।যখনই দুনিয়ার যে প্রান্তর কুরআনকে যে গোষ্ঠী বা ব্যক্তি অবমাননা করেছে তাদের বিরুদ্ধে প্রতিবাদের ঝড় উঠেছে।কারন আল কুরআনের অপমান কখনো সইতে পারেনা মুসলমান।</t>
  </si>
  <si>
    <t>ধনতলা ইউনিয়নের সিন্দুরপিণ্ডি থেকে টাকাহারা পর্যন্ত একটি হরিবাসর মন্দির, একটি কৃষ্ণ ঠাকুর মন্দির, পাঁচটি মনসা মন্দির, একটি লক্ষ্মী মন্দির ও একটি কালী মন্দিরের প্রতিমা ভাঙচুর করেছে।</t>
  </si>
  <si>
    <t>মোটেও আত্নহত্যা কে সমর্থন করছিনা। অসহায় হয়ে কেউ আত্নহত্যা করলে তাকে নরকে দেয়া অযৌক্তিক মনে হচ্ছে। পোস্ট আবার পড়ুন কি লিখছি।</t>
  </si>
  <si>
    <t>বাইরে থেকে দীর্ঘ দিন কোনো দেশকে মৌলবাদ ও জঙ্গী মুক্তরাখা যায় না। যাদের দেশে জাতীয়তাবাদী বীর সন্তান ও বীরাঙ্গনার অভাব তাদের জন্য‌ এই ভীরুর মৃত্যুই যথার্থ।</t>
  </si>
  <si>
    <t>পাকিস্থান চীন ইতিমধ্যে তালিবান শাসন সমর্থন করেছে! এখনও মানুষের জন্য কাজ করার তাগিদে যাঁরা মানুষের প্রতিনিধিত্ব করছেন তাঁরা কি ভাবছেন ? আরো শত সহস্র জঙ্গী মডিউল হলে তবে টনক নডবে? বুদ্ধিজীবিদের মিছিল কিসের জন্য আটকে?</t>
  </si>
  <si>
    <t xml:space="preserve">নিশ্চয় ইসলাম আল্লাহর নিকট (একমাত্র মনোনীত) ধর্ম। </t>
  </si>
  <si>
    <t>ড. খানের কথা, মুসলিম বিশ্বের কোথাও কোথাও যে প্রতিক্রিয়া দেখা যাচ্ছে তার সাথে প্রেসিডেন্ট ম্যাক্রঁকে নিয়ে তুরস্কের প্রেসিডেন্ট এরদোয়ানের কিছু আক্রমণাত্মক কথার সম্পর্ক রয়েছে।</t>
  </si>
  <si>
    <t>সুভায় গোবিন্দ রেস্তোরাঁর আগুনে পুড়ে যাওয়া ধ্বংসাবশেষ। ১৯ মে সুভার কেন্দ্রীয় বাণিজ্য জেলায় হিন্দুদের ১০০ টিরও বেশি দোকান ও ব্যবসা প্রতিষ্ঠান ভাঙচুর করা হয়।</t>
  </si>
  <si>
    <t>সব কিছু মেয়েদের উপর চাপিয়ে দেওয়া। নিজস্ব স্বাধীনতা বলে কিছু নাই।চারটে বিয়া করতে দোষ নাই।</t>
  </si>
  <si>
    <t>সিঙ্গাপুরে ২০২০ সালে অজ্ঞাত ব্যক্তিরা একটি ইসলামিক সেন্টারে ঢুকে ভাঙচুর চালায়, এতে শিক্ষার্থীরা আতঙ্কিত হয়ে পালাতে গিয়ে আহত হয়।</t>
  </si>
  <si>
    <t xml:space="preserve">। আমার মাথাব্যথার কারণ হল আপনার ধর্মের সব চেয়ে সম্মানিত মানুষ যিনি আপনার জন্মের ১৪০০ বছর আগে রাতভর নামাজে দাঁড়িয়ে আপনার জন্য কাঁদতে কাঁদতে ক্ষমাপ্রার্থনা করে গেছেন, </t>
  </si>
  <si>
    <t>আফগানে আমেরিকা শাসন করে দেশের সবকিছু শোষন করে নিয়ে গেল কত সাধারন মানুষকে গুলি করে হত্য করলো তখন আপনার বানী কোথায় ছিল।</t>
  </si>
  <si>
    <t>ইসলামি ঐতিহ্য অনুসারে, ইব্রাহিমকে আল্লাহ তার (ইব্রাহিম) স্ত্রী হাজেরা এবং তার শিশুপুত্র ইসমাইলকে প্রাচীন মক্কার মরুভূমিতে একা রেখে যাওয়ার নির্দেশ দিয়েছিলেন। </t>
  </si>
  <si>
    <t>ঢাকার কাছে কুমিল্লার মুরাদনগরের সম্প্রতি সনাতন ধর্মাবলম্বীদের বাড়ি ঘর, উপাসনালয়ে হামলা এবং ভাংচুর নিয়ে নানা আলোচনা হচ্ছে।</t>
  </si>
  <si>
    <t xml:space="preserve">আমরা ধর্ম নিয়ে কোন ভাবে যুদ্ধ করতে চাই না। সবাই যেন নিজ নিজ ধর্ম স্বাধীনভাবে পালন করতে পারি এটাই আমাদের প্রত্যাশা </t>
  </si>
  <si>
    <t>গাজায় চলমান যুদ্ধ শুরুর অনেক আগে ইসরায়েলি বিখ্যাত সাংবাদিক আরি শাভিভ ভবিষ্যদ্বাণী করেছিলেন যে, ইসরায়েল এমন ধ্বংসাত্মক পথে চলতে থাকলে দেশটি নিজেই ধ্বংস হয়ে যাবে। </t>
  </si>
  <si>
    <t>ওই ঘটনায় সবচেয়ে বেশি ক্ষতিগ্রস্ত হয়েছে স্থানীয় মুসলমান ও বৌদ্ধ সম্প্রদায়ের মধ্যে সৌহার্দ, সম্প্রীতির জায়গাটি। যা ১০ বছর পরেও এখনও পুরোপুরি আগের অবস্থায় ফিরে আসেনি।</t>
  </si>
  <si>
    <t>সাভারে হিন্দু পরিবারের ওপর সন্ত্রাসী হামলা উচ্ছেদের হুমকি,</t>
  </si>
  <si>
    <t>আল্লাহর নির্দেশনা মেনে চললে আমরা জীবনের উদ্দেশ্য এবং লক্ষ্য বুঝতে পারি, এবং আল্লাহ আমাদের জীবনে সুখ ও শান্তি প্রদান করেন।</t>
  </si>
  <si>
    <t>অস্ট্রেলিয়ার কুইন্সল্যান্ডে গত ১২ ডিসেম্বর বন্দুকযুদ্ধে ২ পুলিশ কর্মকর্তার নিহতের ঘটনাকে 'ধর্মীয় উগ্রবাদী সন্ত্রাসী হামলা' হিসেবে ঘোষণা দেওয়া হয়েছে।</t>
  </si>
  <si>
    <t>বাংলাদেশের মুসলমানদের ইসলামের প্রতি সাধারণ ব্যাক্তিগত অঙ্গীকার সত্ত্বেও ইসলামি রীতিনীতি পালন সামাজিক অবস্থান, স্থানীয় ও ব্যাক্তিগত বিবেচনা অনুযায়ী পরিবর্তিত হয়।</t>
  </si>
  <si>
    <t>মালয়েশিয়ার প্রধানমন্ত্রীর কাছে অভিযোগ দায়ের করে বেশ কয়েকটি এনজিও'র জোট "হিন্দু রাইটস অ্যাকশন ফোর্স" এই ধ্বংসের প্রতিবাদ করে। [৪৪]একে মালয়েশিয়ায় মন্দির ধ্বংস করার একটি পরিকল্পিত পরিকল্পনা বলে অনেক হিন্দু অ্যাডভোকেসি গ্রুপ প্রতিবাদ করে।</t>
  </si>
  <si>
    <t>এ ধরনের হত্যাকাণ্ড ও তাণ্ডব চলছিল, তখন রমনা কালী মন্দির ও মা আনন্দময়ীর আশ্রম আগুনে প্রচণ্ডভাবে জ্বলছিল।</t>
  </si>
  <si>
    <t>হিন্দুদের ধর্মীয় স্বাধীনতা অস্বীকার করে বা সীমাবদ্ধ করে। এর মধ্যে রয়েছে রাষ্ট্রীয় সমর্থিত কাজ যেমন ধর্মীয় প্রতীককে কলুষিত করা,মন্দির, প্রতিমা ধ্বংস করা ও অগ্নিসংযোগ করা।</t>
  </si>
  <si>
    <t>ব্রিটিশ শাসকরা ধর্মের ভিত্তিতে দেশভাগ করে যে চারা রোপণ করেছিল, তাকেই জল, সার দিয়ে রাজনীতিকরা বড় করে এখন একটা মহীরুহের রূপ দিয়েছেন। </t>
  </si>
  <si>
    <t>আমাদের রব তো আপন মা বিধর্মী হলেও তাকে মায়ের সম্মান দিতে বলেছেন, শুধু তাই নয়, আপন ভাইয়ের সাথে দেখা হওয়ার পর মুচকি হাসা দেওয়াও সদকাহ বা দান করার সমান সওয়াব।</t>
  </si>
  <si>
    <t xml:space="preserve">হিন্দু অধিকারের নামে সংখ্যাগরিষ্ঠ মুসলিমদেরকে ক্ষুদ্রধর্মীয় তথা হিন্দু রিতি মেনে চলতে বাধ্য করা গুরুতর অন্যায় ও বাংলাদেশের সংবিধান পরিপন্থী আচারন । </t>
  </si>
  <si>
    <t>আমরা গোয়েন্দা সংস্থাগুলোকে এ বিষয়টি খতিয়ে দেখার আহ্বান জানাচ্ছি। বিনা কারণে কেন একজন নওমুসলিমকে আটকে রাখবে? কেন তাকে জামিন দিবে না?</t>
  </si>
  <si>
    <t>মর্মের আলোতে আমি তোমার আত্মত্যাগ করব।</t>
  </si>
  <si>
    <t>শুধু ভারত বিরোধিতা অন্ধকারে ঢিল ছুড়ার মতো। ভারত বিরোধিতা করলাম কিন্তু হিন্দুদের ভাই বলে সব সুবিধা দিলাম। তাদেরকে, খুশি করতে দাদা দাদা বলে সব এগিয়ে দিলাম। তাহলে তো আক্ষরিক অর্থে ভারত বিরোধিতা হলো না।</t>
  </si>
  <si>
    <t xml:space="preserve">জেনারেল পোলাপানরা যে হারামকে হালাল বানানোতে উঠে-পড়ে লেগেছে। হারামকে হারাম মনে না করে ট্রেন্ড মনে করছে, যুগের সাথে তাল মিলিয়ে চলা ভাবছে। এটা হল সবচেয়ে বড় ফিতনা, </t>
  </si>
  <si>
    <t>জাহান্নামে যাতে পুড়তে পারে সে জন্য সুন্দর করে গান করে বিদায় দিচ্ছে।</t>
  </si>
  <si>
    <t>আখিরাতের উপর দুনিয়াকে প্রাধান্য দিলে দুনিয়াও হারাতে হবে সাথে আখিরাতও। দুনিয়াতো হলো আখিরাতের শস্যক্ষেত্র ।এ শস্যক্ষেত্রে যে ফসল ফলাবে না সে আখিরাতকে হারিয়ে ফেলবে। </t>
  </si>
  <si>
    <t>রাসূলুল্লাহ (সাঃ) এক টুকরা গোশত উঠিয়ে মুখে দিলেন। সাথে সাথে গোশত বলে উঠল, ইয়া রাসূলুল্লাহ (সাঃ) আমার সাথে বিষ মিশ্রিত আছে, আপনি আমাকে ভক্ষণ করবেন না। রাসূলুল্লাহ (সাঃ) তৎক্ষণাৎ টুকরাটি ফেলে দিলেন। এবং সাথে সাথে সাহাবিদেরকে এ গোশত খেতে নিষেধ করলেন।</t>
  </si>
  <si>
    <t>আরিফুল ইসলাম নামে এক ব্যাক্তি মোটরসাইকেল করে এসে লাঠি ও ধারালো অস্ত্র দিয়ে মন্দিরে প্রতিমা ভাংচূর করে। মন্দিরে দুটি লক্ষী মন্দির, একটি কালী মন্দির ও একটি শিব মন্দির ছিল।</t>
  </si>
  <si>
    <t>সতীদাহ প্রথার সমর্থন, যার মধ্যে জোরপূর্বক কাউকে সতীদাহের মাধ্যমে মৃত্যু দেওয়া বা বাধ্য করা, মৃত্যুদণ্ড বা যাবজ্জীবন কারাদণ্ডের শাস্তি হতে পারে, যখন সতীদাহ মহিমান্বিত করা এক থেকে সাত বছরের কারাদণ্ডে দণ্ডিত।</t>
  </si>
  <si>
    <t>এমন জঘন্য কাজের তীব্র নিন্দা জানাই। পবিত্র কুরআন পোড়ানো স্বাধীন মত প্রকাশের উপায় হতে পারে না। একটি সভ্য দেশে ধর্ম নির্বিশেষে কাউকে তা করতে দেওয়া উচিত নয়। দুর্ভাগ্যবশত, এটি তথাকথিত সভ্য দেশে ঘটেছে..হায়রে! মত প্রকাশের স্বাধীনতার জন্য সভ্য দেশ ও জনগণ..</t>
  </si>
  <si>
    <t>চঞ্চল চৌধুরী কে শুধুমাত্র হিন্দু পরিচয় এর কারণে কমেন্ট বক্সে হেনস্থা/অপমানিত করা আর মাহমুদুল হাসান সোহাগ ভাই কে তার "ড্রেস আপ এর জন্য জংগী বলা" বা "তার লাইফের পারপাস মানুষ কে জান্নাতে নিয়ে যাওয়া" কে জংগীবাদী মনোভাব বলা একই ধরণের অপরাধ।</t>
  </si>
  <si>
    <t>ভারতবর্ষের বিভিন্ন স্থানে হিন্দুশক্তি তার অস্তিত্ব টিকিয়ে রাখলেও বৃহত্তর পরিসরে তা স্থায়ীভাবে প্রতিষ্ঠিত হতে পারেনি। তবে বাংলা ছিল ব্রাহ্মণ্যবাদী শক্তির শক্তিশালী ঘাঁটি। সব শেষে বাংলা থেকে ব্রাহ্মণ্যবাদী শক্তির প্রাধান্য কমে যাওয়ার পর, রাজনৈতিক কাঠামো নতুন দৃষ্টিতে বিকশিত হয়।</t>
  </si>
  <si>
    <t>মধ্যাহ্নে মুসলিমরা সমগ্র খুলনাব্যাপী মিছিল বের করে এবং মিছিল থেকে হুঙ্কার আসতে থাকে, ‘হিন্দুদেরকে হত্যা কর’।[৭] বিকাল চারটার দিকে খুলনায় হিন্দু নিধন শুরু হয়।[৮] টানা চার ঘণ্টা এই বীভৎস ভয়ঙ্কর পরিস্থিতির পর রাত আটটায় সান্ধ্য আইন জারি করা হয়।</t>
  </si>
  <si>
    <t>পরন্তু দেখা যায় যে বঙ্গবিজয়ের পরে বিশেষ করিয়া উত্তর এবং পূর্বাঞ্চলে সহস্র সহস্র বৌদ্ধ ও নিম্নশ্রেণীর হিন্দু নব ব্রাহ্মণদিগের ঘোর অত্যাচার সহ্য করিতে না পারিয়া ইসলাম ধর্ম গ্রহণপূর্বক স্বস্তির নিশ্বাস ফেলিয়াছে।</t>
  </si>
  <si>
    <t>একটা মানুষ ধর্মের পথে আসতে চাইছে, যদি সাপোর্ট করতে না চান, তাহলে তাকে নিজের মতো চলার সুযোগ দিন।</t>
  </si>
  <si>
    <t>আল্লাহর প্রকৃত স্বরূপ তাদের ধারণায় খুব পরিষ্কার ছিল না। তাদের ধারণা ছিলো যে, আল্লাহর আরও সঙ্গী-সাথী আছে, যাদেরকে তারা অধীনস্থ দেবতা হিসেবে পূজা করতো।</t>
  </si>
  <si>
    <t xml:space="preserve">পার্শ্ববর্তী দেশের টোটকা গিলে ইসলাম বিদ্বেষ, মুসলমানদের মারধর মুসলমানরাই করছে। আমাদের দেশে হিন্দু- মুসলিম মারামারি, দাঙ্গা হয় না। মুসলিম বুদ্ধ খ্রিষ্টান দাঙ্গা হয় না। </t>
  </si>
  <si>
    <t>আমি তো জানতাম এটা ধর্ম-বর্ণ নিরপেক্ষ রাষ্ট্র। এখন তো দেখছি দিনদিন ইসলাম বিরোধী রাষ্ট্র হয়ে যাচ্ছে।</t>
  </si>
  <si>
    <t> পেট্রোল এবং কেরোসিনের এমন ব্যবহার দেখে বোঝা যায় হিন্দুদের উপর এই বর্বর আক্রমণ পূর্ব পরিকল্পিত এবং খুবই সুসংগঠিত।[৩৭] সন্দীপে ভারতের স্বাধীনতা সংগ্রামী লালমোহন সেন হিন্দুদের রক্ষার চেষ্টা কালে মুসলিম জনতা তাকে নির্মম ভাবে হত্যা করে।</t>
  </si>
  <si>
    <t>ফেঞ্চুগঞ্জের একটি স্টিমার কোম্পানি লুট করে আগুন দিয়ে পুড়িয়ে ফেলা হয়। ইলাসপুরে পুলিন দে নামক একজন হিন্দুকে হত্যা করা হয়। ফেঞ্চুগঞ্জ পুলিশ স্টেশনের অন্তর্গত মাজিগাঁও এলাকার অম্বিকা কবিরাজ ও মাখন সেনের নিবাস লুট করে পুড়িয়ে দেয় মুসলিমরা।</t>
  </si>
  <si>
    <t>বাংলাদেশে ধর্মীয় সংখ্যালঘুদের সংগঠন অভিযোগ করেছে, বাংলাদেশে ধর্ম অবমাননার গুজব ছড়িয়ে দেশের বিভিন্ন জায়গায় সংখ্যালঘুদের বাড়িঘর ভাঙচুর, অগ্নিসংযোগের মতো ঘটনা ঘটিয়ে উদ্বেগজনক পরিস্থিতির সৃষ্টি করা হয়েছে।</t>
  </si>
  <si>
    <t>২০১১ সালে, সরকার ধর্মীয় কল্যাণ ট্রাস্ট (সংশোধনী) আইন পাস করে, যা ১৯৮৩ সালের খ্রিস্টান ধর্মীয় কল্যাণ ট্রাস্ট অধ্যাদেশ অনুযায়ী নবগঠিত খ্রিস্টান ধর্মীয় কল্যাণ ট্রাস্টের জন্য তহবিল সরবরাহ করে।</t>
  </si>
  <si>
    <t>মুনাওয়ার স্ট্যান্ডআপ কমেডি করে ফেমাস হয়নি ৷ ফেমাস হয়েছে ধর্ম নিয়ে উসকানি কথাবার্তা বলে ৷</t>
  </si>
  <si>
    <t>১১ই এপ্রিল বাগেরহাট মোরেলগঞ্জ আমড়বুনিয়া গ্রামে ফেইসবুকে ধর্ম অবমাননার অভিযোগে এক হিন্দু বাড়িতে আগুন দেওয়া হয় এবং বাড়ি হতে আধা কিলোমিটার দুরে অবস্থিত একটি মন্দিরেও ভাঙচুর করা হয়। ১২ এপ্রিল ঘটনায় জরিত সাত জনকে আটক করে পুলিশ।[</t>
  </si>
  <si>
    <t>কুমিল্লার পূজামণ্ডপের ঘটনা এবং এরপর যা কিছু ঘটছে এর সবকিছুই শোচনীয়। বিভিন্ন জেলায় নির্বিচার হামলায় আক্রান্ত, ভীতসন্ত্রস্ত বা মনঃক্ষুণ্ন হয়েছে হিন্দুধর্মাবলম্বী মানুষ, আত্মমর্যাদাবোধে আঘাত তো অবশ্যই।</t>
  </si>
  <si>
    <t>যদিও এখানে প্রায়শই দ্বন্দ্ব হয় তবে এখন হিন্দু সংখ্যালঘুদের প্রতি এই দেশ কিছুটা সহায়। [৬৯]এখানে খ্রিস্টান ধর্মপ্রচারকদের দ্বারা হিন্দুদের জোরপূর্বক ধর্মান্তরের শিকার হতে হয়।</t>
  </si>
  <si>
    <t>আল্লাহর নির্দেশ মেনে চলার মাধ্যমে আমরা সত্যিকারের সফলতা অর্জন করি, যার ফলে পরকালেও আমাদের জন্য মুক্তির পথ প্রশস্ত হয়।</t>
  </si>
  <si>
    <t>আল্লাহ তুমি হেফাজত করো আমাদের প্রবিত্র আল কোর আন,,,সুইডিস দেশ টা তুমি ইতালির পাম্পেই নগরিতে পরিনত করে দাও,আমিন</t>
  </si>
  <si>
    <t xml:space="preserve">যেই ধর্ম ই হোক, ধর্ম পালনের উদ্দেশ্য ই হচ্ছে সৃষ্টিকর্তার সন্তুষ্টি লাভ করা। </t>
  </si>
  <si>
    <t>ধর্মবিরোধী আচরণ মানবতার সামনে একটি অত্যন্ত অস্বীকৃত অবতার। আমরা ধর্মের নামে অত্যাচার ও ধর্মান্ধতার বিরুদ্ধে সুরক্ষা নিতে সমর্থ হওয়া বাধ্য রয়েছি।</t>
  </si>
  <si>
    <t>মানুষের ভাগ্যের ভালো ও মন্দ আল্লাহ কর্তৃক নির্ধারিত। আল্লাহ বলেন, ‘আমি সব কিছু সৃষ্টি করেছি নির্ধারিত পরিমাপে, আমার আদেশ তো একটি কথায় নিষ্পন্ন, চোখের পলকের মতো।</t>
  </si>
  <si>
    <t>যেখানে আত্মহত্যাই মহাপাপ, সেখানে এই মহাপাপ সংঘটিত করে কীভাবে কল্যাণ লাভ করা যাবে?</t>
  </si>
  <si>
    <t>ওরা কি পরিমাণ খারাপ কি বলবো আবার শুনলাম ওরা নাকু মুসলিম হাহা সিরিয়াসলি এতো টা খারাপ কি করে হায় কেউ</t>
  </si>
  <si>
    <t>যশোরে শিব মন্দিরের সম্পত্তি দখলের অভিযোগে ১ ব্যক্তি গ্রেপ্তার</t>
  </si>
  <si>
    <t>সে বছর ১৬ অগস্ট কলকাতায় হিন্দু-মুসলিমদের মধ্যে হিংসার বিস্ফোরণে যত মানুষ খুন হল, যত সম্পত্তি ধ্বংস হল, অতীতে তার নজির মেলে না।</t>
  </si>
  <si>
    <t>জাঠিভাঙ্গা গণহত্যা হলো ১৯৭১ সালের ২৩ এপ্রিল বৃহত্তর দিনাজপুর জেলার ঠাকুরগাঁও মহকুমার জাঠিভাঙ্গা এলাকায় বাঙালি হিন্দু ও রাজবংশী সম্প্রদায়ের ওপর পাকিস্তানি সেনাবাহিনী ও তাদের দেশীয় সহযোগী রাজাকারদের দ্বারা চালিত একটি গণহত্যা।</t>
  </si>
  <si>
    <t>গাজায় বেসামরিক নাগরিকদের ওপর হামলা বন্ধ না হলে পুরো অঞ্চলে যুদ্ধ ছড়িয়ে পড়বে বলে হুঁশিয়ারি দিয়েছে হেজবুল্লাহ।</t>
  </si>
  <si>
    <t>১৯৬২ সালে পার্শ্ববর্তী পবা থানার দারুসা গ্রামে হিন্দু-মুসলমান দাঙ্গার জেরে যুগীশো গ্রামে পাঁচ-ছয়টি হিন্দুবাড়ি জ্বালিয়ে দেওয়া হয়। এই ঘটনার পর হিন্দুদের ওপর আক্রমণ প্রতিহত করতে হিন্দু ও মুসলিম উভয় সম্প্রদায়ের ব্যক্তিবর্গের সমন্বয়ে একটি শান্তি কমিটি গঠন করা হয়।</t>
  </si>
  <si>
    <t>ছয় দিন পর একই আদালত পাঁচজন অ-খ্রিস্টানকে মুক্তি দেয়, যাদের হত্যার পর দাঙ্গায় একটি খ্রিস্টান বাড়ি পুড়িয়ে দেওয়ার অভিযোগে বিচার করা হচ্ছিল। গ্লোবাল কাউন্সিল অফ ইন্ডিয়ান খ্রিস্টানের সভাপতি সাজন জর্জ অভিযোগ করেন যে আদালত খ্রিস্টান সংখ্যালঘুদের বিরুদ্ধে পক্ষপাতদুষ্ট।</t>
  </si>
  <si>
    <t>একদল রাজাকার শাঁখারীকাঠি বাজারে প্রায় ২০০ হিন্দুকে জোর করে ইসলামে ধর্মান্তরিত করে। [২] হিন্দুদেরকে ইসলামিক নাম দেওয়া হয়েছিল এবং তাদের গো-মাংস খাওয়াতে বাধ্য করা হয়েছিল, এটি হিন্দুদের একটি ধর্মপ্রথা বলে বিবেচিত।</t>
  </si>
  <si>
    <t>খ্রিষ্টীয় ষোড়শ থেকে সপ্তাদশ শতাব্দীর প্রথম দিকে পর্তুগিজ ব্যাবসায়ী ও মিশনারিদের মাধ্যমে খ্রিস্টধর্ম বাংলাদেশে আসে। খ্রিস্টানরা মোট জনসংখ্যার মোট জনসংখ্যার প্রায় ০.৪ শতাংশ </t>
  </si>
  <si>
    <t>আমি প্রচন্ড এপ্রিশিয়েট করেছি উনাদেরকে।কারণ তারা পরকীয়া করেননি।বাট আজ খুব ই মর্মাহত হলাম।</t>
  </si>
  <si>
    <t>২৪ অক্টোবর সোমবার রাত সাড়ে ১১টার দিকে দিনাজপুর সদর উপজেলার চেহেলগাজী ইউনিয়নে উত্তর গোবিন্দপুর শ্মশান কালীমন্দিরে জুয়া খেলাকে কেন্দ্র করে সংঘর্ষের ঘটনা ঘটে। এতে কালীপূজা উপলক্ষে স্থাপিত একটি প্রতিমায় ভাঙচুর চালানো হয়।</t>
  </si>
  <si>
    <t>ভারতে ধর্ম বরাবর অতীব স্পর্শকাতর বিষয়। মানবসভ্যতার ইতিহাসে ধর্ম ভীষণ গুরুত্বপূর্ণ ভূমিকা পালন করে এসেছে।</t>
  </si>
  <si>
    <t>শুধু তুরস্ক নয় সারা গোটা মুসলিম বিশ্বকে একজোট হয়ে সুইডেন কে করা হুঁশিয়ারিও যাবাব দিতে হবে হে আল্লাহ আপনি কোরআন হেফাজতকারী আপনি আপনার পবিত্র গ্রন্থ আল কোরআনের সম্মান রক্ষা করুন ।</t>
  </si>
  <si>
    <t>যে মারা যায় সেই বুঝে, একে তো আত্মহত্যা তারপর গানে গানে বিদায় কি ভয়াবহ পরিস্থিতি!</t>
  </si>
  <si>
    <t>তীব্র নিন্দা ও প্রতিবাদ জানাচ্ছি এবং অপরাধীকে আইনের আওতায় আনা হোক সে ক্ষেত্রে কঠোর শাস্তি করা হোক এটাই আমাদের দাবি</t>
  </si>
  <si>
    <t>ইসলাম ধর্মের উপরে ভিত্তি করা বেশ কিছু রাজনৈতিক দল ইসলামী রাষ্ট্রের কথা যেমন বলে, তেমনই ইউরোপে কিছু নতুন নাৎসিবাদী দলও তাদের জাতিগত শুদ্ধতার তত্ত্বে বিশ্বাস করে।</t>
  </si>
  <si>
    <t xml:space="preserve">মানুষ বা প্রাণীর ছবি আঁকা হারাম হাদিসের রেফারেন্স দিয়ে দেখিয়েছে। আবার তারাই বলছে, পৃথিবীতে যা সুন্দর তার সবই হালাল; যা অসুন্দর তা হারাম। </t>
  </si>
  <si>
    <t>যেখানে রাসূল পাক(দঃ) নিজেই বলেছেন যে নির্দোষ কিংবা সংখ্যা লঘু বিধর্মী দের কষ্ট দিবে আমি নিজেই তার বিরুদ্ধে আল্লাহর কাছে নালিশ করব কিংবা তার বিরুদ্ধে নড়ব।</t>
  </si>
  <si>
    <t xml:space="preserve">মুসলমানিত্বের জোর দেখাতে গিয়ে কেউ মন্দিরে আঘাত করবেন না। হিন্দু ভাইদের প্রতি কোনো অন্যায় করবেন না। হ্যাঁ,এটাই আমাদের ইসলামের সৌন্দর্য। </t>
  </si>
  <si>
    <t>নবীজি সাল্লাল্লাহু আলাইহি ওয়াসাল্লামের অনুসারীদের অবর্ননীয় নির্যাতন করা,তাকে তার অনুসারীদের সহ বয়কট করে রাখা এই ঘটনা গুলো ঘটেছে</t>
  </si>
  <si>
    <t>তুরস্কের অটোমান সাম্রাজ্যের অধীনে যত মুসলমান ছিল, তার চেয়েও বেশি সংখ্যক মুসলমানদের শাসক ছিলেন রানী ভিক্টোরিয়া।</t>
  </si>
  <si>
    <t>এতো সুন্দর করে ঘুছিয়ে বলার ক্ষমতা খুবই কম মানুষেরই থাকে। আল্লাহ আপনাকে নেক হায়াত দান করুক এবং সঠিক পথে চলার তৌফিক দান করুক,আমিন।</t>
  </si>
  <si>
    <t>সাংঘাতিক ভাই বসতে দিলে ঘুমানো ঠিক না!! দেবোত্তর সম্পত্তির উপর মসজিদ মাদ্রাসা নির্মানের পক্ষে এতো উৎসাহি বিষয় টা সন্দেহ জনক!!!??</t>
  </si>
  <si>
    <t>এক উগ্র ডানপন্থী হামলাকারী জার্মানির হ্যাল শহরের একটি সিনাগগে গুলি চালায়, যাতে দুজন নিহত হন এবং দেশটিতে ইহুদি বিরোধী ঘৃণার মাত্রা বৃদ্ধি পায়।</t>
  </si>
  <si>
    <t>ভেবে দেখুন মহান আল্লাহ কত ধৈর্যশীল, আমাদের এখনো সহ্য করছেন আমদের এখনো ধ্বংস করেন নি</t>
  </si>
  <si>
    <t xml:space="preserve">যে ভার্সিটি পড়া মেয়েকে বিয়ে করলে আর যাই হোক সন্তানের জন্য লজ্জাশিল মা উপহার দিতে পারবেননা। </t>
  </si>
  <si>
    <t>শুধুমাত্র ঢাকা শহরেই ১,০০,০০০ হিন্দু আশ্রয়স্থল হারিয়ে খোলা আকাশের নিচে ঠাই নিয়েছে।২৩ জানুয়ারি দ্য হিন্দু প্রতিবেদন করে,পাকিস্তানের সরকারী হিসেবেই ঢাকা শহরে ১০০০ এর উপর হিন্দুকে হত্যা করা হয়েছে গত এক সপ্তাহে।[</t>
  </si>
  <si>
    <t>২১ শে মার্চ ২০১৫-তে, ১৯৮৭ সালের হাশিমপুরা গণহত্যা মামলার আসামি ১৬ জনকেই পর্যাপ্ত প্রমাণের কারণে তিস হাজারী আদালত খালাস দিয়েছিল। </t>
  </si>
  <si>
    <t> পাহাড়তলীতে ট্রেন থামিয়ে ট্রেনের সমস্ত হিন্দু যাত্রীদের হত্যা করা হয়।[৩০] পূর্ব বাংলার গণপরিষদের সদস্য নেলী সেনগুপ্ত পাকিস্তানের তৎকালীন প্রধানমন্ত্রী লিয়াকত আলি খানকে চট্টগ্রামের হিন্দু গণহত্যা সম্পর্কে চিঠি লেখেন।</t>
  </si>
  <si>
    <t>ধর্মের নামে ধর্মব‍্যাবসায়ী রা যখন নিরুপায় অবস্থায় পৌছয় সুযোগসন্ধানী কিছু রাজনৈতিক মতাদর্শের মানুষ তাদের প্রাসঙ্গিক করে তোলার জন‍্য ধর্মের বর্ম পড়ে নেয়।</t>
  </si>
  <si>
    <t>আমরা সবাই জান্নাতুল ফেরদৌসের মেহমান হতে চাই। আমরা সবাই জান্নাতে দেখা করব। ইনশাআল্লাহ।</t>
  </si>
  <si>
    <t>হে আল্লাহ ফিলিস্তিনের মানুষদের প্রতি রহম করো</t>
  </si>
  <si>
    <t xml:space="preserve">যে সকল মুসলিম অসাম্প্রদায়িক এর নামে নিজেদের ইসলাম ধর্ম কে ছোট করছেন যাদের সাথে তাল মিলিয়ে চলছেন তারা কিন্তু তাদের ধর্মে ঠিকই আছে। </t>
  </si>
  <si>
    <t>আমি বাইবেল গীতা সব ধর্ম গ্রন্থ কে আমরা সম্মান করি দুঃখের বিষয় মুসলিমদের আল কুরআন পুড়িয়ে ভিন্ন দৃষ্টান্ত সৃষ্টি করেছে এর জন্য ধিক্কার জানাই</t>
  </si>
  <si>
    <t>দেশি অস্ত্রশস্ত্র নিয়ে মিছিল করে হিন্দু অধ্যুষিত এই গ্রামের সব বাড়িঘরই ভাঙচুর ও লুটপাট করে তারা। এ সময় প্রায় ৮০টি বাড়ি ভাঙচুর ও লুটপাট করা হয়।</t>
  </si>
  <si>
    <t>সকালে মন্দিরে এসে দেখতে পাই গনেশ মূর্তির মাথার অংশ, লক্ষ্মীর দুই হাত ও দেবী দুর্গার বাম হাত ভাঙা। বিষয়টি প্রশাসনকে জানানো হয়েছে।</t>
  </si>
  <si>
    <t>গত বৃহস্পতিবার ভোরে সুইডেনে আবারো কুরআন পোড়ানোর ঘটনার প্রতিবাদে ইরাকি নাগরিকদের একটি দল বাগদাদের সুইডিশ দূতাবাসে হামলা চালায় এবং ভাঙচুর করে। </t>
  </si>
  <si>
    <t>মানবাধিকার সংগঠন আইন ও সালিশ কেন্দ্র (আসক)-এর হিসেব অনুযায়ী, ২০২৪ সালের আগস্ট থেকে ডিসেম্বর পর্যন্ত পাঁচ মাসে সারা দেশে সাম্প্রদায়িক সহিংসতায় নিহত হয়েছেন তিন জন৷ </t>
  </si>
  <si>
    <t>৩৩ বছর বয়সী জুনাইদ হাফিজকে ২০১৩ সালের মার্চে গ্রেফতার করা হয়। নবী মুহাম্মদকে নিয়ে সামাজিক মাধ্যমে অসম্মানসূচক মন্তব্য করার অভিযোগ আনা হয় তার বিরুদ্ধে।</t>
  </si>
  <si>
    <t>সিলেটে রমযান মাসে হিন্দুসম্প্রদায়ের সকল দোকান ও ব্যবসা প্রতিষ্ঠান বন্ধ রাখতে বাধ্য করা হয়।কীর্তনসহ অন্যান্য ধর্মানুষ্ঠান নিশিদ্ধ করে দেয় বিরামহীন হিংসার প্রকাশ ঘটায় মুসলিমরা।</t>
  </si>
  <si>
    <t>১৯৯০ সালে কাশ্মীর উপত্যকা থেকে কয়েক হাজার হিন্দু পণ্ডিতদের জোরপূর্বক উৎখাত করা হয় যা এখনও বিতর্কিত বিষয় হিসেবে রয়ে গেছে।</t>
  </si>
  <si>
    <t>যে গ্রামবাসীরা আত্মগোপনে ছিল, যখন পাকিস্তানি দখলদার সেনা হত্যাকাণ্ড চালাচ্ছিল তখন রাজাকারদের একেকটি দলে ভাগ করে দেয়া হয়। তারা হিন্দু বা মুসলমান কিনা তা পরীক্ষা করার জন্য গ্রামবাসীদের কালেমা তেলাওয়াত করতে বলে। যখন তারা ব্যর্থ হয়েছিল, তাদের জবাই করে হত্যা করা হয়েছিল। </t>
  </si>
  <si>
    <t>যে ব্যক্তি বিষপানে আত্মহত্যা করবে, তার বিষ তার হাতে থাকবে, জাহান্নামে সে সর্বক্ষণ বিষপানে আত্মহত্যা করতে থাকবে। আর এটা হবে তার স্থায়ী বাসস্থান।</t>
  </si>
  <si>
    <t>মাশাআল্লাহ। আলহামদুলিল্লাহ। খুব ই সুন্দর বুঝিয়েছেন। এই ভাবে বুঝালে এবং পড়তে চেষ্টা করলে ইনশাআল্লাহ কুরআন মাজিদ মশ্ক করে পড়া অবশ্যই সম্ভব।</t>
  </si>
  <si>
    <t>লালমনিরহাটে ধর্ম অবমাননার অভিযোগ তুলে একজন ব্যক্তিকে পিটিয়ে হত্যা করে এবং পরে তার মৃতদেহ পুড়িয়ে ফেলা হয়।</t>
  </si>
  <si>
    <t xml:space="preserve">তবলিগ, তানজিম, শুদ্ধি (হিন্দু-মুসলিম সাম্প্রদায়িক প্র্যাকটিস) জাতীয় অভ্যাস গুলি শুরু হয়েছে এবং যার ফলে আমরা এই নিদারুণ অবস্থায় পৌঁছেছি।" - ভগত সিং - </t>
  </si>
  <si>
    <t>হাজারীবাগের ভাগলপুর লেনের তিনটি হিন্দু মন্দির লুটপাট ও ভাংচুর করা হয়।বেলতলী লেনে ১৭ জন নিরীহ হিন্দুকে কুপিয়ে জখম করে তারা।</t>
  </si>
  <si>
    <t>বুদ্ধ যখন জন্মন্তরের কথা, আত্মার কথা বলেন , নির্বানের কথা বলেন তখন পরোক্ষ ভাবে ঈশ্বরের কথা বলেন।</t>
  </si>
  <si>
    <t>দিন বাড়ার সঙ্গে সঙ্গে সংঘর্ষও বাড়তে থাকে। বিভিন্ন জায়গায় পুলিশের সঙ্গে সংঘর্ষ হয় বিক্ষুব্ধ ইসলামী জনতার। দুপুরে মতিঝিলে এয়ার ইন্ডিয়ার অফিসে আগুন ধরিয়ে দেয় একদল লোক।</t>
  </si>
  <si>
    <t>মসজিদের জুমার খুতবায়, কিংবা ওয়াজ মাহফিলে এসব সামাজিক সমস্যা ও আত্মহত্যা থেকে উত্তরণে ইসলামের শিক্ষাগুলোকে সুস্পষ্ট এবং বোধগম্যভাবে তুলে ধরা জরুরি।</t>
  </si>
  <si>
    <t>ধর্মের নামে বিভেদ ও সহিংসতার আগুন জ্বলে উঠলে অসংখ্য পরিবার তাদের প্রিয়জনকে হারানোর কষ্ট সহ্য করেছে।</t>
  </si>
  <si>
    <t>উম্মতে মুহাম্মাদিকে হাজার মাসের ইবাদত-বন্দেগি ও আমলের সাওয়াব দান করা হবে। কুরআনুল কারিমের অন্য স্থানে এ রাতটিকে বরকতময় রাত বলে উল্লেখ করা</t>
  </si>
  <si>
    <t>অভিশপ্ত ইহুদী জাতির হাত থেকে ফিলিস্তিনের মা ও বোনদের কে হেফাজত করুন মহান আল্লাহ তাআলা</t>
  </si>
  <si>
    <t>সুশীলরা সরাসরি বললেই পারে,"আমরা ইসলামের বিরুদ্ধে"</t>
  </si>
  <si>
    <t>একটি ধর্মনিরপেক্ষ রাষ্ট্র হল ধর্মনিরপেক্ষতার সাথে সম্পর্কিত একটি ধারণা, যেখানে একটি রাষ্ট্র ধর্মের বিষয়ে সরকারীভাবে নিরপেক্ষ হতে চায় এবং ধর্ম বা ধর্মকে সমর্থন করে না। [</t>
  </si>
  <si>
    <t>রবীন্দ্রনাথ ত্রিবেদী মতে ক্যাপ্টেন জামশেদ এই হত্যাকাণ্ডের আদেশ দেন । তিনি পাক হানাদার দ্বারা মন্দিরকে পরবর্তী অপবিত্র করা ও মন্দিরে চালানো ধ্বংসযজ্ঞের কথা উল্লেখ করেন। </t>
  </si>
  <si>
    <t>তারা মৃত্যুকে তামাশা মনে করছে অথচ তাদের যদি এই জ্ঞান থাকতো তাহলে তারা মৃত্যুর পর নিজেদের অস্ত্বিত্বের কথা ভেবে এমন কাজ কখনোই করত না।</t>
  </si>
  <si>
    <t xml:space="preserve">বিষয় নিয়ে ব্যক্তি নিয়ে আলোচনা নয় I সে কারণেই আমরা গালি দেই , আমাদের বিদ্যা বুদ্ধি চর্চা এক ধরণের দাঙ্গা বলা যায় I আর ফেসবুক তার শেষ্ঠ ময়দান I </t>
  </si>
  <si>
    <t>ইসলামী নিয়ম নীতি নিয়ে কথা বললে অনেকের ই জ্বলে, অনেকে মুসলিম আবার এটাকে বাড়তি জ্ঞান দেওয়া মনে করে,,</t>
  </si>
  <si>
    <t>গুলি না করে, কুরানের পাখিদের হিন্দুদের ঘরবাড়ি ভাঙচুর অগ্নিসংযোগ করতে দেওয়া উচিৎ তাইনা?</t>
  </si>
  <si>
    <t>বর্তমানে দেশে প্রায় ১০ টি গুরুদ্বার রয়েছে, তাদের মধ্যে ৭টি সুপরিচিত। বিশেষ করে ঢাকা বিশ্ববিদ্যালয়ের পাশে নানকশাহী গুরুদ্বার। এটি ১৮৩০ সালে নির্মিত দেশের প্রাচীনতম গুরুদ্বার</t>
  </si>
  <si>
    <t>করোনাভাইরাস: বাংলাদেশে মসজিদে নামাজ নিয়ে কী হবে?</t>
  </si>
  <si>
    <t>তবু একাধিক ইসলামী সংগঠন বিক্ষোভ-সমাবেশ করে। কিন্তু রসরাজ ফেসবুক চালাতে জানতেন না । তার তিনি ফেসবুকে কোনো স্ট্যাটাস দেননি ৷ তার ফেসবুক একাউন্ট হ্যাক করে স্ট্যাটাস দেয়া হয় ৷ পোষ্টটিকেও পরে পাওয়া যায়নি।</t>
  </si>
  <si>
    <t>যখন হিন্দু এবং মুসলিম একত্রে শান্তিতে জীবনযাপন করে, তখন তারা একে অপরের ধর্মীয় উৎসব এবং প্রথার প্রতি শ্রদ্ধা প্রদর্শন করে, যা ঐক্য এবং ভ্রাতৃত্বের শক্তিশালী বার্তা প্রদান করে।</t>
  </si>
  <si>
    <t>আমরা কোনো ধর্মের মানুষকে ঘৃণা করি না। আমরা শান্তিপূর্ণভাবে আমাদের ধর্ম পালন করবো।</t>
  </si>
  <si>
    <t>যারা এইসব মন্তব্য করে তারা বেশিরভাগই ডিপ্রেশনে থাকে।ফেক আইডি থেকে এইসব বেহায়া কথাবার্তা বলে।</t>
  </si>
  <si>
    <t>পর্তুগিজ শাসনের সময় হাজার হাজার হিন্দুদের খ্রিস্টধর্ম গ্রহণে বাধ্য করা হয়েছিল। আইন পাস করার ফলে হিন্দুদের ধর্ম পালনে অসুবিধা হয়েছিল।</t>
  </si>
  <si>
    <t>চাঁদপুরের হাজীগঞ্জে চার জন পুলিশের গুলিতে নিহত। আমার সোনার বাংলা। ইসলাম আমাদের রাষ্ট্রীয় ধর্ম।</t>
  </si>
  <si>
    <t>অ্যান্ডারসন সেতুর হত্যাকাণ্ড বলতে ১৯৫০ এর ১২ই ফেব্রুয়ারি অ্যান্ডারসন সেতুর ওপর পূর্ব পাকিস্তান প্রশাসনের মদতে বাঙালি হিন্দু তীর্থযাত্রীদের ওপর করা হত্যাকাণ্ডকে বুঝায়।</t>
  </si>
  <si>
    <t>১৯৬৩ সালের ২৭ ডিসেম্বরে ভারতের শ্রীনগরে অবস্থিত হজরতবাল দরগাশরীফে সংরক্ষিত হজরত মুহাম্মদ(সা)-এর সংরক্ষিত মাথার চুল চুরি হয়ে যায়। এজন্য ভারতের জম্মু ও কাশ্মীরে ব্যাপক বিক্ষোভ সংগঠিত হয়।</t>
  </si>
  <si>
    <t>আমরা সমস্ত ধর্মের সহিষ্ণু হওয়া উচিত এবং মৃত্যুর সময়ে ধর্মীয় বিশ্বাসকে প্রকাশ করা উচিত। যেখানে জীবনের পরিস্থিতি সহজ নয়, সেখানে ধর্মীয় বিশ্বাস অত্যন্ত প্রয়োজন।</t>
  </si>
  <si>
    <t>এক শ্বেতাঙ্গ উগ্রপন্থী বন্দুকধারী দুটি মসজিদে হামলা চালিয়ে ৫১ জন মুসল্লিকে হত্যা করে, যা বিশ্বব্যাপী ইসলামবিদ্বেষের দৃষ্টান্ত হয়ে ওঠে।</t>
  </si>
  <si>
    <t>ইসলামের বিরুদ্ধে কোটি কোটি ষড়যন্ত্র করে ইসলামকে প্রশ্নবিদ্ধ ও দাবাতে পারবেন না কারণ এ-ই এটা ঐশ্বরিক মহান আল্লাহ তাআলা মনোনীত ধর্ম।</t>
  </si>
  <si>
    <t>আমাদের পরিবার মুক্তিযুদ্ধের সময় আশেপাশের গ্রামসহ হিন্দু পরিবারদের জানমালের নিরাপত্তা দিয়েছিল</t>
  </si>
  <si>
    <t>উত্তর প্রদেশের দাদরিতে মুহাম্মদ আখলাক নামে এক মুসলিম ব্যক্তিকে গুজবের ভিত্তিতে হত্যা করা হয় যে তিনি গরুর মাংস খেয়েছেন।</t>
  </si>
  <si>
    <t>বন্দুকের গুলির সামনে জোড় করে হিন্দুদের তাদের ঘর থেকে বের করে নিয়ে আসা হয় এবং আদিত্যপুর সরকারি স্কুলের সামনে সমবেত করানো হয়। পঁয়ষট্টি জন লোককে বাধা হয় এবং শুটিং স্কোয়াডের সামনে দাঁড় করানো হয়।</t>
  </si>
  <si>
    <t>কোন আয়াতে আছে? তাছাড়া ইহুদি দের ধর্ম গ্রন্থ কুরআন নয়, সুতরাং, কুরানে কী লেখা আছে তাতে ইহুদি দের কী এসে গেল?</t>
  </si>
  <si>
    <t>উগ্র মতাদর্শের কারণে ধর্মীয় দাঙ্গা ছড়িয়ে পড়লে অনেক নিরপরাধ মানুষের জীবন বিপন্ন হয়েছে।</t>
  </si>
  <si>
    <t>মহাভারতের একটি স্তবক সতীদাহ এর মাধ্যমে মাদ্রীর আত্মহত্যার বর্ণনা দেয়, কিন্তু সম্ভবত এটি প্রক্ষিপ্ত সংযোজন প্রদত্ত যে এর পরবর্তী শ্লোকগুলির সাথে দ্বন্দ্ব রয়েছে।</t>
  </si>
  <si>
    <t>দুনিয়াতে মুমিনকে এমনভাবে থাকতে হবে,যেন সে সফর অবস্থায় আছে এবং প্রস্থানের জন্য মালামাল গুছিয়ে নিচ্ছে।</t>
  </si>
  <si>
    <t>সৃষ্টিকর্তা যদি সাত আসমানে থাকেন, তাহলে আমরা কাবার দিকে মাথানত করি কেন? কাবায় কি সৃষ্টিকর্তা আছেন—এ বিষয়ে কোনো উল্লেখ আছে কি? আমি বিষয়টি আরও ভালোভাবে বুঝতে চাই।</t>
  </si>
  <si>
    <t>দীর্ঘমেয়াদি পরিকল্পনায় তারা সে দেশের মুসলমানদের সামাজিক-সাংস্কৃতিক আত্মপরিচয়কে মুছে দিয়ে ভারতে একটি একচ্ছত্র হিন্দুত্ববাদী সমাজ ও রাষ্ট্র প্রতিষ্ঠা করতে চায়। এটি ভারতের গণতান্ত্রিক সংবিধান ও মাল্টিকালচারালিজমের সম্পূর্ণ পরিপন্থী।</t>
  </si>
  <si>
    <t>১৯২৭ সালে একটি সংশোধনীতে ২৯৫(ক) ধারায় যোগ করা হয়েছে, ইচ্ছাকৃতভাবে দেশের কোন নাগরিককে মৌখিক, লিখিতভাবে বা অন্য কোন উপায়ে ধর্মীয় অনুভূতিতে আঘাত করা হলে তা ধর্মীয় অবমাননা বলে গণ্য হবে।</t>
  </si>
  <si>
    <t>আবারো জয় হলো পশুত্বের পরাজয় হলো মানবতার, ধর্মের! একটা মানুষকে খুঁচিয়ে খুচিয়ে আত্মহত্যার দিকে ঠেলে দেয়া হলো! খুব শকড হলাম নিউজ টা জেনে.</t>
  </si>
  <si>
    <t>মুসলিম অভিবাসীদের মসজিদ নির্মাণের পরিকল্পনার বিরুদ্ধে বিক্ষোভের সময় সংঘর্ষ হলে কয়েকজন মুসলমান আহত হন। ঘটনাটি দক্ষিণ কোরিয়ার।</t>
  </si>
  <si>
    <t>সিরিয়ার উত্তরাঞ্চলীয় শহর আলেপ্পোতে ইসরায়েলি বিমান হামলায় অন্তত ৩৮ জন নিহত হয়েছেন। </t>
  </si>
  <si>
    <t>অফলাইনে বা বাস্তবিক জীবনে এরা পুরোপুরি ব্যর্থ, সেখানে তাদের যুক্তি বা দাবি ধোঁপে টিকেনা, এদের জীবন কাটে ধর্মের হতাশায়। </t>
  </si>
  <si>
    <t>যখনই হতাশায় নিমজ্জিত হই, ভেঙে পড়ি, তখন ওস্তাদের লেকচার শুনে আবার আশা ফিরে পাই, অন্তরদৃষ্টি খুলতে থাকে, আলহামদুলিল্লাহ। আল্লাহ তাকেসহ ডাবিংকৃত সবাইকে উত্তম প্রতিদান দান করুন।"</t>
  </si>
  <si>
    <t>মুরতি ভাংগতে খুব মজা লাগে তাই না??? তা এখন কেমন লাগছে???</t>
  </si>
  <si>
    <t>কলকাতার ১৯৪৬ ভয়ংকর দাঙ্গায় হত্যা করা হয় ৫ থেকে ৫০ হাজার মুসলমান</t>
  </si>
  <si>
    <t>মিশিগানে শিখ কিশোরকে  ভুলবশত মুসলিম মনে করে আক্রমণ করা হয়, যা যুক্তরাষ্ট্রে ধর্মীয় অজ্ঞতা ও বিদ্বেষের একটি নজির।</t>
  </si>
  <si>
    <t>জাহাজগুলো সিন্ধু উপকুলে দেবল বন্দরে পৌঁছলে কিছু সংখ্যক জলদস্যু কর্তৃক তা লুণ্ঠিত ও মৃত বণিকদের পরিবার-পরিজন বন্দি হয়।</t>
  </si>
  <si>
    <t xml:space="preserve"> আসামের বোড়ো সম্প্রদায় ও মুসলিমদের মধ্যে সংঘর্ষে প্রায় ১০০ জন নিহত হন এবং লক্ষাধিক মানুষ শরণার্থী শিবিরে আশ্রয় নিতে বাধ্য হন।</t>
  </si>
  <si>
    <t>যারা ধর্মকে সামনে রেখে মানুষে মানুষে, সমাজে,রাষ্ট্রে,পৃথিবীতে সংঘাত ছড়িয়ে স্রষ্টার সৃষ্টি কে ধ্বংস করে নিজস্বার্থ চরিতার্থ করতে ব্যস্ত আমি বিশ্বাস করি সে ধার্মিক নয়।</t>
  </si>
  <si>
    <t> ঢাকায় জগন্নাথ বিশ্ববিদ্যালয়ের হিন্দু ধর্মাবলম্বী একজন ছাত্রীর বিরুদ্ধেও একইভাবে 'ধর্ম অবমাননার' গুজব ছড়ানো হয় এবং কয়েকদিন ধরে সেই ছাত্রীকে খুঁজে পাওয়া যাচ্ছে না।</t>
  </si>
  <si>
    <t xml:space="preserve">ধর্ম সবার, পালনে অধিকারও সবার, অবজ্ঞা করার অধিকার নাই কারোর।ধর্মীয় অনুভূতিতে আঘাতের জন্য মৃত্যুদন্ড রায় হওয়া উচিত বলে অভিমত হাইকোর্টের। </t>
  </si>
  <si>
    <t>ধর্মীয় মতাদর্শের নামে সংঘটিত সন্ত্রাসী হামলায় বহু ব্যক্তি প্রাণ হারিয়েছে, যা সামাজিক শান্তি ও নিরাপত্তাকে বিঘ্নিত করেছে।</t>
  </si>
  <si>
    <t>ফ্রান্সে ধর্মীয় অবমাননার অভিযোগে অনেক দেশে বিক্ষোভ চলছে। বাংলাদেশেও এই নিয়ে বড় ধরণের বিক্ষোভ সমাবেশ অনুষ্ঠিত হয়েছে।</t>
  </si>
  <si>
    <t>এদেশের হিন্দু মুসলিম সাম্প্রদায়িক সম্প্রীতি কে এরা উষ্কে দিতে চায় আরকি।</t>
  </si>
  <si>
    <t>মহারাষ্ট্রের মালেগাঁওতে একটি মসজিদের কাছে বিস্ফোরণে ৩১ জন মারা যায়, পরে হিন্দুত্ববাদী গোষ্ঠীগুলোর সম্পৃক্ততা পাওয়া যায়।</t>
  </si>
  <si>
    <t>তুমি যদি চাও আল্লাহকে কিছু বলবা তাহলে দোয়া করো। তুমি যদি চাও আল্লাহ তোমাকে কিছু বলুক তাহলে কোরআন পড়ো।</t>
  </si>
  <si>
    <t>গায়েবের মালিক একমাত্র আল্লাহ। নবী (সাঃ) কে জন্মের পরপরই আল্লাহর হুকুমে জিবরাইল (আঃ) আল্লাহর সমস্ত সৃষ্টি ঘুরে ঘুরে দেখান। এজন্য নবী (সাঃ) সবকিছুর খবর জানেন।</t>
  </si>
  <si>
    <t>সেহরি খাওয়া হলো না। খাবার তৈরি করা অবস্থায় পরিবারের ৩৬ জন সদস্য প্রাণ হারিয়েছেন। ১৫-ই মার্চ নির্মম ওই মৃত্যু হয়েছে</t>
  </si>
  <si>
    <t>যতবার শুনি অন্তর টা শীতল হয়ে যায়। যখনই দুনিয়াবি জীবন নিয়ে দুশ্চিন্তা করি ততবারই এই ভিডিও টা দেখি ততবারই চিন্তা মুক্ত হয়ে যায়</t>
  </si>
  <si>
    <t>আলফাডাঙ্গায় শত বছর ধরে সাম্প্রদায়িক সম্প্রীতি চলে আসছে। নির্বাচনের আগে বিজয়ের মাসে অশুভ শক্তি আলফাডাঙ্গার সাম্প্রদায়িক সম্প্রীতি নষ্টের ষড়যন্ত্রে লিপ্ত।</t>
  </si>
  <si>
    <t>কম্বোডিয়া, ইন্দোনেশিয়া ও থাইল্যান্ডের বৌদ্ধ স্থাপত্য, আংকোর ওয়াট মন্দির এবং বরোবুদুর বিহার যেমন বাংলাদেশের প্রাচীন মঠ সোমপুর বিহার। </t>
  </si>
  <si>
    <t>মুহাম্মাদের ৩৫ বছর বয়সে, মক্কায় ঘন ঘন বন্যার কারণে কাবার কিছু অংশ ক্ষয়প্রাপ্ত ও ক্ষতিগ্রস্ত হওয়ার পর, তিনি কাবার মেরামতের কাজে গুরুত্বপূর্ণ ভূমিকা পালন করেন বলে জানা যায়।</t>
  </si>
  <si>
    <t>কুরআনে আল্লাহ বলেছেন যে, সকল মানুষ আল্লাহর সৃষ্টি, এবং আমাদের উচিত তাদের প্রতি সদয় আচরণ এবং সহানুভূতি প্রদর্শন করা, ন্যায়পরায়ণতা অনুযায়ী।</t>
  </si>
  <si>
    <t>ক্রাইস্টচার্চ মসজিদ হামলা হল ২০১৯ সালের ১৫ই মার্চ শুক্রবার জুম্মার নামাজ চলাকালে আল নূর মসজিদ এবং ক্রাইস্টচার্চে লিনউড ইসলামিক সেন্টারে সংগঠিত সন্ত্রাসী গণ গুলিবর্ষণের ঘটনা</t>
  </si>
  <si>
    <t>ধর্মীয় অসহিষ্ণুতার বিরুদ্ধে কথা বলার জন্য বহু লেখক ও সাংবাদিক হুমকি ও আক্রমণের শিকার হন, যার মধ্যে এম. এম. কালবুর্গি ও গৌরি লঙ্কেশ হত্যাকাণ্ড উল্লেখযোগ্য।</t>
  </si>
  <si>
    <t>পৃথিবীর ইতিহাস ঘেঁটে দেখো, বড় বড় সন্ত্রাস, বর্বরতা, গণহত্যা সব অমুসলিমদের দ্বারা হয়েছে এবং এখনো হচ্ছে, আর কী বলবো,</t>
  </si>
  <si>
    <t>ধর্মে কি হানা হানি মারা মারি কে সমর্থন করে।আমার জানা মতে কোন ধর্মেই না। তবে যা ঘটে তাই ঘটনা। কাদের বিশ্বাস করতে বলেন । যারা ঘটনা না ঘটার আগেই বলে দিতে পারে কারা ঘটায়েছে!</t>
  </si>
  <si>
    <t>হিন্দুধর্ম বাংলাদেশের দ্বিতীয় বৃহত্তম ধর্ম। যেখানে ১৬.৫১ কোটি লোকের মধ্যে প্রায় ১.৩১কোটি লোক নিজেদেরকে হিন্দু হিসাবে পরিচয় দেয় </t>
  </si>
  <si>
    <t>ইসরায়েলের নতুন করে শুরু করা বিমান হামলায় ধসে পড়ে বেশ কয়েকটি স্থাপনা।</t>
  </si>
  <si>
    <t>ক্যালিফোর্নিয়ার পোওয়ে সিনাগগে এক ব্যক্তি ইহুদি বিদ্বেষী মতাদর্শ থেকে সিনাগগে হামলা চালায়। এ ঘটনায় তিনজন আহত হয়, যা যুক্তরাষ্ট্রে ক্রমবর্ধমান ধর্মীয় অসহিষ্ণুতার প্রতিফলন।</t>
  </si>
  <si>
    <t>আমার জন্ম এক মুসলিম পরিবারে, আমি প্রতিদিন কোরান পাঠ করতাম। আমার জীবন ছিল কঠিন, কিন্তু একদিন এক ভাই বলল যে, যিশু খ্রীষ্টের শরণাপন্ন হলে সব কষ্টের সমাপ্তি হবে।</t>
  </si>
  <si>
    <t>এদেশে হিন্দু রা সংখ্যা লঘু বলে কি সব জায়গায় হিন্দুদের জড়িয়ে একটা ইস্যু বানানো যায় নাকি ?? প্রতিবাদ করুন ভালো কথা কিন্তু সেটা তে কেন অন্য ধর্ম কে টা-র্গেট করেছেন.... !!</t>
  </si>
  <si>
    <t>বাংলাদেশ সংবিধানে উল্লেখ আছে যে, " রাষ্ট্র হিন্দু, বৌদ্ধ, খ্রিস্টান ও অন্যান্য ধর্মের অনুশীলনে সমান মর্যাদা এবং সমান অধিকার নিশ্চিত করবে"।</t>
  </si>
  <si>
    <t>মানুষকে ঘৃণা করা, কোন ধর্মকে ঘৃণা করা, ধর্মের নামে অন্যায় করা</t>
  </si>
  <si>
    <t>ফেইবুক আইডি তে একাধিক বার আমাদের প্রিয় নবী হযরত মোহাম্মাদ (সা:) কে নিয়ে বাজে মন্তব্য ও প্রিয় ধর্ম ইসলাম কে নিয়ে ও বাজে মন্তব্য করে।</t>
  </si>
  <si>
    <t>জৈন ধর্মের অনুসারীরা বিশ্বাস করেন যে, তাদের প্রত্যেকটি ভালো কাজ এবং অহিংসা মনোভাবই তাদের আধ্যাত্মিক অগ্রগতির জন্য গুরুত্বপূর্ণ।</t>
  </si>
  <si>
    <t>২১ এপ্রিল তারিখে ন্যাপ নেতা চিত্তরঞ্জন ঘোষ, তার বড় ভাই জগদীশচন্দ্র ঘোষ ও হিন্দু সম্প্রদায়ের অন্যান্য প্রভাবশালী ব্যক্তি তার বাড়িতে আশ্রয় নেন।[১] তাদের মধ্যে কেউ কেউ পাকিস্তানিদের বিরুদ্ধে লড়াই করার জন্য প্রশিক্ষণ গ্রহণ শুরু করেছিলেন।</t>
  </si>
  <si>
    <t>১৯৮৬ সালে পাচারিতে, ১৯৮৯ সালে লঙ্গুদুতে ৪০জন আদিবাসীকে হত্যা করা হয় ও ১৩,০০০ জন ভারতে শরণার্থী হিসেবে চলে যায়।[৩০]</t>
  </si>
  <si>
    <t>আমার ক্লাসমেট প্রথমে দ্বীনদার ছিলো পরে ভার্সিটিতে গিয়ে নাস্তিক হলো। এরপর কিছুটা পরিবর্তন হইছে। এখন আবার নামাজ কালাম পড়ে। তবে সেক্যুলার মুসলিম।</t>
  </si>
  <si>
    <t xml:space="preserve">বলিউড কিং শাহরুখ খান জায়রাকে তার নতুন মুভির অফার দিলেও জায়রা সেটা গ্রহণ করেনি। মাশা আল্লাহ জায়রার ঈমান কতটা মজবুত হয়ে গিয়েছিলো! </t>
  </si>
  <si>
    <t>১১ অক্টোবর ২০০৮-এ ৭৫ বছর বয়সী নারী, লালমতি ভার্মা, ছত্তিশগড়ের রায়পুর জেলার কাসডোল ব্লকের চেচরে তার ৮০ বছর বয়সী স্বামীর অন্ত্যেষ্টিতে ঝাঁপ দিয়ে সতীদাহ করেন; শোকার্তরা শ্মশান ত্যাগ করার পর ভার্মা আত্মহত্যা করেন।</t>
  </si>
  <si>
    <t>নবীর অবমাননা: কার্টুন দেখানো শিক্ষকের শিরশ্ছেদ নিয়ে উত্তাল ‘ধর্মনিরপেক্ষ‘ ফ্রান্স</t>
  </si>
  <si>
    <t>কট্টর ধর্মবাদী কারা তা পোস্ট দেখেই বোঝা যাচ্ছে ৷ আনুরাগ কখনো ধর্মকার্ড, সিমপ্যাথী কার্ড খেলেনাই মুনাওয়ারের মতো ৷</t>
  </si>
  <si>
    <t>রাজনৈতিক দল বিএনপির প্রতিনিধিরা গ্রামে যান এবং এঘটনার জন্য আওয়ামীলীগকে দোষারোপ করেন এবং দুস্থ পরিবারকে অর্থসাহায্য প্রদান করেন।[১৭] বাংলাদেশ পূজা উদ্‌যাপন পরিষদ ও হিন্দু বৌদ্ধ খ্রিষ্টান ঐক্য পরিষদ থেকে প্রতিবাদ ও মানববন্ধন কর্মসূচি পালিত হয়।[</t>
  </si>
  <si>
    <t>ন্যায়সঙ্গত ও যৌক্তিক প্রতিক্রিয়া বা প্রতিবাদের ইতিবাচক দিক অবশ্যই প্রণীধানযোগ্য। ভারতের জন্যও সেটা উপকারী হতে পারে, তার নেতাদের সচেতনতা জাগাতে পারে। ভারতের ক্ষমতাসীন বিজেপি, অন্যান্য রাজনৈতিক দল ও নাগরিক সমাজকে বুঝতে হবে মুসলমানদের কোণঠাসা করে কিংবা তাদের রাসুল সা.-এর প্রতি কটূক্তি করে শান্তিপূর্ণ, স্থিতিশীল ও মানবিক ভারত প্রতিষ্ঠা করা সম্ভব নয়।</t>
  </si>
  <si>
    <t>মৃত্যুর পরবর্তী এই জীবনের শুরু হতে পুনরুত্থান কালীন সময় পর্যন্তকে বলা হয় বারযাখ। আত্মহত্যা, কিংবা হত্যা ইসলামে অত্যন্ত ঘৃনিত এবং নিষিদ্ধ কাজ এবং কবিরা গুনাহ বা বড় ধরনের অপরাধ।</t>
  </si>
  <si>
    <t xml:space="preserve">জাকা ভাই যতদিন আছে হিন্দু, মুসলিম,বৌদ্ধ,খিষ্টান সহ যারা এই সংসদীয় আসনে বসবাস করছেন তাদের মাঝে কোনো ভাবেই সাম্প্রদায়িক ঝামেলা হতে দিবে না। </t>
  </si>
  <si>
    <t>জামালপুরে ধর্মান্তরিত খ্রিস্টান ডাক্তারকে জবাই করেছে ইসলামী জঙ্গীরা</t>
  </si>
  <si>
    <t>নজরুল আমাদের অধঃপতনের যে কারণ বলেছেন, তা কি যর্থার্থ নয়? কবির ভাষায়, "বিশ্ব যখন এগিয়ে চলেছে, আমরা তখনও বসে বিবি তালাকের ফতোয়া খুঁজেছি, ফিকাহ ও হাদিস চষে।"</t>
  </si>
  <si>
    <t>। কিন্তু কিছু ঘটনার জন্য পুরো হুজুর জাতিকে দোষ দিয়ে বেড়বেন এটা তো আপ্নাদের সুশীলদের দৃষ্টিতেই অযৌক্তিক। তাহলে হুদাই ডাবল স্যান্ডার্ডবাজি কেন করেন!!</t>
  </si>
  <si>
    <t>পৃথিবীর একমাত্র পবিত্র নির্ভুল গ্রন্থ আল কোরআন এবং মানব জাতির আলোর দিশারি, যা কখনো পুড়িয়ে দমিয়ে রাখা যাবে না। নিশ্চয়ই আল্লাহ ছাড় দেন কিন্তু ছেড়ে দেয় না। "আল্লাহ মহান"</t>
  </si>
  <si>
    <t>প্রান্তিক জনতার মধ্যে থেকে দলিত নিম্নবর্ণের লোকজন– যারা আগে বৌদ্ধ ধর্মের জাতপ্রথার বিরুদ্ধ বাণীতে আকৃষ্ট হয়েছিল– তারাও পরিবর্তিত ভূ-রাজনৈতিক কারণে সনাতন ধর্মে ফিরে যেতে শুরু করে।</t>
  </si>
  <si>
    <t>২০২২ সালে তারা কাওয়ালী সন্ধ্যাতে হামলা চালিয়েছিলো। এবার বটতলায় কুরআন তিলাওয়াত কে কেন্দ্র করে কলা অনুষদের ডিন আরবি বিভাগের চেয়ারম্যানকে শোকজ দেয়!</t>
  </si>
  <si>
    <t>লিনউড ইসলামিক সেন্টারে দ্বিতীয় হামলা চালানো হয়, যেটি আল নূর মসজিদ থেকে প্রায় ৫ কিলোমিটার (৩.১ মাইল) দূরত্বে অবস্থিত।[১৭][১৮] সেখানেও ৭জন নিহত হন</t>
  </si>
  <si>
    <t>এগুলা পুরোটাই বহিরাগত চক্রের কাজ সাথে দেশীয় কিছু চামচাও আছে এদের সাথে। এবছর ইফতার পার্টি বন্ধ করেছে, যাতে পরের বছর হিন্দুরা পূজো করতে না পারে। </t>
  </si>
  <si>
    <t>ভারতের বিভিন্ন মিডিয়ায় বলা হচ্ছে গুজরাতের গীর সোমনাথ জেলার দুটি গ্রামের তিনশরও বেশি ক্ষুব্ধ দলিত রোববার হিন্দু ধর্ম ত্যাগ করে বৌদ্ধ ধর্মে দীক্ষা নিয়েছেন।</t>
  </si>
  <si>
    <t xml:space="preserve"> চ্যাপেল হিল শহরে তিনজন মুসলিম ছাত্রকে তাদের বাসায় ঢুকে গুলি করে হত্যা করা হয়, যা ধর্মীয় বিদ্বেষপ্রসূত অপরাধ বলে ব্যাপক আলোচিত হয়।</t>
  </si>
  <si>
    <t>স্পেনের ইনকুইজিশনের সময় ধর্মীয় বিশ্বাস পরিবর্তন না করায় বহু ইহুদি ও মুসলিমকে হত্যা করা হয়, যা সহিষ্ণুতার অভাবের নির্মম উদাহরণ।</t>
  </si>
  <si>
    <t>বর্তমান যুগের আরবি-ভাষী খ্রিস্টানদের ব্যবহারের জন্য ঈশ্বরকে ইঙ্গিত করতে আল্লাহ ব্যতীত উপযোগী অন্য কোনো শব্দই নেই। </t>
  </si>
  <si>
    <t>মৃতদের মধ্যে চারজন কর্নাটকের, একজন অসমের। একজনের গুজরাটের। তিনি জানিয়েছেন, স্থানীয় মেডিক্যাল কলেজে ৩৬জনের চিকিৎসা চলছে। বাকিদের অনেককেই তাঁদের আত্মীয়রা নিয়ে গিয়েছেন। </t>
  </si>
  <si>
    <t>ইসলাম জীবনের আধ্যাত্মিক এবং সাময়িক উভয় দিককে একত্রিত করে এবং শুধুমাত্র ঈশ্বরের সাথে ব্যক্তির সম্পর্ক (বিবেকের মাধ্যমে) নয় বরং সামাজিক পরিবেশে মানুষের সম্পর্ককেও নিয়ন্ত্রিত করার চেষ্টা করে এমন একটি ধর্ম হিসাবে তার চরিত্রগত নীতি অর্জন করেছিল।</t>
  </si>
  <si>
    <t>শুধু তুরস্ক প্রতিবাদ জানালে চলবে না, সৌদি আরব, কুয়েত, বাহারাইন, আরব আমিরাত, কাতার সকল মুসলিম রাষ্ট্রগুলো কঠোরভাবে প্রতিবাদ জানানো দরকার, সব মুসলিম রাষ্ট্র এক হওয়া দরকার</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</si>
  <si>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 </t>
  </si>
  <si>
    <t>সেন্ট বার্থোলোমিউ দিবসে গণহত্যার সময় ফ্রান্সে সাম্প্রদায়িক সহিংসতার চিত্র তুলে ধরে ফ্রাঁসোয়া ডুবোইসের একটি চিত্রকর্ম । ১৫৭২ সালে দুই মাসেরও বেশি সময় ধরে, ক্যাথলিকরা ফ্রান্সে হাজার হাজার হুগেনটকে হত্যা করেছিল।</t>
  </si>
  <si>
    <r>
      <t>মুহাম্মাদের ছয় বছর বয়সে তার মাতা আমিনা মৃত্যুবরণ করেন। ফলে তিনি এতিম হয়ে যান।</t>
    </r>
    <r>
      <rPr>
        <vertAlign val="superscript"/>
        <sz val="12"/>
        <rFont val="Calibri"/>
        <family val="2"/>
      </rPr>
      <t>[৮][৯]</t>
    </r>
    <r>
      <rPr>
        <sz val="12"/>
        <rFont val="Calibri"/>
        <family val="2"/>
      </rPr>
      <t> এতিম মুহাম্মাদ তার দাদা আব্দুল মুত্তালিব এবং পরে তার চাচা আবু তালিবের আশ্রয়ে বড় হন।</t>
    </r>
    <r>
      <rPr>
        <vertAlign val="superscript"/>
        <sz val="12"/>
        <rFont val="Calibri"/>
        <family val="2"/>
      </rPr>
      <t>[</t>
    </r>
  </si>
  <si>
    <r>
      <t>মুসলিম সমাজে মুহাম্মাদকে অসংখ্য নাম ও উপাধি দেওয়া হয়েছে।</t>
    </r>
    <r>
      <rPr>
        <vertAlign val="superscript"/>
        <sz val="12"/>
        <rFont val="Calibri"/>
        <family val="2"/>
      </rPr>
      <t>[২২]</t>
    </r>
    <r>
      <rPr>
        <sz val="12"/>
        <rFont val="Calibri"/>
        <family val="2"/>
      </rPr>
      <t> এই নামগুলোকে কুরআনে প্রদত্ত নাম, হাদিসে বর্ণিত নাম, পবিত্র গ্রন্থে বর্ণিত নাম এবং আল্লাহর সুন্দর নামসমূহের (আসমাউল হুসনা) সাথে মিল আছে এমন নাম - এইভাবে শ্রেণীবদ্ধ করা হয়েছে। </t>
    </r>
  </si>
  <si>
    <r>
      <t>২০০২ সালে, মধ্যপ্রদেশের পান্না জেলায় তার স্বামীর অন্ত্যেষ্টিতে বসার পর কুত্তু নামে একজন ৬৫ বছর বয়সী নারী মারা যান।</t>
    </r>
    <r>
      <rPr>
        <vertAlign val="superscript"/>
        <sz val="12"/>
        <rFont val="Calibri"/>
        <family val="2"/>
      </rPr>
      <t>[১৪৬]</t>
    </r>
    <r>
      <rPr>
        <sz val="12"/>
        <rFont val="Calibri"/>
        <family val="2"/>
      </rPr>
      <t> ১৮ মে ২০০৬, বিদ্যাবতী, একজন ৩৫ বছর নারী মহিলা উত্তরপ্রদেশের ফতেহপুর জেলার রারি-বুজুর্গ গ্রামে তার স্বামীর জ্বলন্ত অন্ত্যেষ্টিতে ঝাঁপ দিয়ে সতী হওয়ার অভিযোগ করেন।</t>
    </r>
  </si>
  <si>
    <r>
      <t>মারিচঝাঁপি হত্যাকাণ্ড বা মারিচঝাঁপির ঘটনা ১৯৭৯ সালে দেশভাগ-পরবর্তী বাংলা থেকে আসা শরণার্থীদের মারিচঝাঁপি দ্বীপের (সুন্দরবন, পশ্চিমবঙ্গ) সুরক্ষিত বনভূমিতে গড়া বসতি উচ্ছেদ করার ঘটনা। এই শরণার্থীরা ওড়িশা, মধ্যপ্রদেশ ও ছত্তিশগড়ে অবস্থিত দণ্ডকারণ্যের শিবির থেকে এখানে এসেছিল।</t>
    </r>
    <r>
      <rPr>
        <vertAlign val="superscript"/>
        <sz val="12"/>
        <rFont val="Calibri"/>
        <family val="2"/>
      </rPr>
      <t>[১][২]</t>
    </r>
    <r>
      <rPr>
        <sz val="12"/>
        <rFont val="Calibri"/>
        <family val="2"/>
      </rPr>
      <t> সতি উচ্ছেদ করার সময় পুলিশের সঙ্গে বসতি স্থাপনকারীদের মধ্যে সংঘর্ষ ঘটে, অর্থনৈতিক অবরোধ দেওয়া হয় এবং এতে অনেক প্রাণহানি ঘটে।</t>
    </r>
  </si>
  <si>
    <r>
      <t>সতীদাহ প্রথাটি সংস্কৃতকরণের প্রক্রিয়ার অংশ হিসেবে রাজপরিবারের উচ্চ মর্যাদা এবং যোদ্ধাদের দ্বারা অনুকরণ করা হতো,</t>
    </r>
    <r>
      <rPr>
        <vertAlign val="superscript"/>
        <sz val="12"/>
        <rFont val="Calibri"/>
        <family val="2"/>
      </rPr>
      <t>[১৫]</t>
    </r>
    <r>
      <rPr>
        <sz val="12"/>
        <rFont val="Calibri"/>
        <family val="2"/>
      </rPr>
      <t> তবে এর বিস্তারও কয়েক শতাব্দীর ইসলামি আক্রমণ এবং দক্ষিণ এশিয়ায় এর বিস্তারের সাথে সম্পর্কিত ছিল,</t>
    </r>
  </si>
  <si>
    <r>
      <t> বাংলাদেশ হলো কয়েকটি মুসলিম সংখ্যাগরিষ্ঠ দেশের মধ্যে অন্যতম</t>
    </r>
    <r>
      <rPr>
        <vertAlign val="superscript"/>
        <sz val="12"/>
        <rFont val="Calibri"/>
        <family val="2"/>
      </rPr>
      <t>[৪][৫]</t>
    </r>
    <r>
      <rPr>
        <sz val="12"/>
        <rFont val="Calibri"/>
        <family val="2"/>
      </rPr>
      <t> এবং এক ধর্ম থেকে অন্য ধর্ম গ্রহণ করা আইন দ্বারা বৈধ করা হয়।</t>
    </r>
  </si>
  <si>
    <r>
      <t>জানা যায়, গৌতম বুদ্ধের সময় বিশাখা, বুদ্ধের জন্য এক দিনের ভেতর এভাবেই চীবর তৈরি করেছিলেন। আর তারই ফলশ্রুতি বর্তমান 'কঠিন চীবর দান' অনুষ্ঠানটি।</t>
    </r>
    <r>
      <rPr>
        <vertAlign val="superscript"/>
        <sz val="12"/>
        <rFont val="Calibri"/>
        <family val="2"/>
      </rPr>
      <t>[</t>
    </r>
  </si>
  <si>
    <r>
      <t>১৬৮০ সালে সতীদাহের ব্যাপারে প্রথম আনুষ্ঠানিক ব্রিটিশ প্রতিক্রিয়া ছিল যখন মাদ্রাজের প্রতিনিধি  স্ট্রেনশাম মাস্টার হস্তক্ষেপ করেন এবং মাদ্রাজ প্রেসিডেন্সিতে হিন্দু বিধবাকে</t>
    </r>
    <r>
      <rPr>
        <vertAlign val="superscript"/>
        <sz val="12"/>
        <rFont val="Calibri"/>
        <family val="2"/>
      </rPr>
      <t>[১০২][১০৩]</t>
    </r>
    <r>
      <rPr>
        <sz val="12"/>
        <rFont val="Calibri"/>
        <family val="2"/>
      </rPr>
      <t> জ্বালিয়ে দেওয়া নিষিদ্ধ করেন। </t>
    </r>
  </si>
  <si>
    <r>
      <t>তারা আরও ধারণা করতো যে, আল্লাহর সঙ্গে জ্বিনজাতির আত্মীয়তা-ধরনের কোনো সম্পর্ক আছে</t>
    </r>
    <r>
      <rPr>
        <vertAlign val="superscript"/>
        <sz val="12"/>
        <rFont val="Calibri"/>
        <family val="2"/>
      </rPr>
      <t>[২২]</t>
    </r>
    <r>
      <rPr>
        <sz val="12"/>
        <rFont val="Calibri"/>
        <family val="2"/>
      </rPr>
      <t> তারা আল্লাহর পুত্র বলেও সাব্যস্থ করেছিলো </t>
    </r>
    <r>
      <rPr>
        <vertAlign val="superscript"/>
        <sz val="12"/>
        <rFont val="Calibri"/>
        <family val="2"/>
      </rPr>
      <t>[২৩]</t>
    </r>
    <r>
      <rPr>
        <sz val="12"/>
        <rFont val="Calibri"/>
        <family val="2"/>
      </rPr>
      <t> এবং তৎকালীন আঞ্চলিক দেবতা লা'ত, উজ্জা, মানাতকে তারা আল্লাহর কন্যা সাব্যস্থ করেছিলো </t>
    </r>
    <r>
      <rPr>
        <vertAlign val="superscript"/>
        <sz val="12"/>
        <rFont val="Calibri"/>
        <family val="2"/>
      </rPr>
      <t>[২৪]</t>
    </r>
    <r>
      <rPr>
        <sz val="12"/>
        <rFont val="Calibri"/>
        <family val="2"/>
      </rPr>
      <t>। খুব সম্ভবত, মক্কার আরবরা আল্লাহকে ফেরেশতা বা স্বর্গীয় দূত হিসেবে ধারণা করতো।</t>
    </r>
  </si>
  <si>
    <r>
      <t>বেদের বৈকল্পিক পাঠের সাথে প্রতীকী অনুশীলনকে বিধবা তার স্বামীর সাথে নিজেকে পোড়ানোর অনুশীলনে পরিণত করেছে।</t>
    </r>
    <r>
      <rPr>
        <vertAlign val="superscript"/>
        <sz val="12"/>
        <rFont val="Calibri"/>
        <family val="2"/>
      </rPr>
      <t>[৩৮]</t>
    </r>
    <r>
      <rPr>
        <sz val="12"/>
        <rFont val="Calibri"/>
        <family val="2"/>
      </rPr>
      <t> থাপার আরও নির্দেশ করে "পুরুষতান্ত্রিক সমাজে নারীর অধীনতা", "পরিবর্তন 'আত্মীয়তার ব্যবস্থা'", এবং "নারী যৌনতার উপর নিয়ন্ত্রণ" সতীদাহের উত্থানের কারণ হিসেবে।</t>
    </r>
    <r>
      <rPr>
        <vertAlign val="superscript"/>
        <sz val="12"/>
        <rFont val="Calibri"/>
        <family val="2"/>
      </rPr>
      <t>[</t>
    </r>
  </si>
  <si>
    <r>
      <t>যদিও প্রভাকরবর্ধনের মৃত্যু প্রত্যাশিত, অরবিন্দ শর্মা এটিকে সতীদাহের অন্য রূপ বলে মনে করেন।</t>
    </r>
    <r>
      <rPr>
        <vertAlign val="superscript"/>
        <sz val="12"/>
        <rFont val="Calibri"/>
        <family val="2"/>
      </rPr>
      <t>[৬৪]</t>
    </r>
    <r>
      <rPr>
        <sz val="12"/>
        <rFont val="Calibri"/>
        <family val="2"/>
      </rPr>
      <t> একই কাজে উল্লেখ আছে যে হর্ষবর্ধনের বোন রাজ্যশ্রী তার স্বামীর মৃত্যুর পর সতীদাহ করার চেষ্টা করেছিলেন।</t>
    </r>
  </si>
  <si>
    <r>
      <t>বাংলাদেশ জাতীয় হিন্দু মহাজোটের মহাসচিব গোবিন্দ চন্দ্র প্রামাণিক দাবি করেছেন ১ জানুয়ারি থেকে ৩০শে জুন পর্যন্ত হিন্দুসম্প্রদায়ের ৭৯ জনকে হত্যা করা হয়েছে।</t>
    </r>
    <r>
      <rPr>
        <vertAlign val="superscript"/>
        <sz val="12"/>
        <rFont val="Calibri"/>
        <family val="2"/>
      </rPr>
      <t>[</t>
    </r>
  </si>
  <si>
    <r>
      <t>মুহাম্মাদ নামটি আরবি ভাষার "হামদ" শব্দ থেকে উৎপন্ন, যার অর্থ "প্রশংসা"।</t>
    </r>
    <r>
      <rPr>
        <vertAlign val="superscript"/>
        <sz val="12"/>
        <rFont val="Calibri"/>
        <family val="2"/>
      </rPr>
      <t>[২৬]</t>
    </r>
    <r>
      <rPr>
        <sz val="12"/>
        <rFont val="Calibri"/>
        <family val="2"/>
      </rPr>
      <t> "মুহাম্মাদ" অর্থ "প্রশংসিত", "যিনি প্রশংসা পান", "যিনি প্রশংসার যোগ্য"।</t>
    </r>
    <r>
      <rPr>
        <vertAlign val="superscript"/>
        <sz val="12"/>
        <rFont val="Calibri"/>
        <family val="2"/>
      </rPr>
      <t>[২৫]</t>
    </r>
    <r>
      <rPr>
        <sz val="12"/>
        <rFont val="Calibri"/>
        <family val="2"/>
      </rPr>
      <t> মুসলিমরা তাকে "মুস্তাফা", "মাহমুদ" এবং "আহমদ" নামেও ডেকে থাকেন।</t>
    </r>
  </si>
  <si>
    <r>
      <t>মুহাম্মাদ আনুমানিক ৫৭০ খ্রিষ্টাব্দে মক্কা নগরীতে জন্মগ্রহণ করেন।</t>
    </r>
    <r>
      <rPr>
        <vertAlign val="superscript"/>
        <sz val="12"/>
        <rFont val="Calibri"/>
        <family val="2"/>
      </rPr>
      <t>[৭]</t>
    </r>
    <r>
      <rPr>
        <sz val="12"/>
        <rFont val="Calibri"/>
        <family val="2"/>
      </rPr>
      <t> তার পিতার নাম আব্দুল্লাহ ইবনে আব্দুল মুত্তালিব এবং মাতার নাম আমিনা বিনতে ওহাব। মুহাম্মাদের জন্মের পূর্বেই তার পিতা আব্দুল্লাহ মৃত্যুবরণ করেন।</t>
    </r>
  </si>
  <si>
    <r>
      <t>মৃত্যুর সংখ্যা পরিসংখ্যানগুলি সরকারী হিসেব অনুসারে ৭৯০ জন মুসলিম এবং ২৫৪ জন হিন্দু নিহত হওয়া সহ ২ হাজার মুসলমান মারা গেছে। </t>
    </r>
    <r>
      <rPr>
        <vertAlign val="superscript"/>
        <sz val="12"/>
        <rFont val="Calibri"/>
        <family val="2"/>
      </rPr>
      <t>[৮০]</t>
    </r>
    <r>
      <rPr>
        <sz val="12"/>
        <rFont val="Calibri"/>
        <family val="2"/>
      </rPr>
      <t> এরপরে মুখ্যমন্ত্রী নরেন্দ্র মোদীর বিরুদ্ধেও এই সহিংসতা শুরু করার এবং তাদের প্রতিবেদনের অভিযোগ তোলা হয়েছিল,</t>
    </r>
  </si>
  <si>
    <r>
      <t>বহুঈশ্বরবাদী আরবরা সৃষ্টিকর্তা বা তাদের সর্বোচ্চ দেবতাকে বুঝাতে এই শব্দটি ব্যবহার করতো।</t>
    </r>
    <r>
      <rPr>
        <vertAlign val="superscript"/>
        <sz val="12"/>
        <rFont val="Calibri"/>
        <family val="2"/>
      </rPr>
      <t>[২০][২১]</t>
    </r>
    <r>
      <rPr>
        <sz val="12"/>
        <rFont val="Calibri"/>
        <family val="2"/>
      </rPr>
      <t> কিন্তু একক এবং অদ্বিতীয় ঐশ্বরিক শক্তি হিসেবে নয়। বরং পৃথিবী-সৃষ্টিকারী এবং বৃষ্টি-দানকারী সত্তা হিসেবে।</t>
    </r>
  </si>
  <si>
    <r>
      <t>১১ সেপ্টেম্বরের হামলা (যা নাইন/ইলেভেন</t>
    </r>
    <r>
      <rPr>
        <vertAlign val="superscript"/>
        <sz val="12"/>
        <rFont val="Calibri"/>
        <family val="2"/>
      </rPr>
      <t>[ক]</t>
    </r>
    <r>
      <rPr>
        <sz val="12"/>
        <rFont val="Calibri"/>
        <family val="2"/>
      </rPr>
      <t> নামেও পরিচিত) ২০০১ সালের ১১ই সেপ্টেম্বর মঙ্গলবার সকালে যুক্তরাষ্ট্রের উপর আল কায়েদার একইসাথে চারটি সমন্বিত আত্মঘাতী হামলা। এই হামলায় ২,৯৯৭ জন নিহত,</t>
    </r>
  </si>
  <si>
    <r>
      <t>ক্যাথলিক মণ্ডলী পশ্চিমা সভ্যতার ইতিহাস ও বিকাশে গুরুত্বপূর্ণ ভূমিকা রেখেছে।</t>
    </r>
    <r>
      <rPr>
        <vertAlign val="superscript"/>
        <sz val="12"/>
        <rFont val="Calibri"/>
        <family val="2"/>
      </rPr>
      <t>[১৭]</t>
    </r>
    <r>
      <rPr>
        <sz val="12"/>
        <rFont val="Calibri"/>
        <family val="2"/>
      </rPr>
      <t> এটি পশ্চিমা দর্শন, সংস্কৃতি, বিজ্ঞান ও শিল্পকলার উপর প্রভাব ফেলেছে। ১০৫৪ সালে রোমের পোপের কর্তৃত্ব নিয়ে বিতর্কের ফলে প্রাচ্য অর্থোডক্স মণ্ডলীটি আলাদা হয়ে যায়।</t>
    </r>
  </si>
  <si>
    <r>
      <t>সতী প্রথা অতিরিক্ত অর্থ অর্জন করেছিল যে নারীদের সম্মান রক্ষার উপায় হিসাবে পুরুষদের হত্যা করা হয়েছিল,</t>
    </r>
    <r>
      <rPr>
        <vertAlign val="superscript"/>
        <sz val="12"/>
        <rFont val="Calibri"/>
        <family val="2"/>
      </rPr>
      <t>[১৫]</t>
    </r>
    <r>
      <rPr>
        <sz val="12"/>
        <rFont val="Calibri"/>
        <family val="2"/>
      </rPr>
      <t> জওহরের অনুশীলনের অনুরূপ,</t>
    </r>
    <r>
      <rPr>
        <vertAlign val="superscript"/>
        <sz val="12"/>
        <rFont val="Calibri"/>
        <family val="2"/>
      </rPr>
      <t>[৫২][৫৩]</t>
    </r>
    <r>
      <rPr>
        <sz val="12"/>
        <rFont val="Calibri"/>
        <family val="2"/>
      </rPr>
      <t> জওহর ও সতীর মতাদর্শ একে অপরকে শক্তিশালী করে।</t>
    </r>
  </si>
  <si>
    <r>
      <t>কম্বোডিয়ায়, পঞ্চদশ ও ষোড়শ শতাব্দীতে মৃত রাজার প্রভু এবং স্ত্রী উভয়েই স্বেচ্ছায় নিজেদেরকে পুড়িয়ে ফেলতেন।</t>
    </r>
    <r>
      <rPr>
        <vertAlign val="superscript"/>
        <sz val="12"/>
        <rFont val="Calibri"/>
        <family val="2"/>
      </rPr>
      <t>[</t>
    </r>
  </si>
  <si>
    <r>
      <t>মুহাম্মাদ ও তার সমসাময়িকদের জীবন সম্পর্কে জ্ঞানের প্রধান উৎস হলো হাদিস ও সীরাত। কিন্তু গুরুত্বপূর্ণ বিষয় হলো, এই তথ্যগুলো লিপিবদ্ধ করা হয়েছিল মুহাম্মাদের ওফাতের ১৫০-২০০ বছর পরে, যখন তার জীবনের ঘটনাগুলো মৌখিকভাবে প্রচলিত ছিলো।</t>
    </r>
    <r>
      <rPr>
        <vertAlign val="superscript"/>
        <sz val="12"/>
        <rFont val="Calibri"/>
        <family val="2"/>
      </rPr>
      <t>[</t>
    </r>
  </si>
  <si>
    <r>
      <t>হজ্জ হলো মুসলমানদের জন্য পবিত্রতম শহর সৌদি আরবের মক্কায় অনুষ্ঠিত একটি বার্ষিক ইসলামি সফর।</t>
    </r>
    <r>
      <rPr>
        <vertAlign val="superscript"/>
        <sz val="12"/>
        <rFont val="Calibri"/>
        <family val="2"/>
      </rPr>
      <t>[১]</t>
    </r>
    <r>
      <rPr>
        <sz val="12"/>
        <rFont val="Calibri"/>
        <family val="2"/>
      </rPr>
      <t> হজ্জ মুসলমানদের জন্য একটি বাধ্যতামূলক ধর্মীয় ইবাদত।</t>
    </r>
  </si>
  <si>
    <r>
      <t>তিনি আল্লাহ এক এবং অদ্বিতীয় এই বার্তা প্রচার করেন এবং বলেন যে আল্লাহর সন্তুষ্টি লাভের একমাত্র উপায় হলো আল্লাহর প্রতি আত্মসমর্পণ।</t>
    </r>
    <r>
      <rPr>
        <vertAlign val="superscript"/>
        <sz val="12"/>
        <rFont val="Calibri"/>
        <family val="2"/>
      </rPr>
      <t>[১৫৫]</t>
    </r>
    <r>
      <rPr>
        <sz val="12"/>
        <rFont val="Calibri"/>
        <family val="2"/>
      </rPr>
      <t> তিনি নিজেকে আল্লাহর রাসুল ও নবী হিসেবে ঘোষণা করেন এবং বলেন যে তিনি পূর্ববর্তী নবীদের বংশধর।</t>
    </r>
  </si>
  <si>
    <r>
      <t>পোর্ডেনোন-এর খ্রিষ্টিয় চতুর্দশ শতাব্দীর প্রথম দিকের ভ্রমণকারী বর্তমানে দক্ষিণ বা মধ্য ভিয়েতনামে জম্পা বা চম্পাতে নারীকে পুড়িয়ে মারার প্রসঙ্গ উল্লেখ করেছেন।</t>
    </r>
    <r>
      <rPr>
        <vertAlign val="superscript"/>
        <sz val="12"/>
        <rFont val="Calibri"/>
        <family val="2"/>
      </rPr>
      <t>[</t>
    </r>
  </si>
  <si>
    <r>
      <t>বাঙালি খ্রিস্টান দক্ষিণ এশিয়ার একটি সংখ্যালঘু সম্প্রদায় হিসাবে স্বীকৃত। সাধারণত বাঙালি খ্রিস্ট সম্প্রদায় একটি উচ্চ সাক্ষরতার হার,  কম পুরুষ-মহিলা লিঙ্গ অনুপাত এবং একটি ভালো সামাজিক-অর্থনৈতিক অবস্থা উপভোগ করেন।</t>
    </r>
    <r>
      <rPr>
        <vertAlign val="superscript"/>
        <sz val="12"/>
        <rFont val="Calibri"/>
        <family val="2"/>
      </rPr>
      <t>[</t>
    </r>
  </si>
  <si>
    <r>
      <t>ইসলাম-পূর্ব সময় থেকে আরবের বিভিন্ন ধর্মের লোকেরা ‘আল্লাহ’ শব্দটি ব্যবহার করে আসছে।</t>
    </r>
    <r>
      <rPr>
        <vertAlign val="superscript"/>
        <sz val="12"/>
        <rFont val="Calibri"/>
        <family val="2"/>
      </rPr>
      <t>[৪]</t>
    </r>
    <r>
      <rPr>
        <sz val="12"/>
        <rFont val="Calibri"/>
        <family val="2"/>
      </rPr>
      <t> সুনির্দিষ্টভাবে, স্রষ্টা বুঝাতে মুসলিমগণ (আরব ও অনারব উভয়) ও আরব খ্রিস্টানগণ এই শব্দটি ব্যবহার করে থাকে। </t>
    </r>
  </si>
  <si>
    <r>
      <t>রাব্বিনিক সাহিত্য স্বর্গদূতদের শাস্তি প্রদান, মৃতদেরকে শাস্তি দেওয়ার বিষয়ে বহু ঐতিহ্য সরবরাহ করে।</t>
    </r>
    <r>
      <rPr>
        <vertAlign val="superscript"/>
        <sz val="12"/>
        <rFont val="Calibri"/>
        <family val="2"/>
      </rPr>
      <t>[১০]</t>
    </r>
    <r>
      <rPr>
        <sz val="12"/>
        <rFont val="Calibri"/>
        <family val="2"/>
      </rPr>
      <t> ইহুদি পৌরাণিক কাহিনী অনুসারে, দুষ্টদের আত্মাকে পরকালে শাস্ত্রে শাস্তি দেওয়া হয় দুমাহ এবং ধ্বংসের তিনটি অধস্তনবাদী ফেরেশতা দ্বারা। </t>
    </r>
  </si>
  <si>
    <r>
      <t>হিন্দু বিধবাদের সতীদাহ, অবহেলা এবং তাড়িয়ে দেওয়া, প্রাচীনকাল থেকেই প্রচলিত ছিল।</t>
    </r>
    <r>
      <rPr>
        <vertAlign val="superscript"/>
        <sz val="12"/>
        <rFont val="Calibri"/>
        <family val="2"/>
      </rPr>
      <t>[৯][টীকা ৪]</t>
    </r>
    <r>
      <rPr>
        <sz val="12"/>
        <rFont val="Calibri"/>
        <family val="2"/>
      </rPr>
      <t> প্রায় ৩০০ খ্রিস্টপূর্বাব্দের গ্রীক উৎসগুলি সতীদাহের বিচ্ছিন্ন উল্লেখ করে</t>
    </r>
  </si>
  <si>
    <r>
      <t>বৌদ্ধ ধর্মাবলম্বীদের নিকট এটি দ্বিতীয় বৃহত্তম ধর্মীয় উৎসব।</t>
    </r>
    <r>
      <rPr>
        <vertAlign val="superscript"/>
        <sz val="12"/>
        <rFont val="Calibri"/>
        <family val="2"/>
      </rPr>
      <t>[২]</t>
    </r>
    <r>
      <rPr>
        <sz val="12"/>
        <rFont val="Calibri"/>
        <family val="2"/>
      </rPr>
      <t> আশ্বিন মাসের পূর্ণিমা তিথিতে এই উৎসব পালিত হয়।</t>
    </r>
    <r>
      <rPr>
        <vertAlign val="superscript"/>
        <sz val="12"/>
        <rFont val="Calibri"/>
        <family val="2"/>
      </rPr>
      <t>[৩]</t>
    </r>
  </si>
  <si>
    <t>সিরিয়া,ফিলিস্তিন এ গুলি করে পাখির মত মানুষ গুলো মারছে তখন আপনার মানবতা জাগে না।আপনাদের ধর্মে দেখান তো তালেবানে মত উদার
 মানুষদের যারা রাজা হবার পরেও সবাই কে মাফ করে দিল।</t>
  </si>
  <si>
    <t>যেসব লোক আল্লাহর রাস্তায় নিহত হন, তাদেরকে শহিদ বলা হয়। তাদের মৃত্যুকে অন্যান্যদের মৃত্যুর সমপর্যায়ভুক্ত মনে করতে নিষেধ করা হয়েছে।
 শহিদদের জীবন অন্যান্য মৃতের তুলনায় একটা বিশেষ বৈশিষ্ট্য ও মর্যাদাপূর্ণ।</t>
  </si>
  <si>
    <t>অরে সেকুলাঙ্গারের দল, তোরাই বলতে আসিস একেক- জনের চোখে একেক জিনিস সুন্দর। সবার ভাল লাগা পছন্দ এক নয়। তাহলে 
সুন্দর অসুন্দর দিয়ে হালাল হারাম ডিফাইন করিস কিভাবে!!</t>
  </si>
  <si>
    <t>অ্যামনেস্টি ইন্টারন্যাশনালের তথ্য মতে, নুসাইরি হাফিজের সৈন্যরা ১০ ভাগে বিভক্ত হয়ে হামলা চালায় হামা শহরে। 
একযোগে গণহত্যা চালানো হয় বাড়িঘর ও কারাগারে বন্দি মুসলিমদের ওপর। মাত্র একদিনেই হত্যা করা হয় অন্তত
 ১ হাজার কারাবন্দী মুসলিমকে। এরপর তাদের লাশ ফেলে দেয়া হয় কারাগারের পার্শবর্তী কবরস্থানে।</t>
  </si>
  <si>
    <t>According to Amnesty International, Nusayri Hafiz's troops were divided into 10 divisions and attacked the city of Hama. At the same time, massacres were carried out on Muslims imprisoned in houses and prisons. At least 1,000 Muslim prisoners were killed "&amp;"in just one day. Then their bodies were dumped in the graveyard next to the prison.")</t>
  </si>
  <si>
    <t>শুক্রবার জুমার নামাজের পর হঠাৎ স্থানীয় কিছু মানুষ বিভিন্ন এলাকা থেকে মিছিল নিয়ে এসে রাস্তা অবরোধ করেছে। একটি মিছিলের বড় অংশ গিয়ে হিন্দু পাড়ায় আক্রমণ করে। হিন্দু পাড়ার নিরাপত্তার দায়িত্বে থাকা পুলিশ তখন বাধা দেয়। বাধা না মেনে যখন তারা দুএকটি বাড়ি-ঘরে আগুন দেয়ার চেষ্টা করে, তখন পুলিশ শটগানের গুলি চালায়।</t>
  </si>
  <si>
    <t>হে হামলাকারী, কাল তুমি চীৎকার করে সবাইকে জানিয়ে দিবে যে, "তুমি মুসলিম। মালাউনেরা তোমার বিরুদ্ধে ষড়যন্ত্র করছে" ব্যস! সাথে সাথেই
 দেখবে ঠিক এই জাতিই ঢাল তলোয়ার নিয়ে আবার কচু কাঁটা করে দিবে ঐ হিন্দু সম্প্রদায় কেই। তোমাদের পক্ষ নিয়ে তাঁরা আবার ফেসবুকে স্ট্যাটাস দিবে হাদিস লিখে।</t>
  </si>
  <si>
    <t>২৩ ফেব্রুয়ারি পর্যন্ত চলতে থাকা বিরামহীন ধ্বংসযজ্ঞে প্রায় ৪৫০০ নিরীহ হিন্দু ফেনী সরকারী কলেজ স্থাপন করা রিফুউজি ক্যাম্পে আশ্রয় গ্রহণ 
করে। আরও ২৫০০ হিন্দু প্রাণের ভয়ে নোয়াখালী জেলার বিভিন্ন আশ্রয়কেন্দ্রে আশ্রয় নেয়।</t>
  </si>
  <si>
    <t>প্রতিবেদনে বলা হয়েছে যে, নাম প্রকাশ না করার শর্তে একজন ঊর্ধ্বতন সরকারি কর্মকর্তা বলেছেন যে এই সাম্প্রদায়িক দাঙ্গায় তিনি বন 
এবং আগুন থেকে পাওয়া ২০০টি মৃতদেহ ট্র্যাক্টরে বোঝাই করার পর ব্যক্তিগতভাবে ফেলে রেখেছিলেন এবং রিপোর্ট করেছেন যে হত্যার তীব্রতা এবং গতির উপর নির্ভর করে নিহতদের সংখ্যা ৫০০ জনেরও বেশি।</t>
  </si>
  <si>
    <t>১৯৬২ এর ২২শে মার্চ, পশ্চিমবঙ্গের মালদা জেলায় সাঁওতাল ও মুসলিমদের মাঝে দাঙ্গা শুরু হয়। সাঁওতালরা 
তীর ছুড়ে তিনজন মুসলিমকে মেরে ফেলে এবং ছ'জনকে জ্যান্ত জ্বালিয়ে দেয়।</t>
  </si>
  <si>
    <t>প্রায়ই পথিমধ্যে হিন্দুদের বাজার করে আনা মালামাল লুট করে নিয়ে যায় মুসলিমরা। হিন্দুদের নারকেল, সুপারি বাগান থেকে তারা 
জোর করে নারকেল সুপারি নিয়ে যায়। হিন্দু সম্প্রদায়ের বাড়ি-ঘর থেকে গবাদি পশু-পাখি লুট হয়ে যায়। </t>
  </si>
  <si>
    <t>মসজিদটি মুঘল সম্রাট বাবরের আদেশে সেনাপতি মীর বাকী ১৫২৮–২৯ (৯৩৫ হিজরি বর্ষে) একটি মন্দির কাঠামোর[৩] উপর নির্মাণ করেছিলেন। 
১৯৯২ সালে হিন্দু জাতীয়তাবাদী জনতা কর্তৃক এটি ভেঙে ফেলা হয়েছিল। যা সমগ্র ভারতীয় উপমহাদেশে সাম্প্রদায়িক সহিংসতাকে প্রজ্বলিত করেছিল।</t>
  </si>
  <si>
    <t>আর মৃত্যু, তাও অদ্ভুত! মৃত্যু বলা ভুল, স্বেচ্ছামৃত্যু, অনশনের মাধ্যমে মৃত্যু। আর সেইটা যে আদৌ আত্মহত্যা নয়, জগতে প্রয়োজন ফুরিয়ে 
গেলে সবার এভাবেই বিদায় নেওয়া উচিত, তাকে আত্মহত্যা বলা যায় না, এইটা নিয়ে রীতিমতো প্রবন্ধ লিখেছিলেন, বিক্রম সম্পাতের বইয়ের দ্বিতীয় খন্ডে সেই প্রবন্ধ পেয়ে যাবেন।</t>
  </si>
  <si>
    <t>ভারতবর্ষে থাকতে গেলে হিন্দু মুসলিম মিলেমিশে থাকতে হবে .ভারত মাতা কি জয় বলতেই হবে। রাষ্ট্রবাদী মুসলিমরা কখনো আপনাদের 
মত নোংরা মানসিকতার চিন্তাধারা রাখেনা. পবিত্র কোরআনে কোথাও এইসব লেখা নেই আপনারা কিছু ভন্ড মুসলিম ইসলাম ধর্মকে নিয়ে নোংরা মানসিকতার কথাবার্তা বলে ইসলাম ধর্মকে অপবিত্র করেন</t>
  </si>
  <si>
    <t>একটি জনসভায় আবদুল জব্বার ইঞ্জিনিয়ার ঘোষণা করেছিলেন যে মুক্তিযোদ্ধা, আওয়ামী লীগের কর্মীদের এবং হিন্দুরা পাকিস্তানের শত্রু 
এবং তাদের ধ্বংস করতে হবে। সমাবেশের পরপরই জনতা তুষখালী গ্রামের হিন্দু মহল্লার কালুপাড়া এবং নাথপাড়া আক্রমণ করে।</t>
  </si>
  <si>
    <t>১৩ই অক্টোবর বুধবার দুর্গাপূজার অষ্টমীর দিনে বাংলাদেশের কুমিল্লা শহরের নানুয়ার দীঘির উত্তরপাড় পূজামণ্ডপে সকালবেলা সেখানে রাখা
 একটি হনুমান মূর্তির হাঁটুর উপর ইসলাম ধর্মের ধর্মগ্রন্থ কুরআন রাখার খবর সামাজিক মাধ্যম ফেসবুকে দ্রুত ছড়িয়ে পড়ে। এই খবরকে কেন্দ্র করে ধর্ম অবমাননার অভিযোগে উক্ত পূজামণ্ডপে হামলা করা হয়।</t>
  </si>
  <si>
    <t>২৪ অক্টোবর রাতে পীরগঞ্জে সহিংসতার ঘটনায় অংশ নেওয়া আবদুল্লাহ আল মামুন (২৩) ও ওমর ফারুক টনেট (২৪) নামে দুই শিবির 
কর্মীকে আটক করে পুলিশ। এই দুই জনের বাড়ি গাইবান্ধা জেলার সাদুল্যাপুরে হলেও ঘটনার রাতে তারা পেট্রল নিয়ে মোটরসাইকেলে করে সাদুল্যাপুর থেকে পীরগঞ্জে এসে হামলায় অংশ নেয়।</t>
  </si>
  <si>
    <t>লুণ্ঠন, হত্যা, ধর্ষণ ও অগ্নিসংযোগ সন্ধ্যা পর্যন্ত চলতে থাকে, এর পরে তারা লুট করা সম্পদ ও অপহৃত মহিলাদের নিয়ে চলে যায়। 
খ্রিস্টান গীর্জাগুলো ভাঙচুর ও লুটপাট করা হয়। রাস্তাঘাট, ঘাট ও নদী ছিল মৃতদেহ দ্বারা পরিপূর্ণ। এক হিন্দুর সুপারি বাগানে ৩০০ টিরও বেশি মৃতদেহ পাওয়া যায়।</t>
  </si>
  <si>
    <t>বাংলাদেশে হিন্দু ও অন্যান্য সংখ্যালঘুদের ধর্মীয় নিপীড়নের বিষয়েও একই ধরনের উদ্বেগ প্রকাশ করা হয়েছে। ডক্টর আবুল বারকাত, একজন 
বিখ্যাত বাংলাদেশী অর্থনীতিবিদ এবং গবেষণার একটি বিখ্যাত প্রতিবেদনে বলা হয়েছে যে 30 বছরে বাংলাদেশে কোন হিন্দু থাকবে না।</t>
  </si>
  <si>
    <t>স্বাধীনতার সুবর্ণজয়ন্তী ও মুজিব জন্মশতবর্ষপূতির প্রাক্কালে নোয়াগাঁও গ্রামে ধর্মীয় সংখ্যালঘু হিন্দু সম্প্রদায়ের ওপর এহেন বর্বরোচিত 
এ হামলায় দেশবাসীর সঙ্গে আমরাও মর্মাহত ও বিক্ষুব্ধ। সেদিন ৮৮টি হিন্দু পরিবারের ঘরবাড়ি, আটটি মন্দির ও আসবাব ভাঙচুর, লুটপাট এবং নারীদের শ্লীলতাহানি করা হয়েছে। মসজিদের মাইকে হামলা চালানোর উসকানি দেয়া হয়।</t>
  </si>
  <si>
    <t>কোন বদ লোক যদি এগুলো করেও থাকে, তার বদলা হিসেবে কি অন্য ধর্মের মন্দির ভাঙ্গা, তাদের দেব-দেবীর প্রতিমা ভাঙ্গা মেনে নেয়া উচিত? 
এখানে যত সহিংসতা দেখা যাচ্ছে, তা সব কিন্তু এক তরফা, এবং এই সহিংসতা ধর্মের নামে, ধর্মীয় অনুভূতির দোহাই দিয়ে করা হচ্ছে।</t>
  </si>
  <si>
    <t>ভারতীয় উপমহাদেশ থেকে বৌদ্ধদের উৎখাতের পর বহিরাগত আর্য অর্থাৎ ব্রাহ্মণ্যবাদীরা ভারতের মূল অধিবাসীদের উপর একচ্ছত্র আধিপত্য 
বিস্তারে সক্ষম হলেও অপরাজেয় শক্তি হিসেবে মুসলমান শাসকদের উপস্থিতি তাদের স্বপ্নের প্রধান বাধা হয়ে দাঁড়ায়।</t>
  </si>
  <si>
    <t>দাঙ্গায় পীড়িত ও আর্ত সহায় সম্বলহীন হিন্দুরা ত্রিপুরা,আসাম এবং পশ্চিমবঙ্গের বিভন্ন জায়গাতে চলে আসে যে জায়গা গুলো ভারতের ভিতর 
পড়েছিল। শুধু মাত্র আসামের রাজধানী গৌহাটিতেই ৫০,০০০ উপরের রিফিউজিদের অস্থায়ী আশ্রয়ের ব্যবস্থা করা হয়েছিল।</t>
  </si>
  <si>
    <t>শাঁখারীকাঠি গণহত্যায় রাজাকাররা শাঁখারীকাঠি বাজারে নিরস্ত্র হিন্দু পুরুষদের হত্যা করে। বাংলাদেশের বৃহত্তর খুলনা জেলার আলুকদিয়া
 গ্রাম ৪ নভেম্বর ১৯৭১ সালের এই গণহত্যায় ৪২ জন হিন্দু নিহত হয়েছে।</t>
  </si>
  <si>
    <t>২০৩টে হিন্দুগ্রাম সম্পূর্ণ নিশ্চিহ্ন করে ফেলে মুসলিমরা এবং ৮০০টা হিন্দু মন্দির ধ্বংস করে ফেলে তারা। ধামাই, বারাধামি, পুবঘাট, 
বরইতলি গ্রামের ৫০০ টি মনিপুরী পরিবার ক্ষতিগ্রস্থ হয় মুসলিম আক্রমণের ফলে।</t>
  </si>
  <si>
    <t>অ্যামাজন প্রাইমে মুক্তি পাওয়া এই ওয়েব সিরিজে মির্জাপুরকে হিংসায় পরিপূর্ণ শহর হিসেবে দেখানো হয়েছে। যেখানে হিন্দু-মুসলিম জাতিগত
 বিদ্বেষ ছড়িয়ে রয়েছে ভয়ংকরভাবে। বাস্তবে কিন্তু তা নয় মোটেও।</t>
  </si>
  <si>
    <t>১৭ মার্চ তারিখে ভারতের নিকটবর্তী বালুরঘাট অতিক্রম করার সময়ে সাঁওতাল শরণার্থীদের উপর পাকিস্তান পুলিশ ও আনসার বাহিনী নির্বিচারে
 গুলি বর্ষণ করে। ১৭ জন সাঁওতালকে নির্মম ভাবে গুলি করে হত্যা করা হয় এবং আরও ১৪ জন মারত্মকভাবে জখম হয়।[</t>
  </si>
  <si>
    <t xml:space="preserve">আপনারা যারা এরকম ট্রল করছেন মনে রাখবেন ভারতের একজন হিন্দু ধর্মাবলম্বী কেউ দেখার আগে তা বাঙ্গালী আপনার খুব কাছের একজন 
দেখছে এবং তার কাছে কোন লেভেলের খারাপ লাগছে এই ভিডিও তার প্রমাণ। </t>
  </si>
  <si>
    <t>ইসরাইল রাষ্ট্রের অস্তিত্বের বিরোধিতা যারা করে তাদেরকে অ্যান্টি-জায়োনিস্ট বলা হয়। তারা ইসরাইলি দখলদারির বিরোধিতা করে এবং দেশটির 
সরকারের নীতির সমালোচনা করে। অ্যান্টি-জায়োনিস্টদের অনেক সময় ইহুদিবিরোধী হিসেবেও দেখা হয়, বিশেষত ইসরাইল জাতীয়তাবাদ ও রাষ্ট্রের সমর্থনে যারা থাকে তারা অনেক সময় সেভাবে দেখাতে চায়।</t>
  </si>
  <si>
    <t>কংগ্রেসে যান এবং তাদের পরিকল্পনা জানুন। যখন তারা আপনাকে বিশ্বাস করবে, আমি আমার আত্মবিশ্বাস দেখাবো। আপনি কেন মনে করেন 
আমি হাত গুটিয়ে বসে থাকব? আমরাও ইতিবাচক পরিবর্তনের জন্য প্রস্তুত।</t>
  </si>
  <si>
    <t>২৩-২৪ আগস্ট মধ্যরাতে, বিশ্ব হিন্দু পরিষদের প্রধান লক্ষ্মণানন্দ সরস্বতী নিহত হওয়ার কয়েক ঘন্টা পর, বিশৃঙ্খলা শুরু হয়। পুলিশ মাওবাদীদের
 ভূমিকা সন্দেহ করে এবং রাত ১১:০০ টায় গণমাধ্যমে তা ঘোষণা করে।</t>
  </si>
  <si>
    <t>একই সঙ্গে পুরনো ঢাকার শাখারীবাজার, তাঁতিবাজার, কোতোয়ালীসহ বেশ কয়েকটি এলাকায় জুয়েলারি দোকান, মিষ্টান্ন ভাণ্ডার, হোটেল ও 
রেস্তরাঁসহ হিন্দু সম্প্রদায়ের মালিকানাধীন দোকানপাটে হামলা ও অগ্নিসংযোগ করা হয়।</t>
  </si>
  <si>
    <t>মন্দির আছে বিধায় মসজিদ থাকতে পারবে না, এটাই ধর্ম যার যার উৎসব সবার স্লোগানের চূড়ান্ত পরিণতি। প্রথমে অসাম্প্রদায়িকতা ও 
সহাবস্থানের ধুয়া তুলে তারা তাদের উৎসব, তাদের আচারপ্রথা ঢোকাবে, তারপর ঘাঁটি গেড়ে বসলে মুসলমানদের বিতাড়িত করবে।</t>
  </si>
  <si>
    <t>প্রসঙ্গত, গত ৩০ জানুয়ারি সংবাদ সম্মেলন করে হিন্দু বৌদ্ধ খ্রিস্টান ঐক্য পরিষদ জানায়, ২০২৪ সালের ২১ আগস্ট থেকে ৩১ ডিসেম্বরের মধ্যে 
সারাদেশে সাম্প্রদায়িক সহিংসতায় সংখ্যালঘু সম্প্রদায়ের ২৩ জন মানুষ নিহত হন৷</t>
  </si>
  <si>
    <t>ইহুদী-খ্রিস্টীয় ও মুসলিম ঐতিহাসিক ঐতিহ্য অনুযায়ী ব্লাসফেমি বা ঈশ্বর অবমাননার সর্বোচ্চ শাস্তি হচ্ছে মৃত্যুদণ্ড। ইহুদী-খ্রিস্টীয় সমাজগুলোতে 
এর ঐতিহাসিক পরিবর্তন হলেও ইসলামী বা মুসলিম অধ্যুষিত দেশগুলোতে এখনও এটা ভয়ংকর শাস্তিযোগ্য অপরাধ।</t>
  </si>
  <si>
    <t>সাম্প্রদায়িক সংঘাত প্রায় এক সপ্তাহ অব্যাহত ছিল। অবশেষে ২১শে আগস্ট বাংলাকে ভাইসরয়ের শাসনের অধীনে রাখা হয়েছিল।
 ব্রিটিশ সৈন্যদের ৫ টি ব্যাটালিয়ন, ভারতীয় ও গোর্খাদের দ্বারা সমর্থিত ৪ টি ব্যাটালিয়ন শহরে মোতায়েন করা হয়েছিল।[৩৪] পর্যাপ্ত সংখ্যক সৈন্য থাকা সত্যেও কেন সৈন্যদের আরো আগে ডাকা হয়নি সেই বিষয়ে লর্ড ওয়াভেল পরবর্তীকালে অভিযোগ করেন। দাঙ্গা ২২শে আগস্ট হ্রাস যায়।</t>
  </si>
  <si>
    <t>রাত সাড়ে ৮টায় মুন্সীবাজার ইউনিয়নের মঈডাইল পূজামণ্ডপের মূর্তি, কামারছড়া চা বাগান পূজামণ্ডপের মূর্তিসহ আরো তিনটি মণ্ডপের মূর্তি 
ভাঙচুর করা হয়।[৬৯] কুলাউড়া উপজেলায় বিক্ষোভ মিছিল ও ভাঙচুরের ঘটনা ঘটে।</t>
  </si>
  <si>
    <t>হিন্দুদের ২০টি দোকানেও হামলা করে লুটপাট ও ভাংচুর করা হয়। সন্ধ্যা থেকে রাত ৮টা পর্যন্ত এই হামলা চলে। ট্রাংক রোডে যান চলাচল ও 
দোকানপাট বন্ধ হয়ে যায়। এই ঘটনায় ২৯ জন আহত হয়।[৫৮]এই ঘটনার মূল হোতা আহনাফ তৌসিফ মাহমুদ লাবিবকে র‍্যাব ১৭ অক্টোবর সকালে গ্রেপ্তার করে।</t>
  </si>
  <si>
    <t xml:space="preserve">উদ্দেশ্য স্থানীয় মুসলিম গোশত ব্যবসায়ীদের ব্যবসা বন্ধ করা। ঠিক সেভাবেই বায়েজীদ বোস্তামি পাহাড়ের হোটেলগুলোতে গিয়ে উগ্র 
হিন্দুরা শাসিয়ে এসেছে, এখানে কোনপ্রকার গরুর গোশত বিক্রি করা যাবে না। </t>
  </si>
  <si>
    <t>ইসলাম নিয়ে বাংলাদেশে স্পর্শকাতরতা রয়েছে, ফ্রান্সে যা হচ্ছে তা নিয়ে হয়ত আগামী কিছুদিনে আরও বিচ্ছিন্নভাবে কিছু প্রতিবাদ দেখা 
যাবে - কিন্তু এ নিয়ে যে দুই দেশের সম্পর্ক খারাপ হবে বা ফ্রান্স নিয়ে বাংলাদেশের জনমনে বড় কোনো বিরূপ মনোভাব জন্ম নেবে তা বলার সময় এখনো আসেনি।</t>
  </si>
  <si>
    <t>কোথায় এটা ফিলিস্তিন এর মর্মান্তিক দুর্ঘটনার ভিডিও সেই ভিডিওর কমেন্ট এ "জয় শ্রী রাম" এর ধনী লিখে নিজেকে বড়ো রামের ভক্ত
 হিসাবে দেখাতে চাই.. কিছু মানুষ.... কোথায় যেন হারিয়ে গেছে মানুষের মনুষ্যত্ববোধ</t>
  </si>
  <si>
    <t>মুরাপাড়ার প্রত্যেকটি হিন্দু বাড়ি আগুনে পুড়িয়ে ছাই বানানো হয়।১৭ জন হিন্দু মহিলাকে জ্বলন্ত অগ্নিকুণ্ডে ফেলে বীভৎসভাবে জীবন্ত
 পুড়িয়ে হত্যা করে তারা।[৩২] ভুতলা গ্রামে ২৫০ জন হিন্দু নরনারীকে হত্যা করা হয় এবং অনেককে জীবন্ত আগুনে পুড়িয়ে নিষ্ঠুর উপায়ে হত্যা করা হয়।</t>
  </si>
  <si>
    <t>রাজকুমার সিদ্ধার্থ (পরবর্তীতে গৌতম বুদ্ধ) জাগতিক সকল দুঃখমুক্তি লাভের আশায় রাজ্য, রাজত্ব, ভোগ-বিলাস, ধনকুম্ভ সব ত্যাগ করে 
সংসার পরিত্যাগ করেছিলেন শুভ আষাঢ়ী পূর্ণিমা তিথিতে। </t>
  </si>
  <si>
    <t>এরদোয়ানের মতো দেশপ্রেমি সাহসি ধর্মপ্রেমী একজন মুসলিম নেতা বাংলাদেশের খুবই দরকার। আশা করি আজ না হয় কাল এমন 
একজন নেতা বাংলাদেশে হবে যে বাংলাদেশে এখন দুর নিয়ে যাবে এবং অনেক উন্নয়ন করবে</t>
  </si>
  <si>
    <t>আমি যিশুকে ঈশ্বরের পুত্র হিসেবে মানি এবং প্রতিদিন বাইবেল পাঠ করি। আমার জীবন পুরোপুরি বদলে গেছে এবং এখন আমার জীবনে 
সুখ ও শান্তি আছ। ধন্যবাদ "যীশু", আমার জীবন আনন্দে ভরিয়ে তোলার জন্য।</t>
  </si>
  <si>
    <t>২০২১ সালের ১২ অক্টোবর সপ্তমী পূজা শেষে কুমিল্লায় নানুয়া দীঘির উত্তরপাড় মণ্ডপটি রাত ১২ টায় বন্ধ হয়ে যায়। মণ্ডপে পরের দিন সকাল ৬টা
 পর্যন্ত নিরাপত্তারক্ষী ছিল। তারপর তারা চলে যায়। সকাল আটটার দিকে পুরোহিত পূজামণ্ডপে উপস্থিত হন। পূজামণ্ডপে একটি প্রতিমার হাঁটুর উপরে কুরআন রাখা ছিল। কুরআন উদ্ধারের পর নানা ভাবে নানা ভাষ্যে খবর ছড়িয়ে পড়ে। কুরআন নিয়ে অবমাননার বিষয়টি নিয়ে ফেসবুকে লাইভ করে ফয়েজ আহমেদ ।[২৮]এরপর ওই মণ্ডপে হামলা চালিয়ে প্রতিমা ভাঙচুর করা হয়।</t>
  </si>
  <si>
    <t>ইসলামবিষয়ক প্রশ্নগুলো আমার মনে বারবার ফিরে আসতে থাকে, ধর্মটি সম্পর্কে আরো জানার চেষ্টা করি। আমি মুহাম্মদ (সা.)-এর জীবন ও
 ইতিহাস পাঠ করি। তাঁর জীবন থেকে আমি দয়া, উদারতা এবং কঠিন সময়ে ধৈর্যধারণের শিক্ষা লাভ করি। নিজের কাছে নিজের জীবনকে দিকহীন ও দিশাহারা মনে হয়। সুতরাং আমি আরো বেশি পড়তে শুরু করি।</t>
  </si>
  <si>
    <t>এমনকি অজু করার জন্যও মিলছে না পানি। গত ৭ অক্টোবর ইসরাইলের সীমান্তে প্রবেশ করে আকস্মিক হামলা চালায় ফিলিস্তিনি স্বাধীনতাকামী 
সংগঠন হামাস। তারপরেই গাজায় অভিযান শুরু করে ইসরাইলি বাহিনী। হামাসকে নির্মূলের অভিযানের নামে নিরীহ ফিলিস্তিনিদের ওপর হামলা চালানো হচ্ছে। এতে প্রতিদিনই প্রাণ হারাচ্ছে ফিলিস্তিনি নারী, পুরুষ এবং শিশুরা।</t>
  </si>
  <si>
    <t>ট্রেনের প্রতিটা কামরায় ঢুকে ঢুকে সবাইকে হত্যা করে।[১][৩] একইভাবে যতগুলো ট্রেন প্লাটফর্মে ঢোকে, প্রতিটায় বসে থাকা তীর্থযাত্রীদের 
হত্যা করা হয়।[২] স্টেশনের কাছে অনেক হিন্দু বাড়িতে আগুন ধরিয়ে দেওয়া হয়।</t>
  </si>
  <si>
    <t>সকলের সামনে পাকিস্তানি সৈন্যরা মন্দিরের পুরোহিত পরমানন্দ গিরিকে ‘কালেমা’ পাঠ করতে বাধ্য করে এবং তার পরপরই তার পেটে বেয়নেট 
বিদ্ধ করে এবং গুলি করে হত্যা করে। পরবর্তীকালে অনেককে ‘কালেমা’ পড়তে বাধ্য করা হয় এবং পরে একইভাবে হত্যা করা হয়।</t>
  </si>
  <si>
    <t>আপনার ধারা বর্ননায় ক্ষুদ্র মস্তিষ্কের সর্বোচ্চ ধারনায় মহা সৃষ্টির কাছে আমাদের সৌরজগৎই মনে হল কিছু না। সেখানে আমাদের পৃথিবী তথা 
আমাদের অস্থিত্ত্ব নিয়ে ভাবতেই পারিনা। সৃষ্টির এই বিশালতাকে ধারনায় নেয়া অসম্ভব। সকল প্রশংসা আল্লাহর জন্য।</t>
  </si>
  <si>
    <t> শেখ মুজিবুর রহমানের সাথে পার্বত্য চট্টগ্রামের প্রতিনিধি দলের নেতা হিসেবে মানবেন্দ্র নারায়ণ লারমা’র আলোচনান্তে জানানো হয় যে, 
পার্বত্য নৃজাতিগোষ্ঠী বাঙ্গালী হিসেবে পরিচিতি লাভে একমত পোষণ করেছেন।[২০][২১] এছাড়াও শেখ মুজিব জানিয়েছেন যে, পার্বত্য এলাকায় মুসলিম বাঙ্গালীদের জোরপূর্বক আবাসনের ফলে স্থানীয় বৌদ্ধ ও সংখ্যালঘু হিন্দু জনগোষ্ঠী মেনে নিতে পারছে না।</t>
  </si>
  <si>
    <t>প্রত্যক্ষ সংগ্রাম দিবসের এই দাঙ্গার সঠিক কারণ সম্পর্কে বিভিন্ন মতামত রয়েছে। হিন্দু সংবাদমাধ্যম সোহরাওয়ার্দী সরকার এবং মুসলিম লীগকে 
দোষ দিয়েছিল। তাদের মতে, মুসলিম লীগের সদস্য এবং এদের অনুমোদিত স্বেচ্ছাসেবক বাহিনী 'প্রত্যক্ষ সংগ্রামের' ঘোষণা কার্যকর করার জন্য মুসলিম জনগণকে উস্কানিমূলক বক্তৃতা দেওয়া হয়েছিল</t>
  </si>
  <si>
    <t>এনার আরও জানার দরকার প্রসঙ্গ skip করে চলে যাচ্ছে, নাগ লোকের কথা টা বললোই না, তাছাড়া আরও অনেক কথার doubt আছে মা কালী 
ব্যাপারে ইত্যাদি আরও অনেক বিষয়ে একটু একটু করে বলে বেরিয়ে যাচ্ছে সম্পূর্ণ বলছে না, জেনে ভালো করে podcast এ আসুন মানুষ কে জানান</t>
  </si>
  <si>
    <t>১৯ শতকের শুরু থেকে এ বিতর্কের জের ধরে হিন্দু-মুসলিম সম্প্রদায়ের মধ্যে একাধিক কলহের ঘটনা ঘটে এবং পাল্টাপাল্টি আদালতে মামলা 
দায়ের চলতে থাকে। এরপরই সরকার দাঙ্গা ঠেকানোর অভিপ্রায়ে পুরো মসজিদকে সিলগালা করে দেয়।[১০] হিন্দু-মুসলিম উভয়ই সে স্থানে প্রবেশাধিকার পেতে আদালতে মামলা দায়ের করে।</t>
  </si>
  <si>
    <t>দেশে যখন দ্রব্য মুল্যের উর্ধগতি মানুষ উত্তেজিত ঠিক তখনি নতুন ইস্যু হিসাবে সাম্প্রদায়িক দাঙ্গা বাধিয়েছে ঢাল হিসাবে পবিত্র কোরান ব্যবহার 
করেছে! ঘটনাটির সুষ্ঠু তদন্ত এবং দোষীদের আইনের আওতায় এনে দৃষ্টান্তমূলক কঠোর শাস্তির দাবি জানাচ্ছি।</t>
  </si>
  <si>
    <t>নোটিশে বলা হয়েছে, ধর্মীয় অনুভূতিতে আঘাত করার উদ্দেশ্যে শব্দ উচ্চারণ বা এসব অপরাধ প্রমাণিত হলে সর্বোচ্চ দুই বছর পর্যন্ত শাস্তির বিধান
 আছে। এ আইনের সুবিধা সব ধর্মের মানুষ সমানভাবে নিতে পারবে। আর যেকোনো ধর্মের অবমাননাই শাস্তিযোগ্য অপরাধ।</t>
  </si>
  <si>
    <t>৭ই ফেব্রুয়ারি ৫০০-৬০০ মুসলিমের একটা দল ছাতক পুলিশ স্টেশনের অন্তর্গত লোকেশ্বর গ্রামে আক্রমণ করে। সেখানে হিন্দুদের বিশেষ করে 
ব্রাহ্মণদের বাড়িঘর লুট করে তারা এবং দু’জনকে নির্মম ভাবে পিটিয়ে আহত করে। এখানেও তারা ব্রাহ্মণদের পবিত্র পৈতা ছিঁড়ে ফেলে এবং মাথায় রাখা চুলের শিখা বা টিকি কেটে দেয়। তাদেরকেও জোর করে ধর্মান্তরিত করা হয়।</t>
  </si>
  <si>
    <t>তারা হিন্দুদের বাড়িঘর, ব্যবসা প্রতিষ্ঠান ও মন্দিরে হামলা, ভাঙচুর, অগ্নি সংগোযোগ ও লুটপাট চালায়। ক্ষতিগ্রস্থ হয় মোট ৬৬টি পরিবার। 
এসব পরিবারের ৭টি টিনের বাড়ি, ৯টি ইটের তৈরি বাড়ি, ৪টি মাটির ঘর, ২টি দোকানসহ প্রায় ২৫টি বাড়ি ও দোকান আগুনে পুড়িয়ে দেওয়া হয়।</t>
  </si>
  <si>
    <t>বৌদ্ধদের পুরাতন অনেক বিহারের অস্তিত্ব আজও বাংলার মাটিতে বিদ্যমান রয়েছে। বৌদ্ধ ধর্মাবলম্বীরাই সর্বপ্রথম বাংলা ভাষায় কিছু ধর্মীয় গান 
রচনা করেছিলেন যেগুলো ‘চর্যাপদ’ নামে পরিচিত। চর্যাপদই হচ্ছে বাংলা ভাষায় রচিত প্রাচীনতম নিদর্শন।</t>
  </si>
  <si>
    <t>পার্বত্য চট্টগ্রাম এলাকায় রাখাইন সম্প্রদায়ের উপর বেশকিছু সহিংসতা পরিচালিত হয়। এতে বাংলাদেশের সামরিক বাহিনী ও বাংলাদেশ সরকারের 
সহায়তায় অবস্থানকারী লোকজন সম্পৃক্ত ছিলেন বলে জানা যায়।[২৮] ১৯৮০ বাঙ্গালী মুসলিম ও সশস্ত্র বাহিনীর সদস্যরা ককজলি গ্রামে আক্রমণ চালিয়ে ৩০০জনকে হত্যা করে চলে যায়।</t>
  </si>
  <si>
    <t>যারা ফিজিকে একটি খ্রিস্টান রাষ্ট্র তৈরি করতে চায়। হিন্দুদের প্রতি এই অসহিষ্ণুতা হিন্দু বিরোধী বক্তৃতা এবং মন্দির ধ্বংসের মধ্যে প্রকাশ 
পেয়েছে। যা হিন্দুদের বিরুদ্ধে সরাসরি সহিংসতার সবচেয়ে সাধারণ রূপ।</t>
  </si>
  <si>
    <t>র্ববঙ্গের রামকৃষ্ণ মিশনের প্রধান কার্যালয় এই মঠের তিনটি ভবন, সাতটি আধাপাকা বাড়ি, একটি মন্দির, একটি দাতব্য চিকিৎসালয়, একটি সমৃদ্ধ 
পাঠাগার, একটি সুখ্যাত ছাত্রাবাস সম্পূর্ণ রূপে ধুলিস্যাত হয় সহিংস মুসলিম জনতার হিংস্রতায়।[১৮] সেখানে দু’জনকে হত্যা করে তারা।</t>
  </si>
  <si>
    <t>ঢাকার চারপাশের শতশত হিন্দু বসতির গ্রাম আগুনে জ্বালিয়ে ভস্মে পরিণত করে দেয় মুসলিমরা।[১৬] ১৮ জানুয়ারি দৈনিক ইত্তেফাক প্রতিবেদন 
করে, পুরনো ঢাকার হিন্দু সম্প্রদায়ের ৯৫ শতাংশ বাড়ি-ঘর ধ্বংস করে দিয়েছে মুসলিমরা।</t>
  </si>
  <si>
    <t>জাফরকে ধরতে ব্যর্থ হয়ে আবুল কালাম আজাদের সহযোগিতায় সেনাবাহিনী হাসামদিয়া, রাজাপুর, রামনগর, পোয়াইল, শ্রীনগর ও ময়েনদিয়া 
গ্রামের ৩৩ জন ব্যক্তিকে আটক করে, যার মধ্যে ৩২ জন ছিলেন বাঙালি হিন্দু। ধৃতদের রামনগর গ্রামে নিয়ে গিয়ে হত্যা করা হয়। এছাড়া সেনাবাহিনী হাসামদিয়া বাজারে অগ্নিসংযোগ করে।</t>
  </si>
  <si>
    <t>ইসলামি দলগুলোও লাগাতার প্রতিক্রিয়া দেখিয়ে যাচ্ছে, অথচ, সরকার চুপ। সরকারের এই নিরবতায় মানুষের ক্ষোভ বেড়ে যাচ্ছে। বিশ্বের অন্যতম
 বৃহৎ মুসলমান সংখ্যাগরিষ্ঠ দেশ ও মুসলিম উম্মাহর সদস্য হিসেবে বাংলাদেশ সরকারকে এ বিষয়ে অবশ্যই উপযুক্ত প্রতিক্রিয়া জানাতে হবে।</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</si>
  <si>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 কেউ কেউ দাবি করেন এর ফলে নোয়াখালীতে হিন্দু জনসংখ্যা প্রায় ধ্বংস হয়ে গিয়েছিল।</t>
  </si>
  <si>
    <t>ককভাবে সুনির্দিষ্ট করে বলা যায় না যে এটা আসলে এই রাত। তবে হাদিসে বিভিন্ন ইঙ্গিতে কিছুটা সম্ভাবনা তৈরি হয় যে শবে কদর হলো 
রমজানের ২৭ তারিখে। মানে ২৬তম রোজার দিন রাতে। কারণ, হিজরিতে দিনের আগে রাত গণনা করা হয়।</t>
  </si>
  <si>
    <t>হিন্দু মহিলাদের ইসলামী হিজাব পরতে বাধ্য করা হয়েছিল। যাকে তালেবানরা তাদের হয়রানি থেকে "রক্ষা" করার একটি ব্যবস্থা বলে নিজেদের দোষ
 ঢাকার চেষ্টা করে। এটি ছিল তালেবানদের "অইসলামিক" এবং "প্রতিমাপূজক" হিন্দুদেরকে মুসলিম সম্প্রদায়ের থেকে আলাদা করার পরিকল্পনার অংশ।</t>
  </si>
  <si>
    <t>খ্রিস্টান ধর্মের মূল শিক্ষা হলো প্রেম, দয়া এবং সহানুভূতির মাধ্যমে মানবতার সেবা করা, যেখানে তাদের বিশ্বাস অনুযায়ী ঈশ্বরের প্রেমই পৃথিবীকে 
একে অপরকে সহানুভূতি ও ভালোবাসা দিয়ে গড়ে তোলার শক্তি দেয়।</t>
  </si>
  <si>
    <t>খ্রিস্টান ধর্মে বলা হয় যে, মানুষের হৃদয়ে ঈশ্বরের প্রেম থাকে, এবং এই প্রেমের মাধ্যমে আমরা একে অপরকে সহানুভূতি এবং ভালোবাসা দিয়ে সেবা 
করতে পারি, যাতে পৃথিবী একটি শান্তিপূর্ণ ও ঐক্যবদ্ধ স্থান হয়ে ওঠে।</t>
  </si>
  <si>
    <t>সুষ্ঠু তদন্তের মাধ্যমে প্রকৃত জড়িতদের দ্রুত গ্রেপ্তার করে আইনের আওতায় এনে সর্বোচ্চ শাস্তির দাবি জানাচ্ছি। আপনি আপনার ধর্ম পালন করুন, 
কিন্তু অন্য ধর্মকে অবমাননা করে নয়। সাম্প্রদায়িক সম্প্রীতি রক্ষা করুন, অন্য ধর্মের প্রতি সম্মান প্রদর্শন করুন।</t>
  </si>
  <si>
    <t>সে ধর্ম পালন করবে কিনা তার ব্যাপার। ধর্ম মানতে কেন চাপ দেন ভাই। আপনি করুন না ধর্ম পালন।খাওয়ার জিনিস সবাই খেতে পারে। 
সিগারেটের গায়ে লেখা আছে সুধু ছেলেরা খাবে।আগে লিখতে বলুন সরকার কে।</t>
  </si>
  <si>
    <t>মুসলিম স্থাপত্য ধ্বংস করা, মসজিদে মন্দিরের অস্তিত্ব খোঁজা এবং মুসলমানদের ইতিহাস-ঐতিহ্যমন্ডিত স্থান ও নামচিহ্নগুলোকে মুছে 
দেয়ার অপতৎপরতা ভারতের মুসলমানদের বিক্ষুব্ধ করে তুলেছে।</t>
  </si>
  <si>
    <r>
      <t>ক্যাথলিক গির্জা সদস্যসংখ্যা অনুযায়ী খ্রীষ্টধর্মের বৃহত্তম মণ্ডলী বা শাখা।</t>
    </r>
    <r>
      <rPr>
        <vertAlign val="superscript"/>
        <sz val="12"/>
        <rFont val="Calibri"/>
        <family val="2"/>
      </rPr>
      <t>[৭]</t>
    </r>
    <r>
      <rPr>
        <sz val="12"/>
        <rFont val="Calibri"/>
        <family val="2"/>
      </rPr>
      <t> ২০১৬ সালের হিসাব অনুযায়ী সারা বিশ্বে প্রায় ১৩০ কোটি লোক 
রোমান ক্যাথলিক গির্জা দীক্ষিত বলে পরিগণিত হন।</t>
    </r>
  </si>
  <si>
    <t>বুদ্ধগণ এই দিনে বুদ্ধ পূজার পাশাপাশি পঞ্চশীল, অষ্টশীল, সূত্রপাঠ, সূত্রশ্রবণ, সমবেত প্রার্থনা করে থাকেন[১]। বৌদ্ধ ধর্মাবলম্বীদের 
পাশাপাশি হিন্দুদের কাছেও এই দিনটি অত্যন্ত গুরুত্বপূর্ণ। কারণ হিন্দু ধর্ম অনুসারে শ্রী বিষ্ণুর নবম অবতার হিসেবে গণ্য করা হয় গৌতম বুদ্ধকে।</t>
  </si>
  <si>
    <t>পাকিস্তানের সন্ত্রাসবাদ বিরোধী বিভাগ- CTD'র হেফাজতে নেয়া হয়েছে পবিত্র কোরআন অবমাননাকারী ২ অভিযুক্তকে। বৃহস্পতিবার, 
বিষয়টি নিশ্চিত করেন পাঞ্জাবের মুখ্যমন্ত্রী মহসিন নাকভি।</t>
  </si>
  <si>
    <t>মৃত পুণ্যার্থীদের পরিবারের প্রতি সমবেদনা জানাচ্ছি। গঙ্গাসাগর মেলা থেকে আমি শিখেছি যে বিশাল জনসমাবেশে যেখানে পুণ্যার্থীদের
 জীবন জড়িত থাকে, সেখানে পরিকল্পনা এবং পরিষেবা সর্বোচ্চ হতে হবে। মৃতদের আত্মার জন্য শান্তিকামনা করছি।’</t>
  </si>
  <si>
    <t>শিয়ালকোলে কালী মন্দিরে প্রতিমা ভাঙার ঘটনায় ৯৯৯ থেকে ফোন পেয়ে আমরা ঘটনাস্থলে পৌঁছে ওই যুবককে আটক করি। 
এ সময় তার কাছ থেকে প্রতিমা ভাঙার কাজে ব্যবহৃত একটি দা ও ভাঙ্গা ইট জব্দ করা হয়েছে।’</t>
  </si>
  <si>
    <t>কাশেমের ফৌজ নারায়ণপুর থেকে সুরেন্দ্রনাথ বসুর ‘জামিনদার অফিসের’ দিকে এগিয়ে যায়। কল্যাণনগর থেকে আসা আরেকদল 
দাঙ্গাবাজ মুসলিম দল কাশেমের ফৌজের সাথে যোগ দেয়। এদের সাথে আরও অনেক ভাড়া করে আনা মুসলিম গুণ্ডারা জামিনদার অফিসে আক্রমণ করে।</t>
  </si>
  <si>
    <t>বুদ্ধ পূর্ণিমা বা বৈশাখী পূর্ণিমা হল বৌদ্ধ ধর্মাবলম্বীদের পবিত্রতম উৎসব। এই পুণ্যোৎসব বৈশাখ মাসের পূর্ণিমা তিথিতে উদযাপিত
 হয়।বৈশাখী পূর্ণিমা দিনটি বুদ্ধের ত্রিস্মৃতি বিজড়িত। </t>
  </si>
  <si>
    <t>যত সন্ত্রাস, যত জিহাদ, যত দাঙ্গা হয়েছে, তার ৯৯% ইসলাম আসার পরে ভাই, রেকর্ড বইটা পড়ো, তোমাদের কোনো সভ্যতা পৃথিবীতে 
ছিল না, তাই তোমাদের কোনো ইতিহাসও ছিল না।</t>
  </si>
  <si>
    <t>আমরা মুসলিমরা যেমন নামাজের সামনে গীতা রেখে নামাজ পড়বো না! তেমন-ই তো কোন প্রকৃত হিন্দু তাদের মূর্তির সামনে
 আমাদের কোরআন রেখে পূজা করার কথা নয়। তাতে কিন্তু নিজেদের ধর্মকেই অবহেলা "ছোট" করা হয়। </t>
  </si>
  <si>
    <t>শতশত হিন্দু মহিলাকে নিষ্ঠুর উপায়ে ধর্ষণ করে বিজয়োল্লাস করে।[৩০] সকাল সাতটার দিকে প্রায় ২,০০০-৩,০০০ হিন্দু নর-নারী লক্ষ্মীনারায়ণ 
কটন মিল চত্বরে এসে জড় হয়। মিলের সকল কার্যক্রম বন্ধ ছিল এবং আশ্রয়প্রার্থীরা মিলের গেটের বাইরে জড় হতে থাকে।সকাল ৯টায় মিলের গেট উন্মুক্ত হলে কমপক্ষে ১০,০০০ হিন্দু মিল চত্বরের মধ্যে আশ্রয় পায়।</t>
  </si>
  <si>
    <t>কিছু হিন্দু সম্প্রদায়ের মধ্যে প্রতীকী সতীদাহের বর্ণনা পাওয়া গেছে। বিধবা তার মৃত স্বামীর পাশে শুয়ে আছে, এবং বিবাহ অনুষ্ঠান 
এবং অন্ত্যেষ্টিক্রিয়া উভয় অনুষ্ঠানের কিছু অংশ আইন করা হয়েছে, কিন্তু তার মৃত্যু ছাড়াই।</t>
  </si>
  <si>
    <t>মুসলিমরা চট্টগ্রাম মেডিক্যাল কলেজেও অগ্নিসংযোগ করে। ৫০ টি জেলে পরিবারের খড়ের ঘরে আগুন লাগিয়ে ভস্মীভূত করে দেয়। 
একটি হিন্দু মালিকানাধীন গ্যারেজে আক্রমণ করে পাঁচটি গাড়ি লুট করে নিয়ে যায়। </t>
  </si>
  <si>
    <t>হিন্দু বৌদ্ধ খ্রিষ্টান ঐক্য পরিষদের পরিসংখ্যানে ২০১০টি সাম্প্রদায়িক সহিংসতার ঘটনা ঘটেছে বলে দাবি করা হয়েছে। সমকালের অনুসন্ধানে 
২৯৬টি অভিযোগের মধ্যে ১৩৫টির সত্যতা মিলেছে। তবে তালিকায় নাম আসেনি এমন অনেক হিন্দু পরিবার নির্যাতিত হয়েছে</t>
  </si>
  <si>
    <t>ইতোমধ্যে কথিত আল কায়েদার তরফ থেকে ভারত ও বাংলাদেশে হামলার হুমকি দেয়া হয়েছে। জনগণের সেন্টিমেন্ট কাজে লাগিয়ে কোনো 
নেপথ্য শক্তি দেশকে যেন উগ্রবাদের হুমকির মুখে ঠেলে দিতে না পারে সেদিক বিবেচনা করেও সরকারকে জনগণের ভাবাবেগের মূল্য দিতে হবে।</t>
  </si>
  <si>
    <t> গ্রামবাসীরা পূজার আয়োজন করতে ছিল।গ্রামের পশ্চিম দিকের শতবছরের পুরনো চণ্ডী মণ্ডপে, ভক্তরা পীতলের প্রতিমাগুলো পরিষ্কার এবং 
ঘষামাজা করছিল। তরুণ ছেলেমেয়েরা উপাসনার জন্য ফুল সংগ্রহ করছিল। হঠাৎ, পাকিস্তানি সৈন্যরা নৌকা থেকে গুলি চালানো শুরু করে।</t>
  </si>
  <si>
    <t>যাইহোক-অনেককে দেখি। ভারতের বিরোধিতা করলেও, হিন্দুদের এক চেটিয়া বিরোধিতা করে না। অথচ, বাংলাদেশের উপর কলকাঠি নাড়ায় 
এই হিন্দুদের দ্বারাই এবং হিন্দুরাই মুসলমান জাতীয়তাবাদ থেকে সরিয়ে রবীন্দ্রনাথ বানাচ্ছে।</t>
  </si>
  <si>
    <t>ধর্ম আমাদের নিজেদের এবং অন্যদের মধ্যে ভালো সম্পর্ক গড়ার একটি মাধ্যম হওয়া উচিত, না আদেশ ও বিভ্রান্তির সৃষ্টিকারী হওয়া। ধর্মের নামে 
অপমান, এটি আমাদের মানবিক মূল্যবোধসম্পন্ন সম্পর্কের বিপর্যয়।</t>
  </si>
  <si>
    <t>এমন ভিডিও দেওয়ার জন্য আল্লাহ আপনাকে জান্নাতুল ফেরদৌস দান করুন, অনেক কিছু শিখছি এই ভিডিওগুলোর মাধ্যমে। আর বসে থাকার 
সময় নেই, রবের সাথে একদিন দেখা করতে হবে।</t>
  </si>
  <si>
    <t xml:space="preserve">তীব্র নিন্দা জানাই তীব্র নিন্দা জানাই। দিনাজপুরে কান্তীজির মন্দিরের জায়গায় মসজিদ নির্মাণ। কারা এই কাজ করতেছে? অবশ্যই তথা 
কথিত মৌলবাদী গোষ্ঠী নয়। এর উদ্দেশ্য মহৎ নয়। তাহলে কারা এই অপকর্ম করছে? </t>
  </si>
  <si>
    <t xml:space="preserve">কোনও গুণীজনের মৃত্যুতে আমরা নিয়ম মাফিক দুঃখিত হবো, শোক প্রকাশ করবো, মুখস্ত প্রতিক্রিয়া জানানো অব্যাহত থাকবে। 
আর এই জগতেই অদরকারি জিনিষের মতো পড়ে থাকবে মৃতের অন্তরের গৌরব ও বেদনা। </t>
  </si>
  <si>
    <t>কতিপয় আবাল মার্কা লোক সব জায়গায়ই থাকে,তাদের মন্তব্যের কারণে যদি উনি এতোটাই ব্যাথিত হয়ে থাকেন তাহলে আমি বলবো 
তাকে আমি যতটা উদার এবং বুদ্ধিমান ভাবতাম আসলেই তিনি তেমনটা নয়,আর কতিপয় লোকের আবাল মার্কা মন্তব্যের কারণে মিডিয়া সহ অন্য সব সুশীল সেলিব্রিটিরা একটু বেশি বেশিই করছে।</t>
  </si>
  <si>
    <t>ঐতিহাসিকদের বর্ণনায়, তাঁর জীবদ্দশায় পরিচালিত ২৭টি গাজওয়া, ৬০টি সারিয়া। অন্য বর্ণনায় ২৩টি গাজওয়া, ৪৩টি সারিয়া সংঘটিত
 হয়। রাসূলুল্লাহ সা:-এর জীবনের সব কথা ও কাজ ছিল সর্বোচ্চ পর্যায়ের বীরত্বের প্রতীক।</t>
  </si>
  <si>
    <t>পরে হিন্দু সম্প্রদায়ের এক ব্যক্তির নামে ফেসবুকে অ্যাকাউন্ট খুলে এমন কিছু পোস্ট দেয়া হয় যা নিয়ে মুসলিমদের একটি অংশ ক্ষোভ
 প্রকাশ শুরু করে। এর জের ধরে কয়েকটি বাড়িতে হামলার ঘটনা ঘটে।</t>
  </si>
  <si>
    <t>আমরা তদন্তে দেখতে পেয়েছি, মেয়েটি অপ্রাপ্তবয়স্ক ছিল। অপ্রাপ্তবয়স্ক একটি মেয়ে হিসাবে তার বিয়ে বা ধর্ম পরিবর্তন কোনটাই
 বৈধ হয় না। সেই হিসাবে তার আইনগত অভিভাবক তার পিতা। তাই আমরা তার কাছেই মেয়েটির মৃতদেহ বুঝিয়ে দিয়েছি।</t>
  </si>
  <si>
    <t>অ্যানেমারি শিমেলের মতে, মুঘল সম্রাট আকবর (১৫৫৬-১৬০৫) সতীদাহ প্রথার বিরুদ্ধে ছিলেন; যাইহোক, তিনি "বিধবা যারা 
তাদের মৃত স্বামীর সাথে দাহ করতে চেয়েছিলেন" তাদের প্রশংসা প্রকাশ করেছিলেন।</t>
  </si>
  <si>
    <t>বৌদ্ধদের পক্ষ হতেও ফেসবুকে কোরআন অবমাননার ঘটনা অস্বীকার করা হয়নি; বরং ঘটনা ঘটে যাওয়ার পর এক বৌদ্ধ শিক্ষাবীদ ক্ষীণ
 কণ্ঠে ঐ যুবকের বিচারও দাবি করেছেন তখন ‘আমাদের’ একশ্রেণীর লেখক, গবেষক, সম্পাদক এ সম্ভাবনা প্রমাণে মরিয়া হয়ে উঠেছেন যে, ঐ ঘটনায় উত্তম বড়ুয়ার কোনো হাত ছিল না, হয়তো অন্য কেউ তার একাউন্টে ছবিটা যুক্ত করে থাকবে? প্রশ্ন এই যে, এই কথাগুলো স্বয়ং অভিযুক্ত ব্যক্তি বা তার সম্প্রদায়ের লোকদের পক্ষ থেকে আসবে না কেন? আশ্চর্য!</t>
  </si>
  <si>
    <t>কমান্ডার মুজিবুর রহমান মোল্লার নেতৃত্বে ডাবাগ্যাহাটি রাজাকার শিবির থেকে সশস্ত্র রাজাকারদের একটি দল বন্দি অবস্থায় মহাদেব 
সাহাকে নিয়ে আলুকদিয়া গ্রামে উপস্থিত হয়। তারা তিন দিক থেকে শাঁখারীকাঠির বাজার ঘেরাও করে এবং বিভিন্ন বয়সের প্রায় ৯০ হিন্দু পুরুষকে আটক করে।</t>
  </si>
  <si>
    <t xml:space="preserve">আত্মহত্যা মূলত আত্মপ্রবঞ্চনারই নামান্তর। কারণ, জীবন বিসর্জন দেওয়া কোনো সমস্যার সমাধান নয়; কোনো সফলতাও নয় বরং 
চরম ও চূড়ান্ত ব্যর্থতা। এর দ্বারা কোনো কিছুই অর্জিত হয় না; বরং একূল, ওকূল—দুকূলেই সবকিছু হারাতে হয়। </t>
  </si>
  <si>
    <t>প্রতিটি ধর্মের মূল উদ্দেশ্য হচ্ছে মানুষকে তার আধ্যাত্মিক উন্নতির পথে পরিচালনা করা, যাতে সে শান্তিপূর্ণভাবে সমাজে বসবাস করতে 
পারে, আর কখনোই কোনো ধর্মের অনুসারীরা অন্যদের ওপর জোর খাটিয়ে তাদের ধর্ম বিশ্বাসে দীক্ষিত করার চেষ্টা করেন না।</t>
  </si>
  <si>
    <t>সংখ্যালঘুদের উপর হামলার জন্য সরকার জামায়াতে ইসলামীকে দায়ী করলেও জামায়াতে ইসলামীর নেতৃত্ব কোনও ভাবে জড়িত 
থাকার বিষয়টি অস্বীকার করেন। সংখ্যালঘু নেতারা হামলার প্রতিবাদ করেন এবং ন্যায়বিচারের আবেদন করেন। বাংলাদেশ সুপ্রীম কোর্ট আইন প্রয়োগকারীদের এই হামলার তদন্ত শুরু করার নির্দেশ প্রদান করে। বাংলাদেশে নিযুক্ত মার্কিন রাষ্ট্রদূত বাঙালি হিন্দু সম্প্রদায়ের উপর জামায়াতের আক্রমণ নিয়ে উদ্বেগ প্রকাশ করেন।</t>
  </si>
  <si>
    <t> নৃশংস হত্যাকাণ্ড দেখে নারীদের কেউ কেউ চিৎকার শুরু করলে তাদের বন্দুক দিয়ে পিটিয়ে আহত করা হয়। তাদের অনেকেই অজ্ঞান
 হয়ে যান। পাকিস্তানিরা মৃতদেহ একত্রে স্তূপ করে পেট্রল দিয়ে আগুন ধরিয়ে দেয়। যারা আহত হয় তারাও আগুনে পুড়ে মারা যায়। আগুনে কয়েকজন নারী ও শিশু দগ্ধ হয়েছে বলে প্রত্যক্ষদর্শীরা উল্লেখ করেছেন। পাকিস্তানী সৈন্যরা কয়েকজনকে “জয় বাংলা” বলতে বলে এরপর তাদের মুখে গুলি করে হত্যা করা হয়</t>
  </si>
  <si>
    <t xml:space="preserve">ইসলাম এবং তার সংস্কৃতি নিয়া মুসলিম বংশোদ্ভুতদেরই মাথাব্যথা বেশি। এদেশ থেকে যদি ইসলাম উচ্ছেদ হয় তবে মুসলমানরাই দায়ী।
 পার্শ্ববর্তী দেশের টোটকা গিলে ইসলাম বিদ্বেষ, মুসলমানদের মারধর মুসলমানরাই করছে। আমাদের দেশে হিন্দু- মুসলিম মারামারি, দাঙ্গা হয় না। মুসলিম বুদ্ধ খ্রিষ্টান দাঙ্গা হয় না। </t>
  </si>
  <si>
    <t>তাঁর সরকার সর্বদা বাংলাদেশের ধর্মীয় ও সাম্প্রদায়িক সম্প্রীতি বজায় রাখার এবং এমন একটি সামাজিক সম্প্রীতি  বজায় রাখার চেষ্ট
 করে যাচ্ছে- যেখানে একজন আরেকজনের অধিকার ক্ষুন্ন করবে না এবং সব মানুষ সমান অধিকার উপভোগ করে জীবনযাপন করবে।</t>
  </si>
  <si>
    <t>আইন সংযুক্ত নতুন ধারায় ইসলামের কোনো বিশিষ্ট ব্যক্তির বিরুদ্ধে অবমাননাকর মন্তব্য করাকে অবৈধ করা হয়, 'ইচ্ছাকৃতভাবে' 
কোরান অপবিত্র করলে যাবজ্জীবন কারাদন্ড শাস্তির বিধান আনা হয় এবং পরে, নবী মুহম্মদকে অবমাননা করলে যাবজ্জীবন কারাদন্ড বা মৃত্যুদন্ডের বিধানের বিষয়গুলো সংযুক্ত করা হয়।</t>
  </si>
  <si>
    <t>মৃত্যুর বিষয়টি স্বাভাবিক হলেও তা মেনে নেওয়া মানুষের জন্য সহজ হয় না। এর মাঝে সড়ক দুর্ঘটনা, অগ্নিকাণ্ড, বিদ্যুৎস্পৃষ্টের মতো 
মর্মান্তিক মৃত্যুর খবরগুলো বেদনাহত করে সবাইকে। দুর্ঘটনা কবলিত মৃত্যুর কারণে অনেক সময় প্রিয়জনের লাশ পর্যন্ত দেখতে পারেন না স্বজনরা। পৃথিবী থেকে বিদায় নেওয়া প্রিয়জনের লাশ শেষ মুহূর্তে দেখতে না পারার কষ্ট শুধু মৃতের স্বজনরাই অনুভব করতে পারেন।</t>
  </si>
  <si>
    <t>বাস্তব আমরা যে পথের বিকারী সেই পথ প্রদর্শনী দয়াবান দুনিয়া ও আখেরাত এর সম্মানের তাজ আমাদের প্রিয় জানের প্রাণের নবী 
হজরত মোহাম্মদ সাল্লাল্লাহু আলাইহি ওয়াসাল্লাম কে কুটূক্তি করার সাহস পায় কি করে ,, এদের দরে মুসলিম উম্মাহর হাতে ছেড়ে দিন তারপর ইতিহাস । আর কখনো এই ধরণের জন্মা পরিচয়হীন পাপিরা সাহস করবেনা</t>
  </si>
  <si>
    <t>ফেব্রুয়ারি মাসে নোয়াখালীর ফেনী সাব-ডিভিশনের ভারতীয় সংবাদ মাধ্যম প্রতিনিধির উপর কয়েকবার হামলা করা হয়।প্রেস ট্রাস্ট অব 
ইণ্ডিয়া বা পিটিআই(PTI) এর প্রতিনিধি যদুগোলাপ দত্তের ছোট ভাই ডাঃধীরেন্দ্র কুমার দত্তকে ছুরি দিয়ে কুপিয়ে নির্মম ভাবে হত্যা করা হয়।</t>
  </si>
  <si>
    <t>বিভিন্ন এলাকা যেমন টিকাটুলি, ওয়ারীর দেয়াল গুলোতে মুসলিমরা বিভিন্ন হিন্দু বিদ্বেষপূর্ণ স্লোগান যেমন ‘হিন্দুদেরকে হত্যা কর, হিন্দু 
মারোয়াড়ীদের হত্যা কর’ লিখে রাখত।[২৫] ১৮ জানুয়ারি পূর্ব-পাকিস্তান সরকার রাত ৮ টা পর্যন্ত সান্ধ্য আইন জারি করে। ১৯ জানুয়ারি থেকে সেটি বাড়িয়ে ২৪ ঘণ্টা করা হয়।</t>
  </si>
  <si>
    <t>নড়াইলের লোহাগড়া উপজেলার দিঘলিয়া গ্রামের ব্যবসায়ী গোপাল সাহা বলেন, ‘হামলাকারীরা কারও দোষ-গুণ খোঁজেনি। হিন্দু হলেই 
মারধর করেছে। ১৯৭১ সালে মুক্তিযুদ্ধের সময়ে আমাদের পরিবার এই গ্রামে ছিল। তখনও নিজেদের নিরাপদ মনে করেছি, তবে এখন আর নিরাপদ মনে করতে পারছি না।</t>
  </si>
  <si>
    <t xml:space="preserve">বাংলাদেশে ফের হিন্দু দেবতার প্রতিমা ভাঙচুরের অভিযোগ উঠল। সোমবার রাতে বাংলাদেশের ফরিদপুর উপজেলার তাম্বুলখানা বাজারে
 সার্বজনীন কালী ও দুর্গা মন্দিরে নির্মাণাধীন প্রতিমা ভাঙচুর করে দুষ্কৃতীরা। </t>
  </si>
  <si>
    <t>ভারতীয় উপমহাদেশে মুসলিম আক্রমণ ছিল ভারতীয় উপমহাদেশে প্রথম মহান আইকনোক্লাস্টিক আক্রমণ । [৭৩] উইলিয়াম জনস্টনের
 মতে, ইন্দো-গাঙ্গেয় সমভূমি অঞ্চলে 12ম এবং 13শ শতাব্দীতে মুসলিম সেনাবাহিনী, সন্ন্যাসী এবং সন্ন্যাসীরা হত্যা করে শত শত বৌদ্ধ মঠ এবং মন্দির ধ্বংস করা হয়েছিল, বৌদ্ধ গ্রন্থগুলি পুড়িয়ে দেওয়া হয়েছিল।</t>
  </si>
  <si>
    <t>শত শত বছরের মুসলিম শাসনের মধ্য দিয়ে আধুনিক ভারতের ভিত্তি গড়ে উঠেছিল। এখন মুসলমানরা ভারতের দ্বিতীয় বৃহত্তম জনশক্তি।
 ভারতের মুসলমানরা একীভূত রাষ্ট্র হিসেবে ভারতকে গড়ে তোলা এবং বৃটিশ ঔপনিবেশিক শাসন-শোষণ থেকে মুক্তির সংগ্রামে গুরুত্বপূর্ণ ভূমিকা পালন করেছে।</t>
  </si>
  <si>
    <t>বিবিসি বাংলার এ সাহসী উদ্যোগের জন্য অসংখ্য ধন্যবাদ। অত্যন্ত দুঃখের সাথে লক্ষ্য করেছি, সাম্প্রদায়িক নির্যাতনের খবর প্রচারে 
আমাদের দেশীয় মিডিয়াগুলো আশ্চর্যরকম গা এড়িয়ে চলে।</t>
  </si>
  <si>
    <t>বাংলাদেশ হিন্দু বৌদ্ধ খ্রিস্টান ঐক্য পরিষদের সাংগঠনিক সম্পাদক অ্যাডভোকেট দীপঙ্কর ঘোষ এ অভিযোগ অস্বীকার করে ডয়চে ভেলেকে 
বলেন, ‘‘আমরা সঠিক তথ্যভিত্তিক হিসাব দিয়েছি৷ আমরা মনে করি, তারা হিন্দু বলেই তাদের হত্যা করা হয়েছে৷ আমরা অধিকতর তদন্ত করে আরো বিস্তারিত প্রতিবেদন প্রকাশ করবো৷''</t>
  </si>
  <si>
    <t>আন্তর্জাতিক সোসাইটি ফর হিউম্যান রাইটস — ফ্রাঙ্কফুর্ট, জার্মানির একটি বেসরকারী সংস্থা যার 38টি দেশের 30,000 সদস্য রয়েছে যারা 
মানবাধিকার পর্যবেক্ষণ করে। 2009 সালের সেপ্টেম্বরে, তৎকালীন চেয়ারম্যান মার্টিন লেসেনথিন, [106] একটি প্রতিবেদন জারি করেন যে অনুমান করে যে সারা বিশ্বে ধর্মীয় নিপীড়নের 80% কাজ সেই সময়ে খ্রিস্টানদের লক্ষ্য ছিল।</t>
  </si>
  <si>
    <t>এই যুদ্ধে শুধু সমরকৌশলের কারণে জয়লাভ করা সম্ভব ছিল। রাসূল সা: কখনো নিজেকে বড় মনে করতেন না। একেবারে সাদা দিলের 
মানুষ ছিলেন। যুদ্ধে কারো মতামত গ্রহণযোগ্য হলে বিনা দ্বিধায় গ্রহণ করতেন। এটাও ছিল রাসূল সা:-এর সমরদর্শিতার পরিচয়।</t>
  </si>
  <si>
    <t>দিও গৌতম বুদ্ধ ব্রাহ্মণ্যবাদী নিপীড়নের বিরুদ্ধে কথা বলে গেছেন, তবুও প্রাচীন ইতিহাসের নৃশংসতম এক হত্যাযজ্ঞের পরে হিন্দু রাজা 
অশোকের ২৩৬ পূর্বাব্দে বৌদ্ধ ধর্মে ধর্মান্তরিত হবার আগ পর্যন্ত বৌদ্ধদের ভরতবর্ষের রাষ্ট্রযন্ত্রে কোনো রকম প্রভাব ছিলনা বললেই চলে।</t>
  </si>
  <si>
    <t>হিন্দুদের দ্বারা মুসলমানদের উপর হানাদার হামলার আকারে প্রায়শই মুসলমানদের উপর সহিংসতা সংঘটিত হয়। [১১] [১২] এই
 আক্রমণগুলিকে ভারতে সাম্প্রদায়িক দাঙ্গা হিসাবে চিহ্নিত করা হয় এবং সংখ্যাগরিষ্ঠ হিন্দু ও সংখ্যালঘু মুসলিম সম্প্রদায়ের মধ্যে বিক্ষিপ্ত সাম্প্রদায়িক সহিংসতার এক অংশ হিসাবে দেখা যায় এবং বিংশ শতাব্দীতে পুরো বিশ্ব জুড়ে ইসলামফোবিয়ার উত্থানের সাথেও যুক্ত রয়েছে। </t>
  </si>
  <si>
    <t>মহান আল্লাহতায়ালা বলেন, ‘নিশ্চয়ই আমি এটি নাজিল করেছি ‘লাইলাতুল কদরে। তুমি কি জান কদরের রাত কি? কদরের রাত হাজার 
মাসের চেয়েও অধিক শ্রেষ্ঠ। এ রাতে ফেরেশতারা ও রুহ (জিবরাইল) তাদের রবের অনুমতিক্রমে সব সিদ্ধান্ত নিয়ে অবতরণ করে। (এ রাতে বিরাজ করে) শান্তি আর শান্তি- ফজর উদয় হওয়া পর্যন্ত।’ (সুরা কদর)</t>
  </si>
  <si>
    <t>বাঙালি হিন্দুদের উপর নির্বিচার অত্যাচারে অতিষ্ঠ হয়ে সংখ্যালঘু হিন্দুরা ভারতে আসার জন্য ইসলামপুর গ্রামের ঢাপঢুপ বিলের পাড়ের
 আম বাগানে এসে সমবেত হয়েছিলো। পাকিস্তানি হানাদার বাহিনী ও রাজাকারেরা সকালে সূর্য ওঠার পর যারা রওনা হয়েছিল তাদের পিছু ধাওয়া করে পথ রোধ করে এবং যারা আম বাগানে আশ্রয় নিয়েছিল তাদেরসহ নির্জন ঢাপঢুপ বিল পাড়ে জড়ো করে। </t>
  </si>
  <si>
    <t>১৬ অক্টোবর বিকেলে কুমিল্লাতে পূজা মন্ডপে আক্রমণের প্রতিবাদে ফেনী জেলাতে হিন্দুরা শান্তিপূর্ণ মিছিল করছিল। কিন্তু সে সময় ফেনী 
কেন্দ্রীয় জামে মসজিদ থেকে আসরের নামাজ শেষে বের হওয়া মুসল্লীরা বিভিন্ন ইসলামিক শ্লোগান দিয়ে আক্রমণ করে।[৫৬] হিন্দুদের উপর ইট ছুঁড়ে মারা হয় ও বাঁশ নিয়ে হামলা করা হয়। বাঁশপাড়া দুর্গামন্দির,জয়কালী মন্দির,কালীপাল গাজীগঞ্জ আশ্রম সহ একাধিক মন্দিরে হামলা করা হয়।</t>
  </si>
  <si>
    <t>চাঁদপুরের হাজীগঞ্জে মুসলিম ধর্মান্ধরা একটি হিন্দু পরিবারের মা, তার মেয়ে এবং তার ভাতিজিকে ধর্ষণ করে বলে সামাজিক যোগযোগ 
মাধ্যমে খবর প্রকাশ পায়। [৩২][৩৩] তবে এরকম ঘটনা ঘটেনি বলে এবং এটি গুজব বলে সংবাদমাধ্যকে জানায় স্থানীয় পূজা উদযাপন পরিষদ। [৩৪] হাজীগঞ্জ উপজেলা হিন্দু-খ্রিস্টান-বৌদ্ধ ঐক্য পরিষদের সাধারণ সম্পাদক সত্য ব্রত ভদ্র মিঠুন বাংলানিউজকে বলেন, “হাজীগঞ্জের কোথাও হিন্দু সম্প্রদায়ের কোনো পরিবারে ধর্ষণের ঘটনা ঘটেনি। সামাজিক যোগাযোগ মাধ্যমে সম্পূর্ণ মিথ্যা অপপ্রচার করা হচ্ছে। যা গুজব। ”[</t>
  </si>
  <si>
    <t>রাশিয়ার রাজধানী মস্কোর কনসার্ট হলে ভয়াবহ সন্ত্রাসী হামলার পর শোকে স্তব্ধ গোটা দেশ। রাশিয়ার ইতিহাসে সবচেয়ে বর্বরোচিত এ হামলার 
পর পরিস্থিতি স্বাভাবিক হলেও কাটেনি আতঙ্ক। জঙ্গিগোষ্ঠী ইসলামিক স্টেট (আইএস) এই হামলার দায় স্বীকার করলেও রাশিয়া দাবি করেছে, এই হামলার সঙ্গে ইউক্রেন জড়িত। তবে রাশিয়ার অভিযোগ অস্বীকার করেছে কিয়েভ।</t>
  </si>
  <si>
    <t>১০ অক্টোবর চট্টগ্রামে কোতোয়ালি থানার ফিরিঙ্গবাজার এলাকায় দুর্গা প্রতিমাকে ট্রাকে করে নিয়ে যাওয়ার সময় সেখানে অবস্থিত ফলের 
আড়ৎ থেকে জাম্বুরা ছুড়ে মারা হয়, যার ফলে দুর্গা-বিগ্রহের একটি হাত ভেঙে যায়। চট্টগ্রামে বিক্ষোভ হলে পুলিশ ঘটনাটা ইচ্ছাকৃত না দুর্ঘটনা তা তদন্ত করবে বলে সংবাদ মাধ্যমকে জানায়।</t>
  </si>
  <si>
    <t>২৮ ফেব্রুয়ারি ২০১৩, আন্তর্জাতিক অপরাধ ট্রাইব্যুনাল জামায়াতে ইসলামীর সহ-সভাপতি দেলাওয়ার হোসাইন সাঈদীকে একাত্তরের 
বাংলাদেশ মুক্তিযুদ্ধের সময় সংঘটিত যুদ্ধাপরাধের জন্য মৃত্যুদন্ডের সাজা প্রদান করে। এই সাজার পরে জামায়াতে ইসলামী এবং এর ছাত্র সংগঠন ইসলামী ছাত্র শিবিরের কর্মীরা দেশের বিভিন্ন স্থানে হিন্দুদের উপর হামলা চালায়। হিন্দু সম্পত্তি লুট করা হয়, হিন্দুদের বাড়িঘর পুড়ে ছাই হয়ে যায় এবং হিন্দু মন্দিরগুলিতে ভাঙচুর করা হয় ও অগ্নি সংযোগ করা হয়।</t>
  </si>
  <si>
    <t>পশ্চিম কালুডাঙ্গা ব্রাহ্মনপাড়া দুর্গা মন্দিরের পুরোহিত জীবন কৃষ্ণ চন্দ্র চক্রবর্তী বলেন, রাত সাড়ে ১০টার দিকে প্রায় ১ হাজার থেকে 
১২শ’ মানুষ এসে মন্দিরে হামলা ও অগ্নিসংযোগ চালায়। এতে প্রতিমাসহ সব কিছু ধ্বংস করে দেয়।</t>
  </si>
  <si>
    <t>মৃত্যুর নির্ধারিত সময় এলে পৃথিবীর কোনও ক্ষমতাধর চাইলেও এ থেকে পালাতে পারবে না। আল্লাহ তায়ালা পবিত্র কোরআনে স্পষ্ট 
বলেছেন, ‘তোমরা যেখানেই থাক না কেন, মৃত্যু তোমাদের নাগাল পাবেই; যদিও তোমরা সুউচ্চ সুদৃঢ় দুর্গে অবস্থান কর।’ </t>
  </si>
  <si>
    <t>গাভা নরেরকাঠী গণহত্যা হলো ১৯৭১ সালে বাংলাদেশের স্বাধীনতা যুদ্ধ চলাকালে পাকিস্তানি সেনাবাহিনী ও তাদের দেশীয় সহযোগী রাজাকার
 কর্তৃক বরিশালের গাভা নরেরকাঠী গ্রামে বাঙালি হিন্দুদের ওপর ২ মে তারিখে সংঘটিত একটি পূর্বপরিকল্পিত গণহত্যা।[১][২][৩][৪] বিভিন্ন সূত্র অনুযায়ী, পাকিস্তানি বাহিনী ও রাজাকারেরা ৯৫-১০০ জন বাঙালি হিন্দুকে হত্যা করেছিল।</t>
  </si>
  <si>
    <t>পশ্চিমবঙ্গের প্রভাবশালী বাংলা দৈনিক আনন্দবাজার পত্রিকায় প্রকাশিত এক রিপোর্টে বলা হয়েছে, ‘বিজেপি মুখপাত্রদের পয়গম্বর সংক্রান্ত 
নিন্দনীয় মন্তব্যের জেরে মোদি সরকার পাকিস্তান, আফগানিস্তানসহ পশ্চিম এশিয়ার বিভিন্ন দেশ এবং ইসলামি সংগঠন ও মুসলিম সংখ্যাগরিষ্ঠ দেশগুলোর রোষানলে পড়লেও ব্যতিক্রম শুধু প্রতিবেশী রাষ্ট্র বাংলাদেশ।’</t>
  </si>
  <si>
    <t>৩১ অক্টোবর সকালে প্রায় ১০০ মুসলিম জনতার একটি দল কার্ফু ভঙ্গ করে একটি হিন্দু মন্দিরে হামলা করে সেটি অপবিত্র করে।[৮] 
২ নভেম্বর শুক্রবারে জুম্মার নামাজের জন্য কার্ফু কিছুটা শিথিল করা হয়। কিন্তু এই সুযোগে প্রায় ৫০০ মুসলিমের একটি দল ছুরি, রাম দা, লাঠি, লোহার রড এবং ঘরে তৈরি বোমা নিয়ে শহরতলীর একটি মন্দিরে আক্রমণ করে।</t>
  </si>
  <si>
    <t>গ্রামে ঢুকে রাজাকাররাও গুলি চালাতে থাকে এবং গ্রামে লুটপাট শুরু করে। তারা বাড়ি-বাড়ি গিয়ে বন্দুকের মাথা টিকিয়ে গ্রামবাসীদের 
নগদ টাকাপয়সা এবং স্বর্ণালঙ্কার লুট করে নিয়ে যায়। রাজাকারদের দ্বারা প্ররোচিত হয়ে, পাকিস্তানি সৈন্যরা সারা গ্রামে আগুন ধরিয়ে দেয়। অতঃপর তারা ১৩০ জন ব্যক্তিকে কমলাময়ী উচ্চ বিদ্যালয়ের সামনে চক্রাকারে দাঁড় করায়।</t>
  </si>
  <si>
    <t>গাজা যুদ্ধ যেন শেষ পরিণতির শুরু ডেকে আনতে পারে। তবে সেটা ফিলিস্তিনের জন্য নয়, বরং ইসরায়েলের জন্য। দক্ষিণ আফ্রিকার রক্তাক্ত 
আধিপত্যবাদী বর্ণবিদ্বেষী শাসকগোষ্ঠীর যেমন পতন এসেছিল, ঠিক তেমনি শীঘ্রই ইসরায়েলেও পতন হতে পারে।</t>
  </si>
  <si>
    <t>মুসলিমরা যুল উশাইরা পর্যন্ত অগ্রসর হয়। কিন্তু কুরাইশ কাফেলাটি কয়েকদিন পূর্বে উক্ত স্থান অতিক্রম করে চলে যায়। মুসলিমরা এখানে 
জামাদিউল আওয়াল ও জামাদিউল আখিরের কয়েকদিন অবস্থান করে। পরবর্তীতে কুরাইশ কাফেলাটি সিরিয়া থেকে ফিরে আসার সময় মুসলিমরা পুনরায় অবরোধের জন্য অগ্রসর হয় এবং ঘটনা পরিক্রমায় বদরের যুদ্ধ সংঘটিত হয়।</t>
  </si>
  <si>
    <t>পেগিডা নেদারল্যান্ডসেও ডালপালা ছড়িয়েছে। দেশটিতে সংগঠনটির প্রধান এডউইন ভেগেনসভালদ। তিনি একের পর এক ইসলামবিদ্বেষী 
নানা কর্মকাণ্ড করে চলেছেন। তার এসব কর্মকাণ্ডের মধ্যে পবিত্র কোরআন অবমাননা অন্যতম। শনিবারের ঘটনা দিয়ে এখন পর্যন্ত তিনবার কোরআন অবমাননার চেষ্টা করেছেন তিনি।</t>
  </si>
  <si>
    <t>হিন্দু আর মুসলমান দুই পক্ষেই কিছু মানুষ আছেন, যারা মনে করেন যে তারাই শোষিত, নিপীড়িত। দুই পক্ষই মনে করে যে অন্য পক্ষটি 
অর্থনৈতিক দুর্বলতার সুযোগ নিয়ে উন্নত হতে চাইছে। এই ভ্রান্ত ধারণার প্রচারও কিন্তু সাধারণ মানুষের মধ্যে যথেষ্ট রয়েছে,</t>
  </si>
  <si>
    <t>সেনাবাহিনী বেলা এগারোটার দিকে হিন্দু জিম্মিদের বাড়ইহাটের ১০০ মিটার দক্ষিণে আখিরা নামক স্থানে নিয়ে গিয়ে পুরুষ এবং নারী ও 
শিশুদের আলাদা সারি বেঁধে দাঁড় করিয়ে মেশিনগানের ব্রাশফায়ারের মাধ্যমে হত্যা করা হয়। কিছু সংখ্যক শিশু ও কিশোর, যারা গুলির পরও বেঁচে গিয়েছিল, তাদের বেয়োনেট দিয়ে হত্যা করা হয়।</t>
  </si>
  <si>
    <t>বিবিসি বাংলায় প্রচারিত একটি প্রতিবেদন থেকে যেমনটা জানা গেছে, কিছু হিন্দু নেতার বিরোধিতার কারণে পিতার সম্পত্তিতে কন্যার অধিকার
 নিশ্চিত করা এতো দিনেও সম্ভব হয়ে ওঠেনি। আমি সত্যিই বিশ্বাস করি যে, সন্তান হিসেবে ছেলে এবং মেয়ে উভয়েরই পিতা-মাতার সম্পত্তিতে সমান অধিকার থাকা উচিত।</t>
  </si>
  <si>
    <t>বেশিরভাগ ধর্মেই স্বর্গ-নরক আছে, কিন্তু সব ধর্মে স্বর্গের সুযোগ-সুবিধা ও নরকের শাস্তি-যন্ত্রণা এক প্রকারের নয়। উত্তর ভারতের হিন্দু সাধুরা 
মাথায় জটাভার, মুসলমান-শিখ বুজুর্গরা মাথায় পাগড়ি-টুপি, হিন্দু-মুসলমান-শিখরা গ-দেশে প্রলম্বিত শ্মশ্রু রাখতে পারার একটি কারণ হয়তো এই যে তাদের বাসভূমি শীতপ্রধান। বৌদ্ধ ভিক্ষুদের মস্তক মুণ্ডিত এবং মুখমণ্ডল ক্ষৌরিকৃত হবার একটি কারণ হয়তো এই যে উষ্ণ কিন্তু জলীয় বাষ্পবহুল বাংলা-বিহার অঞ্চলে বৌদ্ধধর্মের সূচনা।</t>
  </si>
  <si>
    <t>১৯৬৪ সালের গণহত্যায় হিন্দুদের পাশাপাশি পূর্ববঙ্গের অনেক নৃতাত্ত্বিক জনগোষ্ঠী অত্যাচারের শিকার হয়ে দেশ ছাড়তে বাধ্য হয়। এমনই 
এক আদিবাসী সম্প্রদায় ছিল গারো জনগোষ্ঠী। এই ঘটনাকে উপজীব্য করে উমাকান্ত শর্মা ১৯৬৫ সালে অহমিয়া ভাষায় 'ছিমছাঙ্গার দুটো পাড়' নামে একটি উপন্যাস লেখেন। এই গন্যহত্যার ফলে সৃষ্ট হিন্দুদের দেশত্যাগের বিষয়বস্তু নিয়ে বিখ্যাত বাংলাদেশি চলচ্চিত্রকার তানভীর মোকাম্মেল 'চিত্রা নদীর পারে' নামে একটি বিখ্যাত চলচ্চিত্র নির্মাণ করেন ১৯৯৯ সালে।</t>
  </si>
  <si>
    <t> অবিভক্ত বাংলা প্রদেশে জনসংখ্যার দিক দিয়ে মুসলিমরা হিন্দুদের চেয়ে সামান্য ব্যবধানে এগিয়ে ছিল। কিন্তু অবিভক্ত বাংলারও বিভাজন হয়; 
মুসলিমগরিষ্ঠ পূর্ববঙ্গ (বর্তমান বাংলাদেশ) যুক্ত হয় পাকিস্তানের সাথে এবং হিন্দু গরিষ্ঠ পশ্চিমবঙ্গ যুক্ত হয় ভারতের সাথে। আসাম প্রদেশের অন্তর্গত বৃহত্তর সিলেট গণভোটের মাধ্যমে পাকিস্তানের সাথে যুক্ত হয়।</t>
  </si>
  <si>
    <t>কুর্জ‌ ইবনে জাবির আল-ফিহরির নেতৃত্বে একটি দল মদিনার চারণভূমিতে আক্রমণ চালিয়ে মুসলিমদের গবাদিপশু লুট করে নেয়।[১] এ কারণে 
মুহাম্মদ সত্তরজনের একটি বাহিনী নিয়ে তাদের ধাওয়া করে বদরের নিকট সাফওয়ান উপত্যকায় পৌছান। কিন্তু কুর্জে‌র দল পালিয়ে যেতে সক্ষম হয়। এরপর মুসলিমরা মদিনায় ফিরে আসে। আলি ইবনে আবি তালিব অভিযানের সাদা পতাকা বহন করেছিলেন। অভিযানকালে যায়েদ ইবনে হারেসাকে মদিনার আমির নিযুক্ত করা হয়।</t>
  </si>
  <si>
    <t> উত্তর অভিযানের সময় , 1926 সালে গুয়াংসিতে , কুওমিনতাং মুসলিম জেনারেল বাই চংসি তার সৈন্যদের নেতৃত্ব দিয়েছিলেন বৌদ্ধ মন্দিরগুলি 
ধ্বংস করতে এবং মূর্তিগুলিকে ভাঙতে, মন্দিরগুলিকে স্কুলে এবং কুওমিনতাং পার্টির সদর দফতরে পরিণত করেছিলেন। [৭১] কিংহাইয়ের কুওমিনতাং প্যাসিফিকেশনের সময় , মুসলিম জেনারেল মা বুফাং এবং তার সেনাবাহিনী উত্তর-পূর্ব এবং পূর্ব কিংহাইয়ের অনেক তিব্বতি বৌদ্ধদের নিশ্চিহ্ন করে এবং তিব্বতি বৌদ্ধ মন্দিরগুলি ধ্বংস করে।</t>
  </si>
  <si>
    <t>পৃথিবীর সব ধর্মগ্রন্থই নিজ নিজ অনুসারীদের কাছে অতি মর্যাদা ও সম্মানের বস্তু। তাই ধর্মগ্রন্থ অবমাননা সব ধর্মে নিন্দনীয় কাজ। মহাগ্রন্থ 
আল কোরআন বিশ্বের সবচেয়ে বেশি পঠিত পবিত্র ধর্মগ্রন্থ। ইসলাম ধর্মে কোরআন অবমাননা ও অমর্যাদা মারাত্মক অপরাধ ও চরম সীমা লঙ্ঘন। জাগতিক শাস্তির পাশাপাশি এর চূড়ান্ত পরিণতি জাহান্নাম।</t>
  </si>
  <si>
    <t>বরিশাল জেলার, একটি হিন্দু পরিবারকে তাদের ঘর থেকে বাস্তুচ্যত করা হয়।[২০] এটি আগালিঝাড়া উপজেলার থানেশ্বরকাথি গ্রামে ঘটেছিল।
বর্তমান সরকার আওয়ামীলীগ এর কর্মী যুবলীগ ক্যাডার তার দলবল নিয়ে মি. তপন সরকারের ঘর দখল করতে আসে। তারপর তারা মি. তপন সরকার এবং তার পরিবারকে মারধোর করে, এরপর তপনের পরিবার কাছাকাছি প্রাথমিক বিদ্যালয়ে আশ্রয় নেয়।</t>
  </si>
  <si>
    <t>ভারতে মহানবী হজরত মুহাম্মদ (সা.)-কে অবমাননার প্রতিবাদে মুসলিমদের বিক্ষোভ বন্ধ করার আহ্বান জানিয়েছেন দেশটির ইসলামি 
সংগঠনের নেতা ও আলেমরা। সম্প্রতি মহানবী (সা.)-কে নিয়ে ভারতের ক্ষমতাসীন দল বিজেপির মুখপাত্র নূপুর শর্মাসহ শীর্ষস্থানীয় দুই নেতা অবমাননাকর মন্তব্য করেন। এ নিয়ে ভারতসহ বিশ্বের বিভিন্ন দেশে প্রতিবাদ-বিক্ষোভ হচ্ছে।</t>
  </si>
  <si>
    <t>ইমাম সাদের ভাই শাদাব আনওয়ার সকালে বিবিসিকে জানান, “আমি শুধু এক ঝলকের জন্য আমার ভাইয়ের লাশটা দেখতে পেয়েছি। এখন 
আমরা মর্গের সামনে অপেক্ষা করছি, এখান থেকে গিয়েই আমরা এফআইআর দায়ের করব।” মসজিদে হামলা চালানোর অভিযোগে ইতিমধ্যেই বেশ কয়েকজনকে আটক করা হয়েছে বলেও পুলিশ নিশ্চিত করেছে। নূহ ও গুরগাঁও-তে গত বিকেল থেকে শুরু হওয়া এই হিন্দু-মুসলিম সংঘাতের রেশ এখনও থামেনি, গোটা এলাকায় পরিস্থিতি থমথমে হয়ে রয়েছে।</t>
  </si>
  <si>
    <t>বৌদ্ধবাদ ধ্বংস প্রকল্পের শেষধাপে – ‘গৌতম বুদ্ধ হিন্দু বিধাতা বিষ্ণুর আরেকটি অবতার ছাড়া আর কিছুই নন’ – এই ধারণা চালু করে তা 
চারিদিকে ছড়িয়ে দেয়া হয়। এভাবে বুদ্ধকে ব্রাহ্মণ্যবাদের সর্বদেবতার মন্দিরের অগুন্তি ঈশ্বরের সামান্য একটিমাত্র-তে পরিণত করা হয়। অবশেষে, বৌদ্ধরা মূলত শুদ্র আর অচ্ছুত হিসেবে জাতপ্রথায় আত্মীকৃত হলেন – আর এভাবেই নিজ জন্মভূমিতেই বৌদ্ধরা নিশ্চিহ্ন হয়ে যেতে লাগলেন।</t>
  </si>
  <si>
    <t>যুগীশো ও পালশা গণহত্যা হলো ১৯৭১ সালের ১৬ মে বাংলাদেশের স্বাধীনতা যুদ্ধ চলাকালে রাজশাহীর যুগীশো ও পালশা গ্রামে পাকিস্তান 
সেনাবাহিনী ও স্থানীয় সহযোগী রাজাকার কর্তৃক বাঙালি হিন্দুদের ওপর চালিত পূর্বপরিকল্পিত গণহত্যা।[১] বিভিন্ন সূত্রমতে, এই ঘটনায় পাকিস্তানি বাহিনী ও রাজাকারেরা ৪২ জন বাঙালি হিন্দুকে হত্যা করে।[</t>
  </si>
  <si>
    <t>ভারতে গরু জবাই সরকারিভাবে নিষিদ্ধ করে দেওয়ার আগে থেকেই ছড়াতে শুরু করেছিল বিদ্বেষ৷ যাঁরা গরুর মাংস খান, তাঁরা আদতে 
হিন্দু ধর্মের শত্রু— এমন এক বিকৃত, বিদ্বেষী ধারণা ক্রমশই জোরদার করে তোলা হচ্ছিল দেশের বিভিন্ন অংশে৷ উত্তরপ্রদেশের মোহাম্মদ আখলাখকে পিটিয়ে মারার ঘটনা আজও দগদগে ক্ষতের মতো হয়ে আছে ভারতের ধর্মনিরপেক্ষতার আদর্শের শরীরে৷</t>
  </si>
  <si>
    <t>পবিত্র আল-আকসা মসজিদ ও হারাম আল শরিফ ঘিরে নতুন করে উত্তেজনার শঙ্কা তৈরি হয়েছে জেরুজালেমে। ইসলামের তৃতীয় পবিত্রতম 
জায়গাটিতে ঢুকে প্রার্থনা করা শুরু করেছে ইহুদিরা। যা আগে কখনও সাহস করেনি তারা। ফিলিস্তিনিদের অভিযোগ, আল-আকসা মসজিদকে ইহুদিকরণের অপচেষ্টা করছে ইসরায়েল। এটি বন্ধ না করলে ধর্মযুদ্ধ শুরুর হুঁশিয়ারিও দিয়েছে তারা।</t>
  </si>
  <si>
    <t>এদিকে ঘটনার রাতেই জিল্লুরকে আশঙ্কাজনকভাবে হাসপাতালে ভর্তি করা দুর্বৃত্তরা নিজেদের মন্দিরে হামলা চালায় এবং লুটপাট করে। 
স্থানীয়ভাবে তারা প্রকাশ করে, মন্দিরে ভাঙচুর চালায় আহত জিল্লুর রহমান। মূল ঘটনা আড়াল করায় ফুঁসে উঠছেন স্থানীয় মানুষ। মূর্তি ভাঙচুরের ঘটনায় শান্তিপ্রিয় মুসলাম এবং হিন্দু সম্প্রদায়ের ভেতরে সাম্প্রদায়িক দাঙ্গা উসকে দিতে চেষ্টা চলছে।</t>
  </si>
  <si>
    <t>মধ্যপ্রাচ্যে ভারতের জনশক্তি রফতানি এবং বাণিজ্যিক স্বার্থ হুমকির সম্মুখীন হলে ভারতের অর্থনীতি কোথায় গিয়ে দাঁড়াবে তা সহজেই অনুমেয়। 
ইতোমধ্যে মধ্যপ্রাচ্যের দুবাই ও কাতারের মতো ভারতের মিত্র ও গুরুত্বপূর্ণ বাণিজ্যিক অংশীদার বিজেপির ইসলাম বিদ্বেষী বক্তব্যের তীব্র প্রতিক্রিয়া জানিয়েছে। সেখানকার সাধারণ নাগরিকরা ভারতীয় পণ্য বর্জনের ডাক দেয়ার পর ব্যবসায়ীরা ভারতীয় পণ্য সরিয়ে ফেলতে শুরু করেছে। সামাজিক যোগাযোগ মাধ্যমে ভারতকে বয়কটের হ্যাশট্যাগ ক্রমেই বিস্তৃতি লাভ করছে।</t>
  </si>
  <si>
    <t>গত ১ মার্চ মসজিদের নির্মাণকাজের উদ্বোধন করেন দিনাজপুর-১ আসনের সংসদ সদস্য মো. জাকারিয়া জাকা। তবে, কুচক্রী মহলের আপত্তিতে 
বর্তমানে মসজিদটির নির্মাণ কাজ বন্ধ রয়েছে। মসজিদটির কাজ বন্ধ থাকায় গ্রামবাসীর মধ্যে চরম ক্ষোভ বিরাজ করছে। প্রায় ৪০০ মুসল্লী মসজিদটিতে জুমার নামাজ আদায় করেন। মসজিদের নির্মাণ কাজে বিঘ্ন ঘটায় মুসল্লীরা নামাজ আদায়ে বিপাকে পড়ছেন।</t>
  </si>
  <si>
    <t>ভালো মানুষ হতে হলে ধর্মের প্রয়োজন নেই || সততা , ঈর্ষাপরায়ণ না হওয়া , নৈতিকতা লালন করা , জীবে প্রেম , লোভ সংবরণ করে সংযত 
হওয়া এই কয়টা গুণই যথেষ্ট একজন ভালো মানুষ হতে এগুলো করার জন্য ধর্মের প্রয়োজন নেই বরং মানসিকতার প্রয়োজন |</t>
  </si>
  <si>
    <t xml:space="preserve">১৯৮৬ সালে আহমেদাবাদে আবার সাম্প্রদায়িক সহিংসতা শুরু হয়। ৯ জুলাই একটি হিন্দু ধর্মীয় শোভাযাত্রার কারণেও এই দাঙ্গা শুরু হয়। 
১২ জুলাই একটি হিন্দু সংগঠন মিছিলের সময় মুসলিমদের উপর হামলার কথা উল্লেখ করে বনধের ডাক দেয়, যদিও এই হামলার দায় নির্ধারণ করা হয়নি। বন্ধ ব্যাপকভাবে পালিত হয় এবং এতে ২৪ জন নিহত হয়। </t>
  </si>
  <si>
    <t>নোয়াখালী ছাড়ার একমাসেরও বেশি সময় পরে গান্ধীজী একজন কংগ্রেস কর্মীর কাছ থেকে একটি টেলিগ্রাম পান যেখানে বলা হয়েছিল,দাঙ্গা 
পীড়িত অঞ্চলে হিন্দুদেরকে জীবন্ত আগুনে পুড়িয়ে মারা হচ্ছে।গান্ধীজী অত্যন্ত দুঃখের সাথে মন্তব্য করেন, নোয়াখালীর অবস্থা এমনই দুর্বিষহ যে হিন্দুদের কে নোয়াখালী ছাড়তে হবে অথবা ধ্বংস হয়ে যেতে হবে। [৬৫]</t>
  </si>
  <si>
    <t>২০০৮ সালের ২৩শে আগস্ট শনিবার সন্ধ্যায়, অজ্ঞাত জঙ্গিরা রাত ৮.০০ টার দিকে আশ্রমে প্রবেশ করে এবং ওড়িশার কান্ধমাল জেলার 
জলেসপাতা বনবাসী কন্যাশ্রমে ৮৪ বছর বয়সী স্বামী লক্ষ্মণানন্দ সরস্বতীর দুর্বল দেহে AK-47 থেকে গুলি চালায় । তাকে নির্মমভাবে হত্যা করার পর, ছদ্মবেশী জঙ্গিরা ছেনি এবং কুড়াল দিয়ে তার শরীরের বিভিন্ন অংশ কেটে ফেলে বলে অভিযোগ।</t>
  </si>
  <si>
    <t>যদি তুমি উহুদ পাহাড় পরিমাণ স্বর্ণও আল্লাহর পথে দান করো আর তাকদিরে বিশ্বাস না রাখো, তবে তা গ্রহণ করা হবে না যতক্ষণ না তুমি পুনরায়
 তাকদিরে বিশ্বাস করবে এবং উপলব্ধি করবে যে, যা তোমার ঘটেছে তা ভুলেও তোমাকে এড়িয়ে যাওয়ার ছিল না। আর যা এড়িয়ে গেছে তা কখনো ভুলেও তোমার বেলায় ঘটার ছিল না। আর এ বিশ্বাস ছাড়া তুমি মারা গেলে জাহান্নামে যাবে।</t>
  </si>
  <si>
    <t>পাকিস্তান সেনাবাহিনী বাঙালি হিন্দুদের ওপর এই গণহত্যা শুরু করে। যারা প্রাণ নিয়ে পালাতে পেরেছিলেন, তারা বুড়িগঙ্গা পেরিয়ে ওপারের 
গ্রামগুলোতে চলে যান। এই এলাকাটা বর্তমানে কেরাণীগঞ্জ নামে পরিচিত। শাঁখেরীবাজার জনশূন্য হয়ে পড়ে। শুধু হিন্দুদের মৃতদেহগুলো রাস্তাঘাটে পড়েছিল। পাকিস্তান সরকার শাঁখেরীবাজার রাস্তার নাম পাল্টে টিক্কা খান রোড নাম রাখে।[</t>
  </si>
  <si>
    <t>বর্তমানে হক্কানী আলেমদেরও দায়িত্ব, এদেরকে তাদের বিচ্যুতি থেকে হেদায়েতের চেষ্টা করা। বিশেষত সাধারণ মুসলমানদেরকে এ-জাতীয় 
বিভ্রান্ত ও বিচ্যুত উপদলের হাত থেকে আলেমগণ ওয়ায নসীহত, লেখালেখি এবং স্বীকৃত শান্তিপূর্ণ মাধ্যমগুলোর সাহায্যে বাঁচানোর চেষ্টা করবেন। এটা আলেমদের বিশেষ দায়িত্ব। কিন্তু কোনো ব্যক্তির জন্য এ ধরনের কোনো বিভ্রান্ত উপদলের ধর্মীয় স্থানে হামলা করার কোনো বিধান শরীয়তে নেই। সুতরাং ধর্মীয় দৃষ্টিকোণ থেকে এ-জাতীয় হামলার বিষয়টি খুবই স্পষ্ট।</t>
  </si>
  <si>
    <t>"যারা নিহত হয়েছে, যাদেরকে হত্যা করা হতো না , যদি তারা খ্রিস্টান না হতো।" [117] ওপেন ডোরস নথি যে খ্রিস্টান বিরোধী মনোভাব বর্তমানে
 প্রত্যক্ষ প্রমাণের উপর ভিত্তি করে এবং পরোক্ষ প্রমাণের উপর ভিত্তি করে রক্ষণশীল অনুমান করে। [118] এই পদ্ধতিটি নাটকীয়ভাবে সংখ্যাগত সংখ্যা কমিয়ে দেয়। ওপেন ডোরস বলে যে, যদিও সংখ্যা প্রতি বছর ওঠানামা করে, তারা অনুমান করে যে 11 জন খ্রিস্টান বর্তমানে বিশ্বের কোথাও না কোথাও তাদের বিশ্বাসের জন্য মারা যাচ্ছে।</t>
  </si>
  <si>
    <t> জামাতি ইসলাম এবং ইসলামী ছাত্র শিবির বন্দুক, ককটেইল, চাপাতি, লোহার ডান্ডা নিয়ে হিন্দুদের ধাওয়া করে, প্রায় শতাধিক হিন্দু ভৈরব
 নদীতে ঝাপ দেয় এবং সাঁতরে অন্য পাড়ে উঠে।[১৩] হিন্দুদের নারকেল,কলা গাছ জ্বালিয়ে দেওয়া হয়, কেটে ফেলা হয়। গোয়ালঘর পুড়িয়ে ফেলা হয়। মুর্তি ভেঙে ফেলা হয়। অন্ততপক্ষে ২০ জন এই আক্রমণে গুরুতর আহত হয়।[১৩] সেই গ্রামের প্রায় ৬০০ হিন্দু ভৈরব নদী সাঁতরে শ্রীধর ইউনিয়নের দিয়াপাড়া গ্রামে আশ্রয় নেয়।</t>
  </si>
  <si>
    <t> ইংরেজ শাসনে মুসলিমদের দীর্ঘ বঞ্চনা এবং তার সঙ্গে যুক্ত হওয়া কলকাতায় মুসলিমদের বিরুদ্ধে পরিচালিত হত্যাযজ্ঞ এবং তার ক্ষোভ 
থেকেই মূলত নোয়াখালীতে হিন্দু মুসলিম দাঙ্গা সংগঠিত হয় বলে মনে করা হয়।[১৪] এছাড়াও উল্লেখযোগ্য একটি ঘটনা, দাঙ্গা শুরুর আগে গুজব রটে যে রামগঞ্জের জমিদার রাজেন্দ্র লাল চৌধুরী তার বাড়ির পুজোয় এক মুসলিম বালককে বলি দিচ্ছেন যা দাঙ্গা সৃষ্টির অবতরণিকা বলে মনে করা হয়।[১৫]</t>
  </si>
  <si>
    <t> ঢাকার অদূরে টাঙ্গাইল জেলার গোপালপুর উপজেলায় দুইশো গম্বুজ মসজিদ নামের একটি বড় মসজিদের শুক্রবারের জুম্মার নামাজ এবং 
পাঁচ ওয়াক্ত নামাজ সাময়িক সময়ের জন্য স্থগিত করা হয়েছে। সেই মসজিদ কমিটি নিজেরা করোনাভাইরাস সংক্রমণ ঠেকাতে এই সিদ্ধান্ত নেয়ার কথা ঘোষণা করেছে।</t>
  </si>
  <si>
    <t>]রাজশাহী বিভাগের একজন পাদ্রী ফাদার থমাস ক্যাটানিও রিপোর্ট করেন যে, সেখানকার সাঁওতাল গ্রামের অধিবাসীরা আক্রান্ত হয়েছে ,তাদেরকে 
আটক করা হয়েছে এবং সাঁওতাল নারীদেরকে ধর্ষণ করা হয়েছে।[৫] ডিসেম্বরের ১০ তারিখে উন্মত্ত মুসলিম জনতা রাজশাহীর পুঠিয়া রাজবাড়িতে ও আশপাশের বাড়ি-ঘরে হামলা চালিয়ে সম্পদ লুটপাট করে এবং সে সব বাড়িঘর দখল করে নেয়।</t>
  </si>
  <si>
    <t>আসলে ইসলাম না এলে বৌদ্ধ ধর্ম হিন্দুদের দ্বারা ভারতবর্ষ থেকে পুরোপুরি নিশ্চিহ্নই হয়ে যেত। অন্ধ বৌদ্ধবাদের সমর্থকদের উচিত
 উইরাথুদের মত উগ্র জাতীয়তাবাদে বিশ্বাসীদের বিক্রি করা বিষাক্ত ঘৃণার বড়ি না গিলে এ বিষয়ে নির্মোহ বিশ্লেষকদের লেখাগুলো পড়ে দেখা – যদি তাতে অবিচক্ষণ মুর্খতা ও ঘৃণ্য মুসলিম বিদ্বেষ কিছুটা হলেও কমে। </t>
  </si>
  <si>
    <t>, শশাঙ্ক বৌদ্ধ রাজা হর্ষবর্ধনের সাথে এক অমিমাংসিত যুদ্ধ করেন – যেখানে শশাঙ্ক তার নিজের অঞ্চলগুলো ধরে রাখতে সমর্থ হন। শশাঙ্কের 
মৃত্যুর পরে কিছুকাল ধরে শাসনের অধিকার নিয়ে বাংলায় হিন্দু ও বৌদ্ধদের মধ্যে রাজনৈতিক সংকট চলে। পরে পাল রাজারা বাংলার অধিপতি হলে তারা মহায়নী বৌদ্ধবাদ ও শৈব হিন্দু উভয়েরই পৃষ্ঠপোষকতা করেন।</t>
  </si>
  <si>
    <t>মুসলিম বাহিনী বহুবার ভারতীয় উপমহাদেশের উত্তর-পশ্চিমাঞ্চলে আক্রমণ করেছিল। [৭৭] অনেক জায়গা ধ্বংস হয়ে নতুন নামকরণ করা হয়। 
উদাহরণস্বরূপ, ওদন্তপুরীর মঠগুলি 1197 সালে মুহাম্মদ বিন বখতিয়ার খিলজি দ্বারা ধ্বংস করা হয়েছিল এবং শহরের নাম পরিবর্তন করা হয়েছিল। [৭৮] একইভাবে, ১২০০ সালের দিকে মুহম্মদ বিন বখতিয়ার খিলজির বাহিনী দ্বারা বিক্রমশীলা ধ্বংস হয় । [৭৯] পবিত্র মহাবোধি মন্দির মুসলিম আক্রমণকারীদের দ্বারা প্রায় সম্পূর্ণরূপে ধ্বংস হয়ে যায়।</t>
  </si>
  <si>
    <t>যোগেন্দ্র ঘোষকে নিষ্ঠুর ভাবে খুন করা হয় এবং অনেক হিন্দুকে কুপিয়ে আহত করা হয়। সিজেরকাছ নামক এলাকার পাল, চৌধুরী সহ সকল 
হিন্দু ব্রাহ্মণ বাড়ি লুটপাট করা হয় এবং সবাইকে ধর্মান্তরিত করা হয়। বিমল স্মৃতিতীর্থ নামে একজন সজ্জন হিন্দু পণ্ডিত ইসলাম গ্রহণ করতে অস্বীকার করেন। তার পবিত্র পৈতে ছিঁড়ে ফেলে, তাকে পা দিয়ে মাড়িয়ে উপর্যুপরি কোপানো হয়। ব্রাহ্মণদের মাথার টিকি টেনে ছিঁড়ে ফেলা হয় এবং উপাসনার মন্দির ও মূর্তি গুলো ধ্বংস করে ফেলা হয়।[</t>
  </si>
  <si>
    <t>প্রত্যক্ষদর্শী গোবিন্দ চন্দ্র দাসের বর্ণনা মতে, ‘থেমে থাকা ট্রেনের কম্পার্টমেন্টে ঢুকেই পাকিস্তানি সেনারা চিৎকার করে উর্দুতে বলতে থাকেন, 
একজন একজন করে নেমে আসো। তোমাদের মারতে এসেছি আমরা। তবে পাকিস্তানের দামি গুলি খরচ করা হবে না। সকলকে এ কোপে বলি দেওয়া হবে।’ সঙ্গে সঙ্গে শুরু হয়ে যায় বেপরোয়া হত্যাযজ্ঞ। ধারালো রামদা দিয়ে কেটে ফেলা গলা। ওই হত্যাযজ্ঞে শিশু, বৃদ্ধ, নারীরাও রেহাই পাননি। বিভিন্ন সূত্রে বলা হয়, ওই ট্রেন হত্যাযজ্ঞে ৪৪৮ জনকে একে একে রামদা দিয়ে কুপিয়ে হত্যা করা হয়।</t>
  </si>
  <si>
    <t>যুদ্ধে মুসলিমদের বিপক্ষের আবু জাহল(আমর ইবনে হিশাম),উতবা ইবনে রাবিয়া,উমাইয়া ইবনে খালাফ,শায়বা ইবনে রাবিয়া' ওয়ালিদ ইবনে 
উতবা,'উক্ববা ইবনে আবি মুইত নিহত হয়।[১] মুসলিমদের বিজয়ে অন্যদের কাছে বার্তা পৌছায় যে মুসলিমরা আরবে নতুন শক্তি হিসেবে আবির্ভূত হয়েছে এবং এর ফলে নেতা হিসেবে মুহাম্মাদের অবস্থান দৃঢ় হয়।</t>
  </si>
  <si>
    <t>গোলাম সরোয়ারের নিজস্ব বাহিনী নন্দীগ্রামের নাগ পরিবারের বাড়িঘর আগুনে পুড়িয়ে শুধু ক্ষান্ত হয়নি, রমনীকান্ত নাগের প্রতিষ্ঠিত পোস্ট 
অফিস ও বিদ্যালয় ভবনও পুড়িয়ে দেয়। আশেপাশের হিন্দু পরিবার গুলো নাগ পরিবারের বাড়িতে আশ্রয় নেন এবং প্রথম দিকে পুলিশ বাহিনীও তাদেরকে নিরাপত্তা দেয়। যখন গোলাম সরোয়ারের বাহিনী নাগ পরিবারের বাড়িতে আক্রমণ করে, পুলিশ তাদের হটিয়ে দেয়।পরবর্তীতে আক্রমণকারী মুসলিম জনতা সুসংগঠিত হয়ে সমস্ত গ্রাম জুড়ে নির্বিচারে লুটপাটের তাণ্ডব চালায়। </t>
  </si>
  <si>
    <t>পীরগঞ্জ থানায় অভিযোগ দায়ের করা হলেও পুলিশ এখনো কোনো ব্যবস্থা গ্রহণ করেনি। এ বিষয়ে থানার ভারপ্রাপ্ত কর্মকর্তা রেজাউল করিমের 
সঙ্গে গতকাল কথা হলে তিনি বলেন, বিষয়টি নিয়ে পর্যবেক্ষণ চলছে। এদিকে এ বিষয়ে এলাকায় চরম উত্তেজনা বিরাজ করছে। বিষয়টি যে কোনো সময় রক্তক্ষয়ী সাম্প্র্রদায়িক দাঙ্গায় রূপ নিতে পারে বলে সুধীজনরা আশঙ্কা করছেন।</t>
  </si>
  <si>
    <t>এই ছয় মাসে হিন্দু সম্প্রদায়ের ৬৬টি বাসস্থানে ভাঙচুর ও অগ্নিসংযোগ এবং ৪৯টি প্রতিমা, পূজামণ্ডপ, মন্দির ভাঙচুর ও আগুন দেওয়ার ঘটনা 
ঘটেছে। প্রতিবেদনে বলা হয়েছে, ছয় মাসে আইনশৃঙ্খলা রক্ষাকারী বাহিনীর সঙ্গে ‘ক্রসফায়ারে’ নিহত হয়েছেন ৬২। এর মধ্যে র‍্যাবের সঙ্গে ক্রসফায়ারে ২৪ জন এবং পুলিশের ক্রসফায়ারে ৩০ জন নিহত হয়েছেন।</t>
  </si>
  <si>
    <t>ঢাপঢুপ গণহত্যা বাংলাদেশের স্বাধীনতা যুদ্ধ চলাকালে স্থানীয় চিহ্নিত রাজাকারদের সহায়তায় পাকিস্তানি দখলদারি সেনাবাহিনী দ্বারা বাংলাদেশের 
পঞ্চগড়ের বোদা উপজেলার পাঁচপীর ইউনিয়নের ইসলামপুর ও শুকানপুকুরিসহ আশেপাশের কয়েকটি গ্রাম হিন্দু অধ্যুষিত এলাকার বাঙ্গালী হিন্দুদের উপর সংগঠিত হত্যাকান্ডকে বোঝায়।[১][২] ১৯৭১ সালের এপ্রিল মাসের এই হত্যাকাণ্ডে ৩৫০০ জন বাঙ্গালী হিন্দুকে ব্রাশফায়ার ও কুপিয়ে করে হত্যা করা হয়।[</t>
  </si>
  <si>
    <t>ইসরায়েলে হামাসের হামলার জেরে আমেরিকায় ৬ বছর বয়সি এক মুসলিম ফিলিস্তিনি-মার্কিন শিশুকে হত্যার ঘটনায় উদ্বুদ্ধ হয়েই ওই জঙ্গী 
এই কাণ্ড ঘটিয়েছে বলেও ভিডিও বার্তায় জানায়।  ধারণা করা হচ্ছে নিহত হামলাকারী বন্দুকধারীকে তিউনিসিয়ান বংশোদ্ভূত। আশ্রয়ের আবেদন প্রত্যাখ্যান করার পর তিনি বেলজিয়ামে অবৈধভাবে বসবাস করছিলেন।</t>
  </si>
  <si>
    <t>সম্প্রতি বাংলাদেশে হিন্দু ধর্মাবলম্বীদের বৃহত্তম ধর্মীয় উৎসব দুর্গাপূজা চলাকালে একটি প্যাণ্ডেলে কুরআন শরীফ পাওয়াকে কেন্দ্র করে পূজা 
মণ্ডপে হামলা-ভাঙচুর, হিন্দু সম্প্রদায়ের বাড়ী-ঘর, ব্যবসা প্রতিষ্ঠানে হামলা ও নিহতের ঘটনা ঘটেছে, এ বিষয়ে প্রতিক্রিয়া জানিয়েছেন অস্ট্রেলিয়ার বাংলাদেশি কমিউনিটি।</t>
  </si>
  <si>
    <t>হিন্দু পুরুষদের জাঠিভাঙ্গা মাঠে একত্রিত করা হয়। পাকিস্তান সেনাবাহিনীর সদস্যরা দুইটি সামরিক ট্রাকে করে তদস্থলে আগমন করে 
এবং হিন্দুদের সারিবদ্ধ করে দাঁড় করিয়ে মেশিনগানের ব্রাশফায়ারে হত্যা করে। সকালে গণহত্যা শুরু হয়ে বিকাল পর্যন্ত চলে। সেনাবাহিনীর প্রস্থানের পর স্থানীয় সহযোগীদরা মৃতদেহ পাশের পাথরাজ নদীর ধারে নিয়ে আসে এবং মাটিচাপা দেয়।</t>
  </si>
  <si>
    <t>বাড়ির বাসিন্দাদের ২৯ জনকে আটক করে স্থানীয় ছোট একটি জলাধারের নিকট নিয়ে যাওয়া হয়।[৩] ধৃতদের প্রহার ও বেয়নেট দিয়ে 
অত্যাচার করার পর পুরুষ সদস্যদের স্ত্রী ও সন্তানের সামনে গুলি করে হত্যা করা হয়।[১] স্থানটি ত্যাগের পূর্বে পাকিস্তান সেনাবাহিনী উর্দুতে হুমকি দেয় যে কোনো মুক্তিযোদ্ধা কিংবা হিন্দুদের ছেড়ে দেওয়া হবে না।[২] কেবল একজন ব্যক্তি বুলেটের ক্ষত নিয়ে বেঁঁচে যায়।[৩] মৃতদেহগুলোকে পুকুরের পাশে সমাধিস্থ করা হয়।[</t>
  </si>
  <si>
    <t>টিটু রায়ের বিরুদ্ধে ধর্ম অবমাননার অভিযোগে ৫ নভেম্বর মামলা দায়ের করা হয়। চার্জশীট দেয়ার পরে তিনি ১৪ই নভেম্বর নীলফামারীতে 
গ্রেফতার হন।[২৮][২৯] তবে তিনি জামিন পান।[৩০][৩১]গঙ্গাচড়া থানার মামলাতে ২২৫ জনকে অপরাধী করে এসআই মকবুল হোসেন চার্জশিট দেয়। এর মধ্যে ৪৪ জনকে আদালত ২০২১ সালের ৫ জানুয়ারি কারাগারে পাঠায়।</t>
  </si>
  <si>
    <t>১৯৫০ সাল থেকে হিন্দু-মুসলিম সাম্প্রদায়িক সহিংসতায় ১০,০০০ জনেরও বেশি মানুষ মারা গেছে। [১৭] সরকারী পরিসংখ্যান অনুসারে, ১৯৫৪ 
থেকে ১৯৮২ সালের মধ্যে এবং ১৯৬৮ থেকে ১৯৮০ সালের মধ্যে ৬,৯৩৩ জন সাম্প্রদায়িক সহিংসতার ঘটনা ঘটেছে, সেখানে [১৭] ৫৩০ জন হিন্দু এবং ১৫৯৮ জন ছিল মুসলিম, মোট ৩,৯৯৯ জন সহিংসতার ঘটনায় মারা গিয়েছিল।</t>
  </si>
  <si>
    <t>১৯৫০শে ১৫ই ফেব্রুয়ারি শিবরাত্রির দিন স্বাভাবিকভাবেই তীর্থযাত্রীরা সীতাকুন্ডের চন্দ্রনাথ মন্দিরের উদ্দেশ্যে রওনা দেয়। অন্যদিকে ১০ তারিখ 
থেকেই গোটা পূর্ববঙ্গে হিন্দু গণহত্যা শুরু হয় এবং যেটি চট্টগ্রামে ১২ই ফেব্রুয়ারি শুরু হয়।[তথ্যসূত্র প্রয়োজন] এ লক্ষ্যে প্রশাসনের পক্ষ থেকে হিন্দুদের মেলা বন্ধ করার হুমকিও দেওয়া হয়।[</t>
  </si>
  <si>
    <t>হিন্দু এবং খ্রিস্টানদের মতো অন্যান্য সংখ্যালঘুদের ওপর হামলা ও জোরপূর্বক ধর্মান্তরিত হয়েছে। [২০০] [২০১] [২০২] দক্ষিণ এশিয়ার 
উদ্বাস্তু ইতিহাসে বিশেষজ্ঞ সাংস্কৃতিক নৃবিজ্ঞানের একজন জাপানি পণ্ডিত তেতসুয়া নাকাতানির মতে, ১৯৪৭ সালে ব্রিটিশ ভারত ভাগের সময় হিন্দু, শিখ এবং অন্যান্য অমুসলিম উদ্বাস্তুদের ব্যাপকভাবে দেশত্যাগের পর, সেখানে প্রতিবেশী দেশ থেকে হিন্দু শরণার্থীর বেশ কয়েকটি ঢেউ ভারতে এসেছে।</t>
  </si>
  <si>
    <t xml:space="preserve">এদেশে ধর্ম নিয়ে আলেম সমাজ কখনোই বাড়াবাড়ি করেনা I ধর্মীয় ঠুনকো কারণে কেউ কাউকে পিটিয়ে মারেনা I আমার কাছে অনেক উদাহরণ 
আছে পাশ্ববর্তী দেশের যেখানে ঠুনকো ধর্মীয় কারণে মুসলিমদের মারা হয়েছে I দুয়েকটা ঘটনা আমাদের দেশে হয়নি তাও অস্বীকার করবোনা I আমাদের দেশে আলেম সমাজের মধ্যে নিজেদের অভ্যন্তরীণ আদর্শ নিয়ে বাড়াবাড়ি আছে সেটাও অস্বীকার করবোনা I </t>
  </si>
  <si>
    <t>ধর্মবিরোধী সংঘর্ষের মাঝে ধর্মের মৌলিক অভিবাদন প্রকাশ করা হলে মানুষের মাঝে অত্যন্ত বৈপরীত্য ও বিপর্যস্ততা সৃষ্টি হয়। বিশ্বাসঘাতক 
হিংসামূলক কার্যকরীতা নয়, তা হলো মানুষের আত্মবিশ্বাস এবং ধর্মবিরোধী আদর্শগুলির বিরুদ্ধে সৃষ্টির মাধ্যমে মানুষের মধ্যে আপাততা ও বিপর্যস্ততার উৎপন্ন হতে পারে। অতএব, এই প্রকার হিংসা ও বিনাশকে প্রতিষেধ করা ও ধর্মের সহিংসতার উত্তরাধিকারী ভূমিকা প্রদান করা উচিত।</t>
  </si>
  <si>
    <t>ধর্ম নিয়ে কটাক্ষকারীদের সবচেয়ে নিচু মানসিকতার মানুষ বলেন তিনি, 'কেন আমরাই মাঠে খেলছি এবং সামাজিক যোগাযোগ মাধ্যমে 
(ধর্ম নিয়ে আক্রমণকারী) কিছু মেরুদণ্ডহীন লোক খেলছে না, তার একটি যুক্তিসঙ্গত কারণ আছে। তাদের আসলে কোনো ব্যক্তির সামনে দাঁড়িয়ে কথা বলার সাহস নেই। তারা (পরিচয় গোপন করে)  লুকিয়ে থাকে এবং সামাজিক যোগাযোগ মাধ্যমে অন্যের পেছনে লাগে। তারা মানুষকে নিয়ে মজা করে যা আজকের দুনিয়ার বিনোদনের মাধ্যম হয়ে দাঁড়িয়েছে। এটা দেখতে পাওয়া অত্যন্ত দুর্ভাগ্যজনক এবং দুঃখজনক।</t>
  </si>
  <si>
    <t>রাষ্ট্রীয় নাস্তিকতা প্রথমে বিপ্লবী ফ্রান্সে একটি সংক্ষিপ্ত সময়ের জন্য অনুশীলন করা হয়েছিল [ উদ্ধৃতি প্রয়োজন ] এবং পরে এটি বিপ্লবী 
মেক্সিকো এবং কমিউনিস্ট রাষ্ট্রগুলিতে অনুশীলন করা হয়েছিল । সোভিয়েত ইউনিয়নের রাষ্ট্রীয় নাস্তিকতার একটি দীর্ঘ ইতিহাস ছিল, [৬৪] যেখানে সামাজিক সাফল্যের জন্য মূলত ব্যক্তিদের নাস্তিকতা স্বীকার করতে, গীর্জা থেকে দূরে থাকতে এবং এমনকি তাদের ভাঙচুর করতে হতো; 1929 থেকে 1939 সাল পর্যন্ত মধ্য স্তালিনবাদী যুগে এই মনোভাব ছিল বিশেষ করে জঙ্গী। [৬৫] [৬৬] [৬৭] সোভিয়েত ইউনিয়ন তার প্রভাবের বিস্তৃত অঞ্চলে ধর্মকে দমন করার চেষ্টা করেছিল, যার মধ্যে রয়েছে মধ্য এশিয়া, [৬৮] এবং পোস্ট। - দ্বিতীয় বিশ্বযুদ্ধের পূর্ব ব্লক ।</t>
  </si>
  <si>
    <t>যারা ধর্মীয় অনুভূতিতে আঘাতের নামে উসকানি প্রদান করছেন, নানাভাবে হেনস্তা করছেন, এবং ধর্মভিত্তিক রাজনীতি ও সাম্প্রদায়িকতার 
বিকাশের অপচেষ্টায় লিপ্ত-তারা ধরা ছোঁয়ার বাইরে থেকে যাচ্ছেন, এমনকি বিভিন্নভাবে সুরক্ষা ও প্রশ্রয় পাচ্ছেন।  একজন শিক্ষকের প্রতি এমন আচরণ যেমন অত্যন্ত দুঃখজনক ও অপ্রত্যাশিত,  তেমনি দেশে ক্রমবর্ধমানহারে ধর্মান্ধতা সাম্প্রদায়িকতা বিস্তারের গভীরতর ষড়যন্ত্রের অশুভ দৃষ্টান্ত।</t>
  </si>
  <si>
    <t> ইংরেজ শিক্ষা সংস্কৃতিতে এগিয়ে যাওয়া হিন্দু শিক্ষকরা মুসলিম ছাত্রদের খাতায় কম নাম্বার দেয়ার প্রচারণা, চাকরিতে প্রবেশে বাধা দেয়ার 
নানা চেষ্টার অভিযোগ, হিন্দু সংখ্যাগুরু প্রদেশগুলোতে মুসলিমদের খারাপ অবস্থা, বঙ্গভঙ্গ রদ, বাংলার মুসলিম প্রধান অঞ্চলে প্রতিষ্ঠিত বিশ্ববিদ্যালয় ঢাকা বিশ্ববিদ্যালয় নির্মাণে হিন্দুদের জোর বিরোধীতাসহ নানা কারণে বাংলার মুসলিমদের সঙ্গে হিন্দুদের সম্পর্ক বেশ নাজুক ছিলো। </t>
  </si>
  <si>
    <t>আইন প্রয়োগকারী সংস্থাকে নিস্ক্রিয় করে রাখা হয়। বরিশাল জেলার আগরপুর ইউনিয়নের ব্রাহ্মণদিয়া গ্রামে কয়েক হাজার হিন্দু আশ্রয় নেয়।
 বরিশালের এ দাঙ্গার বিরুদ্ধে দাড়িয়েছিলেন বরিশাল জেলা মুসলিম লীগের সহ-সভাপতি এবং আগরপুর ইউনিয়নের প্রেসিডেন্ট আলতাফউদ্দীন মোহাম্মদ। তিনি তার এলাকার হিন্দুদের রক্ষা করতে তার নিজ বাড়িতে ও শুভাকাংখীদের কাছে আশ্রয় দেন।</t>
  </si>
  <si>
    <t>উইলিয়াম কেরির মতো ধর্মপ্রচারকদের দ্বারা সতীদাহ প্রথার বিরোধিতা, এবং রামমোহন রায়ের মতো হিন্দু সংস্কারকদের দ্বারা অবশেষে ভারতের 
ব্রিটিশ গভর্নর-জেনারেল লর্ড উইলিয়াম বেন্টিংক এর নেতৃত্বে বঙ্গীয় সতীদাহ প্রবিধান, ১৮২৯ প্রণয়ন করা হয়, যা হিন্দু বিধবাদের জীবন্ত পুড়িয়ে মারার প্রথাকে ফৌজদারি আদালত কর্তৃক শাস্তিযোগ্য অপরাধ বলে ঘোষণা করা হয়।</t>
  </si>
  <si>
    <t>হতভাগ্য, অসহায়, বাস্তুচ্যুত আশ্রয়প্রার্থীদেরকে ভারতের পশ্চিমবঙ্গ, আসাম ও ত্রিপুরাতে স্থাপন করা অস্থায়ী শিবিরে ত্রান সাহায্য দেয়া হয়। 
পরবর্তীতে রিফিউজিদেরকে ভারতের বিভিন্ন অঞ্চলে পুনর্বাসিত করা হয়। শিলচরে প্রায় ৬,০০০ চাকমা সম্প্রদায়ের মানুষকে আশ্রয় দেয়া হয়।[১৫] গারোপাহাড়ি অঞ্চলের তুরা নামক স্থানে স্থাপিত ১২ টি অস্থায়ী শিবিরে ৫০,০০০ গারো ও অন্যান্য আদিবাসী জনগোষ্ঠীর মাথা গোজার ঠাঁই মেলে।</t>
  </si>
  <si>
    <t>১৯শে মার্চ মহেশপুর পুলিশ স্টেশনের অন্তর্গত জিঞ্জিরা গ্রাম থেকে ৪০০ আর্ত হিন্দু শরণার্থী ভারতের পশ্চিমবঙ্গের নদীয়া জেলার হাঁসখালী 
পুলিশ স্টেশনের নিয়ন্ত্রণাধীন হাজারখাল গ্রামে এসে পৌঁছায়। কিন্তু যখন তারা ইছামতি নদী পার হচ্ছিল তখন তিনজন পাকিস্তানি সীমান্তরক্ষী তাদের উপর গুলি বর্ষণ করে এবং কমপক্ষে একজন ব্যক্তি তখন নিহত হন।</t>
  </si>
  <si>
    <t>এককালে উদগ্র গো-মাংস ভক্ষক ব্রাহ্মণরা বৌদ্ধদের দেখাদেখি নিরামিষাশী হয়ে যান। তারা বুদ্ধের প্রতি প্রচলিত ভালবাসার আদলেই নতুন 
করে রাম আর কৃষ্ণ বন্দনা শুরু করে দেন। বৌদ্ধদের অবলোপনের ঊষালগ্নের এই সময়কালেই মহাভারত রচিত হয় – যাতে করে নিম্নবর্ণের বৌদ্ধদের আবার শুদ্র হিসেবে হিন্দুধর্মে ফিরিয়ে আনা যায়</t>
  </si>
  <si>
    <t>প্রথম দফায় হামলার চেষ্টা হয়। তবে ফটক টপকে তারা ঢুকতে পারেনি। সাড়ে ১২টার দিকে আরেকবার হামলার চেষ্টা করে তারা। কিছুক্ষণ 
ঢিলাঢিলি করে চলে যায়। এরপর বেলা ৩টার দিকে তারা মই, হাতুড়ি, পেট্রোল নিয়ে চুড়ান্ত হামলা চালিয়ে সব ভেঙেচুড়ে, পুড়িয়ে চলে যায়।’’ চাঁন্দমনি কালী মন্দিরে মই দিয়ে দেয়াল টপকে ভেতরে ঢুকে আগুন ধরিয়ে দেওয়া হয়। মন্দির কর্তৃপক্ষ জানায় যে দীর্ঘ সময় ধরে ফোন করে পুলিশের সাহায্য পাওয়া যায়নি।</t>
  </si>
  <si>
    <t> আক্রান্তদের বাঁচানোর জন্য পুলিশ ফাকা গুলি ছুড়লে, আক্রমণকারীরা পালিয়ে যায়, এবং যাওয়ার সময় হুমকি দিয়ে যায়, তারা দলবল 
নিয়ে আবারো ফিরে আসবে। সন্ধ্যা ছয়টার দিকে প্রায় আড়াইশ কর্মী নিয়ে জামাতি ইসলাম এবং বিএনপির কর্মীরা; ধারালো অস্ত্রসাজে সজ্জিত হয়ে, হিন্দু অধ্যুষিত গ্রাম মালয়পাড়াতে আক্রমণ করে, সেখানে তারা প্রায় একশ ত্রিশটি বাড়িঘরে ভাঙচুর চালায় এবং দশটি ঘরেআগুন লাগিয়ে দেয়।</t>
  </si>
  <si>
    <t>জঘন্যতম কিছু দাঙ্গা যুক্ত প্রদেশের গড়মুক্তেশ্বরে ঘটেছিল, এখানে একটি গণহত্যার ঘটনা ১৯৪৬ খ্রিস্টাব্দের নভেম্বর মাসে ঘটেছিল, যেখানে 
"হিন্দু তীর্থযাত্রীরা বার্ষিক ধর্মীয় মেলায় শুধুমাত্র উৎসবের মাঠেই নয় পার্শ্ববর্তী শহরেও মুসলমানদের উপর চড়াও হয়েছিল ও উচ্ছেদ করেছিল", পুলিশ প্রায় নীরব ছিল বলে দাবি করা হয়েছিল; মৃত্যুর সংখ্যা এক হাজার থেকে দুই হাজারের মধ্যে ছিল বলে অনুমান করা হয়।</t>
  </si>
  <si>
    <t>রয়টার্সের প্রতিবেদনে বলা হয়, শুক্রবার (২২ মার্চ) সন্ধ্যায় মস্কোর উত্তরে ক্রাসনোগোর্স্ক অঞ্চলে ক্রোকাস সিটি হলে জড়ো হয়েছিল শত শত মানুষ। 
তবে, গান শুরু হওয়ার মাত্র কয়েক মিনিট আগে কয়েকজন সশস্ত্র ব্যক্তি থিয়েটারে ঢুকে নির্বিচারে গুলি ছুড়তে শুরু করেন। এ ঘটনায় ১৩৩ জনের মৃত্যু হয়েছে বলে সবশেষ জানা গেছে। এছাড়া আরও প্রায় দেড়শ মানুষ আহত হয়েছেন।</t>
  </si>
  <si>
    <t>হিন্দুদের অনেকেই কাশ্মীর ছেড়ে অন্য রাজ্যে শরণার্থী হিসেবে আশ্রয় নেয়। অনেক ক্ষেত্রে বাস ও ট্রেনে ভ্রমণকারী যাত্রীদের নির্মমভাবে গুলি 
করে হত্যা করা হয়। ১৯৯৮ ওয়ানধামা গণহত্যা এমন একটি উদাহরণ। এ ঘটনায় ভারতীয় সেনাদের ছদ্মবেশে মুসলিম জঙ্গিদের হাতে ২৪ জন কাশ্মীরি হিন্দু নিহত হন। অমরনাথের মন্দিরে হামলা হিন্দুদের উপর অত্যাচারের আরেকটি উদাহরণ।</t>
  </si>
  <si>
    <t xml:space="preserve"> অপর দিকে অব্যাহতভাবে খেমার রোজ চালাতে থাকে চ্যাম মুসলিম নিধনের কাজটি: প্রথমত, চ্যাম মুসলমান নেতাদের হত্যা করে তাদের 
সামাজিক কাঠামো ভেঙে দেয়ার প্রয়াস চলে, এ হত্যা তালিকায় ছিলেন মুফতি, ইমাম ও অন্যান্য প্রভাবশালী বিদ্ধজন; দ্বিতীয়ত, ধর্মীয় প্রার্থনা ও আচার-অনুষ্ঠান ও সংস্কৃতিচর্চা বন্ধ করে দিয়ে চ্যামদের ইসলামিক ও নৃতাত্ত্বিক পরিচয় সত্তা মুছে ফেলা</t>
  </si>
  <si>
    <t>১৯৪৯ সালের ২০ ডিসেম্বরে তৎকালীন খুলনা জেলার বাগেরহাট উপজেলার মোল্লাহাট পুলিশ স্টেশনের আওতাধীন জয়দেব বর্মের বাড়ীতে 
কম্যুনিস্ট সদস্য লুকিয়ে আছে এই অভিযোগ করে শেষরাতে চারজন পুলিশ কনস্টেবল অভিযান চালায়।[৬] কিন্তু জয়দেবের বাড়ীতে কোন কম্যুনিস্ট সদস্যকে খুঁজে পেতে ব্যর্থ হয়ে পুলিশ সদস্যরা তার স্ত্রীকে ধর্ষণ করতে চেষ্টা করে।</t>
  </si>
  <si>
    <t>৫ মার্চ, লালমনিরহাট জেলার আদিত্যমারী উপজেলার রৌড়পাড় গ্রামের শ্রীশ্রী শ্মশান কালী মন্দির ভাঙচুর করা হয়। ৭ ই মার্চ, লালমনিরহাটের 
হাতীবান্ধা উপজেলায় কালী প্রতিমা ধ্বংস করার পরে ধর্মান্ধরা একটি হিন্দু মন্দিরে আগুন ধরিয়ে দেয়। রাতে বেজগ্রাম গ্রামের শ্রীশ্রী কালী মন্দিরও অগ্নিসংযোগ করা হয়।</t>
  </si>
  <si>
    <t>আমরা কাছে প্রমাণ আছে একটি গোষ্ঠী সংঘবদ্ধভাবে এই কাজ করছে৷ তাদের ফেসবুক ও ইউটিউব চ্যানেল আছে৷ তারা সেগুলো ব্যবহার 
করে এই কাজ করে৷ দিঘলিয়ায় হামলাকারীদের সঙ্গেই ছিলো ওই কথিত চ্যানেলগুলো৷ তারা দপুর থেকেই তাদের চ্যানেলে উত্তেজনা ছড়াচ্ছিলো৷ আমরা কুমিল্লাসহ আরো অনেক ঘটনায় এটা দেখেছি৷ তাদের কেন্দ্রীয়ভাবে নির্দেশ দেয়া হয়৷ তারা সেই অনুযায়ী কাজ করে৷</t>
  </si>
  <si>
    <t>মাত্র দ্বিতীয় রমাদান গেল। এই কয়েকদিনের মধ্যেই এতগুলো বড় ঘটনা, ষড়যন্ত্রের বাস্তবায়ন হয়ে গেল এক অদৃশ্য শক্তির ইশারায়। 
আমাদেরকে কোণঠাসা করতে করতে এখন সামান্য কুরআন তিলাওয়াতের ছোটখাটো অনুষ্ঠানও এক বিশেষ চেতনার লোক সহ্য করতে পারছে না, প্রকাশ্যে সমালোচনা করছে। ক্যাম্পাসে একসাথে ইফতার করতে গেলে জামাত-শিবির এবং জ[ঙ্গি] বলে ট্যাগ দিচ্ছে!</t>
  </si>
  <si>
    <t>ধর্মের অভিবাদন ও বিপর্যস্ততা শৃঙ্খলা একটি বৈচিত্র্যময় বৈশিষ্ট্য, যা মানুষের মধ্যে অমান্য ও অস্থির পরিণাম উত্পন্ন করে। ধর্মবিরোধী 
আদর্শগুলির নিয়ে সংঘর্ষ হলে, এটি সামাজিক ও সাংঘাতিক অস্থিতিকে সংক্ষেপণ করতে পারে এবং মানুষের মধ্যে অস্থিরতা ও আপাততা উৎপন্ন করতে পারে। ধর্মের বিভিন্ন ধারা এবং মৌলিক আদর্শগুলির মধ্যে বিরোধ সৃষ্টি করতে নিজেদের অবিবেচনাপূর্ণ অভিবাদন বা প্রতিষ্ঠিত নীতিমালা সৃষ্টি করতে পারে।</t>
  </si>
  <si>
    <t>কজন হিন্দু স্কুলশিক্ষককে তারই ছাত্ররা জ্যান্ত আগুনে পুড়িয়ে কাবাব তৈরি করে এবং জলন্ত আগুনের চারপাশে তারা নৃত্য করে হত্যা উদযাপন করে।
[২৫] বাবুগঞ্জ পুলিশ স্টেশনের অন্তর্গত মাধবপাশা গ্রামে প্রায় তিনশ হিন্দুকে ধাওয়া করে আটক করে মুসলিমরা।এরপরে তাদেরকে সারিবদ্ধ করে দাঁড় করিয়ে রাম দা দিয়ে মাথা কেটে নেয় তারা।[২৫] মাধবপাশা জমিদার বাড়ীতে ২০০ হিন্দুকে হত্যা করা হয় এবং আরও ৪০ জন মারাত্মক ভাবে আহত হয়।</t>
  </si>
  <si>
    <t>৯ মার্চে মুসলিমরা বিভিন্ন জায়গাতে গোপন মিটিং করে এবং কোনভাবে টিকে থাকা হিন্দুদেরকে হত্যা ও ধর্ষণের হুমকি দিতে শুরু করে।
এরই মাঝে ২৩ সেপ্টেম্বর,১৯৪৭ সালে দাঙ্গার খল নায়ক গোলাম সরোয়ার রামগঞ্জ পুলিশ স্টেশনের নিয়ন্ত্রণাধীন সোনাপুরে বিশাল জনসভার জন্য মুসলিমদেরকে আহ্বান করে।</t>
  </si>
  <si>
    <t>জেলার মুরাদনগর উপজেলার যাত্রাপুর ইউনিয়নের যাত্রাপুর দক্ষিণপাড়া গ্রামের বিমল দাসের বাড়ির দূর্গা পূজামন্ডপে সোমবার রাত ২ টায় 
পূজামন্ডপের বৈদ্যূতিক লাইটিংয়ের কাজ শেষ করে কর্মীরা রাতের খাবার খেতে বাড়ির ভিতরে যায়। ওই সময় দুবৃর্ত্তরা পূজামন্ডপে হামলা চালিয়ে দূর্গা প্রতিমার পাসহ শরীরের বিভিন্ন অংশ ভাঙচুর করে মাটিতে ফেলে দেয়। </t>
  </si>
  <si>
    <t>হামলাকারীরা পালিয়ে যাওয়ার সময় আশপাশের হিন্দু সম্প্রদায়ের বেশ কয়েকটি বসতবাড়িতে ভাংচুর চালায়।[৪৬]হামলাকারীরা শিলখালী 
ইউনিয়নের কাছারী মুরা শীল পাড়া পূজামণ্ডপ ও স্থানীয় সরস্বতী মন্দিরে দুর্গা প্রতিমা ভাঙচুর এবং মগনামায় কয়েকটি হিন্দু বাড়িতে হামলা-ভাঙচুর করে।[৩৬] পরিস্থিতি নিয়ন্ত্রণে পুলিশ ও র‌্যাবসহ আইন-শৃংখলা বাহিনীর অতিরিক্ত সদস্য মোতায়েন করা হয়। সেই রাতেই বিভিন্ন স্থানে অভিযান চালিয়ে ঘটনায় জড়িত সন্দেহে নয়জনকে আটক করা হয়।</t>
  </si>
  <si>
    <t>বাংলাদেশের মুক্তিযুদ্ধ চলাকালে উর্দুভাষী মুসলমানরা সরাসরি পাকিস্তান সেনাবাহিনীকে সাহায্য করে। এজন্য সৈয়দপুরে পাকিস্তানি বাহিনীর 
একটি বড় সমর্থক গোষ্ঠী তৈরি হয়। ১৯৭১-এর ১২ এপ্রিলে পাকিস্তানি সেনাবাহিনী বাহিনী পরিকল্পিতভাবে রংপুর সেনানিবাসের অদূরে বিখ্যাত তুলসিরাম আগারওয়াল, যমুনাপ্রসাদ কেরিয়া, রামেশ্বরলাল আগারওয়ালকে হত্যা করে। এ হত্যাকাণ্ড মাড়োয়ারি সম্প্রদায়ের মাঝে তীব্র আতঙ্কের সৃষ্টি করে। উর্দুভাষী বিহারীরা মাড়োয়ারিদের বাড়িঘর, দোকান, ব্যবসায় প্রতিষ্ঠান লুটপাট শুরু করে।</t>
  </si>
  <si>
    <t>বাংলাদেশের নাগরিক হয়ে বাংলাদেশের মুক্তিযুদ্ধের ইতিহাস , ভারতবর্ষের ইতিহাস, বাংলাদেশের সংবিধান, অর্থনীতি, আইন, সমাজ ব্যবস্থা, 
মানবাধিকার এবং নৈতিক জ্ঞান ছাড়া বেড়ে উঠলে সাম্প্রদায়িক এবং ধর্মান্ধতার অন্ধকার সে জাতির সঙ্গী হবে সেটাই স্বাভাবিক। উগ্রপন্থী চিন্তা থেকে তাদের ফিরিয়ে আনার জন্য বিশেষ শিক্ষা প্রদান করতে হবে।</t>
  </si>
  <si>
    <t>দেশে সাম্প্রদায়িক দাঙ্গা লাগানোর একটা পাঁয়তারা। যা কোনো ধর্মপ্রাণ ব্যক্তি (হোক সে হিন্দু কিংবা মুসলিম অথবা অন্য যে কোনো ধর্মানুসারী) 
মাধ্যমে সংঘটিত হতে পারে না। পৃথিবীতে প্রচলিত কোনো ধর্মই দাঙ্গা, হাঙ্গামায় সমর্থন করে না। তবে কিছু কিছু মানুষ নামধারী ডাকাত, ছাগলের তিন নম্বর ছানার দল, নাস্তিকদের দ্বারা এমন জঘন্য কাজ ঘটতে পারে বলে আমি মনে করি।</t>
  </si>
  <si>
    <t>সরকার হামলার জন্য মাওবাদী বিদ্রোহীদের দায়ী করলেও, সংঘ পরিবারের গোষ্ঠীগুলি এই ঘটনার জন্য খ্রিস্টানদের দায়ী করে। ভিএইচপির 
রাজ্য সাধারণ সম্পাদক গৌরী রাম প্রসাদ এই হত্যাকাণ্ডের জন্য খ্রিস্টানদের দায়ী করেন এবং আরও বলেন যে সংগঠনটি খ্রিস্টানদের উপর প্রতিশোধ নেবে এবং জেলার গির্জাগুলিতে নিষেধাজ্ঞা আরোপের আহ্বান জানান।</t>
  </si>
  <si>
    <t>১৯৪৬ সালের অক্টোবর মাসের ১০ তারিখ কোজাগরী লক্ষ্মী পূজার দিন। নোয়াখালীর হিন্দুরা বাড়িতে পূজার আয়োজনে ব্যস্ত। অন্যদিকে 
মুসলিম লীগ নেতা-কর্মীরা প্রচার করে যে, শিখ সম্প্রদায় দিয়ারা শরীফ আক্রমণ করেছে।[২৬] গুজবের ফলে আশে পাশের এলাকার মুসলিমরা দলে দলে দিয়ারা শরিফে জড় হয়। গোলাম সরোয়ার হুসেনি সমবেত মুসলিমদেরকে সাহাপুর বাজার আক্রমণ করতে নির্দেশ দেয়। কাশেম নামের আরেকজন মুসলিম লীগ নেতাও তার নিজস্ব বাহিনী নিয়ে সাহাপুর বাজারে পোঁছায়, যাদেরকে কাশেমের ফৌজ বলা হত।</t>
  </si>
  <si>
    <t>পাকিস্তানি হানাদাররা চারদিক থেকে ঘেরাও করার পর, আতঙ্কিত হয়ে ও ভয় পেয়ে মহিলারা 'সিঁদুর (কপালে সিঁদুরের চিহ্ন)' মুছে ফেলেন এবং 
তাদের বাহুতে থাকা 'শাঁখা (শঙ্খের খোলস থেকে তৈরি চুড়ি)' ভেঙে ফেলেন। পুরুষ ও মহিলারা আলাদাভাবে সারিবদ্ধ হয়ে দাঁড়িয়ে ছিলেন। তারপর কিছু লোকেদের গুলি করে মাটিতে ফেলে রাখা হয়। তাদের মধ্যে কেউ কেউ অর্ধমৃত হয়ে পানির জন্য চিৎকার করছিল। পাকিস্তানিরা অর্ধমৃত মানুষের সাথে সমস্ত মৃতদেহ সংগ্রহ করে, বাড়িঘর থেকে তোলা বাঁশের বেড়া ফেলে সেইসব লাশের উপর আগুন ধরিয়ে দেয়। পাকিস্তানি সৈন্যরা কিছু শিশুকে আগুনে নিক্ষেপ করে।</t>
  </si>
  <si>
    <t>পাকিস্তানি সৈন্যরা প্রার্থনা সভায় প্রবেশ করে এবং মন্দিরের পাশে চালতা গাছের নিচে মন্দিরের সামনে সন্নাসীদের উন্মুক্ত স্থানে টেনে নিয়ে যায়।[২] 
এক সন্ন্যাসী, নবকুমার ব্রহ্মচারী পালিয়ে গিয়ে সিঁড়ির নিচে রুমের কাছে নিজেকে লুকিয়ে রেখেছিলেন। বাকি ৮ জন পাকিস্তানি সৈন্যদের সামনে দাঁড়িয়ে ছিলেন। সাক্ষী অনুযায়ী, বারো রাউন্ড গুলি চালানো হয় এক এক সন্নাসীর উপর। সন্ন্যাসীরা জয় জগৎবন্ধু হরি গাইতে গাইতে বীরগতি প্রাপ্ত হন</t>
  </si>
  <si>
    <t>প্রতিমা ভাঙচুরের আরেকটি ঘটনা ১১ অক্টোবর ঢাকার আশুলিয়ার রাস্তামপুর গ্রামে ঘটে। একই দিনে টিপু সুলতান রোডে হামলার খবর পাওয়া 
গেছে। পূজা উদ্যোক্তারা প্রতিমা নিয়ে শঙ্খনিধি মন্দিরে প্রবেশ করতে পারেনি। দুর্গা প্রতিমা নিয়ে রাস্তায় ভক্তরা বসে থাকে। স্থানীয় চরমপন্থীদের সন্ত্রাসের কারণে পূজা উদ্যোক্তারা ঐতিহাসিক মন্দিরটিতে পূজা করতে ব্যর্থ হয়ে, ভক্তদের পূজা করার জন্য একটি অস্থায়ী জায়গা দেওয়া হয়, যেখানে প্রতিমাগুলি স্থানান্তর করা হয়।</t>
  </si>
  <si>
    <t>ইসলাম মৃত্যুকালীন, মৃত্যু পরবর্তী জীবনকে বেশ স্পষ্ট করেই বর্ণনা করেছে। মৃত্যুর ফেরেশতা (মালাক উল মউত, যাকে আজরাইল ও বলা হয়) 
মৃত ব্যক্তির রুহ তথা আত্মা শরীর থেকে বের করে নিয়ে যান, এবং তার সাথে থাকেন আরও অন্যান্য ফেরশতারা. মৃত ব্যক্তির জাগতিক জীবনাচারের উপর ভিত্তি করে তার মৃত্যুর আয়োজন ঠিক করা হয়।</t>
  </si>
  <si>
    <t>সূত্রপুর হত্যাকাণ্ড বলতে ২৭শে মার্চ ১৯৭১, পুরোনো ঢাকার সূত্রপুরের মালাকারতলা গলির বাঙালি হিন্দু বাসিন্দাদের ওপর পাকিস্তান সেনাবাহিনীর 
দ্বারা ঘটা হত্যাকাণ্ডকে বোঝায়। পাক সেনারা ১৪ জন হিন্দু ও ১ জন মুসলিমকে লোহারপুলের ওপর লাইন দিয়ে দাঁড় করিয়ে গুলি করে হত্যা করে।</t>
  </si>
  <si>
    <t>হিজরতের পরে অবতীর্ণ কুরআনের আয়াতে মুসলিমদেরকে অস্ত্রধারণের অনুমতি দেয়া হয়। মদিনায় আসার পর মুহাম্মাদ সা: তিনটি প্রধান 
সামরিক পদক্ষেপ নিয়েছিলেন। প্রথমত, মদিনার গোত্রগুলির সাথে শান্তিচুক্তি স্থাপন করা হয়; দ্বিতীয়ত, কুরাইশ ও তাদের মিত্রদের তথ্য সংগ্রহের জন্য গোয়েন্দা নিযুক্ত করা হয়; তৃতীয়ত, মদিনার পাশ দিয়ে সিরিয়াগামী মক্কার বাণিজ্য কাফেলায় অভিযান চালানো হয়।[২][৩] এরপর সিরিয়ার পথে যাতায়াত করা কুরাইশদের বাণিজ্য কাফেলাগুলির উপর বেশ কয়েকটি অভিযান পরিচালনা করা হয়।</t>
  </si>
  <si>
    <t>গৌরী লঙ্কেশ ঘোষিতভাবেই হিন্দু দক্ষিণপন্থীদের সমালোচক ছিলেন তাঁর লেখার মাধ্যমে। ব্যাঙ্গালোরের পুলিশ কমিশনার সুনীল কুমার বিবিসিকে
 জানিয়েছেন, "মঙ্গলবার রাতে যখন তিনি বাড়ি ফিরছিলেন, তখন বাড়ির ঠিক সামনেই গুলি চালানো হয়। ঠিক কী কারণে এই হামলা হয়েছে, তা এখনই বলা যাচ্ছে না।"</t>
  </si>
  <si>
    <t>হিন্দুরা পাকিস্তানের অন্যতম লক্ষ্যবস্তু এবং নির্যাতিত সংখ্যালঘু । 1990 এর দশক থেকে পাকিস্তানে জঙ্গিবাদ এবং সাম্প্রদায়িকতা বৃদ্ধি পাচ্ছে 
এবং ধর্মীয় সংখ্যালঘুরা "ইসলামবাদীদের হিংস্রতার খেসারত বহন করেছে" "আগের দশকের তুলনায় অনেক বেশি নিপীড়ন" সহ্য করেছে, উইলসন সেন্টারের একজন পাবলিক পলিসি স্কলার ফারাহনাজ ইস্পাহানি বলেছেন ।</t>
  </si>
  <si>
    <t>উহুদের যুদ্ধে অন্য একটি বিষয় পরিলক্ষিত হয়, যুদ্ধে নেতার আনুগত্য সবচেয়ে গুরুত্বপূর্ণ বিষয়। একটি মাত্র ভুল, একটি মাত্র অসচেতনতায় 
ঘুরে যেতে পারে যুদ্ধের মোড়। রাসূল সা:-এর সমর নির্দেশনা ভুলে তীরন্দাজ বাহিনী ডেকে আনল চরম বিপর্যয়। এই বিপর্যয় শিক্ষা দেয় নেতার আনুগত্য মান্য করা অপরিহার্য। উহুদের কঠিন পরিস্থিতিতেও রাসূল সা: সম্পূর্ণ সুচারুভাবে সৈন্যবাহিনীকে নিয়ন্ত্রণে আনেন।</t>
  </si>
  <si>
    <t>আমাদের বুদ্ধিজীবী ও সুশীল সমাজের পক্ষ হতে এসব ঘটনার কোনো প্রতিবাদ হয়নি। কোনো বিচার-শাস্তিও হতে দেখিনি। এই অবজ্ঞা ও 
নির্লিপ্ততায় সাধারণ ধর্মপ্রাণ মুসলমান ক্ষুব্ধ হয়েছেন, মর্মাহত হয়েছেন, তাদের হৃদয় ক্ষত-বিক্ষত হয়েছে, কিন্তু শান্তনা ও সহানুভূতির একটি বাক্যও কোথাও উচ্চারিত হয়নি। ‘সমাজের বিবেক’খ্যাত বুদ্ধিজীবীদের ন্যক্কারজনক নিস্তব্ধতা এবং বিচার ও প্রশাসনের অবজ্ঞাপূর্ণ নির্লিপ্ততায় তারা বারবার স্তম্ভিত হয়েছেন।</t>
  </si>
  <si>
    <t>ফেনী পৌরসভার ১৭ নম্বর ওয়ার্ডের মধ্যম রামপুর গ্রামের বাসিন্দা লাবিবকে তার বাড়ি থেকে গ্রেপ্তার করা হয়েছে। জিজ্ঞাসাবাদে লাবিব র‌্যাবকে
 জানায়, গত শনিবার সন্ধায় সে ফেনীর বড় মসজিদে মাগরিবের নামাজ পড়ে তার দুই বন্ধু মুন্না ও সফীকে সঙ্গে নিয়ে এক বোতল পেট্রোলসহ কালী মন্দিরে যায়। সেখানে মন্দিরের পুরোহিতকে ব্যাপক মারধর ও মন্দিরে আগুন লাগিয়ে দেওয়ার ভয় দেখিয়ে, বলে লুঙ্গি পর, না হয় ধুতিকে লুঙ্গির মতো করে ঝুলিয়ে পর। এরপর তাকে 'লা হাওলা ওয়ালা কুওয়াতা ইল্লা বিল্লাহিল আলিউল আজিম এবং লা ইলাহা ইল্লাল্লাহু মুহাম্মাদুর রাসুলুল্লাহ' পড়তে বলে।</t>
  </si>
  <si>
    <t>আখড়াবাড়ি এলাকায় তিন-চারটি মন্দিরে হামলা ও আগুন দিয়েছে৷ দিঘলিয়া বাজারে সাত-আটটি দোকানে হামলা ও লুটপাট চালিয়েছে৷ 
ঘটনাস্থল সরেজমিন পরিদর্শন করে সাংবাদিক সুলতান হোসেন জানান, গোবিন্দ সাহারা বাড়িটি পুরোপুরি ভস্মিভূত৷ অন্যান্য বাড়ি ঘরেও হামলা ও লুপপাট চালানো হয়৷ ওই এলাকার হিন্দুরা বাড়িঘরে তালা মেরে ভয়ে অন্যত্র চলে গেছেন৷</t>
  </si>
  <si>
    <t>২৫ অক্টোবর পীরগঞ্জ থানার ভারপ্রাপ্ত কর্মকর্তা (ওসি) সরেস চন্দ্র বলেন, ‘শিবির ক্যাডার আব্দুল্লাহ আল মামুনের নেতৃত্বে ঘটনার দিন প্রায় 
৩০টি মোটর সাইকেল নিয়ে জামায়াত-শিবিরের ক্যাডাররা জেলেপাড়ায় হিন্দু সম্প্রদায়ের ওপর সহিংস ঘটনা ঘটায়। তাই আবদুল্লাহ আল মামুন ও ওমর ফারুককে গ্রেপ্তার করে জিজ্ঞাসাবাদের জন্য আদালতে সাত দিনের রিমান্ড চাওয়া হয়েছে।</t>
  </si>
  <si>
    <t>গাজার স্বাস্থ্য মন্ত্রণালয় জানিয়েছে, বৃহস্পতিবার গাজার উত্তরাংশের একটি গোলচত্বরে ত্রাণবাহী ট্রাকবহরের জন্য অপেক্ষা করে থাকা 
ফিলিস্তিনিদের ওপর ইসরাইলি বাহিনীর গুলিবর্ষণে অন্তত ২১ জন নিহত ও ১৫০ জনেরও বেশি আহত হয়। এই হামলাকে একটি নতুন পূর্বপরিকল্পিত হত্যাযজ্ঞ বলে অভিহিত করেছে গাজার স্বাস্থ্য মন্ত্রণালয়।</t>
  </si>
  <si>
    <t>১৩ আগস্টর দিন স্থানীয় পুলিশ ঈদগাহ ময়দানে চরতে থাকা একটা শুয়োরকে বার করতে অসন্মত হওয়া ও সেটিকে নিয়ে মুসলমানদের 
একটা দল পুলিশদেরকে পাথরখন্ড ছোঁড়াকে কেন্দ্র করে এই দাঙ্গার সূত্রপাত হয়। পুলিশ এলোপাথাড়ি গুলি চালনা করায় একশরও বেশি মানুষের মৃত্যু হয়। এই ঘটনার পরে বিষয়-সম্পত্তি আগুন লাগিয়ে দেয়া, লুটপাট, হত্যা ইত্যাদি এমন হিংসাত্মক ঘটনা ঘটতে থাকে, যার প্রকৃতি ছিল ধর্মীয়।</t>
  </si>
  <si>
    <t> দাঙ্গায় মৃত্যুর সংখ্যা তাত্ক্ষণিক প্রতিবেদনে ব্যাপকভাবে বাড়া বাড়িয়ে বলা হয়েছিল, এটি কর্তৃপক্ষের পক্ষে মোকাবেলা করা কঠিন ছিল 
কারণ দাঙ্গাটি ছড়িয়ে ছিটিয়ে থাকা গ্রামগুলির একটি বৃহত অঞ্চল জুড়ে ছড়িয়ে পড়েছিল এবং সঠিকভাবে হতাহতের সংখ্যাটি প্রতিষ্ঠা করা অসম্ভব ছিল: "ব্রিটিশ সংসদে গৃহীত বিবৃতি অনুসারে, মৃতের সংখ্যা ৫০০০-এর কাছাকাছি ছিল।</t>
  </si>
  <si>
    <t>স্ত্রী স্নেহার সাক্ষীর পর নওমুসলিম এ ভাইটির বিরুদ্ধে আনা অভিযোগুলো আদালতে মিথ্যা প্রমাণিত হয়েছে। সেহেতু তাকে স্বেচ্ছায় খালাস 
দেওয়ার কথা। কিন্তু আদালত এখনো তাকে আটকে রেখেছে এবং আজকে তার জামিন শুনানি ছিল কিন্তু আবারো তার জামিন না-মঞ্জুর করলো আদালত।</t>
  </si>
  <si>
    <t>এক সম্প্রদায়ের কয়েকজন কর্তৃক অন্য সম্প্রদায়ের নিরীহ সদস্যদের বিরুদ্ধে লক্ষ্যবস্তু গণসহিংসতা, অভিযোগ দমন, বিচার করতে অস্বীকৃতি, 
শান্তিপূর্ণ বিক্ষোভকারীদের হত্যা, একক সম্প্রদায়ের লোকদের কারাবন্দী করা এবং সংঘাতে অন্য সম্প্রদায়ের সদস্যদের গ্রেপ্তার করতে অস্বীকৃতি, রাষ্ট্র কর্তৃক অনুভূত বা প্রকৃত বন্দী নির্যাতন প্রায়শই সাম্প্রদায়িক সহিংসতার সবচেয়ে বড় সংহতকারী।</t>
  </si>
  <si>
    <t>এসবিএস বাংলার কাছে পাঠানো অস্ট্রেলিয়ার বাংলাদেশি হিন্দু কমিউনিটির প্রতিনিধিত্বকারী ২৪টি সংগঠন এক যৌথ বিবৃতিতে বলা হয়, 
ইসলামী চরমপন্থীরা এই উৎসব জুড়ে হিন্দুদের উপর আতঙ্ক ছড়ায়। এর মধ্যে রয়েছে হিন্দুদের হত্যা, মহিলাদের ধর্ষণ, হিন্দুদের বাড়িঘর ও ব্যবসা প্রতিষ্ঠান পুড়িয়ে দেওয়া, দেবীর মূর্তি ভাঙচুর এবং মন্দিরের অপমান করা।</t>
  </si>
  <si>
    <r>
      <t>মুহাম্মাদ নিয়মিতভাবে কিছু রাত নূর পর্বতের হেরা গুহায় গিয়ে ধ্যান করতেন। ৩৫ বছর বয়সের পর তার এই অভ্যাস আরও ব্যাপক হয়ে ওঠে। 
ইসলামী বিশ্বাস অনুসারে, ৪০ বছর বয়সে</t>
    </r>
    <r>
      <rPr>
        <vertAlign val="superscript"/>
        <sz val="12"/>
        <rFont val="Calibri"/>
        <family val="2"/>
      </rPr>
      <t>[১৪৭][১৪৮]</t>
    </r>
    <r>
      <rPr>
        <sz val="12"/>
        <rFont val="Calibri"/>
        <family val="2"/>
      </rPr>
      <t> কুরআনের প্রথম আয়াত মুহাম্মাদের উপর অবতীর্ণ হয়</t>
    </r>
    <r>
      <rPr>
        <vertAlign val="superscript"/>
        <sz val="12"/>
        <rFont val="Calibri"/>
        <family val="2"/>
      </rPr>
      <t>[১৫৩]</t>
    </r>
    <r>
      <rPr>
        <sz val="12"/>
        <rFont val="Calibri"/>
        <family val="2"/>
      </rPr>
      <t> এবং তিনি জানান যে এগুলো আল্লাহর নিকট হতে জিবরাঈল ফেরেশতা কর্তৃক প্রেরিত।</t>
    </r>
  </si>
  <si>
    <t>ভয়াবহ হত্যাকাণ্ডের সময় বহু মানুষ কলকাতা ত্যাগ করে পালিয়ে যেতে থাকে। বেশ কয়েকদিন ধরেই অগণিত মানুষের ঢেউ হাওড়া ব্রিজ 
দিয়ে স্টেশন অভিমুখে যেতে থাকে। তাদের অনেকেই কলকাতার বাইরের অঞ্চলে ছড়িয়ে পড়া এই হিংস্রতা থেকে বাঁচতে পারেননি।[৩৮] লর্ড ওয়াভেল ১৯৪৬ খ্রিস্টাব্দের ২৭ আগস্ট সাক্ষাৎকারে দাবি করেন যে, মহাত্মা গান্ধী তাকে বলেছিলেন, "ভারত যদি রক্তপাত চায় তবে সে তা গ্রহণ করতে পারে … যদি রক্তপাতের প্রয়োজন হয়, তা অহিংসা সত্ত্বেও ঘটবে"।</t>
  </si>
  <si>
    <t> হাজারো মানুষের আক্রমণে গ্রাম ছেড়ে আত্মগোপনে যায় হিন্দু সম্প্রদায়ের লোকজন। শাল্লা উপজেলার চেয়ারম্যানের বরাতে জানা যায় 
শতাধিক বাড়িতে ভাঙচুর করা হয়। বিত্তশালীদের ঘরে লুটপাট বেশি করা হয়।[৮] পালিয়ে যেতে না পারায় ঝুমন দাসের স্ত্রী ও স্থানীয় ইউপি চেয়াম্যানের স্ত্রীকে ব্যাপক মারপিট করা হয়। ইউপি চেয়ারম্যানের স্ত্রী বাথরুমে ঢুকে আত্মরক্ষার চেষ্টা করলে তাকে সেখান থেকে টেনে বের করে মারপিট করা হয়৷</t>
  </si>
  <si>
    <t>লুটপাট, ভাঙচুর এবং সারা দেশে বেশ কয়েকটি জেলায় হিন্দুদের বাড়িঘরে আগুন দেয়।[১] জামায়াতে ইসলামী এবং বাংলাদেশ জাতীয়তাবাদী 
দল এর সাতজনকে এই হামলার সাথে জড়িত থাকার অভিযোগে গ্রেফতার করা হয়।[২]জাতীয় মানবাধিকার কমিশন নির্বাচনের পর হিন্দুদের উপর হামলার জন্য সরকারকে দায়ী করে।[৩]ভারতে তৎকালীন বিরোধী দল ভারতীয় জনতা পার্টি বাংলাদেশে সংখ্যালঘুদের উপর হামলার নিন্দা জানায়।</t>
  </si>
  <si>
    <t>আমাদের সবার প্রিয় ছিলেন যিনি, সদাহাস্যময়, বন্ধুভাবাপন্ন, বিচিত্রার একঝাঁক উচ্চাকাঙ্ক্ষী কিংবা আত্মম্ভরি মানুষের মধ্যে সবচেয়ে যিনি 
নির্বিরোধ, দেখি তাঁর মুখ ঢেকে গেছে উদ্বেগ আর ভীতির অন্ধকারে। তিনি যে একজন ‘হিন্দু’ধর্মাবলম্বী, হঠাৎ যেন সেটি এক কর্কশ উপলব্ধির বিষয় হয়ে দাঁড়াল। আমাদের সেই প্রিয় মানুষটি ভয়ংকর কিছুর শিকার হওয়ার আশঙ্কা নিয়ে অসময়ে বাসার দিকে রওনা হলেন।</t>
  </si>
  <si>
    <t> দেশভাগের পরপরই সদ্য জন্ম নেয়া পাকিস্তান নামক রাষ্ট্রটি তেভাগা আন্দোলনকে দমন করতে পৈশাচিক বর্বরতা এবং বর্ণনাতীত নৃশংসতার 
ঘৃণ্য পথ বেছে নেয়।[১২] কিন্তু নাচোলে তখনও এই আন্দোলন সক্রিয় ছিল আত্মগোপনে থাকা কিছু ব্যক্তির নেতৃত্বে। ১৯৪৯ সালের শরতকালে আন্দোলনের মাধ্যমে তেভাগা প্রতিষ্ঠিত হয়।</t>
  </si>
  <si>
    <t> Soon after partition, the newly born state of Pakistan chose the hideous path of demonic brutality and unspeakable brutality to 
suppress the Tevaga movement.[12] But the movement was still active in Nachole, led by some individuals in hiding. Tevaga was "&amp;"founded in the autumn of 1949 through agitation.")</t>
  </si>
  <si>
    <t>ইসরায়েলের সরকার তাদের সমালোচনাকারীদের ইহুদি-বিদ্বেষী বা অ্যান্টি-সেমিটিক হিসেবে দেখাতে চান। যদিও রাষ্ট্রের ধারণার বিরোধিতা আর ইহুদি
 ধর্মের প্রতি বিদ্বেষ এক বিষয় না। জায়নবাদ বা ইহুদি রাষ্ট্রের ধারণায় বিশ্বাসী এমন ইহুদিও আছে যারা সরকারের দখলদারির নীতি সমর্থন করে না।</t>
  </si>
  <si>
    <t>বাংলার সাবেক অর্থ মন্ত্রী ও কলকাতা বিশ্ববিদ্যালয়ের সাবেক উপাচার্য শ্যামাপ্রসাদ মুখোপাধ্যায় নোয়াখালী দাঙ্গাকে একটি সাধারণ সাম্প্রদায়িক 
দাঙ্গা হিসেবে দেখানোর বিতর্ককে প্রত্যাখান করেন। তিনি এ ঘটনাকে সংখ্যালঘু হিন্দু সম্প্রদায়ের উপর সংখ্যাগুরু মুসলিমদের সুপরিকল্পিত এবং সুসংঘটিত আক্রমণ বলে বর্ণনা করেন।</t>
  </si>
  <si>
    <t> সাম্প্রদায়িক সম্প্রীতি নষ্ট করতেই পরিকল্পিতভাবে এই হিন্দু পল্লিতে হামলা চালানো হয়েছে। এই হামলায় পীরগঞ্জ জামায়াতে ইসলামীর আমির,
সেক্রেটারি ও ১০০ জনকে গ্রেফতার করা হয়।[২৫] [২৬] গঙ্গাচড়া ও কোতয়ালি থানায় দুটি মামলা করা হয়। অতিরিক্ত জেলা ম্যাজিষ্ট্রেট আবু রাফা মো. আরিফকে প্রধান করে অতিরিক্ত পুলিশ সুপার সাইফুর রহমান এবং সদর উপজেলা নির্বাহী কর্মকর্তা জিয়াউর রহমান নিয়ে তদন্ত কমিটি তৈরি করা হয়। </t>
  </si>
  <si>
    <t>ভারতের ইসলামভিত্তিক সংগঠন জামায়াত-ই-ইসলামি হিন্দের জ্যেষ্ঠ নেতা মালিক আসলাম বলেছেন, কেউ যখন ইসলাম নিয়ে সমালোচনা ও
 হেয় মন্তব্য করেন, তখন প্রত্যেক মুসলমানের ঐক্যবদ্ধ থাকা প্রয়োজন। একই সঙ্গে এ ধরনের সংকটময় মুহূর্তে শান্তি বজায় রাখাও দরকার।</t>
  </si>
  <si>
    <t>বাংলাদেশেও সেই ক্ষোভের আঁচ পড়েছে। রোববার সাধারণ ছাত্রদের ব্যানারে ঢাকা বিশ্ববিদ্যালয় ক্যাম্পাসে এক বিক্ষোভ সমাবেশের পর 
ইসলামী আন্দোলন বাংলাদেশ নামে একটি ইসলামপন্থী দল মঙ্গলবার ঢাকায় ফরাসী দূতাবাস ঘেরাওয়ের কর্মসূচি দিয়েছে।</t>
  </si>
  <si>
    <t>কুষ্টিয়ার কুমারখালীর গ্রামের বাড়ি থেকে ধর্মীয় অনুভূতিতে আঘাতের অভিযোগে করা মামলায় কয়া চাইল্ড হ্যাভেন বালিকা বিদ্যালয়ের 
প্রধান শিক্ষক আবু সালেহকে গ্রেপ্তার করা হয়। পরদিন ওই শিক্ষকের ফাঁসির দাবিতে বিক্ষোভ মিছিল ও প্রতিবাদ সমাবেশ শেষে তার বাড়িতে হামলা ও ভাঙচুরের ঘটনা ঘটে। </t>
  </si>
  <si>
    <t>কুষ্টিয়ায় ২২শে সেপ্টেম্বরের শুরুতে দেবী মূর্তির ব্যাপক ভাঙচুর শুরু হয়, এরপর জয়পুরহাট, চট্টগ্রাম এবং এমনকি রাজধানী ঢাকায় 
বারবার হামলা হয়। ১২ অক্টোবর কুমিল্লায় পবিত্র কোরআনের অবমাননার অভিযোগের ভিত্তিতে একটি পূজা মণ্ডপে সামাজিক মাধ্যমে একটি ভিডিও প্রচারের মাধ্যমে চরমপন্থী গোষ্ঠী এবং তাদের সমর্থকরা হিন্দু মন্দির, বাড়িঘরে এই আক্রমণ চালানো হয়।</t>
  </si>
  <si>
    <t>১৯৯২ সালের ৬ই ডিসেম্বর ছিল রবিবার। সেদিন অযোধ্যায় জড়ো হওয়া কয়েক লক্ষ উগ্র হিন্দুত্ববাদী সাড়ে চারশো বছরের বেশি সময় আগে 
স্থাপিত বাবরি মসজিদ ভেঙ্গে ফেলে। তাদের ঠেকাতে গিয়ে পুলিশের সঙ্গে সংঘর্ষে হতাহত হন কয়েক শত হিন্দুত্ববাদী কর্মী।</t>
  </si>
  <si>
    <t>জম্মু-কাশ্মীরে ৩৭০ ধারা পাস করে মুসলিমদের অধিকার কেড়ে নেয়া হয়েছে, এটা নিয়ে অনেকে বেশ ক্ষিপ্ত। কিন্তু নিজের দেশের একজন 
মানুষ গান ছেড়ে ইসলামের নিয়মিত অনুসারী হতে চাইছে, এই ব্যাপারটা অনেকে মেনে নিতে পারছে না</t>
  </si>
  <si>
    <t>আল্লাহু আকবার। আল্লাহর সৃষ্টি নিয়ে যত গবেষণা মূলক ভিডিও তত্ত্ব ও ব্যক্তিগত ভাবে নিজে যতই চিন্তা করি মনের অজান্তেই সেই মহান 
সত্তা আল্লাহ তাআলার কাছে নিজের মাথা ঝুকে যায়। মহান রবকে লক্ষ কোটি সুজুদ ও শুকুর।</t>
  </si>
  <si>
    <t>বাংলাদেশে ২০২১ সালে চরমপন্থী গোষ্ঠীর দ্বারা দুর্গা প্রতিমা ভাঙচুরের প্রথম ঘটনাটি ২২ সেপ্টেম্বর কুষ্টিয়া শহরে নথিভুক্ত করা হয়। ঘটনাটিতে 
নির্মাণাধীন দুর্গা প্রতিমাসহ অন্য সকল প্রতিমা ভাঙচুর করা হয়।[</t>
  </si>
  <si>
    <t>লালমনিরহাট পূজা উৎযাপন পরিষদ এর সাধারণ সেক্রেটারির মতে শুধুমাত্র ৪ থেকে ৫ শতাংশ হিন্দুই তাদের ভোটাধিকার প্রয়োগ করতে 
পেরেছিল।[১৪] শফিনগর এবং সেনপাড়া গ্রামের শতাধিক হিন্দু পরিবার; নির্বাচনের পর জামাতি ইসলাম ও ইসলামী ছাত্র শিবির থেকে হুমকি পায়।</t>
  </si>
  <si>
    <t>প্রতি মুহুর্তে পৃথিবীতে হাজারো, লাখো মানুষ রোগগ্রস্ত, যন্ত্রণাগ্রস্ত এবং অগণিত মানুষ মৃত্যুবরণ করছে। এমনকি পৃথিবীও পরিবর্তন হচ্ছে। 
এই জগতে কোনো কিছুই স্থায়ী  ও অবিনশ্বর নয়। তাই তথাগত বুদ্ধ বলেছেন, ‘অনিচ্ছা বত- সংখারা, অনিচ্ছা দুক্খ অনত্তা’ অর্থাৎ সংস্কার দুঃখ, সব কিছুর ধ্বংস অনিবার্য। তাহলে পৃথিবীতে এত স্বার্থের দ্বন্দ্ব কীসের? যুদ্ধ কীসের?</t>
  </si>
  <si>
    <t xml:space="preserve">মুসলিমরা বিশ্বাস করে, পবিত্র কোরআন এখন থেকে প্রায় ১৪০০ বছর আগে মহানবী হজরত মোহাম্মদ (স.)-এর ওপর অবতীর্ণ হওয়ার পর থেকে 
এর প্রতিটি অক্ষর, শব্দ ও বাক্য আজও আগের মতোই সুরক্ষিত রয়েছে। </t>
  </si>
  <si>
    <t>৩০ জনকে সুর্যমণি গ্রামের দক্ষিণে ওয়াপদা বাঁধে নিয়ে যাওয়া হয়েছিল। তাদের একটি লাইনে দাঁড় করানো হয়েছিল এবং রাজাকাররা গুলি 
করেছিল। ২৪ জন বাঙালি হিন্দু ঘটনাস্থলেই মারা যান। এর মধ্যে ছয়জন গুলিবিদ্ধ হয়ে ক্ষত থেকে বেঁচে গিয়ে অলৌকিকভাবে পালিয়ে গিয়েছিলেন।</t>
  </si>
  <si>
    <t> নিয়মগুলো খুব ভাল করছে শরীআ মোতাবেক।আপনাদের তো আবার নাভী বের করে না চললে ভাল লাগে না।ভারতের ছিনেমা দেখে হাজার, 
হাজার মানুষ আজ চরিএহীনতার পরিচয়ে বেড়ে উঠছে।রেপকেস এর অভাবনাই ভারতজুড়ে।রাতদিন সিনেমাতে উলঙ্গ বেহায়াপনা আর অশ্লীলদৃশ্য দেখিয়ে যুব সমাজকে ধ্বংস করে দেওয়া হচ্ছে।সাথে আবার আছে জি বাংলা,স্টার জলসা।</t>
  </si>
  <si>
    <t>বিকালে বিকেলে রাজব আলী ফকিরের নেতৃত্বে ২0 থেকে ২৫ রাজাকারের একটি দল দুই নৌকায় ডাকারে পৌঁছে। [৪] প্রথম নৌকাটি কালীগঞ্জ 
বাজার অতিক্রম করে মাদারতলী খালের দিকে অগ্রসর হয়। দ্বিতীয় নৌকুম কুমারখালী খাল বরাবর অগ্রসর হয় এবং তারপর মাদারতলী খাল বরাবর আকরাম আকবর আকরাম হয়ে যায়। দ্বিতীয় নৌকা থেকে রাজাকাররা নেমে আসে এবং ভিড়ে গুলি চালায়। এদিকে, প্রথম নৌকা থেকে রাজাকাররাও নিচে নামলো এবং কালী মন্দিরের দিকে এগিয়ে গিয়ে ভিড়ের মধ্যে নির্বিচারে গুলি চালায়। ভিড় কভার জন্য চলমান শুরু। অনেকে নদীতে ঢুকে পড়ে এবং গুলি করে হত্যা করা হয়। নদীতে ১৫০ জনেরও বেশি লোক গুলিবিদ্ধ। [৪] রাজাকাররা গ্রামে লুটপাট, অগ্নিসংযোগ ও ধর্ষণের শিকার। সুন্দর নারীদের যৌন দাসত্বের জন্য বন্দী করা হয়।</t>
  </si>
  <si>
    <t>মামলা এবং আপসনামা মূলে এই জমির মালিক কান্তনগর গ্রাম জামে মসজিদ।১৯৭৬ সালে দিনাজপুরের ডিসি উক্ত জমি তাদেরকে দিয়েছেন। 
গ্রামবাসীর নিকট তিন পৃষ্ঠার আপসনামার কপি রয়েছে। কান্তনগর গ্রাম জামে মসজিদে মুসল্লীদের জায়গার সংকুলান না হওয়ায় সম্প্রতি মসজিদটি পুন:নির্মাণের লক্ষ্যে ভেঙে ফেলা হয়। এবং নতুন ভাবে নির্মাণের জন্য কাজ শুরু করা হয়।</t>
  </si>
  <si>
    <t>গবেষকরা দেখতে পেয়েছেন, যখন একদল মানুষের ধর্মবিশ্বাস বা মূল্যবোধের ওপর বারবার আঘাত করা হয়, তখন ধর্মীয় সহিংসতার সম্ভাবনা 
অনেক বেড়ে যায়। তারপরেও যাদের মডেল হিসাবে নেয়া হয়েছে, তার মাত্র কুড়ি শতাংশ সহিংসতায় জড়িয়েছে।</t>
  </si>
  <si>
    <t>হিন্দু পুরুষদেরকে মাথায় টুপি এবং মুখে দাঁড়ি রাখা বাধ্যতামুলক করা হয়। মহিলাদের হাতের শাঁখা ভেঙ্গে ফেলে এবং কপালের সিঁদুর মুছে দেয় 
মুসলিমরা। তাদেরকে কলেমা পড়ে ইসলামে ধর্মান্তকরন করা হয়। </t>
  </si>
  <si>
    <t>২০১৩ সালে আগস্ট থেকে সেপ্টেম্বরের মধ্যে উত্তর প্রদেশ রাজ্যের মুজাফফরনগর জেলায় হিন্দু ও মুসলমান দুটি প্রধান ধর্মীয় সম্প্রদায়গুলির মধ্যে 
দ্বন্দ্ব ঘটেছিল। এই দাঙ্গার ফলে ৪২ জন মুসলমান ও ২০ হিন্দুসহ কমপক্ষে ৬২ জন মারা গিয়েছিল এবং ২০০ জন আহত হয়েছে এবং ৫০,০০০ এরও বেশি বাস্তুচ্যুত হয়েছিল।</t>
  </si>
  <si>
    <t>কারফিউ ঘোষণা করার পর থেকেই অনেকে বুড়িগঙ্গা পেরিয়ে ওপারে চলে গেছিল। ২৭শে মার্চ বিকেলে ১১ জন স্থানীয় হিন্দুকে মালাকারতলা 
গলিতে বিহারিলাল মন্দিরের সামনে লাইন দিয়ে হাঁটু মুড়ে বসিয়ে রাখে। এদের মধ্যে ঢাকা বিশ্ববিদ্যালয়-এর বায়োকেমিস্ট্রির গবেষক ও শিক্ষক ডঃ হরিনাথ দে ছিলেন।[১] তারপর এদেরকে থানার মধ্যে বন্দি করে রাখা হয়।</t>
  </si>
  <si>
    <t>দক্ষিণ ভারত থেকে আগত ব্রাহ্মণ্যধর্মের অনুসারী সেন রাজারা বাংলা আক্রমণ করেন এবং পাল রাজাদের হাত থেকে ক্ষমতা কেড়ে নিয়ে 
বাংলার গদিতে আসীন হন। সেন রাজারা বৌদ্ধদের হাত থেকে ক্ষমতা কেড়ে নিয়েই ক্ষান্ত হননি তাঁরা রীতিমত বৌদ্ধ নির্যাতন শুরু করেন এবং বৌদ্ধ নিধনযজ্ঞ শুরু করেন।</t>
  </si>
  <si>
    <t>অস্ট্রিয়ার এ সিদ্ধান্তের পরিপ্রেক্ষিতে ইসিএইচআর জানায়, অন্য ধর্মের অনুসারীদের অনুভূতি সুরক্ষিত রাখার জন্য ও ধর্মীয় শান্তি সংরক্ষণের 
লক্ষ্যে এবং সতর্কতার সঙ্গে স্বাধীন মতপ্রকাশের অধিকারকে সমুচিত করতে এ রুল জারি করা হয়েছে।</t>
  </si>
  <si>
    <t xml:space="preserve">আপনারা হিন্দু ধর্মের গীতা পাঠ করেন, সেটি বাংলায় লিখে মানুষের কাছে পৌঁছে দিলে অনেকেই আরও সহজে বুঝতে পারবে। আমাদের 
ইসলাম ধর্মে কোরআন আরবির পাশাপাশি বাংলা উচ্চারণ ও অনুবাদসহ দেওয়া হয়েছে, যা বোঝার সুবিধা বাড়ায়। </t>
  </si>
  <si>
    <t> হাজার হাজার মুসলিম বিভিন্ন গ্রাম থেকে সমাবেশস্থলে এসে জমা হতে পারে এজন্য গ্রামের বিভিন্ন হাটবাজারে ২০ মার্চে ঢোল পিটিয়ে 
জানিয়ে দেয়া হয়।মুসলিম সমাবেশের সংবাদ পেয়ে ভীত-সন্ত্রস্ত হিন্দুরা পুনরায় দাঙ্গার আশঙ্কায় তাদের ঘর-বাড়ি, আশ্রয়কেন্দ্র ছেড়ে পালাতে শুরু করেন। </t>
  </si>
  <si>
    <t>২৬ আগস্ট, ২০০৩ তারিখে প্রকাশিত এশিয়ান সেন্টার ফর হিউম্যান রাইটসের প্রতিবেদনে জানা যায়, আইন-শৃঙ্খলা বাহিনী উপজাতি 
পরিকল্পনা করে একযোগে দশটি গ্রামে আক্রমণ পরিচালনা করে। শতশত লোক বাস্তুচ্যুত হয়। হিসেব করে দেখা গেছে, দশজন সংখ্যালঘু নারী ধর্ষণের শিকারে পরিণত হয়েছেন। এছাড়াও, দাদির কাছ থেকে নয়মাসের শিশুকে ছিনিয়ে নিয়ে আইন-শৃঙ্খলা বাহিনীর সদস্যরা হত্যা করে।</t>
  </si>
  <si>
    <t>হিন্দুপ্রধান বাঁশপাড়া, রামপুর, মধুপুর, শ্রীচন্দ্রপুর, বাশিকপুর, চাকবস্তা, শিবপুর, বালিগঞ্জ ইত্যাদি গ্রামগুলোকে পুড়িয়ে ছাই করে দেয়।[১৪] বিভিন্নসূত্রে 
জানা যায় কমপক্ষে ৪৫ জন নিরীহ হিন্দুকে হত্যা করে মুসলিমরা এবং ২০৫টা বাড়ি পোড়ানোর পাশাপাশি বিপুল পরিমাণ সম্পদ লুটপাট করে তারা।</t>
  </si>
  <si>
    <t xml:space="preserve">তাদের স্বার্থ হাসিল করার জন্য অতীতে এধরনের পোস্ট করে হিন্দু মুসলিম সম্প্রদায়ের মধ্যে বিভেদ সৃষ্টি করে দাঙ্গা লাগিয়ে তাদের স্বার্থ হাসিল 
করেছে বর্তমানেও তা অব্যাহত রেখেছে তাই আসুন সবাই আমরা নিজ নিজ অবস্থান থেকে এদের চিন্হীত করে হয় গনধোলাই দেয় আর না হয় আইনশৃঙ্খলা বাহিনীর হাতে তুলে দেয় </t>
  </si>
  <si>
    <t>জেনে রাখো, কোরআন (অনুসারীর পক্ষে ও অবমাননাকারীদের বিপক্ষে) এমন সুপারিশকারী, যার সুপারিশ কবুল করা হবে। অতএব যে কোরআনের 
অনুসরণ করবে, সে জান্নাতে যাবে। আর যে তা থেকে মুখ ফিরিয়ে নেবে, ঘাড় ধাক্কা দিয়ে তাকে জাহান্নামে নিক্ষেপ করা হবে।’</t>
  </si>
  <si>
    <t>আমাদের হিন্দু ধর্মে তো কোনো ধর্মের প্রতি হিংসা-বিদ্বেষ শিখায় নি। আমরা সবসময় নিজেদের ধর্মের পাশাপাশি অন্য ধর্মগুলোকেও শ্রদ্ধা করি, 
সম্মান করি হ্যাঁ এটাই আমাদের সনাতন ধর্মের নীতি।</t>
  </si>
  <si>
    <t>লোহাগড়া উপজেলায় জামাতি ইসলাম ও বিএনপির কর্মীরা হিন্দুদের বাড়িঘরে লুটপাত করে, তাদের সম্পত্তি বিনষ্ট করে এবং কলুজান এলাকায়; 
হিন্দুদের বাজারে হিন্দুদের দোকানের জিনিসপত্র ভাঙচুর করে।[৬] তারা হিন্দুদের মন্দির ভাঙারও প্রয়াস চালায়।</t>
  </si>
  <si>
    <t>অনেক হিন্দু মহিলাকে নিষ্ঠুরভাবে ধর্ষণ করে এবং অসহায় হিন্দু বালিকাদের অপহরণ করে মুসলিমরা।[২৩] সমগ্র জনপদের বাঙ্গালী হিন্দু 
সম্প্রদায়ের উপর জাতিগত নির্মূলীকরণ অভিযান চালানোর পরে ঐ এলাকার নাম পরিবর্তন করে জাফরাবাদ রাখা হয়।</t>
  </si>
  <si>
    <t>মুসলিম বিশ্ব এক নব দিগন্তের পূর্ণজাগরণ দেখবে। কবির ভাষায়, "ইসলাম জিন্দা হোতা হায় হার কারবালা কে বাদ।" হুসাইনের নিহত হওয়া 
আসলে ইয়াজিদেরই মৃত্যু, কারণ ইসলাম প্রতিটি কারবালার পর পুনরুজ্জীবিত হয়।</t>
  </si>
  <si>
    <t>বাংলাদেশের কুমিল্লায় পূজামণ্ডপ, মন্দির ও প্রতিমা ভাঙচুর এবং অগ্নিসংযোগের ঘটনার পর সরকার ২২টি জেলায় বিজিবি (বর্ডার গার্ড বাংলাদেশ) 
মোতায়েন করে।[১২] সরকারের পক্ষ থেকে সাধারণ মানুষকে শান্ত থাকার আহ্বান জানানো হয়।</t>
  </si>
  <si>
    <t>সরকারি রিপোর্ট অনুসারে ২০০৪ সালের তুলনায় হিন্দু প্রতিষ্ঠানের উপর আক্রমণ ১৪% বৃদ্ধি পেয়েছে। হিন্দু এবং হিন্দু ধর্মকে খ্রিস্টীয় মৌলবাদীরা 
বহিরাগত তকমা দিচ্ছে । বিশেষ করে ২০০০ সালের মে অভ্যুত্থানের পরে ফিজিয় খ্রিস্টীয় মৌলবাদীদের দ্বারা হিন্দুরা হামলার শিকার হয়েছে ।</t>
  </si>
  <si>
    <t>অনেক ক্যাথলিক বাঙালি খ্রিস্টান নামের ক্ষেত্রে পর্তুগিজ পদবি ব্যবহার করে থাকেন। বাঙালি মুসলমানরা যেমন আরবি ও ফার্সি নাম ব্যবহার 
করেন, বাঙালি খ্রিস্টানরাও এর অনুরূপ।</t>
  </si>
  <si>
    <t>বঙ্গদেশে মুসলমান ধর্মের প্রচলন হয়েছে ১০০০ খ্রিস্টাব্দের পরে। কিন্তু বৌদ্ধ ধর্ম, জৈন ধর্ম, ব্রাহ্মণ্য ধর্ম -ইত্যাদির মধ্যে কোন ধর্ম বাংলায় সবচেয়ে 
প্রাচীন? বাঙালির ইতিহাসে কোথায় হিন্দু ধর্মের স্থান? হিন্দু ধর্ম কী সনাতন ধর্ম? -এই সব প্রশ্ন নিয়েই আড্ডা হবে আজকের পর্বে।</t>
  </si>
  <si>
    <t>অন্যরা ধারণা করেন শব্দটি সিরিয়াক বা হিব্রু থেকে এসেছে। কিন্তু বেশিরভাগ ভাষাতত্ত্ববিদ আরবি ভাষার নির্দিষ্ট পদাশ্রিত নির্দেশক "আল" ও 
"ইলাহ" এই দুটি শব্দের সংক্ষিপ্ত রূপের সমন্বয়ে আল্লাহ শব্দটি উদ্ভূত বলে মনে করেন।</t>
  </si>
  <si>
    <t>হিন্দুরা বাংলাদেশের সমস্ত অঞ্চলে সমানভাবে বিস্তৃত। দেশের উত্তর, দক্ষিণ-পশ্চিম এবং উত্তর-পূর্ব অংশে উল্লেখযোগ্য ঘনত্ব। প্রকৃতিতে, 
বাংলাদেশী হিন্দুধর্ম প্রতিবেশী ভারতের পশ্চিমবঙ্গ রাজ্যে প্রচলিত হিন্দু ধর্মের আচার ও রীতিনীতির সাথে ঘনিষ্ঠভাবে সাদৃশ্যপূর্ণ, </t>
  </si>
  <si>
    <t>হিন্দুত্ববাদী বিজেপি ও এর অঙ্গসংগঠনগুলোর পক্ষ থেকে মুসলমান বিদ্বেষী আস্ফালন ও বিদ্বেষমূলক কর্মকান্ড কোনো নতুন বিষয় নয়। বিজেপি 
দিল্লীর ক্ষমতা গ্রহণ করার পর থেকে মুসলিম বিদ্বেষ একটি কর্তৃত্ববাদী রাজনৈতিক এজেন্ডায় রূপ নিয়েছে।</t>
  </si>
  <si>
    <t>জাতীয় রাজনীতি এখন চর্চিত বিষয় 'সনাতন ধর্ম'। ডিএমকে নেতা এমকে স্ট্যালিনের পুত্র উদয়নিধি স্ট্যালিনের এক মন্তব্যকে কেন্দ্র করে উত্তাল 
জাতীয় রাজনীতি। তামিলনাড়ুর ক্রীড়া ও যুব কল্যাণমন্ত্রী উদয়নিধি স্ট্যালিন 'সনাতন ধর্ম'-কে ডেঙ্গি ম্যালেরিয়ায় সঙ্গে তুলনা করেন এবং এই ধর্মকে নির্মূল করার কথাও বলেন।</t>
  </si>
  <si>
    <t>২৩ সেপ্টেম্বর সাতক্ষীরার তালা উপজেলার জেয়ালা নলতা গ্রামের একটি মন্দিরে প্রতিমা ভাংচুর হয়। সেদিন শুক্রবার ভোর রাতে সাহাপাড়া 
মন্দিরে থাকা প্রতিমার মাথার অংশ ভেঙ্গে দেয় মুসলিম দূর্বৃত্তরা। পুলিশের ঊর্ধ্বতন কর্মকর্তা এবং সংসদ সদস্যসহ স্থানীয় জনপ্রতিনিধিরা ঘটনাস্থল পরিদর্শন করেন এবং তদন্তের মাধ্যমে ঘটনায় জরিতদের আইনের আওতায় নিয়ে আসার কথা বলেন।</t>
  </si>
  <si>
    <t>২০২১ সালের ১৬ অক্টোবর রাতে সামাজিক যোগযোগ মাধ্যম ফেসবুকে কাবা শরীফের ছবিতে কথিত আপত্তিকর মন্তব্যের জের ধরে রংপুর 
জেলা পীরগঞ্জ উপজেলার রামনাথপুর ইউনিয়নের তিনটি হিন্দু অধ্যুষিত গ্রামে সহিংসতার ঘটনা ঘটায় স্থানীয় কয়েক হাজার মুসলমান।</t>
  </si>
  <si>
    <t>মানুষ বিভিন্ন জায়গায় বিভিন্ন ধর্ম প্রচার করে কারণ বিভিন্ন ধর্মের স্রষ্টারা বিচ্ছিন্ন ছিল এবং তারা জানত না যে অন্য কোথাও অন্য ধর্মের সৃষ্টি হয়েছে। 
অথবা এমনকি যদি তারা জানত, তারা তাদের সামাজিক মূল্যবোধের সাথে মানিয়ে নিতে নিয়মগুলি সংশোধন করতে চাইত।</t>
  </si>
  <si>
    <t>রাসূল সা:-এর বীরত্ব ছিল রহমতের চাদরে আবৃত। কেবল জিহাদের ময়দানেই তিনি বীরত্ব প্রদর্শন করতেন, আর তা কেবল আল্লাহর কালিমাকে 
উঁচু করার জন্য। নবীজী সা: কখনো ব্যক্তিস্বার্থে প্রতিশোধ গ্রহণ করতেন না, কেবল আল্লাহর রাহে ছাড়া কাউকে আঘাত করতেন না। রাসূল সা:-এর সমরাদর্শ ছিল সব যুগের, সব সমর নায়কের অনুসরণ ও অনুকরণযোগ্য সর্বোত্তম আদর্শ।</t>
  </si>
  <si>
    <t>পাকিস্তান সেনাবাহিনী আশ্রম ঘেরাও করে এবং বিহারি সহযোগীদের সহযোগিতায় যৌথভাবে সেখানে প্রবেশ করে। তাদের আগমনের সংবাদে, 
কিছু আবাসিক সন্ন্যাসী মঠ থেকে পালিয়ে যায়। কিন্তু নয় জন সন্ন্যাসী আশ্রম ছেড়ে যেতে অস্বীকার করে। সেই সময়ে সন্ন্যাসীরা মন্দিরের প্রার্থনা সভায় কীর্ত্তন গান গাইছিলেন।কীর্ত্তন গান হচ্ছিল জয় জগৎবন্ধু হরি! জয় জয় জগৎবন্ধু হরি । বিহারি সহযোগীরা কীর্তনের মানে হিসেবে বলে সন্নাসীরা বলছে জয় বঙ্গবন্ধু। তারা পাকিস্তান সেনাবাহিনীকে বলে সন্ন্যাসীরা শেখ মুজিবুর রহমানের জয়ের আশায় চিৎকার করছে </t>
  </si>
  <si>
    <t>পুরানো বিশ্বাসীদের নির্যাতিত ও মৃত্যুদন্ড কার্যকর করা হয়েছিল, আদেশ ছিল যে এমনকি যারা সম্পূর্ণরূপে তাদের বিশ্বাস ত্যাগ করে এবং রাষ্ট্রীয় 
চার্চে বাপ্তিস্ম নিত তারা করুণা ছাড়াই মারধর করে। লেখক লোমোনোসভ ধর্মীয় শিক্ষার বিরোধিতা করেছিলেন এবং তার উদ্যোগে তাদের বিরুদ্ধে একটি বৈজ্ঞানিক বই প্রকাশিত হয়েছিল। বইটি ধ্বংস করা হয়েছিল, রাশিয়ান সিনড লোমোনোসভের কাজগুলি পুড়িয়ে দেওয়ার জন্য জোর দিয়েছিল এবং তার শাস্তির জন্য অনুরোধ করেছিল।</t>
  </si>
  <si>
    <t>তাকে নির্মমভাবে হত্যা করার পর, ছদ্মবেশী জঙ্গিরা ছেনি এবং কুড়াল দিয়ে তার শরীরের বিভিন্ন অংশ কেটে ফেলে বলে অভিযোগ। স্বামীকে 
উদ্ধারের চেষ্টাকারী অন্যরা, অর্থাৎ কল্যাণ আশ্রমের সার্বিক দায়িত্বে থাকা সাধ্বী ভক্তি মাতা, কিশোর বাবা, অমৃতানন্দ বাবা এবং স্কুলের একজন বন্দীর অতিথি অভিভাবককেও হত্যা করা হয়।</t>
  </si>
  <si>
    <t>১৭ ফেব্রুয়ারি,নারায়ণগঞ্জের রূপগঞ্জের গোলাকান্দাইল ইউনিয়নের ৬২৩ জন হিন্দুকে নির্মমভাবে হত্যা করে মুসলিমরা।নরসিংদীর(তৎকালীন 
নারায়ণগঞ্জের অন্তর্গত) ঘোষপাড়ার হারান ঘোষের বাড়িটি লুটপাট করে পুড়িয়ে দেয় মুসলিম গুন্ডারা।</t>
  </si>
  <si>
    <t>ভারতের রাজধানী দিল্লির অদূরে হরিয়ানার নূহ-তে সাম্প্রদায়িক সংঘর্ষে দু’জন নিহত ও আরও বহু লোক আহত হয়েছেন। ওই সহিংসতার পর 
গুরগাঁওতে একটি মসজিদ জ্বালিয়ে দেওয়া হয়েছে, হামলায় ওই মসজিদের ইমামও নিহত হয়েছেন বলে জানা যাচ্ছে।</t>
  </si>
  <si>
    <t>মুক্তিযুদ্ধে কিভাবে ধর্মকে ব্যবহার করে বাঙ্গালি জাতিকে খণ্ডিত করার অপচেষ্টা করা হয়েছিল। মনে পড়লো স্বাধীনতা পরবর্তি সময়ে এই দেশের 
মানুষের মগজে কিভাবে সাম্প্রদায়িকতার বীজ ঢুকিয়ে দিয়ে মানুষে মানুষে বিভাজন সৃষ্টির অপচেষ্টা করা হয়েছিল। বুঝতে পারলাম, বর্তমান খণ্ডিত রূপটা আসলে সেই বীজ থেকে সৃষ্ট। ধীরে ধীরে যা বটবৃক্ষে রূপ নিচ্ছে।</t>
  </si>
  <si>
    <t>কাকরাইল চার্চের ফাদার গাব্রিয়েল কোড়াইয়া বলেন, ঈশ্বর আমাকে পাঠিয়েছে। আমার জীবনের মালিকও হলেন তিনি। আমার জীবন নেওয়ার 
অধিকার শুধু ঈশ্বরেরই আছে। খ্রিষ্ট ধর্মে আত্মহত্যা মানেই মহাপাপ। এই পাপের জীবনে কখনো পা বাড়ান যাবে না।</t>
  </si>
  <si>
    <t>ভিডিওটি সকলের অনেক উপকারে আসবে। সবাই সব সময় তিলাওয়াত করে এরকম সূরা যেমন: সূরা ইয়াসিন, সূরা আর-রাহমান ইত্যাদি 
দিয়ে একটা ভিডিও করলে আমার মনে হয় আরও ভালো হবে। আপনাকে অনেক ধন্যবাদ ও শুভ কামনা রইল।</t>
  </si>
  <si>
    <t>পাকিস্তানিদের সহযোগীরা ছিলেন জামায়াতে ইসলামী, মুসলিম লীগ ও পাকিস্তান ডেমোক্রেটিক পার্টির সদস্যরা। গণহত্যার শিকার সকলেই 
ছিলেন হিন্দু সম্প্রদায়ের। ধারণা করা হয়, গণহত্যায় কয়েক ঘণ্টার মধ্যে ৩,০০০ জনেরও বেশি বাঙালি হিন্দু প্রাণ হারান।</t>
  </si>
  <si>
    <r>
      <t>মুহাম্মাদ জন্মের পর প্রায় চার বছর পর্যন্ত তার দুধমা হালিমা সাদিয়ার কাছে ছিলেন। তার মা আমিনাও এই সময়ে তার দেখাশোনা করতেন। চার 
বছর বয়সে তিনি মায়ের কাছে ফিরে আসেন এবং ছয় বছর বয়স পর্যন্ত তার স্নেহ ও যত্নে বেড়ে ওঠেন।</t>
    </r>
    <r>
      <rPr>
        <vertAlign val="superscript"/>
        <sz val="12"/>
        <rFont val="Calibri"/>
        <family val="2"/>
      </rPr>
      <t>[</t>
    </r>
  </si>
  <si>
    <t>যে বছরটি আমরা সবে পার হয়ে এসেছি, সেই ২০১৫ সালে জঙ্গিরা চারজন মেধাবী তরুণ লেখক-ব্লগার-প্রকাশককে হত্যা করেছে, বিভিন্ন ধর্মীয় 
উপাসনালয়ে হামলা করে নিরীহ মানুষ খুন করেছে। এই জঙ্গিরা কেড়ে নিয়েছে দুজন বিদেশি নাগরিকের জীবন, যাঁরা এ দেশে এসেছিলেন মানবসেবার ব্রত নিয়ে।</t>
  </si>
  <si>
    <t>১৩ অক্টোবর ২০২১, বুধবার দূর্গাপূজা চলাকালিন সময়ে অষ্টমীর দিনে খুব ভোরে কুমিল্লা শহরের নানুয়ারদীঘির পাশের একটি পূজামণ্ডপের বাইরে 
রাম-সীতা-লক্ষ্মণ-হনুমান মূর্তিরস্থলে হনুমান মূর্তির কোলের উপর একটি কুরআন দেখা যায়। বিষয়টি দেখার পর কেউ একজন বাংলাদেশের জাতীয় জরুরি সেবা ৯৯৯ এর মাধ্যমে জানালে কুমিল্লা কোতোয়ালী থানার ভারপ্রাপ্ত কর্মকর্তা এসে সেটি সরিয়ে ফেলে।</t>
  </si>
  <si>
    <t>অনেক অমুসলিম মানুষও খুব ভালোভাবে কোরআন পড়তে পারে, যা জ্ঞানের প্রতি তাদের আগ্রহ প্রকাশ করে। ইসলাম বিশ্বাসের একটি গুরুত্বপূর্ণ 
দিক হলো আল্লাহর একত্ব এবং নবী মুহাম্মদ (সাঃ)-এর শেষ নবী ও রাসুল হিসেবে গ্রহণ করা।</t>
  </si>
  <si>
    <t>পাকিস্তানি সেনাবাহিনীরা স্থানীয় রাজাকারদের সহযোগিতায় পুরো গ্রাম বেষ্টন করে ফেলে, যদিও পুরো গ্রাম তখনো নিদ্রিত অবস্থায় ছিল। তারপর 
তারা লাউডস্পীকারের সাহায্যে ঘোষণা দেয় যে শান্তি কমিটির স্থানীয় শাখা গঠন করতে এবং সংখ্যালঘু হিন্দুদের ড্যান্ডি কার্ড বিতরণ করতে তারা এসেছে। </t>
  </si>
  <si>
    <t>ইসলামকে যতই চাপা দেওয়ার চেষ্টা করা হক না কেনো, কোনো দিনও তা চেপে রাখা সম্ভব না। বিভিন্ন জায়গায় ইফতার আয়োজনে যতই বাধা 
দেওয়া হয়েছে তত বড় করেই পরের বার তা আয়জন করা হয়েছে। ইনশাআল্লাহ বিজয় ইসলামের হবে। যালেম যতই যুলুম করুক না কেন, আল্লাহ সব থেকে উত্তম পরিকল্পনাকারী।</t>
  </si>
  <si>
    <t>পুলিশ জানিয়েছে, ৫৬ বছর বয়সী চৌধুরীর বিরুদ্ধে একটি নিষিদ্ধ সংগঠনের সদস্য পদ, একটি সংগঠনকে নির্দেশ দেওয়া এবং একটি নিষিদ্ধ 
সংগঠনের প্রতি সমর্থন জোগাড়ের জন্য সভায় বক্তব্য দেওয়ার অভিযোগ আনা হয়েছে।</t>
  </si>
  <si>
    <t>প্রতিবেদনে বলা হয়, গত এক বছরে হত্যার ঘটনা ঘটেছে ৪৫টি। মরদেহ উদ্ধার (হত্যাকাণ্ড বলে প্রতীয়মান) হয়েছে ৭ জনের। ১০ জনকে হত্যার 
চেষ্টা করা হয়েছে। হত্যার হুমকি দেওয়া হয়েছে ৩৬ জনকে।</t>
  </si>
  <si>
    <t>২রা মে স্থানীয় সহযোগীদের সহায়তায় পাকিস্তানি বাহিনী গ্রামের দিকে চলে আসে। তারা লক্ষ্মী দাসের হাট নামক স্থানে তাদের যান থামিয়ে 
ঈশানশঙ্করের বাড়ির দিকে অগ্রসর হয়। গ্রামবাসীরা পলায়নে উদ্যত হলে সেনাবাহিনী তাদের ওপর গুলি চালায়।</t>
  </si>
  <si>
    <t>কিছুক্ষনের জন্য জান্নাতের মায়ার পড়ে গিয়েছি, চোখ দিয়ে মায়ার পানি ঝড়তে লাগলো🥹 কান্না করে দিয়েছি, হে পরম দয়ালুময় আমার আল্লাহ 
আমি আমার সর্বোচ্চটা দিয়ে আপনার সমস্ত ইবাদত পালন করবো, আপনার বিধি বিধান মেনে চলবো, আমার একটাই চাওয়া আমি যেন জান্নাতে প্রবেশ করতে পারি</t>
  </si>
  <si>
    <t>বখতিয়ার খিলজী বৌদ্ধদের ওপর কোন ধরনের নির্যাতন করেছেন এমন তথ্য ইতিহাসে নেই বরং বৌদ্ধদের আহ্বানে বঙ্গ বিজয়ের জন্য বখতিয়ার 
খিলজী সেনা অভিযান পরিচালনা করেন। এমনকি বাংলা বিজয়ের পর তিনি বৌদ্ধদের কাছ থেকে জিজিয়া কর আদায় থেকে বিরত থাকেন।</t>
  </si>
  <si>
    <t>আপনি যা বলছেন কথা গুলো মিথ্যা,আপনি এত সুন্দর করে লেখেছেন তালেবানের রিরুদ্ধে। আপনি বলুন ভারতের কাশ্মীরে ১০,০০০ নারীকে ধর্ষণ 
করা হয়েছে ভারতের আর্মিদ্বারা তখন আপনি কোথায় ছিলেন।</t>
  </si>
  <si>
    <t>আগামীকাল শুক্রবার সকালে পোপ ফ্রান্সিস ঢাকার সোহরাওয়ার্দি উদ্যানে যে ভাষণ দেবেন সেখানে যোগ দিতে খ্রিস্টান সম্প্রদায়ের অনেকেই 
কার্ড সংগ্রহের জন্য আবেদন করেছেন এখানে। কথা বলছিলাম প্রশান্ত থিওটোনিয়াসের সাথে। তিনি জানালেন তাদের প্রধান ধমর্গুরুর আগমনের জন্য দীর্ঘদিন ধরেই অপেক্ষার দিন গুনছিলেন।</t>
  </si>
  <si>
    <t>দেশ বিভাগের পর থেকে মুসলিম সম্প্রদায় গুজরাতে সহিংসতায় লিপ্ত হয়েছে। ২০০২ সালে "ফ্যাসিবাদী রাষ্ট্রীয় সন্ত্রাস" হিসাবে চিহ্নিত একটি 
ঘটনায়  হিন্দু উগ্রবাদীরা মুসলিম সংখ্যালঘু জনগোষ্ঠীর বিরুদ্ধে সহিংসতা চালিয়েছিল। এই ঘটনার সময়, অল্প বয়সী মেয়েদের যৌন নির্যাতন করা হয়েছিল, পোড়ানো বা কুপিয়ে হত্যা করা হয়েছিল।</t>
  </si>
  <si>
    <t>প্রযুক্তি এবং মানুষ দুটোই এগোচ্ছে তবে কিছু ইসলামীক দেশ এখনও যে তিমিরে ছিল সেই তিমিরেই আছে। তাই এই ধরনের জঙ্গী সংগঠন 
গুলোকে যারা এখনও লিবারিস্ম এর পর্দায় আড়ালে থেকে সমর্থন করে যাচ্ছে তাদের নিয়ে ভাবার সময় এসে গেছে। যারা নিজেদের বিপদেও হাত তুলে উল্লাস করে তারা আর যাই হোক মানুষ নয়।</t>
  </si>
  <si>
    <t> ধর্মীয় উসকানি আখ্যায়িত করে পার্শ্ববর্তী চার গ্রামের মানুষ ঝুমনের বিরুদ্ধে ১৬ মার্চ রাতে বিক্ষোভ মিছিল করে। পরিস্থিতি নিয়ন্ত্রণে আনতে 
পুলিশের নির্দেশে নোয়াগাঁও গ্রামের মানুষই রাতেই ওই যুবককে আটক করে।[৬] ১৭ মার্চ সকালে কাশিপুর গ্রামের মসজিদের মাইক থেকে[৭] নোয়াগাঁও গ্রামে গিয়ে হামলা চালানোর ঘোষণা দেওয়া হয়।</t>
  </si>
  <si>
    <t> তাকে আদালতে হাজির করে চার দিন রিমান্ড চাইলে দুই দিনের রিমান্ড মঞ্জুর করেন বিচারক। গ্রেফতার ওই যুবকের নাম সুজন কুমার (২৫)। 
তার বাড়ি নাটোরের লালপুর উপজেলায়। জানা গেছে, নিজের পরিচয় গোপন করে সুজন কুমার হাসান রুহানি নামে ফেসবুক আইডি খুলে ধর্মীয় উসকানিমূলক মন্তব্য করে আসছিলেন।</t>
  </si>
  <si>
    <t>কেরালার মালাবার অঞ্চলে মুসলিম কৃষকরা ব্রিটিশদের বিরুদ্ধে বিদ্রোহ করলে হিন্দু-মুসলিম দাঙ্গা ছড়িয়ে পড়ে, যেখানে বহু মানুষ নিহত হন 
এবং বহু হিন্দুকে জোরপূর্বক ইসলাম গ্রহণে বাধ্য করা হয় বলে অভিযোগ ওঠে।</t>
  </si>
  <si>
    <t>১৯৭১ সালের ২৩ এপ্রিল, জগন্নাথপুর, চকহলদি, সিঙ্গিয়া, চণ্ডীপুর, আলমপুর, বাসুদেবপুর, গৌরীপুর, মিলনপুর, খামারভোপলা, শুকানপুকুরী, 
ঢাবঢুবসহ ১২টি গ্রামের হিন্দু সম্প্রদায় ভারতের উদ্দেশ্যে যাত্রা শুরু করে। যাত্রার এক পর্যায়ে তারা জাঠিভাঙ্গা নামক স্থানে একত্রিত হয়। সেখানে এসে স্থানীয় দালালরা তাদের পথরোধ করে এবং পাকিস্তানি সেনাবাহিনীকে খবর দেয়।</t>
  </si>
  <si>
    <t>আমরা দোয়া করি, আল্লাহ্ সুবহানাহু ওয়া তা'আলা যেন আমাদের সঠিক পথে পরিচালিত করেন এবং কল্যাণের দলে রাখেন। আল্লাহ্ হুম্মা 
আমিন। আমরা আমাদের সকল কাজ ভালো নিয়তে, আল্লাহ্-র সন্তুষ্টির জন্য করি। আমিন।</t>
  </si>
  <si>
    <t>সম্মানিত মুসলিম এবং অমুসলিম শিক্ষকদের কাছে জানতে চাচ্ছি, আমাদের ক্যাম্পাসে শিক্ষকদের থেকে এই ধরনের ইসলাম বিদ্বেষী মনোভাব 
পোষণ করে ছাত্র ছাত্রীদের হেনস্থা করা কি উচিত??</t>
  </si>
  <si>
    <t>তবে বিশ্লেষকদের অনেকে মনে করেন, ক্ষমতাসীন দল এবং সরকারের ব্যর্থতার কারণে দেশের বিভিন্ন জায়গায় সাম্প্রদায়িক হামলার ঘটনা ঘটছে। 
লেখক মহিউদ্দিন আহমদ বলেন, এর আগে দেশের বিভিন্ন জায়গায় সাম্প্রদায়িক হামলার যে ঘটনাগুলো ঘটেছে, সেগুলো এবং এখন নড়াইলের হামলার ঘটনার প্যাটার্ন একই রকম।</t>
  </si>
  <si>
    <t>সুইডেনে কোরআন পোড়ানো ও তা নিয়ে মুসলিম দেশগুলোতে ‍সৃষ্ট ক্ষোভের পরিপ্রেক্ষিতে ধর্মীয় বিদ্বেষ ও গোঁড়ামির বিরোধিতায় একটি প্রস্তাব 
পাস হয়েছে জাতিসংঘের মানবাধিকার পরিষদে (ইউএনএইচআরসি)। এ প্রস্তাবের পক্ষে ভোট দিয়েছে বাংলাদেশ।</t>
  </si>
  <si>
    <t>আমরা ধরে নেব প্রতিমা ভাঙচুরের ঘটনার সঙ্গে সরকারি দল জড়িত। এ ঘটনা রাজনৈতিক অপকৌশল মাত্র। শুধু তাই নয়, এই সরকারের 
আমলে দেশে যতগুলো ঘটনা ঘটেছে সেগুলোর কোনোটির বিচার হয়নি। যারা মামলা করেছে তারা কারাগারে, আর যারা মন্দির ভেঙেছে তারা বাইরে।'</t>
  </si>
  <si>
    <t>ধর্মীয় নিপীড়নের সর্বব্যাপী প্রকৃতি থাকা সত্ত্বেও, ঐতিহ্যগত মানবাধিকার সম্প্রদায় সাধারণত "মানুষের মর্যাদার উপর আরও স্পষ্ট সীমাবদ্ধতা" 
এর উপর জোর দেওয়া বেছে নেয়, যেমন লঙ্ঘন যা জাতি , লিঙ্গ এবং শ্রেণীভিত্তিক জাতিগত, জাতিগত, এবং ভাষাগত গ্রুপিং ব্যবহার করে। ধর্মীয় দলবদ্ধতা।</t>
  </si>
  <si>
    <t> ১০ অক্টোবর রায়পুর ও রামগঞ্জে লুণ্ঠন, হত্যা, অগ্নিকাণ্ড শুরু হয়। ১৪ অক্টোবরে রায়গঞ্জ বাজার সংলগ্ন গ্রামগুলোতে অগ্নিকাণ্ড দেখতে পেয়ে 
প্রায় দুইশত নরনারী স্থানীয় থানায় আশ্রয় নেয়। সংগঠিত মুসলিম জনতা এসময় রায়পুরের সকল দেবদেবীর বিগ্রহ ভেঙ্গে ফেলে, মন্দিরগুলো ধ্বংস করে এবং হিন্দু দোকান-বাড়িঘর লুটকরে থানায় প্রবেশ করে।</t>
  </si>
  <si>
    <t>মৌলভীবাজার জেলার কমলগঞ্জ উপজেলার বিভিন্ন স্থান থেকে কুমিল্লায় পূজামণ্ডপে কুরআনের অবমাননার অভিযোগ তুলে ১৩ই অক্টোবর 
বুধবার সন্ধ্যার পর থেকে উপজেলার বিভিন্ন স্থানে বিক্ষোভ মিছিল বের হয়। ১৩ই অক্টোবর বুধবার রাত সাড়ে ৮টা থেকে রাত ১০টার মধ্যে দুটি প্রতিমা ও পাঁচটি মণ্ডপে ভাঙচুর করা হয়।</t>
  </si>
  <si>
    <t>মানুষের ভাগ্যে যা ঘটে তা পূর্ব থেকেই আল্লাহ নির্ধারণ করে রেখেছেন। ইরশাদ হয়েছে, ‘পৃথিবীতে অথবা ব্যক্তিগতভাবে তোমাদের ওপর যে 
বিপর্যয় আসে আমি তা সংঘটিত করার আগেই তা লিপিবদ্ধ থাকে। আল্লাহর পক্ষে এটা খুবই সহজ।</t>
  </si>
  <si>
    <t>সাম্প্রতিককালে খ্রিস্টান ধর্মাবলম্বী কজন পাদ্রীকেও হুমকি দেওয়া হয়েছে বলে সংবাদমাধ্যমে খবর এসেছে। সেক্ষেত্রেও আমরা একই কথা 
স্মরণ করিয়ে দিতে চাই। কোনো সংখ্যালঘু সম্প্রদায়ের ধর্মীয় কেন্দ্র, উপাসনালয় ও ব্যক্তির উপর হামলা করার অনুমতি ইসলামী শরীয়তে নেই।</t>
  </si>
  <si>
    <t>পুলিশ কাঁদানে গ্যাস এবং রবার বুলেট ছুড়েও পরিস্থিতি নিয়ন্ত্রণে আনতে পারেনি।ফলে ৮.১ ওভার খেলার পরেই খেলা পরিত্যাক্ত ঘোষণা করা হয়।
আয়োজকেরা ১০ ডিসেম্বরে পুনরায় খেলার সময়সূচী ঘোষণা করে। ১১ ডিসেম্বরে ভারতীয়-এ দল এবং পাকিস্তান- এদলের মধ্যে ফাইনাল ম্যাচ হবার কথা ছিল।কিন্তু উভয় খেলাই পরিত্যাক্ত ঘোষণা করা হয়।</t>
  </si>
  <si>
    <t>গত পাঁচ বছরের মধ্যে চলতি বছরেই সবচেয়ে বেশি সংখ্যালঘু নির্যাতন হয়েছে বলে দাবি করেছে জাতীয় হিন্দু মহাজোট নামে একটি সংগঠন। 
সংবাদ সম্মেলন করে সংগঠনটির পক্ষ থেকে বলা হয়েছে, চলতি বছর হত্যা, হামলা, জমি দখল, অপহরণ, ধর্মান্তর, ধর্ষণ, উচ্ছেদ, দেশত্যাগে বাধ্য করা সহ ৪০ হাজার ৭০৩টি ঘটনা ঘটেছে।</t>
  </si>
  <si>
    <t>ফেব্রুয়ারি মাসের ২ তারিখে তৎকালীন নোয়াখালী জেলার ফেনী উপজেলাতে হিন্দু সম্প্রদায়ের উপর আক্রমণ শুরু করে মুসলিমরা, যদিও এর 
আগেই ঢাকাতে নৃশংসতা শুরু হয়ে গিয়েছিল।[১৪] একজন হিন্দুকে হত্যা করা হয়,আরও নয়জনকে মারাত্মক ভাবে জখম করা হয়। হিন্দু সম্প্রদায়ের কমপক্ষে নয়টি দোকান লুটপাট করা হয়।</t>
  </si>
  <si>
    <t>বাংলাদেশের দক্ষিণ-পূর্বাঞ্চলীয় জেলা কক্সবাজারের রামুতে হঠাৎ শোনা গেলো সেখানকার একটি কম্পিউটারের দোকান থেকে উত্তম বড়ুয়া নামে 
কোন এক বৌদ্ধ তরুণের ফেইসবুক অ্যাকাউন্ট থেকে ইসলাম ধর্ম, ইসলামের ধর্মগ্রন্থ কোরআন অথবা নবীকে অবমাননা করা হয়েছে।</t>
  </si>
  <si>
    <t>১৯৪৭ সালের আগস্ট মাসে ব্রিটিশ শাসিত ভারতবর্ষ ধর্মের ভিত্তিতে ভাগ হয়ে ভারত এবং পাকিস্তান নামক দুটি দেশে পরিনত হয়। ব্রিটিশ ভারতের 
সংখ্যাগরিষ্ঠ মুসলিমদের নিয়ে গঠিত হয় পাকিস্তান।</t>
  </si>
  <si>
    <t>সাতটি মহান যুদ্ধের পরিসংখ্যান থেকে বোঝা যায়, সংখ্যায় নয় বরং কৌশলই মূল বিষয়। ৬২৪ খ্রিষ্টাব্দে বদর যুদ্ধে মুসলিম সৈন্য ৩১৩ জন। 
কাফির সৈন্য সংখ্যা এক হাজার। ৬২৫ খ্রিষ্টাব্দে উহুদে মুসলিম সৈন্য ৭০০ জন, কাফির সৈন্য সংখ্যা তিন হাজার ৫০০ জন।</t>
  </si>
  <si>
    <t>ষোড়শ শতাব্দীতে পর্তুগিজ সমুদ্রযাত্রীদের আগমনের পরে বাংলায় খ্রিস্টধর্মে ধর্মান্তর শুরু হয়। উনিশ শতকের বাঙালি নবজাগরণের সময় 
বাঙালি অভিজাতদের মধ্যে অনেকেই খ্রিস্টধর্মে ধর্মান্তর হয়েছিল। এরপরে যা প্রজন্ম ধরে প্রজন্মান্তরে অব্যাহত রয়েছে।</t>
  </si>
  <si>
    <t>হে আল্লাহ যারা এই পবিত্র কুরআন শরীফ পুড়ানোর অনুমতি দিয়েছে আর যারা পুড়াতে চাই তাদের সবার অপবিত্র হাতকে পঙ্গু বানিয়ে দাও 
যেন আর কেউ দুঃসাহস না দেখাতে পারে। আমিন!</t>
  </si>
  <si>
    <t>যে দু'জন আগন্তক এসেছিলেন, এখানে নামাজ পড়ার জন্য, তাদের সাথে যে কোন বিষয়ে একজনের বাদানুবাদ হয়। তার পরিপ্রেক্ষিতেই মুহুর্তে এই 
গুজবটি কেউ ইচ্ছাকৃতভাবে ছড়িয়ে দেয়ে। একটা অস্থিতিশীল অরাজক অবস্থা সৃষ্টির চিন্তা হয়তো তাদের মাঝে ছিল, যেখানে সাধারণ মানুষকেও একত্রিত করা হয়।</t>
  </si>
  <si>
    <t>লিখিত বক্তব্যে গোবিন্দ চন্দ্র প্রামাণিক বলেন, গত এক বছরে দেশের হিন্দুসহ সংখ্যালঘু সম্প্রদায়ের ১৫৪ জনকে হত্যা করা হয়েছে৷ হত্যার হুমকি 
দেওয়া হয়েছে ৮৪৯ জনকে, হত্যার চেষ্টা করা হয়েছে ৪২৪ জনকে এবং আহত করা হয়েছে ৩৬০ জনকে, নিখোঁজ রয়েছেন ৬২ জন, চাঁদাবাজি হয়েছে ২৭ কোটি ৪৬ লক্ষ ৩৩ হাজার টাকা৷</t>
  </si>
  <si>
    <t>১৯৯০ সালের ২৯ অক্টোবর,বাংলাদেশের ইসলামী রাজনৈতিক দল জামায়াতে ইসলামী অর্থায়িত সংবাদপত্র 'দৈনিক ইনকিলাবের' শিরোনাম 
ছাপায় 'বাবরী মসজিদ ভেঙ্গে ফেলা হয়েছে'।[৩] ফলে সমগ্র বাংলাদেশ ব্যাপী বাবরী মসজিদ ধ্বংসের গুজব রটানো হয়। আর এতেই সবার দুশ্চিন্তার পারদ সর্বোচ্চ মাত্রায় পৌঁছে যায়।</t>
  </si>
  <si>
    <t>১৯৯০ ও ১৯৯২ সালের সাম্প্রদায়িক সন্ত্রাসের শিকার হয়ে ভোলা জেলার হাজার হাজার হিন্দু বাস্তুচ্যুত হয় এবং পালিয়ে চলে যায়। এর ফলে হিন্দু 
অধ্যুষিত ভোলা জেলা প্রায় হিন্দুশূন্য হয়ে পড়ে। সারা দেশে অনেক হিন্দু তাদের জীবনের নিরাপত্তার জন্য জায়গা, সম্পত্তি, বাড়ি-ঘর ছেড়ে ভারতে আশ্রয়ের জন্য পালিয়ে চলে যায়।</t>
  </si>
  <si>
    <t>তালেবান শাসনে সমপতন আইন ২০০১ সালে পাস করা হয়েছিল যাতে হিন্দুদের চিহ্নিত করতে জনসমক্ষে হলুদ ব্যাজ পরতে বাধ্য করা হয়। 
এটি হিটলারের দ্বিতীয় বিশ্বযুদ্ধের সময় নাৎসি জার্মানিতে ইহুদিদের সাথে করা আচরণের অনুরূপ ।</t>
  </si>
  <si>
    <t>তাদের "লক্ষ্যযুক্ত নিপীড়ন" দেশত্যাগের পরিস্থিতি তৈরি করে এবং আশ্রয় খোঁজার প্রয়োজনীয়তা বাড়িয়ে তোলে। [209] নির্যাতিত হিন্দুরা ভারতে 
আশ্রয় নিলেও নাগরিকত্বের স্বীকৃতি পেতে চ্যালেঞ্জের মুখোমুখি হয়, কারণ ঐতিহাসিকভাবে উদ্বাস্তুদের জন্য ভারতে কোনো সুস্পষ্ট শরণার্থী আইন বা অভিন্ন নীতি নেই। আশীষ বোস ও হাফিজুল্লাহ ইমাদির বিশ্লেষণ অনুযায়ী, ভারতের সাম্প্রতিক নাগরিকত্ব সংশোধনী আইন ২০১৫ সালের আগে প্রবেশকারী হিন্দুদের জন্য কিছুটা স্বস্তি এনেছে।</t>
  </si>
  <si>
    <t>পবিত্র এ রাতের ফজিলত সম্পর্কে একাধিক হাদিস বর্ণিত হয়েছে। গোনাহ মাফ করানোর সুবর্ণ সুযোগ এ রাত। হাদিস শরিফে আল্লাহর রাসুল (সা.) বলেছেন,
 ‘লাইলাতুল কদরে যে ব্যক্তি ইমান ও সওয়াবের নিয়তে কিয়াম (নামাজ পড়বে) করবে, তার পূর্বের সব পাপ মোচন করা হবে।’ (মুসলিম শরিফ, হাদিস: ৭৬০)</t>
  </si>
  <si>
    <t>১৯৭১ সালের ২২ নভেম্বরে বাংলাদেশের মুক্তিযুদ্ধ চলাকালে মানিকগঞ্জ জেলার হিন্দু সম্প্রদায় অধ্যুষিত তেরশ্রী গ্রামে পাকিস্তানি হানাদার বাহিনী ও 
তাদের সহযোগী রাজাকার, আলবদর বাহিনী আক্রমণ করে এবং কমপক্ষে ৪৩ জন নিরীহ বেসামরিক জনতাকে হত্যা করে।[</t>
  </si>
  <si>
    <t>আজ নানুয়ার দিঘীর পাড়ে একটি পূজা মন্ডপে হনুমানের মূর্তির উরুর উপর পবিত্র কোরআন রাখার দৃশ্য দেখে অবাক হয়েছি। হিন্দু হোক চাই 
মুসলিম হোক, এধরণের কাজে কোনো প্রকৃত ধার্মিকের হাত থাকার কথা না। এটা বকধার্মিকের কাজ, যা কিনা স্পষ্ট উস্কানিমূলক এবং উদ্দেশ্যপ্রণোদিত।</t>
  </si>
  <si>
    <t>বিহারে একটি ধ্বংসাত্মক দাঙ্গা ১৯৪৬ খ্রিস্টাব্দের শেষের দিকে শুরু হয়েছিল। বিহারে ৩০শে অক্টবর থেকে ৭ই নভেম্বরের মধ্যে ঘটা একটি বড় 
আকারের গণহত্যা দেশভাগকে অনিবার্যকরণের দিকে নিয়ে গিয়েছিল।</t>
  </si>
  <si>
    <t>রামমোহন রায় পর্যবেক্ষণ করেছিলেন যে নারীরা যখন মৃত স্বামীর অন্ত্যেষ্টি চিতায় নিজেকে সঁপে দেওয়ার অনুমতি দেয় তখন এটি শুধুমাত্র
 "ধর্মীয় কুসংস্কার থেকে" নয়, বরং "বিধবাদের দৈনন্দিন অপমান ও তাচ্ছল্য পদমর্যাদার দুর্দশার সাথে জড়িত সাক্ষী থেকেও"।</t>
  </si>
  <si>
    <t> মারকুল নামের একটা গ্রাম পুরোপুরি লুট করা হয় এবং গ্রামের সকল অধিবাসীদেরকে মুসলমান বানিয়ে দেয়া হয়। ১৯শে ফেব্রুয়ারি জকিগঞ্জ 
পুলিশ স্টেশনের আওতাধীন সদরপুর গ্রামে আক্রমণ করে মুসলিমরা। শুকলাল নামের এক চাঁড়ালের বাড়ি লুট করে তারা। তার ভাই পুলিশ স্টেশনে অভিযোগ করতে গেলে পুলিশ তাকে বেয়নেট দিয়ে কুপিয়ে জখম করে এবং পা দিয়ে লাথি মেরে পুলিশ স্টেশন থেকে তাড়িয়ে দেয়। রাতের আঁধারে গ্রামের হিন্দুরা নিরাপদ আশ্রয়ের জন্য সাঁতার কেটে নদী পার হয়। পারগ্রামের চাঁড়াল বাড়িগুলো সব মুসলিমরা লুট করে এবং দখল করে নেয়।</t>
  </si>
  <si>
    <r>
      <t>মারিচঝাঁপির ঘটনা ১৯৭৯ সালে দেশভাগ-পরবর্তী বাংলা থেকে আসা শরণার্থীদের মারিচঝাঁপি দ্বীপের (সুন্দরবন, পশ্চিমবঙ্গ) সুরক্ষিত বনভূমিতে 
গড়া বসতি উচ্ছেদ করার ঘটনা। এই শরণার্থীরা ওড়িশা, মধ্যপ্রদেশ ও ছত্তিশগড়ে অবস্থিত দণ্ডকারণ্যের শিবির থেকে এখানে এসেছিল।</t>
    </r>
    <r>
      <rPr>
        <vertAlign val="superscript"/>
        <sz val="12"/>
        <rFont val="Calibri"/>
        <family val="2"/>
      </rPr>
      <t>[১][২]</t>
    </r>
    <r>
      <rPr>
        <sz val="12"/>
        <rFont val="Calibri"/>
        <family val="2"/>
      </rPr>
      <t> সতি উচ্ছেদ করার সময় পুলিশের সঙ্গে বসতি স্থাপনকারীদের মধ্যে সংঘর্ষ ঘটে, অর্থনৈতিক অবরোধ দেওয়া হয় এবং এতে অনেক প্রাণহানি ঘটে।</t>
    </r>
  </si>
  <si>
    <t>আপনি পূজা করেন, পূর্ণিমা পালন করেন বা বড়দিন পালন করেন বা সাংস্কৃতিক অনুষ্ঠানের নামে বেলেল্লাপনা করেন তাদের কোন সমস্যা নাই 
কিন্তু আপনি কোরআন তেলওয়াত করতে যান তাদের চোদ্দগুষ্টির পু**কি জ্বলে ছিঁড়ে যাবে।</t>
  </si>
  <si>
    <t>বিশ্বের তিন-চতুর্থাংশ দেশে ধর্মীয় স্বাধীনতার উপর নিম্ন থেকে মাঝারি বিধিনিষেধ রয়েছে, তাদের এক চতুর্থাংশে উচ্চ এবং অত্যন্ত উচ্চ বিধিনিষেধ 
রয়েছে, ধর্মীয় স্বাধীনতা এবং নিপীড়ন সম্পর্কিত স্টেট ডিপার্টমেন্টের বার্ষিক কংগ্রেসে দেওয়া প্রতিবেদন অনুসারে।</t>
  </si>
  <si>
    <t>তালিবানদের তৈরী করেছিল আমেরিকা নিজেই,সোভিয়েত রাশিয়া কে আফগানিস্তান থেকে হঠাতে।তারপর আমেরিকার মদতে তালিবান রা ক্ষমতা 
দখল করে মৌলবাদী ফতোয়া চালু করে এবং প্রাচীন গৌরবময় সংস্কৃতির ইতিহাস নিয়ে দাঁড়িয়ে থাকা একটি দেশের ধ্বংসলীলা শুরু করে।</t>
  </si>
  <si>
    <t> ২৫ থেকে ২৮ অক্টোবরের মধ্যে বিহারের ছাপরা এবং শরণ জেলায় দাঙ্গা ছড়িয়ে পরে। শীঘ্রই পাটনা, মুঙ্গের, ভাগলপুরে দাঙ্গা ছড়িয়ে পড়ে।
[৮০] ফলে সরকারের পক্ষে আইন শৃঙ্খলা পরিস্থিত স্বাভাবিক রাখা ক্রমেই কঠিন হয়ে ওঠে এবং ধর্মের ভিত্তিতে ভারত বিভাজন অবশ্যম্ভাবী হয়ে ওঠে। </t>
  </si>
  <si>
    <t>আবু সুফিয়ানের সাথে তোমাদের সম্পদ রয়েছে, তার উপর আক্রমণ চালানোর জন্য মুহাম্মাদ ও তার সঙ্গীরা এগিয়ে আসছে। তাই আমার 
মনে হয় না যে তোমরা তা পাবে। তাই সাহায্যের জন্য এগিয়ে চলো, এগিয়ে চলো</t>
  </si>
  <si>
    <t>এই এশিয়াতে বিশেষ করে মধ্যপ্রাচ্যে , দক্ষিণ এশিয়ায় যে এত সব ধর্মের ধ্বজাধারী অথচ এখানেই চুরি ডাকাতি , রাহাজানি , ধর্ষণ , গৃহকর্মী ধর্ষণ , 
ধর্মাবমাননার নামে হিন্দুদের জ্বালাও পোড়াও , গোহত্যা নিধনের জন্য মানুষ পেটানো এগুলো যদি নাও ধরা হয় তবুও একেকটা দেশ দূর্নীতির শিরোমণি তাহলে কি বলবেন ? একেকজন এত শিক্ষিত তারা কি ধর্ম সম্পর্কে জ্ঞান রাখে না ?</t>
  </si>
  <si>
    <t>চট্টগ্রামের জেলার বাঁশখালী ও কর্ণফুলী উপজেলার মণ্ডপে হামলা-ভাঙচুরের ঘটনা ঘটে।[৪৭] জেএম সেন হলে পূজা মণ্ডপে হামলার ঘটনা ঘটে। 
এতে ৮৩ জনের নাম উল্লেখ করে মামলা করে পুলিশ, একইসাথে কয়েকশ অজ্ঞাত ব্যক্তিকে আসামি করা হয়।[৪৮] চট্টগ্রাম মহানগর পূজা উদযাপন পরিষদ হামলার বিরুদ্ধে অবস্থান নিয়ে নিরাপত্তা না পাওয়া পর্যন্ত প্রতিমা বিসর্জন না দেয়ার ঘোষণা দেয়।[৪৯] পরবর্তীতে পুলিশ ও রাজনৈতিক নেতাদের আশ্বাসে নির্ধারিত সময়ের পাঁচ ঘণ্টা পরে প্রতিমা বিসর্জন দেয়া হয়।</t>
  </si>
  <si>
    <t>১৯৭১ সালের ২৫ মার্চ পাকিস্তান সেনাবাহিনী পূর্ব পাকিস্তানে অপারেশন সার্চলাইট শুরু করে। তারা মূলত পূর্ব পাকিস্তানের হিন্দু সম্প্রদায়কে 
নিশ্চিহ্ন করে দেওয়ার লক্ষ্য নেয়। কয়েক সপ্তাহ পর, তারা ফরিদপুর জেলায় প্রবেশ করে এবং সেনাছাউনি স্থাপন করে। এর মধ্যেই স্থানীয় গ্রামবাসীরা পলায়ন করতে থাকে।</t>
  </si>
  <si>
    <t>মানবাধিকার কর্মীরা বলেছেন, এর আগেও বিভিন্ন সময় ধর্ম অবমাননার গুজব ছড়িয়ে আলোচিত সহিংস ঘটনাগুলোর বিচার হয়নি। সেজন্য 
এখন সরকারের ঘোষণা কতটা কার্যকর হবে- তা নিয়ে তাদের সন্দেহ রয়েছে।</t>
  </si>
  <si>
    <t>সন্ধ্যায় তারা শোভাগঞ্জ ইউনিয়নের কয়েকটি বাড়িতে ভাঙচুর চালায়। হিন্দু সম্প্রদায়ের নেতারা অভিযোগ করেছেন যে হামলাকারীরা রংপুর 
জেলার মিঠাপুকুর উপজেলার কেন্দ্রীয় কালী মন্দিরে ভাঙচুর করেছে</t>
  </si>
  <si>
    <t xml:space="preserve">লিটারেলি পশ্চিম বা আদর্শিকভাবে পশ্চিমা দর্শনের দেশগুলোতে স্থায়ীভাবে সেটেল হওয়া কিংবা অন্তত পড়াশোনা বা কয়েক বছরের আয় 
ইনকামের জন্য যাওয়ার মাঝে যত রকমের ক্ষতি আছে, তা অনেকেই ঠিকমত টের পান না। </t>
  </si>
  <si>
    <t>বিশেষ করে দুই নং ঢাকেশ্বরী কটন মিলের হিন্দু শ্রমকিদের বাসস্থান গুলো এই ঘৃণ্য আক্রমণের শিকার হয় এবং সে গুলোকে পুড়িয়ে ছাই করে 
ফেলা হয়।দুই নং ঢাকেশ্বরী কটন মিলে উন্মত্ত মুসলিমদের সৃষ্ট অগ্নিকাণ্ড সম্পর্কে মিলের ব্যবস্থাপক সত্যেন রায় ব্যবস্থাপনা পরিচালক সুনীল বসুকে রাত তিনটার সময় অবগত করেন এবং অনতিবিলম্বে পুলিশ ও সেনাবাহিনীর প্রয়োজনীয়তা সম্পর্কে বলেন।</t>
  </si>
  <si>
    <t>যে দেশের অবইধ প্রধানমন্ত্রী বলে ধর্ম জার জার উৎসব সবার, আবার পবিত্র কুরআন শরীফের ভুল বেখ্যা করে ( লাকুম দ্বিনুকুম ওয়ালিয়া দ্বিন ) 
এই রেফারেন্স দিয়ে বলে ধর্ম জার জার উৎসব সবার, সেই দেশে এর থেকে ভালো কিছু আশা করা বোকামি,দোয়া করি আল্লাহ পাক রাব্বুল আলামিন যেনো আমাদেরকে সঠিক বুজ দান করেন আমিন ছুম্মা আমিন।</t>
  </si>
  <si>
    <t>১৯৬২-এর রাজশাহী হত্যাকাণ্ড বলতে ১৯৬২ সালের এপ্রিল মাসে রাজশাহী ও পাবনা জেলার স্থানীয় হিন্দু, বৌদ্ধ, সাঁওতালদের গণহারে হত্যা 
করার ঘটনাটাকে বোঝানো হয়।[১][২] মূলত হিন্দুদের সম্পত্তি ও মেয়েদের ওপর আক্রমণ হয়।[৩] এই হত্যাকাণ্ডে তিন হাজারেরও অধিক অমুসলিম খুন হন।</t>
  </si>
  <si>
    <t>নিহত হয়েছে ৩১ হাজারেরও বেশি ফিলিস্তিনি আর আহত ৭৩ হাজার ছাড়িয়ে গেছে। ঘরবাড়ি হারিয়ে গাজার ২৩ বাসিন্দার প্রায় সবাই উদ্বাস্তু 
হয়ে গেছে। কঠোর অবরোধ ও অবিরাম হামলার মধ্যে থাকা গাজাবাসী অনাহারে ভুগতে ভুগতে দুর্ভিক্ষের প্রান্তে চলে গেছে। </t>
  </si>
  <si>
    <t>ডটবাস্টাররা মূলত নিউইয়র্ক এবং নিউ জার্সিতে তাদের কর্মকাণ্ড চালায়। জার্সি সিটিতে তারা বেশিরভাগ অপরাধ করেছে। যদিও ১৯৯০ সালে 
নিউ জার্সি আইনসভায় কঠোর ঘৃণা-বিরোধী অপরাধ আইন পাস করা হয়েছিল। তবে হামলা অব্যাহত ছিল। ১৯৯১ সালে নিউ জার্সিতে ভারতীয় হিন্দুদের উপর করা ৫৮টি ঘৃণ্য অপরাধের রিপোর্ট করা হয়েছিল।[</t>
  </si>
  <si>
    <t> মিয়ানমারের মুসলিম নিধনের সাথে তুলনা করা হয় তাহলে তা হবে পর্বতের সাথে মুষিকের তুলনা। আর এই দুই ঘটনায় আমাদের মিডিয়ার 
যে প্রতিক্রিয়া, তা যদি তুলনা করা হয় তাহলে সেটা হবে মুষিকের সাথে পর্বতের তুলনা। মুসলিম-প্রসঙ্গে আমাদের শীতল ও নির্লিপ্ত মিডিয়াই যখন সংখ্যালঘু-প্রসঙ্গে অতিমাত্রায় সংবেদনশীল হয়ে ওঠে তখন তা আর শ্রদ্ধার উদ্রেক করে না। এই মওসুমী সংবেদনও অনেক ক্ষেত্রেই ভাঁড়ামি ও চাটুকারিতার সীমাকেও অতিক্রম করে যায়।</t>
  </si>
  <si>
    <t xml:space="preserve">কুমিল্লা শহরে অবস্থিত নানুয়ার দিঘীর পাড়— আমার একটি অতি পরিচিত এবং প্রিয় জায়গা। দেশে আসলেই নানুয়ার দিঘীর পাড়ে বিকেল বেলা 
আমি নিয়ম করেই হাটতাম। দিঘীর চারপাশে হিন্দু মুসলিম মিলেমিশে একাকার। যে যার ধর্ম কর্ম নিয়ে শান্তিপূর্ণ বসবাস। সৌহার্দ্যপূর্ণ পরিবেশই দেখেছি সব সময়। </t>
  </si>
  <si>
    <t>ওই দিন সকাল ১০টা নাগাদ এর একটি ছবি ও ভিডিও ব্যাপকভাবে সামাজিক মাধ্যমে ছড়িয়ে পড়ে। যেখানে দেখা যায়, মূর্তির হাঁটুর কাছে কুরআন 
রয়েছে এবং হনুমান মূর্তির হাতে থাকা অস্ত্রটি (গদা) নেই।[১৭] অনেকে বিষয়টি নিয়ে উস্কানিমূলক বক্তব্য দিয়ে কুরআন অবমাননার অভিযোগ করতে থাকেন। বিষয়টি সামাজিক যোগাযোগ মাধ্যমে ব্যাপকভাবে ভাইরাল হলে দেশজুড়ে বিভিন্ন জেলায় পূজামণ্ডপে হামলা, ভাঙচুর, মারধরের ঘটনা ঘটতে থাকে।</t>
  </si>
  <si>
    <t>ভারতীয় জনপদে 'কঠিন চীবর দান' শব্দটি গৌতম বুদ্ধের সময় থেকে প্রচলিত হয়ে আসছে। মাত্র ২৪ ঘণ্টার মধ্যে তুলা কেটে, সুতা বানিয়ে, 
রং করে, নানা রকম আচার ও নিয়ম মেনে একেকটি চীবর তৈরি করার কাজটি খুব বেশি কঠিন বলেই অনুষ্ঠানের এই নাম।</t>
  </si>
  <si>
    <t>কক্সবাজার জেলার পেকুয়া ইউনিয়নের বিশ্বাসপাড়ার পূজামণ্ডপ ও আরেকটি পূজামণ্ডপে প্রতিমা এবং স্থানীয় হরিমন্দিরে লুটপাট ও ভাঙচুরের 
পাশাপাশি ১৬টি বসতঘরও লুট করা হয়।[৩৬] ১৩ই অক্টোবর বুধবার সন্ধ্যায় একদল লোক মিছিল নিয়ে এসে হামলা ও ভাংচুর চালায়। খবর পেয়ে পুলিশ ঘটনাস্থলে পৌঁছালে হামলাকারীদের সঙ্গে পুলিশের ধাওয়া পাল্টা-ধাওয়ার ঘটনা হয়। পরিস্থিতি নিয়ন্ত্রণে আনতে পুলিশ ফাঁকা গুলি ছোড়ে।</t>
  </si>
  <si>
    <t>১০২৮ সাল থেকে শুরু করে ১১০১ এ শেষ হবার আগ পর্যন্ত কাশ্মীরের প্রথম লোহারা সাম্রাজ্যের সময় বৌদ্ধধর্ম অর্থনৈতিকভাবে ধীরলয়ে ক্ষয়প্রাপ্ত 
হতে থাকে। কালক্রমে বৌদ্ধ মঠগুলো অত্যল্প আর্থিক সাহায্যের জন্যে বেশ ক্ষতিগ্রস্ত হয়। অন্যদিকে, গজনীর শাসনাঞ্চল থেকে বিচ্ছিন্ন হয়ে পড়ায় মধ্য ভারতের ভিক্ষু বিহারের তুলনায় কাশ্মীরি মঠগুলোর মান ধীরে ধীরে নিচের দিকে নামতে থাকে।</t>
  </si>
  <si>
    <t>আল-আকসা মুসলিম উম্মাহর সম্পদ, ইসরায়েল আরবদের ভূমি, ইহুদিবাদীরা দখলদার, আমরা বলছি দখলদার ইসরায়েল, তোমরা আরবদের ভূমি 
ছেড়ে ইউরোপ-আমেরিকায় রাষ্ট্র বানাও, নতুবা আল্লাহর গজব তোমাদের ঘিরে ধরবে, তোমরা পালানোর জায়গা পাবেনা।</t>
  </si>
  <si>
    <t>এফ.এম.ই. স্কুল, পাবলিক লাইব্রেরী,বিবেকানন্দ ফিজিক্যাল ক্লাব,হিরালাল লহিয়া চ্যারিটেবল হসপিটাল সহ আরও অনেক প্রতিষ্ঠান মুসলিমরা 
আগুনে পুড়িয়ে ছাই বানিয়ে দেয়।[২১] সেনাবাহিনীর তত্ত্বাবধানে ট্রাকে ভরে ভরে মৃতদেহগুলো হাসপাতালে নিয়ে আসে তারা এবং সেগুলো সেখান থেকেই সরাসরি নিয়ে মাটি চাপা দেয়া হয়।এভাবে শতশত হিন্দুর মৃতদেহ সেনাবাহিনী গুম করে ফেলে।এমনকি যে সকল মৃতদেহ শনাক্ত করা হয়েছিল সেগুলোকেও তাদের পরিবারের কাছে হস্তান্তর না করে গুম করে ফেলে তারা।[</t>
  </si>
  <si>
    <t>রাজাকার, আলবদর সহ পাকিস্তানি দখলদারি সেনাবাহিনীর সহচররা গ্রামবাসীদের পালানোকে প্রতিহত করে। একশোরও অধিক নারী, পুরুষ এবং 
ছেলেমেয়েদের আটক করা হয় এবং পরে তাদের কামিনী কুমার দেব, একজন হিন্দু গ্রামবাসীর বাড়িতে নিয়ে আসা হয়। মহিলা এবং শিশুদের, পুরুষদের কাছ থেকে আলাদা করে এবং কারারুদ্ধ অবস্থায় একটি কক্ষে পুরে রাখা হয়।</t>
  </si>
  <si>
    <t>এটি সত্য যে, ইসলাম ধর্মে বিশ্বাস করা হয় যে ভাগ্য বা কদর আল্লাহর হাতে থাকে এবং তা একমাত্র আল্লাহর ইচ্ছার উপর নির্ভরশীল। মানুষের 
জীবনের সমস্ত ঘটনা, ভালো-মন্দ, দুঃখ-সুখ, জীবন-মৃত্যু সবকিছুই আল্লাহর পরিকল্পনায় নির্ধারিত। তবে, আল্লাহ আমাদের মুক্ত ইচ্ছা দিয়েছেন যাতে আমরা ভালো কাজ করি এবং তাঁর পথে চলি। ভাগ্য সম্পর্কে মানুষের ধারণা সীমিত, এবং আল্লাহ ছাড়া কেউ এর সঠিক রহস্য জানে না। তবে, এটি আমাদের জন্য একটি শিক্ষা যে, আমরা নিজেদের কাজ ও ইচ্ছা অনুযায়ী সর্বোত্তম চেষ্টা করতে পারি, এবং আল্লাহর উপর ভরসা রেখে জীবনকে সুন্দর করতে পারি।</t>
  </si>
  <si>
    <t>এক মুসলিমদের মধ্যে এত মতের অমিল আর কোন্দল থাকলে বহিঃশত্রুরাতো সুযোগ নেবেই! আহমদিয়া, শিয়া, সুন্নি, সালাফি, ওয়াহাবি, সুফী 
মুসলীম, ভারত বর্ষের ইসলাম, পারস্য ইসলাম, আরব্য দেশের ইসলামিক চর্চা, ইউরোপ আমেরিকার ইসলাম, আফ্রিকার ইসলাম, সবশেষে সিরিয়া-ইরাকের তথাকথিত ইসলামিক স্টেটের সন্ত্রাসী মতবাদ - এতো সকল ভিন্ন সংস্কৃতির ইসলামকে আমাদের দেশের মানুষরা বুঝতে পারছে না কারণ আমাদের দেশের মানুষরা নানা সংস্কৃতির মানুষ, ভাষা, পোশাক, রীতি-নীতি দেখে অভ্যস্ত নয়।</t>
  </si>
  <si>
    <t>তিরাশি বছর আগে ১৯৩৭ সালে হিন্দু বিধবা সম্পত্তি আইনে স্বামীর বসত ভিটাতেই কেবল বিধবা নারীদের অধিকার দেওয়া হয়েছিল। এখন 
হাইকোর্টের এক রায়ের প্রেক্ষাপটে হিন্দু বিধবা নারীদের তার স্বামীর সব সম্পত্তিতে অধিকার প্রতিষ্ঠিত হবে। খুব প্রাসঙ্গিক ভাবেই হিন্দু নারীদের তার পিতার সম্পত্তিতে তাদের অধিকার নিশ্চিত করার বিষয়টিও আলোচনায় উঠে এসেছে।</t>
  </si>
  <si>
    <t>রাজা মিহিরকুল (রাজত্বকাল ৫১৫ খৃষ্টাব্দ) বৌদ্ধবাদকে দমন করেন। তিনি এমনকি হালের এলাহবাদ থাকা বৌদ্ধ মন্দিরগুলোও ধ্বংস করেন। 
[নোট: শ্বেতাঙ্গ হুনেরা পরে ব্রাহ্মণদের কল্যানে রাজপূত হিন্দুত্ব গ্রহণ করে আর বৌদ্ধবাদের প্রতি বিরূপ বা বৈরী হয়ে পড়ে।] আর এইসব বৌদ্ধমঠগুলোর ধ্বংস ঘটে এতদ অঞ্চলে ইসলাম প্রবেশের বহুকাল আগেই।</t>
  </si>
  <si>
    <t>সংঘ-প্রতিষ্ঠার গোড়ার দিক থেকেই সিঙ্গাপুরে ইসকন নিষিদ্ধ থেকেছে দীর্ঘকাল। সংঘটির রেজিস্ট্রেশন আটকিয়ে রাখা হয়েছিল। তবে পরে 
অন্য নাম নিয়ে সেদেশে শুরু হয় ইসকনের কর্মকাণ্ড, এখন সেখানে একটি মন্দির আছে এবং ইসকনের ভক্তরা খোলাখুলিই কাজ করেন।</t>
  </si>
  <si>
    <t>চক্রটির ব্যাপারে তথ্য আমরা স্বরাষ্ট্র মন্ত্রণালয়কে কয়েকবার দিয়েছি কিন্তু কোনো কাজ হয়নি৷ আর পুলিশ প্রশাসন আগাম তথ্য পেয়েও 
কোনো হামলা বন্ধেই আগাম কোনো ব্যবস্থা নেয়নি৷'' তিনি বলেন, ‘‘এরা বাংলাদেশ থেকে হিন্দুদের তাড়িয়ে দিতে চায়৷ রাজনৈতিক ফায়দা, হিন্দুদের সম্পদ দখল করতে চায়৷</t>
  </si>
  <si>
    <t>তারা মনে করতেন, পৃথিবীতে যত ধর্ম আছে তাদের মূল কথা একই। ধর্মগুলোর ছোটখাটো বিভেদের মধ্যেও রয়েছে এক বড় ঐক্য। মানুষ 
ইচ্ছে করে ধর্মের ভেতর নানা বিভেদ তৈরি করে রেখেছে।</t>
  </si>
  <si>
    <t xml:space="preserve">কেন্দ্রীয় হরি মন্দিরের সভাপতি ও উপজেলা পূজা উদ্‌যাপন কমিটির সভাপতি প্রবীর কুমার বিশ্বাস প্রথম আলোকে বলেন, শুক্রবার দিবাগত 
রাত একটা থেকে শনিবার সকাল ছয়টার মধ্যে তিনটি মন্দিরের প্রতিমা ভাঙচুর করা হয়। </t>
  </si>
  <si>
    <t xml:space="preserve"> বারুইকে রাতে অজ্ঞাত দুর্বৃত্তরা মুসলমান ধরে নিয়ে যায় এবং গুলি করে হত্যা করে। বিনোদ বিহারী বারুই নামে অপর এক গ্রামবাসী, যিনি 
হামলার সময় গ্রামটি রক্ষা করেছিলেন এবং শ্বাসরোধ করে হত্যা করা হয়েছিল। পরে মামলাটি আদালত পাশাপাশি থানা থেকে নিখোঁজ হয়।</t>
  </si>
  <si>
    <t>নবীজি সাল্লাল্লাহু আলাইহি ওয়াসাল্লাম বলেছেন, ‘তোমাদের কেউ যেন কিছুতেই মৃত্যু প্রত্যাশা না করে এবং মৃত্যু আসার আগে তার জন্য 
দোয়াও না করে। কেননা যখন তোমাদের কেউ মারা যায় তখন তার আমল বন্ধ হয়ে যায়। আর মুমিনের দীর্ঘ জীবন শুধু তার জন্য কল্যাণই বয়ে আনে।</t>
  </si>
  <si>
    <t>বিহারে একটি ধ্বংসাত্মক সাম্প্রদায়িক দাঙ্গা ১৯৪৬ খ্রিস্টাব্দের শেষের দিকে শুরু হয়েছিল। বিহারে ৩০ অক্টোবর থেকে ৭ নভেম্বরের মধ্যে 
ঘটা একটি বড় আকারের গণহত্যা দেশ ভাগকে অনিবার্যকরণের দিকে নিয়ে গিয়েছিল।</t>
  </si>
  <si>
    <t>৩০ অক্টোবর, বাংলাদেশের তৎকালীন রাষ্ট্রপতি হুসেইন মুহাম্মদ এরশাদ তার বাসভবন বঙ্গভবনে যখন একটি যুব সম্মেলনে ভাষণ প্রদান 
করছিলেন ঠিক তখনও বঙ্গভবনের দক্ষিণে অবস্থিত একটি গৌড়ীয় মঠে আগুন ধরিয়ে দেয় সশস্ত্র মুসলিমরা এবং হিন্দু মালিকানাধীন ব্যবসাপ্রতিষ্ঠান গুলোতে নির্বিচারে লুটপাট ও হামলা চালায় তারা।</t>
  </si>
  <si>
    <t>মার্কিন যুক্তরাষ্ট্রে অ্যান্টি-ডিফেমেশন লীগের চেয়ারম্যান আব্রাহাম ফক্সম্যান একে নাৎসি জার্মানির শাসনের সাথে তুলনা করেন। যেখানে 
ইহুদিদের লেবেল পরা প্রয়োজন ছিল যা তাদের চিহ্নিত করত এবং [265]এর তুলনা করে ক্যালিফোর্নিয়ার ডেমোক্রেট ও ইহুদি গণহত্যা থেকে বেঁচে যাওয়া টম ল্যান্টোস এবং নিউইয়র্ক ডেমোক্র্যাট ও দ্বি-পক্ষীয় 'সেন্স অফ দ্য কংগ্রেস' -এর লেখক হিন্দু-বিরোধী ফরমান এলিয়ট এল এঙ্গেলের দ্বারা ছবি আঁকা হয়েছিল।</t>
  </si>
  <si>
    <t>স্বরস্বতী পূজা তো জগন্নাথ হলের বাইরে কোথাও দেখি নাই। আজ কত বছর ঢাবিতে আছি। জগন্নাথ হল হিন্দু বৌদ্ধ খ্রিস্টানদের জন্য আলাদা 
প্লেস। বটতলায়, ডিপার্টমেন্টে, ফ্যাকাল্টিতে পূজার অনুষ্ঠান আজ পর্যন্ত দেখি নাই।</t>
  </si>
  <si>
    <t>ফিলিস্তিনীরা হচ্ছে (বিশ্বে কোন রাষ্ট্র ইহুদীদের আশ্রয় না দিলে) একমাত্র রাষ্ট্র এই ইহুদীদের আশ্রয় দিয়েছেন এবং এখন ফিলিস্তিনদের উপর 
অত্যাচার নির্যাতন অবৈধ্য দখল করে আছে এবং অবৈধ্য দখল করছেন এই বৈধ্য ইহুদী ইসরাইলি রাষ্ট্র।।__ এটাকে কি বলে আপনিও বলুন????_ বিশ্ব জাতীয় সংঘে বঙ্গবন্ধু অবৈধ্য আগ্রাসন নির্যাতনের কঠোর প্রতিবাদ ও ধিকার জানাই।_ বঙ্গবন্ধু ইহুদী ইসরাইলের সাথে বাংলাদেশের সর সম্পর্ক নিষিদ্ধ করেছিলেন</t>
  </si>
  <si>
    <t>খুলনা শিপইয়ার্ড, দাদা কোম্পানি,ইস্পাহানী কোম্পানি,কাটা কোম্পানি,সোলম্যান কোম্পানিসহ বিভিন্ন প্রতিষ্ঠানের হাজার হাজার মুসলিম 
শ্রমিকরা হিন্দুদের উপর এই জঘন্য,অমানবিক জিঘাংসাবৃত্তি চরিতার্থ করে।লোপপুর ইউনিয়নের চেয়ারম্যান এদেরকে মারণাস্ত্র সরবারহ করে এই পাশবিক হিন্দু নিধনকে উৎসাহিত করে।</t>
  </si>
  <si>
    <t>এখানকার কূয়া থেকে পানি পান করা হয়। এরপর বাহিনীটি ফারশ মিলালের সমভূমির মধ্য দিয়ে অগ্রসর হয়। এরপর মুসলিমরা ইয়ামামার 
ছোট পার্বত্য অঞ্চল পেরিয়ে ইয়ানবুর সমভূমির মধ্য দিয়ে উশাইরা পৌছে।[৩][৪] তারা সেখানে হামালার পরিকল্পনা করে।</t>
  </si>
  <si>
    <t>রাজনীতি যখন দুর্বল হয়ে পড়ে, তখন তা ধর্মের সাথে সম্পর্ক স্থাপন করে, যেটা রাজনীতিবিদরা ভালোভাবে বুঝে কিভাবে ধর্মকে সঠিকভাবে 
উপস্থাপন করতে হয়, ফলে খেলা আরো গঠনমূলক হয়ে ওঠে।</t>
  </si>
  <si>
    <t>আখিরা গণহত্যা ১৯৭১ সালের ১৭ এপ্রিল তৎকালীন পূর্ব পাকিস্তানের দিনাজপুর জেলার বাড়ইহাটের নিকটে অনুষ্ঠিত একটি গণহত্যা। স্থানীয় 
রাজাকারদের সহায়তায় পাকিস্তানি বাহিনী দেশান্তরী হিন্দুদের ওপর এই গণহত্যা সংঘটিত করে।[১][২][৩][৪] গণহত্যায় প্রায় ১০০ জন হিন্দু প্রাণ হারান বলে ধারণা করা হয়</t>
  </si>
  <si>
    <t>কয়েকদিন ধরে হামলার প্রস্তুতি নেয়া হয়। মাঝে মাঝে উগ্রপন্থীরা মিছিল সমাবেশ করে। ২০১৭ সালের ১০ নভেম্বর শুক্রবার বেলা সাড়ে 
৩টায় জুমার নামাজের সময় মাইকিং করে বলা হয় ইসলাম ধর্মের অবমাননা হয়েছে তাদের বদলা নিতে হবে।</t>
  </si>
  <si>
    <t>ধর্ম হলো মানুষের জীবনের উদ্দেশ্য ও মর্ম। এটি মানব সমাজের নৈতিক ও আধ্যাত্মিক আদর্শের উজ্জ্বল আলোক। ধর্মের মাধ্যমে মানুষ 
তার সত্যিকার পথের অন্বেষণ করে সঠিক নির্ণয় নিতে পারে। এটি একটি আত্মসাত ও আদর্শ যা মানুষকে দীর্ঘদিন সমস্ত প্রকার কঠিন পরিকল্পনা এবং কষ্টের সম্মুখে সাহায্য করে। ধর্ম মানুষকে মানুষত্বের উচ্চতা এবং শান্তির পথে পথ দেখায়। এটি মানুষের মধ্যে ভাইত্ব এবং সম্পর্কের দ্বার খুলে দেয়, এবং সমাজে প্রেম, সহানুভূতি এবং শান্তি সৃষ্টি করে।</t>
  </si>
  <si>
    <t>গত বৃহস্পতিবার শহীদুন নবী জুয়েল নামে এক ব্যক্তিকে পিটিয়ে হত্যা করার পর আগুনে পুড়িয়ে দেবার যে ভিডিও সামাজিক যোগাযোগের 
মাধ্যমে ছড়িয়ে পড়েছে, সেগুলো দেখেই অভিযুক্তদের চিহ্নিত করা হচ্ছে বলে জানান এসপি আবিদা সুলতানা।</t>
  </si>
  <si>
    <t xml:space="preserve">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 এরপর যখন সবার রক্তরঙ লাল হয় তখন বিভেদ কিসের এতো ? আর হানাহানি সাম্প্রদায়িক দাঙ্গা কিসের জন্য হয় ? </t>
  </si>
  <si>
    <t>18 শতকের আগে অপমান হিসাবে ব্যবহার করা হয়েছিল, [ 59] প্রাচীন গ্রিসের পাশাপাশি মধ্যযুগে খ্রিস্টান [ বিতর্কিত - আলোচনা ] এবং 
মুসলিম বিশ্বে নাস্তিকতা মৃত্যুদন্ডযোগ্য ছিল । [ উদ্ধৃতি প্রয়োজন ] আজ, নাস্তিকতা 12টি দেশে ( আফগানিস্তান , ইরান , মালয়েশিয়া , মালদ্বীপ , মৌরিতানিয়া , নাইজেরিয়া , পাকিস্তান , কাতার , সৌদি আরব , সোমালিয়া , সুদান এবং ইয়েমেন ) এ মৃত্যুদণ্ডের শাস্তিযোগ্য , তাদের সকলেই মুসলিম, যখন " 192টি জাতিসংঘের সদস্য দেশগুলির সিংহভাগ" নাগরিকদের প্রতি সর্বোত্তমভাবে বৈষম্যমূলক আচরণ করে যারা ঈশ্বরে বিশ্বাস করে না এবং সবচেয়ে খারাপভাবে তারা ব্লাসফেমি নামে অভিহিত অপরাধের জন্য তাদের জেলে যেতে পারে"।</t>
  </si>
  <si>
    <t>নেতৃত্ব দেন ও স্থানীয় উগ্র মুসলমানদের সংগঠিত করেন রংপুর কারমাইকেল কলেজের দর্শন বিভাগের স্নাতকোত্তর শ্রেণির ছাত্র ও ওই 
বিভাগে ছাত্রলীগের কমিটির ১ নম্বর সহ-সভাপতি এসএম সৈকত মণ্ডল (২৪)। ঘটনার দিন ফেসবুকে বিভিন্ন ধরনের উসকানিমূলক বক্তব্য এবং মিথ্যা পোস্টের মাধ্যমে গুজব ছড়িয়ে স্থানীয় লোকজনকে উত্তেজিত করতে থাকেন সৈকত মণ্ডল। [৪][৭][৮]অপরদিকে একটি মসজিদ থেকে মাইকিং করে উসকানিমূলক বক্তব্য দিয়ে স্থানীয় লোকজনকে জড়ো করেন সৈকত মণ্ডলের সহযোগী রবিউল ইসলাম</t>
  </si>
  <si>
    <t>দুই জনবসতির প্রতিটি বাড়িঘরে লুটপাট ও অগ্নিসংযোগ করা হয় এবং হিন্দু সম্প্রদায়ের উপাসনার জন্য নির্মিত পবিত্র মন্দির গুলো ধ্বংস 
করে ফেলা হয়।[১৯]তাজউদ্দীন আহমেদ দুপুর ১ টা থেকে সন্ধ্যা ৬ টা পর্যন্ত ঢাকার বিভিন্ন এলাকা ঘুরে দেখেন এবং হিন্দুদের উপর মুসলিমদের চালানো অমানবিক বর্বর নির্যাতন ও ধ্বংসযজ্ঞের কথা স্বীকার করে নিতে বাধ্য হন। </t>
  </si>
  <si>
    <t>পাটগ্রাম থানার ওসি সুমন কুমার মহন্ত জানান, তিনটি মামলার মধ্যে নিহতের পরিবারের তরফ থেকে করা হয়েছে হত্যা মামলা। ইউনিয়ন 
পরিষদ চেয়ারম্যানের তরফ থেকে করা হয়েছে সরকারি স্থাপনা ভাংচুর মামলা। আর পুলিশ একটি মামলা করেছে সরকারি কাজে বাধা দেয়া এবং আরো কিছু ধারায়।</t>
  </si>
  <si>
    <t>জামালপুরের কাছে মনপুরার চন্দ্রকুমার কর্মকারকে ও ঘোষবাগের হোটেল কর্মচারী যামিনী দে কে হত্যা করা হয়। চর পার্বতীর তাজুমিয়ার 
হাটে দেবীসিংহপুরের অশু সেনকে নৃশংস ভাবে পেটানো হয়। বাঁশপাড়ার রাজকুমার চৌধুরীকে তার বাড়িতে যাবার পথে মারাত্মক ভাবে পিটিয়ে জখম করে ফেলে রাখা হয়।</t>
  </si>
  <si>
    <t>কোরআনকে অবমাননা করে আজ পর্যন্ত কেউ টিকে থাকেনি ভবিষ্যতে ও থাকবে না ইনশাআল্লাহ। সুদূর বাইতুললাহ শরীফ থেকে আপনারাও 
প্রতিবাদ ও তীব্র জানিয়েছেন এই জন্য আপনাদেরকে ধন্যবাদ জানাই। আর আপনাদের তিন জনের কাছে আমি ও পরিবারের সদস্যদের জন্য দোয়ার দরখাস্ত করছি। আল্লাহ পাক আমাদের মুসলিম উমমাহকে হিফাজত করুন ।</t>
  </si>
  <si>
    <t>সম্প্রতি ইউরোপের সুইডেন ও ডেনমার্কে বারবার পবিত্র কোরআন পোড়ানোর ঘটনা ঘটেছে। এরই প্রতিক্রিয়ায় গত কয়েক সপ্তাহ ধরেই 
কয়েকটি মুসলিম দেশে বিক্ষোভ অব্যাহত রয়েছে। সৌদি আরবসহ মুসলিম বিশ্ব দ্রুতই এর ক্ষোভ জানিয়েছে। শুধু তাই নয়, সুইডিশ ও ড্যানিশ রাষ্ট্রদূতদের তলব করে আনুষ্ঠানিক প্রতিবাদ জানিয়েছে।</t>
  </si>
  <si>
    <t>সুখী দেশের তালিকায় ‘ফিনল্যান্ড’ আবারো প্রথম হয়েছে। এনিয়ে পরপর ৭বার দেশটি এ কৃতিত্ব ধরে রেখেছে। দেশটি’র মানুষজন 
মোটামুটিভাবে ‘নাস্তিক’। পার্লামেন্টে প্রায় অর্ধেক নারী, সরকার প্রধানও একজন নারী (২০১৯), বয়স ৩৪। সুখী দেশের তালিকায় বাংলাদেশ ১২৯। সবচেয়ে নীচে রয়েছে ধর্মান্ধ, তালেবানি রাষ্ট্র ‘আফগানিস্তান</t>
  </si>
  <si>
    <t>নানুয়া দীঘি থেকে প্রায় এক কিলোমিটার দূরে শহরের চকবাজার এলাকায় (কাপুড়িয়াপট্টি) শত বছরের পুরনো চাঁন্দমনি রক্ষাকালী মন্দির। 
চাঁন্দমনি কালী মন্দিরে বেলা ১১টা থেকে ৩টা পর্যন্ত তিন দফায় হামলা করা হয়। উক্ত মন্দিরে চার ঘণ্টায় ৩ বার হামলা করা হয়। </t>
  </si>
  <si>
    <t xml:space="preserve">যারা আমাদের ধর্মান্ধ ডাকে আমি অবাক হই, এদের বুদ্ধির সীমাবদ্ধতা দেখে। সোশ্যাল মিডিয়ার আমাদের পোস্ট নিজেদের মত করে বুঝে 
এরা মনে মনে কল্পনা করে নেয় -যেন যেলাইফস্প্রিং একটা মাদ্রাসা । </t>
  </si>
  <si>
    <t>কুমিল্লায় সহিংসতার পর হামলাকারীরা চাঁদপুরের হাজীগঞ্জ, চট্টগ্রামের বাঁশখালী, কক্সবাজারের পেকুয়াতে ও বান্দরবানের লামায় কেন্দ্রীয় 
মন্দিরে ভাঙচুর করে।[১১] কুরআন অবমাননার বিষয়টি সামাজিক মাধ্যমে ভাইরাল হলে কমপক্ষে ১৫টি জেলায় উত্তেজনা ছড়িয়ে পড়ে।</t>
  </si>
  <si>
    <t>ঢাকা বিশ্ববিদ্যালয়ে একটি প্রতিবাদ সমাবেশ হয়েছে, এবং সংবাদমাধ্যম ও সোশাল মিডিয়ার খবর অনুযায়ী, সেখানে নানা মত-পথের ছাত্র 
সংগঠনের অংশগ্রহণ ছিল। সমাবেশে ফরাসী প্রেসিডেন্টের নিন্দা করা হয়েছে যে তিনি মত প্রকাশের স্বাধীনতার নামে ইসলাম বিদ্বেষকে উস্কে দিচ্ছেন।</t>
  </si>
  <si>
    <t> গীতা থেকে আবৃত্তি করছিলেন ৭৫ বছর বয়সী নবীন সাধু, একইভাবে তাকে গুলি করে হত্যা করা হয়েছিল। আক্রমণকারীরা গ্রামের 
পুরোহিতকে ঘিরে ফেলে এবং তাদের পূজা করার মূর্তিগুলো ভাঙতে বাধ্য করে। এরপরে পুরোহিতদের গুলি করে হত্যা করা হয়েছিল।</t>
  </si>
  <si>
    <t>প্রতিনিয়ত কর্ম ও মানুষের পাপ থেকে মুক্তির পথ এবং স্বর্গ/পরমধাম/ঈশ্বরলোক/বা ঈশ্বরের আরাধনার জন্য ঈশ্বরের উপহার স্থান যাই 
বলুন না কেন, তার বর্ণনা ঈশ্বর দিয়েছেন। ঈশ্বর যে সর্বশক্তিমান, তা স্পষ্ট বর্ণনা সনাতন তথা হিন্দু ধর্মের গীতাতেই আছে।</t>
  </si>
  <si>
    <t>সেদিন রাতে এক বিবৃতিতে ইসকন বাংলাদেশের পক্ষ থেকে বলা হয়েছে সনাতনী সংগঠন হিসেবে, বাংলাদেশের সংখ্যালঘু সম্প্রদায়ের, 
যেমন- হিন্দু, বৌদ্ধ, খ্রিস্টান ও অন্যান্যদের ধর্মীয় স্বাধীনতা এবং অধিকার রক্ষায় কাজ করেন তারা</t>
  </si>
  <si>
    <t>ভারতে বিজেপি নেত্রী নূপুর শর্মার বিতর্কিত মন্তব্যে পর  ভারত- বাংলাদেশ দুই দেশেই সাম্প্রদায়িকতা বাড়ছে৷ বাংলাদেশে সামাজিক 
যোগাযোগ মাধ্যম ব্যবহার করে উসকানি দেয়া বাড়ছে৷ কখনো কখনো সরকারি দলের লোকজন এবং প্রশাসন এর সঙ্গে যুক্ত হয়ে পড়ছে৷ নড়াইলে কলেজ অধ্যক্ষকে ধর্ম অবমাননার অভিযোগ তুলে জুতার মালা পরানোর ঘটনায় সেটা স্পষ্ট হয়েছে৷</t>
  </si>
  <si>
    <t>২০১৭ সালের ২৫ আগস্ট মায়ানমারের রাখাইন রাজ্যের উত্তর মংডু জেলার খ মং সেক নামে পরিচিত একটি গুচ্ছের গ্রামগুলি আরাকান 
রোহিঙ্গা স্যালভেশন আর্মির (এআরএসএ) রোহিঙ্গা মুসলমানদের দ্বারা আক্রান্ত হয়েছিল।</t>
  </si>
  <si>
    <t>বাংলাদেশের নড়াইল জেলায় 'ফেসবুকে ধর্ম অবমাননাকারী পোস্ট দেবার' কথিত অভিযোগে লোহাগড়া উপজেলার একটি গ্রামে হিন্দু 
সম্প্রদায়ের বাড়িঘর ও মন্দিরে হামলা-অগ্নিসংযোগের দু'দিন পর সন্দেহভাজন পাঁচ ব্যক্তিকে গ্রেপ্তার করা হয়েছে। গ্রামটিতে এখনও হিন্দু পরিবারগুলোতে রয়েছে আতঙ্ক</t>
  </si>
  <si>
    <t>তিনি অন্তত ছয় জনকে দেখেছেন যাদের জোর করে বিয়ে করেছে মুসলিমরা এবং যাদের একজন খুন হয়েছে পাশবিক ভাবে। দাঙ্গার 
সময় নোয়াখালী নউরির জমিদার যশোদা রঞ্জন দাসকে প্রকাশ্যে হত্যা করা হয়। </t>
  </si>
  <si>
    <t>এক্সপার্ট অপশন—এটা কি? এটি তোমার কোন ধরনের পরোপকার, ভাইয়া? ভেবেছিলাম তুমি সত্যি একজন ভালো মানুষ, কিন্তু এখন 
দেখি সবই শুধু টাকা উপার্জনের ধান্ধা। নাহলে কোনো ভালো মনের মানুষ এভাবে অবৈধ পথের বিজ্ঞাপন প্রচার করে মানুষকে ধ্বংসের দিকে ঠেলে দিতে পারে না। তোমার মুখের বাণী আর ভিতরের চরিত্র যেন সম্পূর্ণ ভিন্ন।</t>
  </si>
  <si>
    <t>আত্মহত্যা মূলত আত্মপ্রবঞ্চনারই নামান্তর। কারণ, জীবন বিসর্জন দেওয়া কোনো সমস্যার সমাধান নয়; কোনো সফলতাও নয় বরং 
চরম ও চূড়ান্ত ব্যর্থতা। এর দ্বারা কোনো কিছুই অর্জিত হয় না; বরং একূল, ওকূল—দুকূলেই সবকিছু হারাতে হয়। মানুষ কোনো কিছু ধ্বংসের জন্য নয়, বরং সৃষ্টির সুরক্ষার জন্য</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</si>
  <si>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t>
  </si>
  <si>
    <t>১৯৪৬ খ্রিস্টাব্দের অক্টোবরে নোয়াখালী ও টিপ্পেরা জেলায় ঘটা গণহত্যা গ্রেট ক্যালকাটা কিলিংসের একটি কলঙ্কিত পরবর্তী ঘটনা হিসেবে 
মনে করা হয়।  কেউ কেউ দাবি করেন এর ফলে নোয়াখালীতে হিন্দু জনসংখ্যা প্রায় ধ্বংস হয়ে গিয়েছিল।</t>
  </si>
  <si>
    <t>ভাই, তুমি এত ভালো ভালো এবং শিক্ষনীয়, চিন্তা-জাগানিয়া, আত্মবিশ্লেষণমূলক ভিডিও পোস্ট কর, যা মানুষকে খারাপ পথ থেকে ফিরিয়ে 
আনার এবং ভালো পথে চলার উৎসাহ প্রদান করে। কিন্তু তোমার কিছু কিছু ভিডিওর মধ্যে দেখি মানুষের জীবন বিধ্বংসী এবং সর্বনাশা জুয়ার বিজ্ঞাপন দেওয়া হয়।</t>
  </si>
  <si>
    <t>একাত্তরেও বৌদ্ধ সম্প্রদায়ের ওপর এমন নির্যাতনের ঘটনা ঘটেনি।’ আরেকজন গবেষকের বক্তব্য, ‘১৯৭১ সালের মুক্তিযুদ্ধের সময় পাকিস্তানি 
হানাদারদের অত্যাচারে জন্মমাটি ছেড়ে নিরুদ্দেশ হয়ে যায় এক হাজার ৬০০ রাখাইন পরিবার।’</t>
  </si>
  <si>
    <t>প্রাইস সফলভাবে আদালতে যুক্তি দিয়েছিলেন যে আইনে বলা হয়নি যে শবদাহ বৈধ, এটিও বলে না যে এটি অবৈধ। মামলাটি নজির স্থাপন 
করেছে যা ক্রিমেশন সোসাইটিকে এগিয়ে যাওয়ার অনুমতি দেয়।</t>
  </si>
  <si>
    <t>নড়াইলের লোহাগড়া উপজেলার দিঘলিয়া ইউনিয়নের কয়েকটি হিন্দু পাড়া, বাজার ও মন্দিরে হামলা, লুটপাট ও আগুনের ঘটনা ঘটে 
শুক্রবার রাত ৮ টার দিকে৷ দুর্বৃত্তরা সাহা পাড়ার গোবিন্দ সাহার বাড়িটি পুরোপুরি পুড়িয়ে দিয়েছে৷ আরো চার-পাঁচটি বাড়িতে হামলা ও আগুন দিয়েছে৷ </t>
  </si>
  <si>
    <t>তখন মহানবী সা: বলেন, আল্লাহর রাস্তায় শহীদ না হলে তোমরা কাউকে শহীদ মনে করো না? এমন হলে তো তোমাদের শহীদের সংখ্যা 
অতি অল্পই হবে। আল্লাহর রাস্তায় নিহত ব্যক্তি শহীদ, পেটের পীড়ায় মৃত ব্যক্তি শহীদ, আগুনে পুড়ে মৃত ব্যক্তি শহীদ, পানিতে ডুবে মৃত ব্যক্তি শহীদ, কোনো কিছুর নিচে চাপা পড়ে মৃত ব্যক্তি শহীদ, নিউমোনিয়াজাতীয় কঠিন পীড়ায় মৃত ব্যক্তি শহীদ, যে নারী গর্ভাবস্থায় মৃত্যুবরণ করে সেও শহীদ</t>
  </si>
  <si>
    <t>১৯৯১-৯২ সালে ভুটান সরকার লক্ষ লক্ষ নেপালি হিন্দুকে নেপালে বিতাড়িত করেছিল। সেখানে তারা সবাই শরণার্থী হিসেবে বসবাস করছে। 
এছাড়া তারা মার্কিন যুক্তরাষ্ট্র, অস্ট্রেলিয়া, নিউজিল্যান্ড দেশে আশ্রয় নেয়।</t>
  </si>
  <si>
    <t xml:space="preserve">মাত্র হাজার পাঁচেক হিন্দু শিক্ষার্থীদের জন্য আপনাদের ট্যাক্সের টাকায় চলা এই বিশ্ববিদ্যালয়ে ৭২ টা পূজা মন্ডপ বলেসিলো। খোদ 
কলিকাতা বিশ্ববিদ্যালয়ের ৫ টা আলাদা ক্যাম্পাসে পূজা মন্ডপ হয়েছিলো মোট ৫ টা। ঢাবিতে ৭২ টা, সেভেন্টি টু। </t>
  </si>
  <si>
    <t>সেখানে একজন হিন্দুকে আবারো হত্যা করা হয়।সন্ধ্যার মধ্যেই ২৫,০০০ এরও বেশি হিন্দু লক্ষ্মীনারায়ণ কটন মিল চত্বরে জীবন বাঁচাতে জমায়েত হয়।
এ সকল আর্ত হিন্দু ২০ জানুয়ারি পর্যন্ত টানা চারদিন একবিন্দু জলও কোন জায়গা থেকে সাহায্য পায়নি।ফলে চার দিন তাদেরকে খাদ্য-পানীয় বিহীন অবস্থায় কাটাতে হয় ।</t>
  </si>
  <si>
    <t>মন্দিরের জমি দখল ২৯টি, ৫০১টি সংঘবদ্ধ হামলা, ৫৬টি মন্দিরে হামলা, ভাংচুর ও অগ্নিসংযোগ, ২১৯টি প্রতিমা ভাঙচুর, ৫০টি প্রতিমা চুরি, 
৬৩টি ধর্মীয় অনুভূতিতে আঘাতের ঘটনাও ঘটেছে দেশে। ৫৭টি ধর্মীয়প্রতিষ্ঠান অপবিত্রকরণ, ৬০টি ধর্মীয় অনুষ্ঠান পালনে বাধা, ১০০ জনকে ধর্মীয় নিষিদ্ধ খাবার খাওয়ানোর ঘটনা ঘটেছে।</t>
  </si>
  <si>
    <t>তাকে কে কী ভাবছে, এই ভাবনার চেয়ে বেশি গুরুত্বপূর্ণ হওয়া উচিৎ, তার হিজাব, নিক্বাব, দাড়ি, টুপি এগুলো তার 'ইসলাম' এর পরিচায়ক, 
সে সবার কাছে অজানা অচেনা কেউ হলেও তার পোশাকের কারণে সে একজন 'মুসলিম' এটাই বড় কথা। তার একটা খারাপ আচরণের কারণে ব্যক্তি হিসেবে তাকে কেউ মনে না রাখলেও তাকে দিয়ে মানুষ পুরো মুসলিম কমিউনিটিকে, এমনকি ইসলামকেও জাজ করবে।</t>
  </si>
  <si>
    <t>দেশের সাম্প্রদায়িক সম্প্রীতি নষ্ট করে ফায়দা হাসিলের একটা পরিকল্পিত নীলনকশা হতে পারে। এগুলো বাংলাদেশের ঈর্ষণীয় সাম্প্রদায়িক 
সম্প্রীতি বিনষ্ট করার গভীর চক্রান্তের অংশ। দু-এক বছর পর পর পুজার সময় এলেই কিছু দুষ্কৃতিকারী রাজনৈতিক ফায়দা হাসিলের উদ্দেশ্যে ধর্মীয় উত্তেজনা ছড়িয়ে দাঙ্গা লাগানোর চেষ্টা করে।</t>
  </si>
  <si>
    <t>তিনি কিছুসংখ্যক গ্রামবাসী নিয়ে দাঙ্গা প্রতিরোধে অবতীর্ণ হন এবং নিজেই বন্দুক হাতে আশ্রয়প্রার্থীদের প্রহরায় নিযুক্ত হন। ১৮ ফেব্রুয়ারি 
তারিখে দাঙ্গাকারীরা দল বেঁধে আক্রমণ করতে আসে। আলতাফউদ্দীন তাদের নিরস্ত করতে ফাঁকা গুলি ছোড়েন। দুর্বৃত্তেরা দূর থেকে তাকে লক্ষ করে বল্লম ছোড়ে। আলতাফউদ্দীন তাতে বিদ্ধ হয়ে মাটিতে পড়ে গেলে তারা তাকে হত্যা করে।</t>
  </si>
  <si>
    <t>বাংলাদেশ এবং ভারতে ধর্মীয় অনুভূতির প্রতি শ্রদ্ধা বজায় রাখার উদ্দেশ্যে অনেক আগে থেকেই আইন রয়েছে। ব্রিটিশ শাসনামলে ১৯৬০ সালে 
যে ফৌজদারি দণ্ডবিধি প্রণয়ন করা হয়, সেখানে এ বিষয়ে সুরক্ষার ব্যবস্থা করা হয়েছে। পরবর্তীতে সময়ের প্রয়োজন অনুসারে এটি কিছুটা সংশোধিত হয়েছে।</t>
  </si>
  <si>
    <t>গ্রামবাসীরা যে যেদিকে পারে, পালাতে থাকে। অনেকে সূতা নদীতে ঝাঁপ দেয়। পাকিস্তানি সেনাবাহিনীরা নৌকা থেকে নেমে পরে এবং চান্দি 
মণ্ডপের দিকে যায়। তারা বারজন গ্রামবাসীকে ধরে ফেলে এবং চণ্ডী মণ্ডপের সামনে একই সারিতে দাঁড় করায়। এগার জন ব্যক্তিকে গুলি করে মারা হয়, যখন কংস মোহন দাশ বারতম ব্যক্তি গুলিবিদ্ধ অবস্থায় আহত হয়েও গণহত্যা থেকে বেঁচে যায়।</t>
  </si>
  <si>
    <t>এটা বুঝিনা ধর্ম নিয়ে এত বারাবারি কেন? তোমার ধর্ম যদি সঠিক হয় তুমি স্বর্গে যাবা তাহলে সেটা মন দিয়ে কর অন্যের ধর্ম নিয়া খাইজ্জাইয়া 
কি লাভ। পারলে তোমার ধর্ম তুলে ধর মানুষের কাছে আমিও তুলে ধরবো আমার ধর্ম,মানুষ যেটা পচ্ছন্দ করে। গালাগালি মারামারির কি দরকার।</t>
  </si>
  <si>
    <t>তিনি ধর্মবিরোধীদের বিরুদ্ধে ধ্বংসের সমস্ত উপায় ব্যবহার করার পরামর্শ দিয়েছিলেন, তবে রক্তপাত ছাড়াই 'আত্মাকে বাঁচানোর' নামে। 
ধর্মদ্রোহীরা নিমজ্জিত হয়েছিল। নোভগোরড বিশপ গেনাডি গনজভ জার ইভান III এর কাছে ফিরে গিয়ে ধর্মবিরোধীদের মৃত্যুর অনুরোধ করেছিলেন। গেনাডি স্প্যানিশ অনুসন্ধিৎসাকারীদের প্রশংসা করেছিলেন, বিশেষ করে তার সমসাময়িক টরকেমাদা , যারা 15 বছর ধরে অনুসন্ধানের কার্যকলাপে</t>
  </si>
  <si>
    <t>আট বছর আগে ২০১২ সালে কক্সবাজারের রামু, উখিয়া এবং টেকনাফে ফেসবুকে গুজবের জের ধরে ১৩টি বৌদ্ধ মন্দিরে এবং তাদের 
বসতবাড়িতে অগ্নিসংযোগের ঘটনা ঘটেছিল। সেই ঘটনায় ১৯টি মামলার কোনটিরই এখনও বিচার হয়নি।</t>
  </si>
  <si>
    <t>কিছু লোক কাশিমপুর পশ্চিমপাড়ার ব্যবসায়ী সুবল দাসের পারিবারিক মন্দিরে এবং স্থানীয় পালপাড়া নামাবাজার সর্বজনীন মন্দিরে 
হামলার ঘটনা ঘটে। হামলার সাথে যুক্ত থাকার জন্য ঘটনাক্রমে ২০ হামলাকারীকে আটক করে পুলিশের নিকট হস্তান্তর করা হয়।</t>
  </si>
  <si>
    <t>অযোধ্যা বিবাদ ভারতের রাজনৈতিক, ঐতিহাসিক এবং সামাজিক-ধর্মীয় বিতর্ক, উত্তর প্রদেশের অযোধ্যা শহরের একটি জমিরকে কেন্দ্র করে। 
বিবাদটি হিন্দু দেবতা রামের জন্মস্থান হিসাবে হিন্দুদের মধ্যে ঐতিহ্যগতভাবে বিবেচিত স্থানের নিয়ন্ত্রণ, এবং ঘটনাস্থলে অবস্থিত বাবরি মসজিদের ইতিহাস ও অবস্থান এবং পূর্ববর্তী হিন্দু মন্দিরটি ভেঙে ফেলে বা মন্দিরের ভিতের উপর মসজিদ তৈরি করা হয়েছিল কিনা তা নিয়ে শুরু হয়।</t>
  </si>
  <si>
    <t>খ্রিস্টান ধর্মের শিক্ষা হলো যে, প্রত্যেক মানুষকে নিজের প্রতিবেশীকে ভালোবাসতে হবে এবং তাদের প্রতি শ্রদ্ধাশীল হতে হবে, কারণ ঈশ্বর 
সবার প্রতি সমান ভালোবাসা দেখিয়েছেন, এবং আমাদের এই ভালোবাসা অন্যদের প্রতি জানাতে হবে, কখনোই সহিংসতার পথে না গিয়ে।</t>
  </si>
  <si>
    <t>সময়টি ছিল ১৯৮২ সালের ফেব্রুয়ারি মাস। বর্বরোচিত এ গণহত্যায় প্রায় ৪০ হাজার সুন্নি মুসলিম নিহত হয়। এবং গ্রেফতার করা হয় 
লক্ষাধিক মুসলিমকে। গ্রেফতারকৃতদের মধ্যে ১৫ হাজার মুসলিমকে নিখোঁজ করে ফেলে নুসাইরি বাহিনী।</t>
  </si>
  <si>
    <t>আমি যে ইসলাম নিয়ে পড়াশোনা করি, এমনকি তারা আমাকে প্রেইজ করতো। কক্ষণো তাদের সাথে কোন দুই কথা হয়নি। ইন্টার্নির 
সময় দুইজন হিন্দু ব্যাচমেট রোস্টারমেট ছিলো আমাদের। গাইরে মাহরাম ডিস্ট্যান্স মেইন্টেইন করে যতটুকু ভালো ব্যবহার সম্ভব, করেছি। যদিও তাদের একজনের সাথে কিছু চ্যালেঞ্জিং মুহূর্ত হয়েছিলো, তবে আমি সবসময় আমার দায়িত্ব পালন করার চেষ্টা করেছি।</t>
  </si>
  <si>
    <t>একদিকে দিন দিন গণহত্যার তীব্রতা বাড়তে থাকে অন্যদিকে বিয়ের অনুষ্ঠানে নিমন্ত্রিত অতিথি হিসেবে উপস্থিত হয় পূর্ব-পাকিস্তানের 
কুখ্যাত গভর্নর আব্দুল মোনায়েম খান, ভূতপূর্ব পূর্ব-পাকিস্তান আইনপরিষদের সদস্য এবং তৎকালীন পাকিস্তান জাতীয় পরিষদের সদস্য কাজী আব্দুল কাদের। খুলনার বিখ্যাত আইনজীবী অরবিন্দ ভট্টাচার্য এই নৃশংস হিন্দু হত্যাবন্ধের জন্য দ্রুত পদক্ষেপ গ্রহণের জন্য তাকে অনুরোধ করেন। কিন্তু সবুর খান তার ভ্রাতুষ্পুত্রীর বিয়ের অনুষ্ঠান আয়োজনের ব্যস্ততা দেখিয়ে কোনরূপ ব্যবস্থা অপারগতা প্রকাশ করে।[</t>
  </si>
  <si>
    <t>সে দেশে মুসলিম সংখ্যালঘুরা যে নির্যাতনের শিকার হন তা বাংলাদেশের সাধারণ জনগণও জানেন । তার প্রেক্ষাপটে এদেশে জনমনে ক্ষোভ 
থেকেও হিন্দুদের ওপর হামলার কারণ হতে পারে। তাই ভারতেরও বাংলাদেশে হিন্দুদের নিরাপত্তা নিয়ে সচেতন হয়ে, মুসলিম সংখ্যালঘুদের নিরাপত্তা নীতি বদল করা উচিত।</t>
  </si>
  <si>
    <t>ধারাবাহিকভাবে সংগঠিত এ ধরনের ন্যক্কারজনক ফৌজদারি অপরাধের একটিরও বিচার আজ পর্যন্ত হয়নি। এসব ঘটনায় প্রকৃত অপরাধীদের 
আইনের আওতায় না এনে উল্টো সংখ্যালঘু হিন্দু সম্প্রদায়কেই এসব ঘটনার জন্য দায়ী করা হয়েছে। আমরা এর তীব্র নিন্দা এবং জড়িতদের দৃষ্টান্তমূলক শাস্তি চাই।</t>
  </si>
  <si>
    <t>ফ্রান্সে সম্প্রতি ক্লাসরুমে ইসলামের নবীর কার্টুন দেখানোর সূত্রে একজন স্কুল শিক্ষকের শিরচ্ছেদের ঘটনার পর ইসলাম ধর্ম নিয়ে প্রেসিডেন্ট 
এমানুয়েল ম্যাক্রঁর সাম্প্রতিক কিছু মন্তব্যের প্রতিবাদে জর্ডান ও কুয়েতসহ কয়েকটি মুসলিম দেশে ক্ষোভ ছড়িয়ে পড়ার খবর পাওয়া গেছে।</t>
  </si>
  <si>
    <t>বিশ্বস্ত সম্প্রদায়ের মধ্যে ইসলামের অপরিহার্য সমতাবাদ এবং অন্যান্য ধর্মের অনুসারীদের বিরুদ্ধে এর সরকারী বৈষম্য দ্রুত ধর্মান্তরিতদের 
জিতেছে। ইহুদি এবং খ্রিস্টানদের ধর্মগ্রন্থের অধিকারী সম্প্রদায় হিসাবে একটি বিশেষ মর্যাদা দেওয়া হয়েছিল এবং তাদেরকে "কিতাবের লোক" বলা হত (আহল আল-কিতাব ) এবং তাই, ধর্মীয় স্বায়ত্তশাসনের অনুমতি দেওয়া হয়েছিল ।</t>
  </si>
  <si>
    <t>হায়া সোফিয়া না ভাঙ্গার কথা বলেছিলাম কারণ মূল চিঠিতে বাবরি মসজিদের সাথে তুলনা করা হয়েছিল - আর বাবরি মসজিদের পরিণতি 
কী ছিল তা সবারই জানা আছে। আধুনিক তুরস্ক সাংবিধানিক ভাবে বরাবরই একটি ধর্মনিরপেক্ষ রাষ্ট্র, ঠিক যেমন ভারতও একটি ধর্মনিরপেক্ষ রাষ্ট্র। কিন্তু দু'দেশের বর্তমান নেতারা নিজ ধর্মের আধিপত্য প্রতিষ্ঠা করতে চাইছেন।</t>
  </si>
  <si>
    <t>জঘন্যতম কিছু দাঙ্গা যুক্ত প্রদেশের গড়মুক্তেশ্বরে ঘটেছিল, এখানে একটি গণহত্যার ঘটনা ১৯৪৬ খ্রিস্টাব্দের নভেম্বর মাসে ঘটেছিল, যেখানে 
"হিন্দু তীর্থযাত্রীরা বার্ষিক ধর্মীয় মেলায় শুধুমাত্র উৎসবের মাঠেই নয় পার্শ্ববর্তী শহরেও মুসলমানদের উপর চড়াও হয়েছিল ও উচ্ছেদ করেছিল", পুলিশ প্রায় নীরব ছিল বলে দাবি করা হয়েছিল; মৃত্যুর সংখ্যা এক হাজার থেকে দুই হাজারের মধ্যে ছিল বলে অনুমান করা হয়।[৫৮] দাঙ্গা ১৯৪৬-এর শেষদিকে ও ১৯৪৭-এর গোড়ার দিকে পাঞ্জাব ও উত্তর-পশ্চিম সীমান্ত প্রদেশে হয়েছিল।</t>
  </si>
  <si>
    <t>রাত ৮টার দিকে দুর্বৃত্তরা এক যোগে হামলা চালায়৷ তারা মূল মন্দিরের সামনের নাট মন্দিরে ভাঙচুর চালায়৷ সব টিন খুলে নিয়ে যায়৷ মূল 
মন্দিরে তালা ভেঙ্গে ঢুকে ভাঙচুর ও লুটপাট করে৷ সবই নিয়ে গেছে৷ সামনে দুর্গাপূজা৷ প্রতিমার কাঠামো গুঁড়িয়ে দিয়েছে৷ পরে কালিমন্দিরে আগুন দিয়েছে৷ পাশে আরো তিনটি মন্দিরে হামলা ও ভাঙচুর করে৷ তিনি বলেন, ‘‘এক মাস পর দুর্গাপূজা৷ আমরা কীভাবে পূজা করব জানি না৷</t>
  </si>
  <si>
    <t>ওসির সংকেতে দুপুর ১২ টার দিকে ৩,০০০ জন শক্তিশালী সশস্ত্র মুসলিম জনতা গুদামে হামলা চালায়। ৭০০ জনেরও বেশি পুরুষ ও 
বয়স্ক মহিলাদের গণহত্যা করা হয়েছিল এবং তাদের মৃতদেহ নদীতে ফেলে দেওয়া হয়েছিল। অবশিষ্ট মহিলাদের মুক্তেশ্বর সাহার একটি শেডে নিয়ে যাওয়া হয় এবং কলমা পাঠ করতে বাধ্য করা হয়। এর পর দলের নেতাদের মধ্যে ৫০ জন মহিলাকে বিতরণ করা হয়।</t>
  </si>
  <si>
    <t>হিন্দু তথা সনাতন ধর্মের মধ্যে মত ও পথ একটাই। ঈশ্বরের বানী এবং মুক্তির পথ সনাতন তথা হিন্দুদের একেশ্বরবাদ ঈশ্বরের উপাসনার 
নিয়ম-বিধি এবং একজন মানুষের ঈশ্বরের আরাধনার জন্য এই পৃথিবীতে, সমাজে, ধর্মে তথা বিশ্বব্রহ্মাণ্ডে কী করা উচিত, তা স্পষ্টভাবে বর্ণনা করা হয়েছে।</t>
  </si>
  <si>
    <t>১৯৭১ সালের ১৬ মে সকালে আশেপাশের গ্রামের রাজাকারদের সহায়তায় ছয়টি ভ্যানে পাকিস্তান সেনাবাহিনীর সদস্যরা গ্রামে প্রবেশ করে। 
মিলিটারির আগমনে আতঙ্কে স্থানীয় রা নিকটবর্তী জঙ্গলে আশ্রয় নেয়। ডাকপিয়ন আবদুল কাদেরের সহায়তায় রাজাকারেরা গ্রামবাসীদের গুপ্তাবস্থা থেকে খুঁজে বের করে। তাদের জিম্মি করে যুগীশো প্রাথমিক বিদ্যালয়ে নিয়ে আসা হয় এবং হিন্দু-মুসলিম আলাদা করে ফেলা হয়</t>
  </si>
  <si>
    <t>গোয়ায় পর্তুগিজদের অধীনে হিন্দুরা অত্যন্ত নিপীড়নের মুখোমুখি হয়েছিল। ভিকার জেনারেল মিগুয়েল ওয়াজ ১৫৪৩ সালে গোয়া থেকে 
পর্তুগালের রাজা জন তৃতীয়কে চিঠি লিখে বলেছিল যে গোয়াতেও স্পেনের মত ইনকুইজিশন প্রতিষ্ঠা করা হোক। </t>
  </si>
  <si>
    <t xml:space="preserve">ভাতৃত্বের মাঝে সাম্প্রদায়িকতা ঢুকিয়ে সংখ্যাগুরু-সংখ্যালঘু নামক দেয়াল তুলে দিয়ে আমাদের বিভাজিত করছে। মানুষে মানুষে দাঙ্গা 
লাগিয়ে দিচ্ছে এই সাম্প্রদায়িকতাকে পুঁজি করে। ছোট ছোট বাচ্চাদের মগজে সাম্প্রদায়িকতার বিষ ঢোকানোর চেষ্টা করা হচ্ছে। সাম্প্রদায়িকতায় উস্কে দেয়ার জন্য বারবার আঘাত করা হচ্ছে ভাতৃত্বের বন্ধনে। </t>
  </si>
  <si>
    <t>লন্ডন ইকোনোমিস্ট এবং ম্যানচেস্টার গার্ডিয়ান পত্রিকার একজন সাংবাদিক তায়া জিঙ্কিন রিপোর্ট করেন,আশুগঞ্জ থেকে ময়মনসিংহগামী 
একটি ট্রেন মেঘনা নদীর উপর নির্মিত ভৈরব সেতুতে থামাতে বাধ্য করে উন্মত্ত মুসলিম জনতা।সশস্ত্র মুসলিম জনতা সেতুর উভয় পাশ দিয়ে আক্রমণ করে।যে সকল হতভাগ্য হিন্দু যাত্রী নদীতে ঝাঁপিয়ে পড়ে এবং সাতার কেটে তীরে উঠে নিজের জীবন বাঁচাতে চেষ্টা করেছিল তাদেরকে ইটপাটকেল দিয়ে আঘাত করে মেরে ফেলা হয় এবং অনেক যাত্রীকে নদীতে চুবিয়ে হত্যা করা হয়।</t>
  </si>
  <si>
    <t>প্রথম শতাব্দী থেকে চতুর্থ শতাব্দীর শুরু পর্যন্ত অব্যাহত ছিল, যখন মিলানের আদেশ দ্বারা ধর্মকে বৈধ করা হয়েছিল , অবশেষে এটি রোমান 
সাম্রাজ্যের রাষ্ট্রীয় চার্চে পরিণত হয়েছিল । অনেক খ্রিস্টান পারস্য সাম্রাজ্যে হিজরত করে রোমান সাম্রাজ্যের নিপীড়ন থেকে পালিয়ে গিয়েছিল যেখানে কনস্টানটাইনের ধর্মান্তরের পর দেড় শতাব্দী ধরে, তারা সাসানিদের অধীনে নির্যাতিত হয়েছিল, হাজার হাজার তাদের জীবন হারিয়েছিল। </t>
  </si>
  <si>
    <t>যাইহোক, কলুচি ও লেস্টার বলেছেন যে মিডিয়া দ্বারা প্রতিবেদন করা কোনো নারীকে তাদের সতী  আত্মহত্যার আগে মানসিক মূল্যায়ন 
করা হয়নি এবং এইভাবে তাদের আত্মহত্যার পেছনে সংস্কৃতি বা মানসিক অসুস্থতা প্রাথমিক চালক ছিল কিনা তা নিশ্চিত করার জন্য কোনো বস্তুনিষ্ঠ তথ্য নেই।</t>
  </si>
  <si>
    <t>নোয়াখালীর সমগ্র হিন্দু জনগোষ্ঠীর সর্বস্ব লুট করে নেয়া হয়েছিল এবং তাদের কে জোরপূর্বক মুসলমান বানানো হয়েছিল।[৪৪] কংগ্রেস 
সভাপতি আচার্য্য কৃপালনির স্ত্রী সুচেতা কৃপালনি নোয়াখালীতে নারী উদ্ধার করতে যান। দাঙ্গার খলনায়ক গোলাম সরোয়ার ফতোয়া দেয়, যে সুচেতাকে ধর্ষণ করতে পারবে তাকে বহু টাকা দেওয়া হবে এবং গাজী উপাধিতে ভূষিত করা হবে। সুচেতা সবসময় পটাশিয়াম সাইনাইড ক্যাপসুল গলায় ঝুলিয়ে রাখতেন।[১০]</t>
  </si>
  <si>
    <t>সকল পক্ষই ধর্মের দোহাই দিয়ে কোরআন ও হাদিসের উদ্বৃতি দিয়ে বয়ান বক্তব্যের মাধ্যমে সামাজিক শৃঙ্খলা নষ্ট করছি। সমাজে উচ্ছৃঙ্খল 
পরিস্থিতি তৈরি করছে। মুসলিম ভ্রাতৃত্ববোধ নষ্ট করছে। পাড়ায়-পাড়ায় মহল্লায়-মহল্লায় এলাকায়-এলাকায় মুসলিম সমাজের মধ্যে এক ধরনের বিভাজন সৃষ্টি করছে।</t>
  </si>
  <si>
    <t>সীতাকুণ্ড হত্যাকাণ্ড যা ১৯৫০ সালের ১৫ই ফেব্রুয়ারি হিন্দু তীর্থযাত্রীদের উপর সংগঠিত হত্যাকাণ্ডকে নির্দেশ করে।[১] সমগ্র পূর্ব বাংলা, 
আসাম ও ত্রিপুরা থেকে তীর্থযাত্রীরা মহা শিবরাত্রি উপলক্ষে হিন্দু ধর্মের পূর্ণ্যভূমি সীতাকুণ্ডের চন্দ্রনাথ পাহাড়ে অবস্থিত চন্দ্রনাথ মন্দির যাওয়ার পথে সীতাকুণ্ড রেলস্টেশন এলাকায় সশস্ত্র আনসার ও মুসলিমদের আক্রমণের শিকার হয়।</t>
  </si>
  <si>
    <t>নোয়াখালী জেলার বেগমগঞ্জ উপজেলার ছয়আনি বাজারের ২০২১ সালের ১৪ অক্টোবর বৃহস্পতিবার রাতে একটি পূজামণ্ডপে হামলা ও 
আগুন লাগানো হয়।[৩৭] পরের দিন ১৫ই অক্টোবর চৌমুহনীতে জুমার নামাজের পর মিছিলকারীরা 'তৌহিদী জনতা' ব্যানার নিয়ে হামলার উদ্দেশ্যে মিছিল করে। মিছিলটি সেখানকার কলেজ রোডে হামলা করে। পুলিশ মিছিলকারীদের বাধা প্রদান করলে সংঘর্ষ শুরু হয়।</t>
  </si>
  <si>
    <t>ফ্রান্সে যেদিন একজন শিক্ষককে জবাই করে হত্যার ঘটনা ঘটে, সেদিন ফরাসি প্রেসিডেন্ট বলেছিলেন 'ফ্রান্সের ইতিহাস ও সংস্কৃতি যারা 
মানতে পারবে তারাই থাকবে। বাক স্বাধীনতার ওপর হামলা যারা করবে তাদের ওপর কঠোর ব্যবস্থা নিচ্ছি'। আমি সেটিকে সমর্থন করে স্ট্যাটাস দিয়েছিলাম ফেসবুকে"।</t>
  </si>
  <si>
    <t>পরে পাকিস্তানি দখলদারিত্বের প্রথম দিনে নির্মম হত্যাকাণ্ড হিন্দু নাগরিকদের মধ্যে আতঙ্ক সৃষ্টি করে।[২] তাদের মধ্যে অনেকেই গ্রামে 
গ্রাম ছেড়ে চলে যায়। দুজন জীবিত সন্ন্যাসী অমর বন্ধু এবং হরিপ্রিয় ব্রহ্মচারী প্রভু জগৎবন্ধুর পবিত্র দেহাবশেষ পুনরুদ্ধার করেন এবং ভারতে নিয়ে যান।</t>
  </si>
  <si>
    <t>ভারত সরকার কর্তৃক নাগরিকত্ব (সংশোধনী) আইন, 2019 পাস না হওয়া পর্যন্ত ভারতে এই নির্যাতিত হিন্দু উদ্বাস্তুদের অবস্থা রাজনৈতিক 
অস্থির ছিল । পাকিস্তানে পদ্ধতিগতভাবে, হিন্দুরা সরকারের ব্লাসফেমি আইনের অধীনে নির্যাতিত হয় (প্রায়শই মৃত্যুর ফলস্বরূপ আইনি দাবির যথার্থতা অপ্রাসঙ্গিক হয়) এবং মূলধারার রাজনীতিবিদদের অস্পষ্ট সাংবিধানিক আইনের ব্যাখ্যার বক্তব্য অনুসারে, স্থানগুলির বিষয়ে জাতিতে দ্বিতীয় শ্রেণীর অধিকার রয়েছে। উপাসনা এবং তাদের ধর্মের দিক।</t>
  </si>
  <si>
    <t xml:space="preserve">ভারতের অযোধ্যায় বাবরি মসজিদ ভেঙে ফেলার পরে ১৯৯০ সালের অক্টোবরের শেষে ও নভেম্বরের প্রথম দিকে বাংলাদেশে বাঙালি 
হিন্দুদের বিরুদ্ধে ধারাবাহিক আক্রমণ ঘটে। এই ঘটনার সূত্র ধরে ১৯৯৩ সাল পর্যন্ত বিভিন্ন মাত্রায় সমগ্র বাংলাদেশ জুড়ে হিন্দুদের উপর বিরামহীন অত্যাচার, নির্যাতন, লুটপাট, হত্যা, ধর্ষণ, অপহরণের মত জঘন্য নিষ্ঠুরতা চালাতে থাকে মুসলিমরা। </t>
  </si>
  <si>
    <t> সহযোগীরা তাদের উপর গুলি চালালে তারা নিজেকে রক্ষা করার চেষ্টা করেছিল। পনেরোজন গুলিবিদ্ধ হন এবং বাকিরা পিছু হটে যায়। আবদুল 
জব্বার ইঞ্জিনিয়ার নিজেই ঘটনাস্থলে সখনাথ খারাতিকে গুলি করে হত্যা করে। লালু খান নামে এক সহযোগী নিহত হয়েছেন। সহযোগীরা গ্রামবাসীর লাশগুলি টেনে এনে খালে ফেলে দেয়। এই হত্যার পরে সহযোগীরা ৮০ জন বাঙালি হিন্দু পরিবারকে লুট করে আগুন ধরিয়ে দেয়।</t>
  </si>
  <si>
    <t>সবচেয়ে জঘন্যতম হত্যাকাণ্ড ১৭ই আগস্ট দিনের বেলায় ঘটেছিল। শেষ বিকেলের মধ্যে সৈন্যরা সবচেয়ে ক্ষতিগ্রস্ত জায়গাগুলোকে 
নিয়ন্ত্রণে নিয়ে আসে এবং সামরিক বাহিনী রাতারাতি তার দখল প্রসারিত করেছে। সেই সময়ে সামরিক নিয়ন্ত্রণের বাইরে থাকা বস্তি ও অন্যান্য অঞ্চলে আইনশৃঙ্খলার অবনতি ও দাঙ্গা প্রতি ঘণ্টায় ঘন্টায় বাড়তে থাকে। বাস ও ট্যাক্সি ভর্তি শিখ ও হিন্দুরা ১৮ই আগস্ট সকালে তরোয়াল, লোহার রড ও আগ্নেয়াস্ত্র সহযোগে প্রতিরোধ আক্রমণ শুরু করেছিল।</t>
  </si>
  <si>
    <t>আলহামদুলিল্লাহ, হুজুরদের নেক হায়াত কামনা করছি আললাহ র নিকট, আমীন, আল্লাহর জন্য আপনাদেরকে ভালোবাসি ইনশাআল্লাহ, 
আল্লাহ পাক আপনি তো দয়ালু, আপনি হেদায়েত দান করুন, যারা পবিত্র কুরআন মাজীদ বুঝতে চায় না, হে আমাদের রব, আপনি দয়া করুণ, জাহান্নামের আগুন থেকে আমাদেরকে রক্ষা করুন, আমীন আমীন আমীন, আমাদেরকে পূর্ণ ঈমানদার হিসেবে কবুল করুন, আমীন আমীন আমীন।</t>
  </si>
  <si>
    <t>কয়েক শতাব্দী ধরে সমৃদ্ধ হওয়া বৌদ্ধবাদ তাই সংঘ পরিবারের দূষণ, উপদলীয় কোন্দল, আর শাসক শ্রেণীর আনুকুল্য পেতে ব্যর্থ হওয়ায় 
ধীরলয়ে দুর্বল হয়ে পড়ে – ফলে তা আর সংশোধিত হিন্দুত্ববাদের সাথে পাল্লা দিতে ব্যর্থ হয়ে পড়ে। এভাবে একসময় পুরো ভারতবর্ষ থেকে বৌদ্ধ ধর্ম বিলুপ্ত হয়ে পড়ে। </t>
  </si>
  <si>
    <t>শেখ হাসিনা সরকারের পতনের পর আওয়ামী লীগের পদধারী হিন্দু নেতাকর্মী ছাড়াও শতাধিক সংখ্যালঘু পরিবার আক্রমণের শিকার হয়েছে। 
রাজধানী, চট্টগ্রাম মহানগর ও বিভাগীয় শহরগুলোয় সাম্প্রদায়িক হামলা খুব একটা না হলেও গ্রামীণ এলাকায় বিশেষ করে যশোর, খুলনা, বাগেরহাট, সাতক্ষীরা জেলার প্রত্যন্ত অঞ্চলে নির্যাতন-নিপীড়ন হয়েছে।</t>
  </si>
  <si>
    <t>ইহুদি ধর্মগ্রন্থে, ইলোহিম শব্দকে ঈশ্বরের (ইহুদি মতানুযায়ী যাকে ইয়াওহে বা জেহোবা বলা হয়) একটি বর্ণনামূলক নাম হিসেবে ব্যবহার 
করা হয়েছে। আবার একই সাথে শব্দটিকে সময়ের বিবর্তনে এক সময়ে পৌত্তলিকদের দেবতাদের ক্ষেত্রেও ব্যবহার করা হয়েছে।</t>
  </si>
  <si>
    <t>ধর্মীয় সংখ্যালঘু সম্প্রদায়ের ৯৮জন নাগরিক বিদায়ী বছর নির্মম হত্যাকাণ্ডের শিকার হয়েছেন। আহতের সংখ্যা ৩৫৭। সংবাদমাধ্যমে 
প্রকাশিত তথ্য পর্যালোচনা ও বিশ্লেষণ করে বছর শেষ হওয়ার একদিন আগে এই তথ্য প্রকাশ করেছে বাংলাদেশ জাতীয় হিন্দু মহাজোট।</t>
  </si>
  <si>
    <t>২৮ ফেব্রুয়ারি জামায়াতে ইসলামী এবং এর ছাত্র সংগঠন ইসলামী ছাত্র শিবিরের কর্মীরা একটি হিন্দু মন্দিরে হামলা করে এবং গাইবান্ধা 
জেলার হিন্দু মালিকানাধীন ব্যবসায়িক প্রতিষ্ঠান ধ্বংস করে দেয়।</t>
  </si>
  <si>
    <t>কুমিল্লার পূজামণ্ডপে কুরআন অবমাননার অভিযোগ তুলে ১৩ অক্টোবর রাতে কুড়িগ্রামের উলিপুর উপজেলার গুনাইগাছ, থেতরাই 
ইউনিয়নের ৭ টি মন্দির নেফরা শ্রী শ্রী দুর্গা মন্দির, হোকডাঙা ভারতপাড়া সর্বজনীন দুর্গা মন্দির, পশ্চিম কালুডাঙ্গা ব্রাহ্মনপাড়া দুর্গা মন্দির, পশ্চিম কালুডাঙ্গা সর্বজনীন দুর্গা মন্দির, থেতরাই ফাসিদাহ বাজার সার্বজনীন দুর্গামন্দির, হাতিয়া পুরাতন অনন্তপুর বাজার সার্বজনীন দুর্গামন্দির ও হাতিয়া ভবেশ নমঃদাস পাড়া দুর্গা সর্বজনীন মন্দিরে হামলা, ভাঙচুর ও আগুন লাগায় মুসলিম চরমপন্থিরা ।</t>
  </si>
  <si>
    <t>English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</si>
</sst>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sz val="11"/>
      <color theme="1"/>
      <name val="Calibri"/>
      <scheme val="minor"/>
    </font>
    <font>
      <b/>
      <sz val="11"/>
      <color theme="1"/>
      <name val="Calibri"/>
      <family val="2"/>
      <scheme val="minor"/>
    </font>
    <font>
      <sz val="11"/>
      <color theme="1"/>
      <name val="Calibri"/>
      <family val="2"/>
    </font>
    <font>
      <sz val="12"/>
      <name val="Calibri"/>
      <family val="2"/>
    </font>
    <font>
      <vertAlign val="superscript"/>
      <sz val="12"/>
      <name val="Calibri"/>
      <family val="2"/>
    </font>
    <font>
      <b/>
      <sz val="11"/>
      <color theme="1"/>
      <name val="Calibri"/>
      <family val="2"/>
    </font>
    <font>
      <b/>
      <sz val="11"/>
      <color theme="4" tint="-0.249977111117893"/>
      <name val="Calibri"/>
      <family val="2"/>
    </font>
    <font>
      <b/>
      <sz val="12"/>
      <color theme="4" tint="-0.249977111117893"/>
      <name val="Calibri"/>
      <family val="2"/>
    </font>
    <font>
      <b/>
      <sz val="11"/>
      <color theme="4" tint="-0.24997711111789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0" xfId="0" applyFont="1"/>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left" vertical="center" wrapText="1"/>
    </xf>
    <xf numFmtId="0" fontId="4" fillId="0" borderId="0" xfId="0" applyFont="1"/>
    <xf numFmtId="0" fontId="7" fillId="0" borderId="0" xfId="0" applyFont="1"/>
    <xf numFmtId="0" fontId="3" fillId="0" borderId="0" xfId="0" applyFont="1"/>
    <xf numFmtId="0" fontId="4" fillId="0" borderId="0" xfId="0" applyFont="1" applyAlignment="1">
      <alignment wrapText="1"/>
    </xf>
    <xf numFmtId="0" fontId="8" fillId="0" borderId="1" xfId="0" applyFont="1" applyBorder="1" applyAlignment="1">
      <alignment horizontal="center" vertical="top"/>
    </xf>
    <xf numFmtId="0" fontId="9" fillId="0" borderId="1" xfId="0" applyFont="1" applyBorder="1" applyAlignment="1">
      <alignment horizontal="center" vertical="top"/>
    </xf>
    <xf numFmtId="0" fontId="8"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n.wikipedia.org/wiki/%E0%A6%AA%E0%A6%BF%E0%A6%B0%E0%A7%8B%E0%A6%9C%E0%A6%AA%E0%A7%81%E0%A6%B0_%E0%A6%B8%E0%A6%A6%E0%A6%B0_%E0%A6%89%E0%A6%AA%E0%A6%9C%E0%A7%87%E0%A6%B2%E0%A6%BE" TargetMode="External"/><Relationship Id="rId13" Type="http://schemas.openxmlformats.org/officeDocument/2006/relationships/hyperlink" Target="https://bn.wikipedia.org/wiki/%E0%A7%A8%E0%A7%A6%E0%A7%A8%E0%A7%A8_%E0%A6%B8%E0%A6%BE%E0%A6%B2%E0%A7%87_%E0%A6%AC%E0%A6%BE%E0%A6%82%E0%A6%B2%E0%A6%BE%E0%A6%A6%E0%A7%87%E0%A6%B6%E0%A7%87_%E0%A6%B8%E0%A6%BE%E0%A6%AE%E0%A7%8D%E0%A6%AA%E0%A7%8D%E0%A6%B0%E0%A6%A6%E0%A6%BE%E0%A6%AF%E0%A6%BC%E0%A6%BF%E0%A6%95_%E0%A6%B8%E0%A6%B9%E0%A6%BF%E0%A6%82%E0%A6%B8%E0%A6%A4%E0%A6%BE" TargetMode="External"/><Relationship Id="rId18" Type="http://schemas.openxmlformats.org/officeDocument/2006/relationships/printerSettings" Target="../printerSettings/printerSettings1.bin"/><Relationship Id="rId3" Type="http://schemas.openxmlformats.org/officeDocument/2006/relationships/hyperlink" Target="https://bn.wikipedia.org/wiki/%E0%A6%89%E0%A6%A4%E0%A7%8D%E0%A6%A4%E0%A6%B0%E0%A6%AA%E0%A7%8D%E0%A6%B0%E0%A6%A6%E0%A7%87%E0%A6%B6" TargetMode="External"/><Relationship Id="rId7" Type="http://schemas.openxmlformats.org/officeDocument/2006/relationships/hyperlink" Target="https://bn.wikipedia.org/wiki/%E0%A6%AB%E0%A7%81%E0%A6%B2%E0%A6%AC%E0%A6%BE%E0%A6%A1%E0%A6%BC%E0%A7%80%E0%A6%AF%E0%A6%BC%E0%A6%BE_%E0%A6%89%E0%A6%AA%E0%A6%9C%E0%A7%87%E0%A6%B2%E0%A6%BE" TargetMode="External"/><Relationship Id="rId12" Type="http://schemas.openxmlformats.org/officeDocument/2006/relationships/hyperlink" Target="https://bn.wikipedia.org/wiki/%E0%A6%85%E0%A6%95%E0%A7%8D%E0%A6%9F%E0%A7%8B%E0%A6%AC%E0%A6%B0_%E0%A7%A8%E0%A7%A6%E0%A7%A8%E0%A7%A7-%E0%A6%8F_%E0%A6%AC%E0%A6%BE%E0%A6%82%E0%A6%B2%E0%A6%BE%E0%A6%A6%E0%A7%87%E0%A6%B6%E0%A7%87_%E0%A6%B8%E0%A6%BE%E0%A6%AE%E0%A7%8D%E0%A6%AA%E0%A7%8D%E0%A6%B0%E0%A6%A6%E0%A6%BE%E0%A6%AF%E0%A6%BC%E0%A6%BF%E0%A6%95_%E0%A6%B8%E0%A6%B9%E0%A6%BF%E0%A6%82%E0%A6%B8%E0%A6%A4%E0%A6%BE" TargetMode="External"/><Relationship Id="rId17" Type="http://schemas.openxmlformats.org/officeDocument/2006/relationships/hyperlink" Target="https://bn.wikipedia.org/wiki/%E0%A6%B9%E0%A6%BF%E0%A6%A8%E0%A7%8D%E0%A6%A6%E0%A7%81%E0%A6%A7%E0%A6%B0%E0%A7%8D%E0%A6%AE" TargetMode="External"/><Relationship Id="rId2" Type="http://schemas.openxmlformats.org/officeDocument/2006/relationships/hyperlink" Target="https://bn.wikipedia.org/wiki/%E0%A7%A8%E0%A7%A6%E0%A7%A8%E0%A7%A8_%E0%A6%B8%E0%A6%BE%E0%A6%B2%E0%A7%87_%E0%A6%AC%E0%A6%BE%E0%A6%82%E0%A6%B2%E0%A6%BE%E0%A6%A6%E0%A7%87%E0%A6%B6%E0%A7%87_%E0%A6%B8%E0%A6%BE%E0%A6%AE%E0%A7%8D%E0%A6%AA%E0%A7%8D%E0%A6%B0%E0%A6%A6%E0%A6%BE%E0%A6%AF%E0%A6%BC%E0%A6%BF%E0%A6%95_%E0%A6%B8%E0%A6%B9%E0%A6%BF%E0%A6%82%E0%A6%B8%E0%A6%A4%E0%A6%BE" TargetMode="External"/><Relationship Id="rId16" Type="http://schemas.openxmlformats.org/officeDocument/2006/relationships/hyperlink" Target="https://bn.wikipedia.org/wiki/%E0%A6%95%E0%A6%BE%E0%A6%AC%E0%A6%BE" TargetMode="External"/><Relationship Id="rId1" Type="http://schemas.openxmlformats.org/officeDocument/2006/relationships/hyperlink" Target="https://bn.wikipedia.org/wiki/%E0%A6%B9%E0%A6%BE%E0%A6%9C%E0%A7%80%E0%A6%97%E0%A6%9E%E0%A7%8D%E0%A6%9C_%E0%A6%89%E0%A6%AA%E0%A6%9C%E0%A7%87%E0%A6%B2%E0%A6%BE" TargetMode="External"/><Relationship Id="rId6" Type="http://schemas.openxmlformats.org/officeDocument/2006/relationships/hyperlink" Target="https://bn.wikipedia.org/wiki/%E0%A6%B6%E0%A6%BF%E0%A6%AC%E0%A6%97%E0%A6%9E%E0%A7%8D%E0%A6%9C_%E0%A6%89%E0%A6%AA%E0%A6%9C%E0%A7%87%E0%A6%B2%E0%A6%BE,_%E0%A6%AC%E0%A6%97%E0%A7%81%E0%A6%A1%E0%A6%BC%E0%A6%BE" TargetMode="External"/><Relationship Id="rId11" Type="http://schemas.openxmlformats.org/officeDocument/2006/relationships/hyperlink" Target="https://bn.wikipedia.org/wiki/%E0%A7%A8%E0%A7%A6%E0%A7%A8%E0%A7%A8_%E0%A6%B8%E0%A6%BE%E0%A6%B2%E0%A7%87_%E0%A6%B2%E0%A7%8B%E0%A6%B9%E0%A6%BE%E0%A6%97%E0%A6%A1%E0%A6%BC%E0%A6%BE%E0%A6%AF%E0%A6%BC_%E0%A6%B8%E0%A6%BE%E0%A6%AE%E0%A7%8D%E0%A6%AA%E0%A7%8D%E0%A6%B0%E0%A6%A6%E0%A6%BE%E0%A6%AF%E0%A6%BC%E0%A6%BF%E0%A6%95_%E0%A6%B8%E0%A6%B9%E0%A6%BF%E0%A6%82%E0%A6%B8%E0%A6%A4%E0%A6%BE" TargetMode="External"/><Relationship Id="rId5" Type="http://schemas.openxmlformats.org/officeDocument/2006/relationships/hyperlink" Target="https://bn.wikipedia.org/wiki/%E0%A7%A8%E0%A7%A6%E0%A7%A8%E0%A7%A8_%E0%A6%B8%E0%A6%BE%E0%A6%B2%E0%A7%87_%E0%A6%AC%E0%A6%BE%E0%A6%82%E0%A6%B2%E0%A6%BE%E0%A6%A6%E0%A7%87%E0%A6%B6%E0%A7%87_%E0%A6%B8%E0%A6%BE%E0%A6%AE%E0%A7%8D%E0%A6%AA%E0%A7%8D%E0%A6%B0%E0%A6%A6%E0%A6%BE%E0%A6%AF%E0%A6%BC%E0%A6%BF%E0%A6%95_%E0%A6%B8%E0%A6%B9%E0%A6%BF%E0%A6%82%E0%A6%B8%E0%A6%A4%E0%A6%BE" TargetMode="External"/><Relationship Id="rId15" Type="http://schemas.openxmlformats.org/officeDocument/2006/relationships/hyperlink" Target="https://bn.wikipedia.org/wiki/%E0%A7%A8%E0%A7%A6%E0%A7%A8%E0%A7%A8_%E0%A6%B8%E0%A6%BE%E0%A6%B2%E0%A7%87_%E0%A6%AC%E0%A6%BE%E0%A6%82%E0%A6%B2%E0%A6%BE%E0%A6%A6%E0%A7%87%E0%A6%B6%E0%A7%87_%E0%A6%B8%E0%A6%BE%E0%A6%AE%E0%A7%8D%E0%A6%AA%E0%A7%8D%E0%A6%B0%E0%A6%A6%E0%A6%BE%E0%A6%AF%E0%A6%BC%E0%A6%BF%E0%A6%95_%E0%A6%B8%E0%A6%B9%E0%A6%BF%E0%A6%82%E0%A6%B8%E0%A6%A4%E0%A6%BE" TargetMode="External"/><Relationship Id="rId10" Type="http://schemas.openxmlformats.org/officeDocument/2006/relationships/hyperlink" Target="https://en.wikipedia.org/wiki/Anglo-Indian_people" TargetMode="External"/><Relationship Id="rId4" Type="http://schemas.openxmlformats.org/officeDocument/2006/relationships/hyperlink" Target="https://en.wikipedia.org/wiki/Hadith" TargetMode="External"/><Relationship Id="rId9" Type="http://schemas.openxmlformats.org/officeDocument/2006/relationships/hyperlink" Target="https://bn.wikipedia.org/wiki/%E0%A6%85%E0%A6%B0%E0%A6%AC%E0%A6%BF%E0%A6%A8%E0%A7%8D%E0%A6%A6_%E0%A6%B6%E0%A6%B0%E0%A7%8D%E0%A6%AE%E0%A6%BE" TargetMode="External"/><Relationship Id="rId14" Type="http://schemas.openxmlformats.org/officeDocument/2006/relationships/hyperlink" Target="https://bn.wikipedia.org/wiki/%E0%A6%95%E0%A6%B2%E0%A6%95%E0%A6%BE%E0%A6%A4%E0%A6%BE_%E0%A6%A6%E0%A6%BE%E0%A6%99%E0%A7%8D%E0%A6%97%E0%A6%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04"/>
  <sheetViews>
    <sheetView tabSelected="1" zoomScale="89" zoomScaleNormal="89" workbookViewId="0">
      <selection activeCell="D8" sqref="D8"/>
    </sheetView>
  </sheetViews>
  <sheetFormatPr defaultColWidth="14.44140625" defaultRowHeight="15" customHeight="1" x14ac:dyDescent="0.3"/>
  <cols>
    <col min="1" max="1" width="14" customWidth="1"/>
    <col min="2" max="2" width="13.44140625" customWidth="1"/>
    <col min="3" max="3" width="15.77734375" style="11" customWidth="1"/>
    <col min="4" max="4" width="138" style="5" customWidth="1"/>
    <col min="5" max="5" width="182" customWidth="1"/>
    <col min="6" max="9" width="8.88671875" customWidth="1"/>
  </cols>
  <sheetData>
    <row r="1" spans="1:9" s="16" customFormat="1" ht="15.6" x14ac:dyDescent="0.3">
      <c r="A1" s="13" t="s">
        <v>0</v>
      </c>
      <c r="B1" s="13" t="s">
        <v>1</v>
      </c>
      <c r="C1" s="13" t="s">
        <v>2</v>
      </c>
      <c r="D1" s="14" t="s">
        <v>3</v>
      </c>
      <c r="E1" s="13" t="s">
        <v>3995</v>
      </c>
      <c r="F1" s="15"/>
      <c r="G1" s="15"/>
      <c r="H1" s="15"/>
      <c r="I1" s="15"/>
    </row>
    <row r="2" spans="1:9" ht="15.6" x14ac:dyDescent="0.3">
      <c r="A2" s="1" t="s">
        <v>4</v>
      </c>
      <c r="B2" s="1" t="s">
        <v>5</v>
      </c>
      <c r="C2" s="10" t="s">
        <v>4</v>
      </c>
      <c r="D2" s="5" t="s">
        <v>6</v>
      </c>
      <c r="E2" s="1" t="str">
        <f ca="1">IFERROR(__xludf.DUMMYFUNCTION("GOOGLETRANSLATE(D2, ""bn"", ""en"")"),"On the bank of Comilla Nanua Dighi, in the Puja Mandal, regardless of the group, everyone raised a thunderous voice in protest against the insult of Koranul Karim, it is the duty of faith to raise protest!")</f>
        <v>On the bank of Comilla Nanua Dighi, in the Puja Mandal, regardless of the group, everyone raised a thunderous voice in protest against the insult of Koranul Karim, it is the duty of faith to raise protest!</v>
      </c>
      <c r="F2" s="1"/>
      <c r="G2" s="1"/>
      <c r="H2" s="2"/>
      <c r="I2" s="3"/>
    </row>
    <row r="3" spans="1:9" ht="15.6" x14ac:dyDescent="0.3">
      <c r="A3" s="1" t="s">
        <v>7</v>
      </c>
      <c r="B3" s="1" t="s">
        <v>7</v>
      </c>
      <c r="C3" s="10" t="s">
        <v>7</v>
      </c>
      <c r="D3" s="5" t="s">
        <v>8</v>
      </c>
      <c r="E3" s="1" t="str">
        <f ca="1">IFERROR(__xludf.DUMMYFUNCTION("GOOGLETRANSLATE(D3, ""bn"", ""en"")"),"In a press conference in Kolkata on October 16, Bengal Chief Minister Hossain Shaheed Suhrawardy admitted the brutal mass murder, rape and forced conversion of Hindus in Noakhali.")</f>
        <v>In a press conference in Kolkata on October 16, Bengal Chief Minister Hossain Shaheed Suhrawardy admitted the brutal mass murder, rape and forced conversion of Hindus in Noakhali.</v>
      </c>
      <c r="F3" s="1"/>
      <c r="G3" s="1"/>
      <c r="H3" s="2"/>
      <c r="I3" s="2"/>
    </row>
    <row r="4" spans="1:9" ht="15.6" x14ac:dyDescent="0.3">
      <c r="A4" s="1" t="s">
        <v>9</v>
      </c>
      <c r="B4" s="1" t="s">
        <v>9</v>
      </c>
      <c r="C4" s="10" t="s">
        <v>9</v>
      </c>
      <c r="D4" s="5" t="s">
        <v>10</v>
      </c>
      <c r="E4" s="1" t="str">
        <f ca="1">IFERROR(__xludf.DUMMYFUNCTION("GOOGLETRANSLATE(D4, ""bn"", ""en"")")," Idols were vandalized and idols were set on fire in the dead of night at the public Durga temple and the Mitrabari family temple.")</f>
        <v> Idols were vandalized and idols were set on fire in the dead of night at the public Durga temple and the Mitrabari family temple.</v>
      </c>
      <c r="F4" s="1"/>
      <c r="G4" s="1"/>
      <c r="H4" s="2"/>
      <c r="I4" s="2"/>
    </row>
    <row r="5" spans="1:9" ht="15.6" x14ac:dyDescent="0.3">
      <c r="A5" s="1" t="s">
        <v>5</v>
      </c>
      <c r="B5" s="1" t="s">
        <v>5</v>
      </c>
      <c r="C5" s="10" t="s">
        <v>5</v>
      </c>
      <c r="D5" s="5" t="s">
        <v>11</v>
      </c>
      <c r="E5" s="1" t="str">
        <f ca="1">IFERROR(__xludf.DUMMYFUNCTION("GOOGLETRANSLATE(D5, ""bn"", ""en"")"),"The infidel polytheists gave him various temptations to turn him away from the religion of Allah. Gave threats. The Prophet SAW said with great bravery, 'By Allah! Even if I bring the sun in one hand and the moon in the other, I will not be backward.")</f>
        <v>The infidel polytheists gave him various temptations to turn him away from the religion of Allah. Gave threats. The Prophet SAW said with great bravery, 'By Allah! Even if I bring the sun in one hand and the moon in the other, I will not be backward.</v>
      </c>
      <c r="F5" s="1"/>
      <c r="G5" s="1"/>
      <c r="H5" s="2"/>
      <c r="I5" s="2"/>
    </row>
    <row r="6" spans="1:9" ht="15.6" x14ac:dyDescent="0.3">
      <c r="A6" s="1" t="s">
        <v>7</v>
      </c>
      <c r="B6" s="1" t="s">
        <v>7</v>
      </c>
      <c r="C6" s="10" t="s">
        <v>7</v>
      </c>
      <c r="D6" s="5" t="s">
        <v>12</v>
      </c>
      <c r="E6" s="1" t="str">
        <f ca="1">IFERROR(__xludf.DUMMYFUNCTION("GOOGLETRANSLATE(D6, ""bn"", ""en"")"),"After death no consciousness is useful. Then the question is whether Chetna died with one faith.")</f>
        <v>After death no consciousness is useful. Then the question is whether Chetna died with one faith.</v>
      </c>
      <c r="F6" s="1"/>
      <c r="G6" s="1"/>
      <c r="H6" s="1"/>
      <c r="I6" s="1"/>
    </row>
    <row r="7" spans="1:9" ht="31.2" x14ac:dyDescent="0.3">
      <c r="A7" s="1" t="s">
        <v>7</v>
      </c>
      <c r="B7" s="1" t="s">
        <v>7</v>
      </c>
      <c r="C7" s="10" t="s">
        <v>7</v>
      </c>
      <c r="D7" s="6" t="s">
        <v>3520</v>
      </c>
      <c r="E7" s="1" t="str">
        <f ca="1">IFERROR(__xludf.DUMMYFUNCTION("GOOGLETRANSLATE(D7, ""bn"", ""en"")"),"Your humanity does not wake up when people are being shot and killed like birds in Syria and Palestine. Show your religion to the generous people like Taliban who forgave everyone even after becoming king.")</f>
        <v>Your humanity does not wake up when people are being shot and killed like birds in Syria and Palestine. Show your religion to the generous people like Taliban who forgave everyone even after becoming king.</v>
      </c>
      <c r="F7" s="1"/>
      <c r="G7" s="1"/>
      <c r="H7" s="1"/>
      <c r="I7" s="1"/>
    </row>
    <row r="8" spans="1:9" ht="46.8" x14ac:dyDescent="0.3">
      <c r="A8" s="1" t="s">
        <v>7</v>
      </c>
      <c r="B8" s="1" t="s">
        <v>7</v>
      </c>
      <c r="C8" s="10" t="s">
        <v>7</v>
      </c>
      <c r="D8" s="6" t="s">
        <v>3521</v>
      </c>
      <c r="E8" s="1" t="str">
        <f ca="1">IFERROR(__xludf.DUMMYFUNCTION("GOOGLETRANSLATE(D8, ""bn"", ""en"")"),"People who are killed in the way of Allah are called martyrs. Their death is forbidden to be equated with the death of others. The life of martyrs has a special feature and dignity compared to other dead.")</f>
        <v>People who are killed in the way of Allah are called martyrs. Their death is forbidden to be equated with the death of others. The life of martyrs has a special feature and dignity compared to other dead.</v>
      </c>
      <c r="F8" s="1"/>
      <c r="G8" s="1"/>
      <c r="H8" s="1"/>
      <c r="I8" s="1"/>
    </row>
    <row r="9" spans="1:9" ht="15.6" x14ac:dyDescent="0.3">
      <c r="A9" s="1" t="s">
        <v>4</v>
      </c>
      <c r="B9" s="1" t="s">
        <v>4</v>
      </c>
      <c r="C9" s="10" t="s">
        <v>4</v>
      </c>
      <c r="D9" s="5" t="s">
        <v>13</v>
      </c>
      <c r="E9" s="1" t="str">
        <f ca="1">IFERROR(__xludf.DUMMYFUNCTION("GOOGLETRANSLATE(D9, ""bn"", ""en"")"),"A few days ago, there was a problem with giving beef in Rajshahi University Hall Seheri! Why bro? In what logic these theories come forward? ")</f>
        <v xml:space="preserve">A few days ago, there was a problem with giving beef in Rajshahi University Hall Seheri! Why bro? In what logic these theories come forward? </v>
      </c>
      <c r="F9" s="1"/>
      <c r="G9" s="1"/>
      <c r="H9" s="1"/>
      <c r="I9" s="1"/>
    </row>
    <row r="10" spans="1:9" ht="15.6" x14ac:dyDescent="0.3">
      <c r="A10" s="1" t="s">
        <v>4</v>
      </c>
      <c r="B10" s="1" t="s">
        <v>4</v>
      </c>
      <c r="C10" s="10" t="s">
        <v>4</v>
      </c>
      <c r="D10" s="5" t="s">
        <v>14</v>
      </c>
      <c r="E10" s="1" t="str">
        <f ca="1">IFERROR(__xludf.DUMMYFUNCTION("GOOGLETRANSLATE(D10, ""bn"", ""en"")"),"The full meaning of Islam is to maintain peace and harmony, but some people use Islam to achieve their own interests.")</f>
        <v>The full meaning of Islam is to maintain peace and harmony, but some people use Islam to achieve their own interests.</v>
      </c>
      <c r="F10" s="1"/>
      <c r="G10" s="1"/>
      <c r="H10" s="1"/>
      <c r="I10" s="1"/>
    </row>
    <row r="11" spans="1:9" ht="15.6" x14ac:dyDescent="0.3">
      <c r="A11" s="1" t="s">
        <v>9</v>
      </c>
      <c r="B11" s="1" t="s">
        <v>9</v>
      </c>
      <c r="C11" s="10" t="s">
        <v>9</v>
      </c>
      <c r="D11" s="5" t="s">
        <v>15</v>
      </c>
      <c r="E11" s="1" t="str">
        <f ca="1">IFERROR(__xludf.DUMMYFUNCTION("GOOGLETRANSLATE(D11, ""bn"", ""en"")"),"How could extremist groups come together to carry out such medieval rampages using mosque microphones despite the surveillance of the administration.[")</f>
        <v>How could extremist groups come together to carry out such medieval rampages using mosque microphones despite the surveillance of the administration.[</v>
      </c>
      <c r="F11" s="1"/>
      <c r="G11" s="1"/>
      <c r="H11" s="1"/>
      <c r="I11" s="1"/>
    </row>
    <row r="12" spans="1:9" ht="31.2" x14ac:dyDescent="0.3">
      <c r="A12" s="1" t="s">
        <v>4</v>
      </c>
      <c r="B12" s="1" t="s">
        <v>4</v>
      </c>
      <c r="C12" s="10" t="s">
        <v>4</v>
      </c>
      <c r="D12" s="6" t="s">
        <v>3522</v>
      </c>
      <c r="E12" s="1" t="str">
        <f ca="1">IFERROR(__xludf.DUMMYFUNCTION("GOOGLETRANSLATE(D12, ""bn"", ""en"")"),"Hey Sekulangar's team, you come to say that each thing is beautiful in the eyes of others. Everyone's liking is not the same. How do you define halal and haram with beautiful and ugly!!")</f>
        <v>Hey Sekulangar's team, you come to say that each thing is beautiful in the eyes of others. Everyone's liking is not the same. How do you define halal and haram with beautiful and ugly!!</v>
      </c>
      <c r="F12" s="1"/>
      <c r="G12" s="1"/>
      <c r="H12" s="1"/>
      <c r="I12" s="1"/>
    </row>
    <row r="13" spans="1:9" ht="15.6" x14ac:dyDescent="0.3">
      <c r="A13" s="1" t="s">
        <v>7</v>
      </c>
      <c r="B13" s="1" t="s">
        <v>7</v>
      </c>
      <c r="C13" s="10" t="s">
        <v>7</v>
      </c>
      <c r="D13" s="5" t="s">
        <v>16</v>
      </c>
      <c r="E13" s="1" t="str">
        <f ca="1">IFERROR(__xludf.DUMMYFUNCTION("GOOGLETRANSLATE(D13, ""bn"", ""en"")"),"The crippled UN is speechless, maybe he has joined hands with those animals. How many more innocent women and children will die in Gaza, will the United Nations wake up?")</f>
        <v>The crippled UN is speechless, maybe he has joined hands with those animals. How many more innocent women and children will die in Gaza, will the United Nations wake up?</v>
      </c>
      <c r="F13" s="1"/>
      <c r="G13" s="1"/>
      <c r="H13" s="1"/>
      <c r="I13" s="1"/>
    </row>
    <row r="14" spans="1:9" ht="46.8" x14ac:dyDescent="0.3">
      <c r="A14" s="4" t="s">
        <v>7</v>
      </c>
      <c r="B14" s="4" t="s">
        <v>7</v>
      </c>
      <c r="C14" s="11" t="s">
        <v>7</v>
      </c>
      <c r="D14" s="6" t="s">
        <v>3523</v>
      </c>
      <c r="E14" s="12" t="s">
        <v>3524</v>
      </c>
      <c r="F14" s="1"/>
      <c r="G14" s="1"/>
      <c r="H14" s="1"/>
      <c r="I14" s="1"/>
    </row>
    <row r="15" spans="1:9" ht="46.8" x14ac:dyDescent="0.3">
      <c r="A15" s="1" t="s">
        <v>9</v>
      </c>
      <c r="B15" s="1" t="s">
        <v>9</v>
      </c>
      <c r="C15" s="10" t="s">
        <v>9</v>
      </c>
      <c r="D15" s="6" t="s">
        <v>3525</v>
      </c>
      <c r="E15" s="1" t="str">
        <f ca="1">IFERROR(__xludf.DUMMYFUNCTION("GOOGLETRANSLATE(D15, ""bn"", ""en"")"),"After the Friday prayers, suddenly some local people brought a procession from different areas and blocked the road. A large part of a procession went and attacked Hindu quarters. The police in charge of Hindu neighborhood security then intervened. When t"&amp;"hey refused to comply and tried to set fire to a couple of houses, the police opened fire with shotguns.”")</f>
        <v>After the Friday prayers, suddenly some local people brought a procession from different areas and blocked the road. A large part of a procession went and attacked Hindu quarters. The police in charge of Hindu neighborhood security then intervened. When they refused to comply and tried to set fire to a couple of houses, the police opened fire with shotguns.”</v>
      </c>
      <c r="F15" s="1"/>
      <c r="G15" s="1"/>
      <c r="H15" s="1"/>
      <c r="I15" s="1"/>
    </row>
    <row r="16" spans="1:9" ht="15.6" x14ac:dyDescent="0.3">
      <c r="A16" s="1" t="s">
        <v>7</v>
      </c>
      <c r="B16" s="1" t="s">
        <v>7</v>
      </c>
      <c r="C16" s="10" t="s">
        <v>7</v>
      </c>
      <c r="D16" s="5" t="s">
        <v>17</v>
      </c>
      <c r="E16" s="1" t="str">
        <f ca="1">IFERROR(__xludf.DUMMYFUNCTION("GOOGLETRANSLATE(D16, ""bn"", ""en"")"),"The respected Muhtamim of Comilla's Makkinagar Madrasa 'Maulana Abdus Salam Sharafati' was killed in the protest march!")</f>
        <v>The respected Muhtamim of Comilla's Makkinagar Madrasa 'Maulana Abdus Salam Sharafati' was killed in the protest march!</v>
      </c>
      <c r="F16" s="1"/>
      <c r="G16" s="1"/>
      <c r="H16" s="1"/>
      <c r="I16" s="1"/>
    </row>
    <row r="17" spans="1:9" ht="15.6" x14ac:dyDescent="0.3">
      <c r="A17" s="1" t="s">
        <v>5</v>
      </c>
      <c r="B17" s="1" t="s">
        <v>5</v>
      </c>
      <c r="C17" s="10" t="s">
        <v>5</v>
      </c>
      <c r="D17" s="5" t="s">
        <v>18</v>
      </c>
      <c r="E17" s="1" t="str">
        <f ca="1">IFERROR(__xludf.DUMMYFUNCTION("GOOGLETRANSLATE(D17, ""bn"", ""en"")"),"I have attended this event and hope that on the Day of Resurrection, if there is no other good deed, I can be forgiven for being with this good deed.")</f>
        <v>I have attended this event and hope that on the Day of Resurrection, if there is no other good deed, I can be forgiven for being with this good deed.</v>
      </c>
      <c r="F17" s="1"/>
      <c r="G17" s="1"/>
      <c r="H17" s="1"/>
      <c r="I17" s="1"/>
    </row>
    <row r="18" spans="1:9" ht="15.6" x14ac:dyDescent="0.3">
      <c r="A18" s="1" t="s">
        <v>4</v>
      </c>
      <c r="B18" s="1" t="s">
        <v>4</v>
      </c>
      <c r="C18" s="10" t="s">
        <v>4</v>
      </c>
      <c r="D18" s="5" t="s">
        <v>19</v>
      </c>
      <c r="E18" s="1" t="str">
        <f ca="1">IFERROR(__xludf.DUMMYFUNCTION("GOOGLETRANSLATE(D18, ""bn"", ""en"")"),"May Allah send down the glory in this country and protect the Muslims of the world")</f>
        <v>May Allah send down the glory in this country and protect the Muslims of the world</v>
      </c>
      <c r="F18" s="1"/>
      <c r="G18" s="1"/>
      <c r="H18" s="1"/>
      <c r="I18" s="1"/>
    </row>
    <row r="19" spans="1:9" ht="15.6" x14ac:dyDescent="0.3">
      <c r="A19" s="1" t="s">
        <v>4</v>
      </c>
      <c r="B19" s="1" t="s">
        <v>4</v>
      </c>
      <c r="C19" s="10" t="s">
        <v>4</v>
      </c>
      <c r="D19" s="5" t="s">
        <v>20</v>
      </c>
      <c r="E19" s="1" t="str">
        <f ca="1">IFERROR(__xludf.DUMMYFUNCTION("GOOGLETRANSLATE(D19, ""bn"", ""en"")"),"I mean, laughing at people and troll-roasting, I am getting to such a state that religion is no longer a big deal for us. As long as people can laugh, it doesn't matter.")</f>
        <v>I mean, laughing at people and troll-roasting, I am getting to such a state that religion is no longer a big deal for us. As long as people can laugh, it doesn't matter.</v>
      </c>
      <c r="F19" s="1"/>
      <c r="G19" s="1"/>
      <c r="H19" s="1"/>
      <c r="I19" s="1"/>
    </row>
    <row r="20" spans="1:9" ht="15.6" x14ac:dyDescent="0.3">
      <c r="A20" s="1" t="s">
        <v>5</v>
      </c>
      <c r="B20" s="1" t="s">
        <v>5</v>
      </c>
      <c r="C20" s="10" t="s">
        <v>5</v>
      </c>
      <c r="D20" s="5" t="s">
        <v>21</v>
      </c>
      <c r="E20" s="1" t="str">
        <f ca="1">IFERROR(__xludf.DUMMYFUNCTION("GOOGLETRANSLATE(D20, ""bn"", ""en"")"),"I always prefer positive thinking and healthy discussion. If someone posts or shares something against personal, religion or state, it is not my opinion. I request my well wishers to maintain constructive dialogue by verifying correct information and be a"&amp;"ware of suspicious IDs.")</f>
        <v>I always prefer positive thinking and healthy discussion. If someone posts or shares something against personal, religion or state, it is not my opinion. I request my well wishers to maintain constructive dialogue by verifying correct information and be aware of suspicious IDs.</v>
      </c>
      <c r="F20" s="1"/>
      <c r="G20" s="1"/>
      <c r="H20" s="1"/>
      <c r="I20" s="1"/>
    </row>
    <row r="21" spans="1:9" ht="15.6" x14ac:dyDescent="0.3">
      <c r="A21" s="1" t="s">
        <v>9</v>
      </c>
      <c r="B21" s="1" t="s">
        <v>9</v>
      </c>
      <c r="C21" s="10" t="s">
        <v>9</v>
      </c>
      <c r="D21" s="5" t="s">
        <v>22</v>
      </c>
      <c r="E21" s="1" t="str">
        <f ca="1">IFERROR(__xludf.DUMMYFUNCTION("GOOGLETRANSLATE(D21, ""bn"", ""en"")"),"Contempt for religion is the destruction of a valuable pillar of a society. Whoever commits suicide in the name of religion is only a weak man rather than a dutiful man.")</f>
        <v>Contempt for religion is the destruction of a valuable pillar of a society. Whoever commits suicide in the name of religion is only a weak man rather than a dutiful man.</v>
      </c>
      <c r="F21" s="1"/>
      <c r="G21" s="1"/>
      <c r="H21" s="1"/>
      <c r="I21" s="1"/>
    </row>
    <row r="22" spans="1:9" ht="15.6" x14ac:dyDescent="0.3">
      <c r="A22" s="1" t="s">
        <v>9</v>
      </c>
      <c r="B22" s="1" t="s">
        <v>9</v>
      </c>
      <c r="C22" s="10" t="s">
        <v>9</v>
      </c>
      <c r="D22" s="5" t="s">
        <v>23</v>
      </c>
      <c r="E22" s="1" t="str">
        <f ca="1">IFERROR(__xludf.DUMMYFUNCTION("GOOGLETRANSLATE(D22, ""bn"", ""en"")"),"On October 20, 2019, Hindus were attacked from house to house in Borhanuddin Upazila of Bhola on the pretext of a Facebook post. Later investigation showed that the Facebook ID of a person named Biplab Chandra Das was hacked and the post was given")</f>
        <v>On October 20, 2019, Hindus were attacked from house to house in Borhanuddin Upazila of Bhola on the pretext of a Facebook post. Later investigation showed that the Facebook ID of a person named Biplab Chandra Das was hacked and the post was given</v>
      </c>
      <c r="F22" s="1"/>
      <c r="G22" s="1"/>
      <c r="H22" s="1"/>
      <c r="I22" s="1"/>
    </row>
    <row r="23" spans="1:9" ht="15.6" x14ac:dyDescent="0.3">
      <c r="A23" s="1" t="s">
        <v>7</v>
      </c>
      <c r="B23" s="1" t="s">
        <v>7</v>
      </c>
      <c r="C23" s="10" t="s">
        <v>7</v>
      </c>
      <c r="D23" s="5" t="s">
        <v>24</v>
      </c>
      <c r="E23" s="1" t="str">
        <f ca="1">IFERROR(__xludf.DUMMYFUNCTION("GOOGLETRANSLATE(D23, ""bn"", ""en"")"),"My life drowned in the sea of ​​darkness, I bow down to your name. Even if my body burns, my soul will depart in your love.")</f>
        <v>My life drowned in the sea of ​​darkness, I bow down to your name. Even if my body burns, my soul will depart in your love.</v>
      </c>
      <c r="F23" s="1"/>
      <c r="G23" s="1"/>
      <c r="H23" s="1"/>
      <c r="I23" s="1"/>
    </row>
    <row r="24" spans="1:9" ht="15.6" x14ac:dyDescent="0.3">
      <c r="A24" s="1" t="s">
        <v>5</v>
      </c>
      <c r="B24" s="1" t="s">
        <v>5</v>
      </c>
      <c r="C24" s="10" t="s">
        <v>5</v>
      </c>
      <c r="D24" s="5" t="s">
        <v>25</v>
      </c>
      <c r="E24" s="1" t="str">
        <f ca="1">IFERROR(__xludf.DUMMYFUNCTION("GOOGLETRANSLATE(D24, ""bn"", ""en"")"),"When and in what context Eid-ul-Azha was introduced is known from history. But little is known about when and how Eid-ul-Fitr was introduced.")</f>
        <v>When and in what context Eid-ul-Azha was introduced is known from history. But little is known about when and how Eid-ul-Fitr was introduced.</v>
      </c>
      <c r="F24" s="1"/>
      <c r="G24" s="1"/>
      <c r="H24" s="1"/>
      <c r="I24" s="1"/>
    </row>
    <row r="25" spans="1:9" ht="15.6" x14ac:dyDescent="0.3">
      <c r="A25" s="1" t="s">
        <v>5</v>
      </c>
      <c r="B25" s="1" t="s">
        <v>5</v>
      </c>
      <c r="C25" s="10" t="s">
        <v>5</v>
      </c>
      <c r="D25" s="5" t="s">
        <v>26</v>
      </c>
      <c r="E25" s="1" t="str">
        <f ca="1">IFERROR(__xludf.DUMMYFUNCTION("GOOGLETRANSLATE(D25, ""bn"", ""en"")"),"At one point he reached Waddan with them. But the army could not face the Quraysh. During this campaign, Muhammad signed an alliance with Banu Damara.[1][2] This was the first campaign in which Muhammad personally led. The force was out of Medina for a to"&amp;"tal of 15 days. The flag of the army was white and Hamza ibn Abdul Muttalib was the flag bearer of the army.")</f>
        <v>At one point he reached Waddan with them. But the army could not face the Quraysh. During this campaign, Muhammad signed an alliance with Banu Damara.[1][2] This was the first campaign in which Muhammad personally led. The force was out of Medina for a total of 15 days. The flag of the army was white and Hamza ibn Abdul Muttalib was the flag bearer of the army.</v>
      </c>
      <c r="F25" s="1"/>
      <c r="G25" s="1"/>
      <c r="H25" s="1"/>
      <c r="I25" s="1"/>
    </row>
    <row r="26" spans="1:9" ht="15.6" x14ac:dyDescent="0.3">
      <c r="A26" s="1" t="s">
        <v>7</v>
      </c>
      <c r="B26" s="1" t="s">
        <v>7</v>
      </c>
      <c r="C26" s="10" t="s">
        <v>7</v>
      </c>
      <c r="D26" s="5" t="s">
        <v>27</v>
      </c>
      <c r="E26" s="1" t="str">
        <f ca="1">IFERROR(__xludf.DUMMYFUNCTION("GOOGLETRANSLATE(D26, ""bn"", ""en"")"),"During the time of the Prophet (PBUH), if he openly insulted the Prophet or Islam, his neck would be cut.")</f>
        <v>During the time of the Prophet (PBUH), if he openly insulted the Prophet or Islam, his neck would be cut.</v>
      </c>
      <c r="F26" s="1"/>
      <c r="G26" s="1"/>
      <c r="H26" s="1"/>
      <c r="I26" s="1"/>
    </row>
    <row r="27" spans="1:9" ht="15.6" x14ac:dyDescent="0.3">
      <c r="A27" s="1" t="s">
        <v>7</v>
      </c>
      <c r="B27" s="1" t="s">
        <v>7</v>
      </c>
      <c r="C27" s="10" t="s">
        <v>7</v>
      </c>
      <c r="D27" s="5" t="s">
        <v>28</v>
      </c>
      <c r="E27" s="1" t="str">
        <f ca="1">IFERROR(__xludf.DUMMYFUNCTION("GOOGLETRANSLATE(D27, ""bn"", ""en"")"),"That small dot that is visible is the earth. It is three parts water and one part land. A boy living in that place committed suicide by taking 40 sleeping pills in anger at his girlfriend.")</f>
        <v>That small dot that is visible is the earth. It is three parts water and one part land. A boy living in that place committed suicide by taking 40 sleeping pills in anger at his girlfriend.</v>
      </c>
      <c r="F27" s="1"/>
      <c r="G27" s="1"/>
      <c r="H27" s="1"/>
      <c r="I27" s="1"/>
    </row>
    <row r="28" spans="1:9" ht="15.6" x14ac:dyDescent="0.3">
      <c r="A28" s="1" t="s">
        <v>4</v>
      </c>
      <c r="B28" s="1" t="s">
        <v>5</v>
      </c>
      <c r="C28" s="10" t="s">
        <v>4</v>
      </c>
      <c r="D28" s="5" t="s">
        <v>29</v>
      </c>
      <c r="E28" s="1" t="str">
        <f ca="1">IFERROR(__xludf.DUMMYFUNCTION("GOOGLETRANSLATE(D28, ""bn"", ""en"")"),"Sara Hossain of human rights organization Blast said that legal action should be taken on priority for the incidents that have taken place over the past few days due to rumors of insulting religion.")</f>
        <v>Sara Hossain of human rights organization Blast said that legal action should be taken on priority for the incidents that have taken place over the past few days due to rumors of insulting religion.</v>
      </c>
      <c r="F28" s="1"/>
      <c r="G28" s="1"/>
      <c r="H28" s="1"/>
      <c r="I28" s="1"/>
    </row>
    <row r="29" spans="1:9" ht="15.6" x14ac:dyDescent="0.3">
      <c r="A29" s="1" t="s">
        <v>7</v>
      </c>
      <c r="B29" s="1" t="s">
        <v>7</v>
      </c>
      <c r="C29" s="10" t="s">
        <v>7</v>
      </c>
      <c r="D29" s="5" t="s">
        <v>30</v>
      </c>
      <c r="E29" s="1" t="str">
        <f ca="1">IFERROR(__xludf.DUMMYFUNCTION("GOOGLETRANSLATE(D29, ""bn"", ""en"")"),"Eight eyewitness Muslim villagers were also killed later. According to some, around 125 Hindus died in this massacre. Due to disagreements over the actual death toll in the incident, the death toll is estimated to be around 100.")</f>
        <v>Eight eyewitness Muslim villagers were also killed later. According to some, around 125 Hindus died in this massacre. Due to disagreements over the actual death toll in the incident, the death toll is estimated to be around 100.</v>
      </c>
      <c r="F29" s="1"/>
      <c r="G29" s="1"/>
      <c r="H29" s="1"/>
      <c r="I29" s="1"/>
    </row>
    <row r="30" spans="1:9" ht="15.6" x14ac:dyDescent="0.3">
      <c r="A30" s="1" t="s">
        <v>7</v>
      </c>
      <c r="B30" s="1" t="s">
        <v>7</v>
      </c>
      <c r="C30" s="10" t="s">
        <v>7</v>
      </c>
      <c r="D30" s="5" t="s">
        <v>31</v>
      </c>
      <c r="E30" s="1" t="str">
        <f ca="1">IFERROR(__xludf.DUMMYFUNCTION("GOOGLETRANSLATE(D30, ""bn"", ""en"")"),"Officially, the demolition of the Babri Masjid resulted in 900 deaths, 2,036 injuries and thousands of internally displaced persons in mob riots and firing by the police.")</f>
        <v>Officially, the demolition of the Babri Masjid resulted in 900 deaths, 2,036 injuries and thousands of internally displaced persons in mob riots and firing by the police.</v>
      </c>
      <c r="F30" s="1"/>
      <c r="G30" s="1"/>
      <c r="H30" s="1"/>
      <c r="I30" s="1"/>
    </row>
    <row r="31" spans="1:9" ht="15.6" x14ac:dyDescent="0.3">
      <c r="A31" s="1" t="s">
        <v>7</v>
      </c>
      <c r="B31" s="1" t="s">
        <v>5</v>
      </c>
      <c r="C31" s="10" t="s">
        <v>7</v>
      </c>
      <c r="D31" s="5" t="s">
        <v>32</v>
      </c>
      <c r="E31" s="1" t="str">
        <f ca="1">IFERROR(__xludf.DUMMYFUNCTION("GOOGLETRANSLATE(D31, ""bn"", ""en"")"),"Anders Breivik, the notorious mass murderer who killed 77 people in Oslo, Norway, has also been praised. The attacker also explained the overall issue through a 1500-page manifesto. US President Donald Trump also praised the Christchurch attacker.")</f>
        <v>Anders Breivik, the notorious mass murderer who killed 77 people in Oslo, Norway, has also been praised. The attacker also explained the overall issue through a 1500-page manifesto. US President Donald Trump also praised the Christchurch attacker.</v>
      </c>
      <c r="F31" s="1"/>
      <c r="G31" s="1"/>
      <c r="H31" s="1"/>
      <c r="I31" s="1"/>
    </row>
    <row r="32" spans="1:9" ht="15.6" x14ac:dyDescent="0.3">
      <c r="A32" s="1" t="s">
        <v>9</v>
      </c>
      <c r="B32" s="1" t="s">
        <v>9</v>
      </c>
      <c r="C32" s="10" t="s">
        <v>9</v>
      </c>
      <c r="D32" s="5" t="s">
        <v>33</v>
      </c>
      <c r="E32" s="1" t="str">
        <f ca="1">IFERROR(__xludf.DUMMYFUNCTION("GOOGLETRANSLATE(D32, ""bn"", ""en"")"),"Muslims beat family members and looted houses. The sacred images and idols of the shrine were destroyed and all the family members were forcibly converted to Islam. The Muslims then rushed to the villages of Azmatpur, Daspara, Nasianji and Maheshpur. ")</f>
        <v>Muslims beat family members and looted houses. The sacred images and idols of the shrine were destroyed and all the family members were forcibly converted to Islam. The Muslims then rushed to the villages of Azmatpur, Daspara, Nasianji and Maheshpur. </v>
      </c>
      <c r="F32" s="1"/>
      <c r="G32" s="1"/>
      <c r="H32" s="1"/>
      <c r="I32" s="1"/>
    </row>
    <row r="33" spans="1:9" ht="15.6" x14ac:dyDescent="0.3">
      <c r="A33" s="1" t="s">
        <v>7</v>
      </c>
      <c r="B33" s="1" t="s">
        <v>7</v>
      </c>
      <c r="C33" s="10" t="s">
        <v>7</v>
      </c>
      <c r="D33" s="5" t="s">
        <v>34</v>
      </c>
      <c r="E33" s="1" t="str">
        <f ca="1">IFERROR(__xludf.DUMMYFUNCTION("GOOGLETRANSLATE(D33, ""bn"", ""en"")"),"Due to conflict of religious ideologies, many innocent people have lost their lives, which has caused great unrest and violence in the society.")</f>
        <v>Due to conflict of religious ideologies, many innocent people have lost their lives, which has caused great unrest and violence in the society.</v>
      </c>
      <c r="F33" s="1"/>
      <c r="G33" s="1"/>
      <c r="H33" s="1"/>
      <c r="I33" s="1"/>
    </row>
    <row r="34" spans="1:9" ht="15.6" x14ac:dyDescent="0.3">
      <c r="A34" s="1" t="s">
        <v>5</v>
      </c>
      <c r="B34" s="1" t="s">
        <v>5</v>
      </c>
      <c r="C34" s="10" t="s">
        <v>5</v>
      </c>
      <c r="D34" s="5" t="s">
        <v>35</v>
      </c>
      <c r="E34" s="1" t="str">
        <f ca="1">IFERROR(__xludf.DUMMYFUNCTION("GOOGLETRANSLATE(D34, ""bn"", ""en"")"),"Religion is a deep spiritual relationship between man and Allah. How often a person prays is entirely their personal decision. But religion should be used for virtue, humanity and justice, which promotes peace and harmony in society.")</f>
        <v>Religion is a deep spiritual relationship between man and Allah. How often a person prays is entirely their personal decision. But religion should be used for virtue, humanity and justice, which promotes peace and harmony in society.</v>
      </c>
      <c r="F34" s="1"/>
      <c r="G34" s="1"/>
      <c r="H34" s="1"/>
      <c r="I34" s="1"/>
    </row>
    <row r="35" spans="1:9" ht="15.6" x14ac:dyDescent="0.3">
      <c r="A35" s="1" t="s">
        <v>7</v>
      </c>
      <c r="B35" s="1" t="s">
        <v>7</v>
      </c>
      <c r="C35" s="10" t="s">
        <v>7</v>
      </c>
      <c r="D35" s="5" t="s">
        <v>36</v>
      </c>
      <c r="E35" s="1" t="str">
        <f ca="1">IFERROR(__xludf.DUMMYFUNCTION("GOOGLETRANSLATE(D35, ""bn"", ""en"")"),"Poverty was so extreme in the nineteenth century that sati-dah was a means of escape for a woman with no means or hope of survival.")</f>
        <v>Poverty was so extreme in the nineteenth century that sati-dah was a means of escape for a woman with no means or hope of survival.</v>
      </c>
      <c r="F35" s="1"/>
      <c r="G35" s="1"/>
      <c r="H35" s="1"/>
      <c r="I35" s="1"/>
    </row>
    <row r="36" spans="1:9" ht="15.6" x14ac:dyDescent="0.3">
      <c r="A36" s="1" t="s">
        <v>4</v>
      </c>
      <c r="B36" s="1" t="s">
        <v>4</v>
      </c>
      <c r="C36" s="10" t="s">
        <v>4</v>
      </c>
      <c r="D36" s="5" t="s">
        <v>37</v>
      </c>
      <c r="E36" s="1" t="str">
        <f ca="1">IFERROR(__xludf.DUMMYFUNCTION("GOOGLETRANSLATE(D36, ""bn"", ""en"")"),"According to the statement of Aartiprabha Shurray, daughter of Anantkumar Roy of Panchgharia village of Noakhali district, after beheading the village prince Pal, the villagers threatened her family to marry Aarti to Zillur Rahman alias Qadir.")</f>
        <v>According to the statement of Aartiprabha Shurray, daughter of Anantkumar Roy of Panchgharia village of Noakhali district, after beheading the village prince Pal, the villagers threatened her family to marry Aarti to Zillur Rahman alias Qadir.</v>
      </c>
      <c r="F36" s="1"/>
      <c r="G36" s="1"/>
      <c r="H36" s="1"/>
      <c r="I36" s="1"/>
    </row>
    <row r="37" spans="1:9" ht="15.6" x14ac:dyDescent="0.3">
      <c r="A37" s="1" t="s">
        <v>5</v>
      </c>
      <c r="B37" s="1" t="s">
        <v>5</v>
      </c>
      <c r="C37" s="10" t="s">
        <v>5</v>
      </c>
      <c r="D37" s="5" t="s">
        <v>38</v>
      </c>
      <c r="E37" s="1" t="str">
        <f ca="1">IFERROR(__xludf.DUMMYFUNCTION("GOOGLETRANSLATE(D37, ""bn"", ""en"")"),"While discussing Dua, the story of Surah Maryam was narrated which was very inspiring for us. There are many unreal or unimaginable things that we never think about, never want from Allah, unknowingly we feel that maybe Allah will not accept this prayer! ")</f>
        <v xml:space="preserve">While discussing Dua, the story of Surah Maryam was narrated which was very inspiring for us. There are many unreal or unimaginable things that we never think about, never want from Allah, unknowingly we feel that maybe Allah will not accept this prayer! </v>
      </c>
      <c r="F37" s="1"/>
      <c r="G37" s="1"/>
      <c r="H37" s="1"/>
      <c r="I37" s="1"/>
    </row>
    <row r="38" spans="1:9" ht="15.6" x14ac:dyDescent="0.3">
      <c r="A38" s="1" t="s">
        <v>4</v>
      </c>
      <c r="B38" s="1" t="s">
        <v>4</v>
      </c>
      <c r="C38" s="10" t="s">
        <v>4</v>
      </c>
      <c r="D38" s="5" t="s">
        <v>39</v>
      </c>
      <c r="E38" s="1" t="str">
        <f ca="1">IFERROR(__xludf.DUMMYFUNCTION("GOOGLETRANSLATE(D38, ""bn"", ""en"")"),"I am a Bangladeshi Hindu. I condemn all those people who hurt the religious sentiments of people of other religions.")</f>
        <v>I am a Bangladeshi Hindu. I condemn all those people who hurt the religious sentiments of people of other religions.</v>
      </c>
      <c r="F38" s="1"/>
      <c r="G38" s="1"/>
      <c r="H38" s="1"/>
      <c r="I38" s="1"/>
    </row>
    <row r="39" spans="1:9" ht="15.6" x14ac:dyDescent="0.3">
      <c r="A39" s="1" t="s">
        <v>4</v>
      </c>
      <c r="B39" s="1" t="s">
        <v>4</v>
      </c>
      <c r="C39" s="10" t="s">
        <v>4</v>
      </c>
      <c r="D39" s="5" t="s">
        <v>40</v>
      </c>
      <c r="E39" s="1" t="str">
        <f ca="1">IFERROR(__xludf.DUMMYFUNCTION("GOOGLETRANSLATE(D39, ""bn"", ""en"")"),"The pagan Arabs believed in a blind and indomitable fate over which man had no control. For this powerful but insensitive fate the Qur'an substitutes a powerful but providential and merciful God. The Qur'an carried through its uncompromising monotheism by"&amp;" rejecting all forms of idolatry and eliminating all the gods and goddesses that the Arabs worshiped in their sanctuaries (haram), the most prominent of which was the Kaaba sanctuary in Mecca.")</f>
        <v>The pagan Arabs believed in a blind and indomitable fate over which man had no control. For this powerful but insensitive fate the Qur'an substitutes a powerful but providential and merciful God. The Qur'an carried through its uncompromising monotheism by rejecting all forms of idolatry and eliminating all the gods and goddesses that the Arabs worshiped in their sanctuaries (haram), the most prominent of which was the Kaaba sanctuary in Mecca.</v>
      </c>
      <c r="F39" s="1"/>
      <c r="G39" s="1"/>
      <c r="H39" s="1"/>
      <c r="I39" s="1"/>
    </row>
    <row r="40" spans="1:9" ht="15.6" x14ac:dyDescent="0.3">
      <c r="A40" s="1" t="s">
        <v>4</v>
      </c>
      <c r="B40" s="1" t="s">
        <v>4</v>
      </c>
      <c r="C40" s="10" t="s">
        <v>4</v>
      </c>
      <c r="D40" s="5" t="s">
        <v>41</v>
      </c>
      <c r="E40" s="1" t="str">
        <f ca="1">IFERROR(__xludf.DUMMYFUNCTION("GOOGLETRANSLATE(D40, ""bn"", ""en"")"),"Wezin speakers are always breaking the facade and order in the society through their speech. The idea of ​​a united Muslim society is diminishing day by day. There is growing disunity and division among Muslims. Members of different opinions are being for"&amp;"med in the family and society. As a result, different groups are being formed among the Muslim followers of different sectors of the society.")</f>
        <v>Wezin speakers are always breaking the facade and order in the society through their speech. The idea of ​​a united Muslim society is diminishing day by day. There is growing disunity and division among Muslims. Members of different opinions are being formed in the family and society. As a result, different groups are being formed among the Muslim followers of different sectors of the society.</v>
      </c>
      <c r="F40" s="1"/>
      <c r="G40" s="1"/>
      <c r="H40" s="1"/>
      <c r="I40" s="1"/>
    </row>
    <row r="41" spans="1:9" ht="15.6" x14ac:dyDescent="0.3">
      <c r="A41" s="1" t="s">
        <v>9</v>
      </c>
      <c r="B41" s="1" t="s">
        <v>5</v>
      </c>
      <c r="C41" s="10" t="s">
        <v>9</v>
      </c>
      <c r="D41" s="5" t="s">
        <v>42</v>
      </c>
      <c r="E41" s="1" t="str">
        <f ca="1">IFERROR(__xludf.DUMMYFUNCTION("GOOGLETRANSLATE(D41, ""bn"", ""en"")"),"Then when everyone's blood color is red, then what is the difference? And what is communal riots? Just to live or something else!")</f>
        <v>Then when everyone's blood color is red, then what is the difference? And what is communal riots? Just to live or something else!</v>
      </c>
      <c r="F41" s="1"/>
      <c r="G41" s="1"/>
      <c r="H41" s="1"/>
      <c r="I41" s="1"/>
    </row>
    <row r="42" spans="1:9" ht="15.6" x14ac:dyDescent="0.3">
      <c r="A42" s="1" t="s">
        <v>7</v>
      </c>
      <c r="B42" s="1" t="s">
        <v>7</v>
      </c>
      <c r="C42" s="10" t="s">
        <v>7</v>
      </c>
      <c r="D42" s="5" t="s">
        <v>43</v>
      </c>
      <c r="E42" s="1" t="str">
        <f ca="1">IFERROR(__xludf.DUMMYFUNCTION("GOOGLETRANSLATE(D42, ""bn"", ""en"")"),"Blind faith and fanaticism have made people violent, resulting in the loss of many lives due to religious hatred.")</f>
        <v>Blind faith and fanaticism have made people violent, resulting in the loss of many lives due to religious hatred.</v>
      </c>
      <c r="F42" s="1"/>
      <c r="G42" s="1"/>
      <c r="H42" s="1"/>
      <c r="I42" s="1"/>
    </row>
    <row r="43" spans="1:9" ht="15.6" x14ac:dyDescent="0.3">
      <c r="A43" s="1" t="s">
        <v>7</v>
      </c>
      <c r="B43" s="1" t="s">
        <v>7</v>
      </c>
      <c r="C43" s="10" t="s">
        <v>7</v>
      </c>
      <c r="D43" s="5" t="s">
        <v>44</v>
      </c>
      <c r="E43" s="1" t="str">
        <f ca="1">IFERROR(__xludf.DUMMYFUNCTION("GOOGLETRANSLATE(D43, ""bn"", ""en"")"),"Suicide is a terrible social disease. In Islam, suicide is forbidden and poetry is a sin. In the Holy Qur'an, Allah Ta'ala has ordered to refrain from this abominable act.")</f>
        <v>Suicide is a terrible social disease. In Islam, suicide is forbidden and poetry is a sin. In the Holy Qur'an, Allah Ta'ala has ordered to refrain from this abominable act.</v>
      </c>
      <c r="F43" s="1"/>
      <c r="G43" s="1"/>
      <c r="H43" s="1"/>
      <c r="I43" s="1"/>
    </row>
    <row r="44" spans="1:9" ht="15.6" x14ac:dyDescent="0.3">
      <c r="A44" s="1" t="s">
        <v>9</v>
      </c>
      <c r="B44" s="1" t="s">
        <v>9</v>
      </c>
      <c r="C44" s="10" t="s">
        <v>9</v>
      </c>
      <c r="D44" s="5" t="s">
        <v>45</v>
      </c>
      <c r="E44" s="1" t="str">
        <f ca="1">IFERROR(__xludf.DUMMYFUNCTION("GOOGLETRANSLATE(D44, ""bn"", ""en"")"),"When the bomb blasts by JMB happened, the Ulema from all over the country made their stand clear by speaking out against it. Is there any such position from the leaders or representatives of the minority people of this country?")</f>
        <v>When the bomb blasts by JMB happened, the Ulema from all over the country made their stand clear by speaking out against it. Is there any such position from the leaders or representatives of the minority people of this country?</v>
      </c>
      <c r="F44" s="1"/>
      <c r="G44" s="1"/>
      <c r="H44" s="1"/>
      <c r="I44" s="1"/>
    </row>
    <row r="45" spans="1:9" ht="15.6" x14ac:dyDescent="0.3">
      <c r="A45" s="1" t="s">
        <v>4</v>
      </c>
      <c r="B45" s="1" t="s">
        <v>4</v>
      </c>
      <c r="C45" s="10" t="s">
        <v>4</v>
      </c>
      <c r="D45" s="5" t="s">
        <v>46</v>
      </c>
      <c r="E45" s="1" t="str">
        <f ca="1">IFERROR(__xludf.DUMMYFUNCTION("GOOGLETRANSLATE(D45, ""bn"", ""en"")"),"A general diary was filed against the accused teacher at the police station on Monday and preparations are underway to file a case against the accused teacher for hurting religious sentiments.")</f>
        <v>A general diary was filed against the accused teacher at the police station on Monday and preparations are underway to file a case against the accused teacher for hurting religious sentiments.</v>
      </c>
      <c r="F45" s="1"/>
      <c r="G45" s="1"/>
      <c r="H45" s="1"/>
      <c r="I45" s="1"/>
    </row>
    <row r="46" spans="1:9" ht="15.6" x14ac:dyDescent="0.3">
      <c r="A46" s="1" t="s">
        <v>4</v>
      </c>
      <c r="B46" s="1" t="s">
        <v>4</v>
      </c>
      <c r="C46" s="10" t="s">
        <v>4</v>
      </c>
      <c r="D46" s="5" t="s">
        <v>47</v>
      </c>
      <c r="E46" s="1" t="str">
        <f ca="1">IFERROR(__xludf.DUMMYFUNCTION("GOOGLETRANSLATE(D46, ""bn"", ""en"")"),"Attacking someone for their religion is the saddest thing to me. Everyone is entitled to their opinion. But I personally never thought of discriminating against anyone because of religion. It (religion) is a very personal and sacred matter for every human"&amp;" being.")</f>
        <v>Attacking someone for their religion is the saddest thing to me. Everyone is entitled to their opinion. But I personally never thought of discriminating against anyone because of religion. It (religion) is a very personal and sacred matter for every human being.</v>
      </c>
      <c r="F46" s="1"/>
      <c r="G46" s="1"/>
      <c r="H46" s="1"/>
      <c r="I46" s="1"/>
    </row>
    <row r="47" spans="1:9" ht="15.6" x14ac:dyDescent="0.3">
      <c r="A47" s="1" t="s">
        <v>9</v>
      </c>
      <c r="B47" s="1" t="s">
        <v>9</v>
      </c>
      <c r="C47" s="10" t="s">
        <v>9</v>
      </c>
      <c r="D47" s="5" t="s">
        <v>48</v>
      </c>
      <c r="E47" s="1" t="str">
        <f ca="1">IFERROR(__xludf.DUMMYFUNCTION("GOOGLETRANSLATE(D47, ""bn"", ""en"")"),"The extremists took about 50 cows, goats, and chickens from the Hindus. They set fire to Hindus' rice fields, gola houses, haystacks. They set fire to two Hindu temples. They looted the microphone and other things from the temple. A temple is destroyed by"&amp;" fire. ")</f>
        <v>The extremists took about 50 cows, goats, and chickens from the Hindus. They set fire to Hindus' rice fields, gola houses, haystacks. They set fire to two Hindu temples. They looted the microphone and other things from the temple. A temple is destroyed by fire. </v>
      </c>
      <c r="F47" s="1"/>
      <c r="G47" s="1"/>
      <c r="H47" s="1"/>
      <c r="I47" s="1"/>
    </row>
    <row r="48" spans="1:9" ht="15.6" x14ac:dyDescent="0.3">
      <c r="A48" s="1" t="s">
        <v>9</v>
      </c>
      <c r="B48" s="1" t="s">
        <v>5</v>
      </c>
      <c r="C48" s="10" t="s">
        <v>9</v>
      </c>
      <c r="D48" s="5" t="s">
        <v>49</v>
      </c>
      <c r="E48" s="1" t="str">
        <f ca="1">IFERROR(__xludf.DUMMYFUNCTION("GOOGLETRANSLATE(D48, ""bn"", ""en"")"),"America wants to spread conflict in the world by appealing to religious sentiments. People of different religions of the world are unconsciously misguided due to religious sentiments, which US imperialism wants.")</f>
        <v>America wants to spread conflict in the world by appealing to religious sentiments. People of different religions of the world are unconsciously misguided due to religious sentiments, which US imperialism wants.</v>
      </c>
      <c r="F48" s="1"/>
      <c r="G48" s="1"/>
      <c r="H48" s="1"/>
      <c r="I48" s="1"/>
    </row>
    <row r="49" spans="1:9" ht="15.6" x14ac:dyDescent="0.3">
      <c r="A49" s="1" t="s">
        <v>5</v>
      </c>
      <c r="B49" s="1" t="s">
        <v>5</v>
      </c>
      <c r="C49" s="10" t="s">
        <v>5</v>
      </c>
      <c r="D49" s="5" t="s">
        <v>50</v>
      </c>
      <c r="E49" s="1" t="str">
        <f ca="1">IFERROR(__xludf.DUMMYFUNCTION("GOOGLETRANSLATE(D49, ""bn"", ""en"")"),"Bhaijan will use Sundar with patience. It can be understood that Allah Ta'ala will guide them someday")</f>
        <v>Bhaijan will use Sundar with patience. It can be understood that Allah Ta'ala will guide them someday</v>
      </c>
      <c r="F49" s="1"/>
      <c r="G49" s="1"/>
      <c r="H49" s="1"/>
      <c r="I49" s="1"/>
    </row>
    <row r="50" spans="1:9" ht="15.6" x14ac:dyDescent="0.3">
      <c r="A50" s="1" t="s">
        <v>7</v>
      </c>
      <c r="B50" s="1" t="s">
        <v>7</v>
      </c>
      <c r="C50" s="10" t="s">
        <v>7</v>
      </c>
      <c r="D50" s="5" t="s">
        <v>51</v>
      </c>
      <c r="E50" s="1" t="str">
        <f ca="1">IFERROR(__xludf.DUMMYFUNCTION("GOOGLETRANSLATE(D50, ""bn"", ""en"")"),"The Barguna Massacre was the massacre of unarmed prisoners in the Barguna Mahakuma Jail on 29 and 30 May 1971 by Pakistani forces. More than a hundred people were killed in this brutal killing.")</f>
        <v>The Barguna Massacre was the massacre of unarmed prisoners in the Barguna Mahakuma Jail on 29 and 30 May 1971 by Pakistani forces. More than a hundred people were killed in this brutal killing.</v>
      </c>
      <c r="F50" s="1"/>
      <c r="G50" s="1"/>
      <c r="H50" s="1"/>
      <c r="I50" s="1"/>
    </row>
    <row r="51" spans="1:9" ht="15.6" x14ac:dyDescent="0.3">
      <c r="A51" s="1" t="s">
        <v>4</v>
      </c>
      <c r="B51" s="1" t="s">
        <v>4</v>
      </c>
      <c r="C51" s="10" t="s">
        <v>4</v>
      </c>
      <c r="D51" s="5" t="s">
        <v>52</v>
      </c>
      <c r="E51" s="1" t="str">
        <f ca="1">IFERROR(__xludf.DUMMYFUNCTION("GOOGLETRANSLATE(D51, ""bn"", ""en"")"),"Kafirs like you don't calm down until you end up vomiting from your mouth, wait, maybe one day you will know the true history wherever you go on earth or underground, maybe that day there will be nothing but regret.")</f>
        <v>Kafirs like you don't calm down until you end up vomiting from your mouth, wait, maybe one day you will know the true history wherever you go on earth or underground, maybe that day there will be nothing but regret.</v>
      </c>
      <c r="F51" s="1"/>
      <c r="G51" s="1"/>
      <c r="H51" s="1"/>
      <c r="I51" s="1"/>
    </row>
    <row r="52" spans="1:9" ht="15.6" x14ac:dyDescent="0.3">
      <c r="A52" s="1" t="s">
        <v>7</v>
      </c>
      <c r="B52" s="1" t="s">
        <v>7</v>
      </c>
      <c r="C52" s="10" t="s">
        <v>7</v>
      </c>
      <c r="D52" s="5" t="s">
        <v>53</v>
      </c>
      <c r="E52" s="1" t="str">
        <f ca="1">IFERROR(__xludf.DUMMYFUNCTION("GOOGLETRANSLATE(D52, ""bn"", ""en"")"),"Advisor on Information Technology Nahid Islam commented that the manner in which Chinmoy Krishna, the spokesperson of Samlita Sanatani Jagran Jot, was hacked to death by the supporters of Chinmoy Krishna, the spokesperson of Samlita Sanatani Jagran Jot, a"&amp;"nd the Assistant Public Counsel (APP) of Chittagong Court (APP) Saiful Islam Alif (35). He also said that the 'terrorists' will be arrested soon.")</f>
        <v>Advisor on Information Technology Nahid Islam commented that the manner in which Chinmoy Krishna, the spokesperson of Samlita Sanatani Jagran Jot, was hacked to death by the supporters of Chinmoy Krishna, the spokesperson of Samlita Sanatani Jagran Jot, and the Assistant Public Counsel (APP) of Chittagong Court (APP) Saiful Islam Alif (35). He also said that the 'terrorists' will be arrested soon.</v>
      </c>
      <c r="F52" s="1"/>
      <c r="G52" s="1"/>
      <c r="H52" s="1"/>
      <c r="I52" s="1"/>
    </row>
    <row r="53" spans="1:9" ht="15.6" x14ac:dyDescent="0.3">
      <c r="A53" s="1" t="s">
        <v>9</v>
      </c>
      <c r="B53" s="1" t="s">
        <v>9</v>
      </c>
      <c r="C53" s="10" t="s">
        <v>9</v>
      </c>
      <c r="D53" s="5" t="s">
        <v>54</v>
      </c>
      <c r="E53" s="1" t="str">
        <f ca="1">IFERROR(__xludf.DUMMYFUNCTION("GOOGLETRANSLATE(D53, ""bn"", ""en"")"),"On the other hand, there is Dhaka University, the highest academic institution of Bangladesh, where terrorists attacked Muslims during Tarawih prayers in 2022 TSC.")</f>
        <v>On the other hand, there is Dhaka University, the highest academic institution of Bangladesh, where terrorists attacked Muslims during Tarawih prayers in 2022 TSC.</v>
      </c>
      <c r="F53" s="1"/>
      <c r="G53" s="1"/>
      <c r="H53" s="1"/>
      <c r="I53" s="1"/>
    </row>
    <row r="54" spans="1:9" ht="15.6" x14ac:dyDescent="0.3">
      <c r="A54" s="1" t="s">
        <v>5</v>
      </c>
      <c r="B54" s="1" t="s">
        <v>5</v>
      </c>
      <c r="C54" s="10" t="s">
        <v>5</v>
      </c>
      <c r="D54" s="5" t="s">
        <v>55</v>
      </c>
      <c r="E54" s="1" t="str">
        <f ca="1">IFERROR(__xludf.DUMMYFUNCTION("GOOGLETRANSLATE(D54, ""bn"", ""en"")"),"In fact, Bengali Hindus have never shown any qualms about expressing 'Hinduism' with pride. I think that Pujo Parban has always prevailed among Bengali Hindus by making it more of a social festival than a religious one.")</f>
        <v>In fact, Bengali Hindus have never shown any qualms about expressing 'Hinduism' with pride. I think that Pujo Parban has always prevailed among Bengali Hindus by making it more of a social festival than a religious one.</v>
      </c>
      <c r="F54" s="1"/>
      <c r="G54" s="1"/>
      <c r="H54" s="1"/>
      <c r="I54" s="1"/>
    </row>
    <row r="55" spans="1:9" ht="15.6" x14ac:dyDescent="0.3">
      <c r="A55" s="1" t="s">
        <v>4</v>
      </c>
      <c r="B55" s="1" t="s">
        <v>5</v>
      </c>
      <c r="C55" s="10" t="s">
        <v>4</v>
      </c>
      <c r="D55" s="5" t="s">
        <v>56</v>
      </c>
      <c r="E55" s="1" t="str">
        <f ca="1">IFERROR(__xludf.DUMMYFUNCTION("GOOGLETRANSLATE(D55, ""bn"", ""en"")"),"Religion and politics are two different things, if religion is mixed with politics, religion gets corrupted along with politics.")</f>
        <v>Religion and politics are two different things, if religion is mixed with politics, religion gets corrupted along with politics.</v>
      </c>
      <c r="F55" s="1"/>
      <c r="G55" s="1"/>
      <c r="H55" s="1"/>
      <c r="I55" s="1"/>
    </row>
    <row r="56" spans="1:9" ht="15.6" x14ac:dyDescent="0.3">
      <c r="A56" s="1" t="s">
        <v>5</v>
      </c>
      <c r="B56" s="1" t="s">
        <v>9</v>
      </c>
      <c r="C56" s="10" t="s">
        <v>5</v>
      </c>
      <c r="D56" s="5" t="s">
        <v>57</v>
      </c>
      <c r="E56" s="1" t="str">
        <f ca="1">IFERROR(__xludf.DUMMYFUNCTION("GOOGLETRANSLATE(D56, ""bn"", ""en"")"),"As a Muslim it is our duty to protect our non-Muslim brothers. To assist us in realizing their fundamental rights. No one has the right to intimidate them in any way.")</f>
        <v>As a Muslim it is our duty to protect our non-Muslim brothers. To assist us in realizing their fundamental rights. No one has the right to intimidate them in any way.</v>
      </c>
      <c r="F56" s="1"/>
      <c r="G56" s="1"/>
      <c r="H56" s="1"/>
      <c r="I56" s="1"/>
    </row>
    <row r="57" spans="1:9" ht="15.6" x14ac:dyDescent="0.3">
      <c r="A57" s="1" t="s">
        <v>9</v>
      </c>
      <c r="B57" s="1" t="s">
        <v>9</v>
      </c>
      <c r="C57" s="10" t="s">
        <v>9</v>
      </c>
      <c r="D57" s="5" t="s">
        <v>58</v>
      </c>
      <c r="E57" s="1" t="str">
        <f ca="1">IFERROR(__xludf.DUMMYFUNCTION("GOOGLETRANSLATE(D57, ""bn"", ""en"")"),"The terrorists entered the village with indigenous weapons and first demanded Rs 3 lakh from tea shopkeeper Dev Kumar. Then they started beating him. The assailants snatched Tk 120,000 from fertilizer trader Bikash Mondal and beat him up. The attackers en"&amp;"tered different houses and abused them. By creating panic, they entered the house and looted cash and gold ornaments.")</f>
        <v>The terrorists entered the village with indigenous weapons and first demanded Rs 3 lakh from tea shopkeeper Dev Kumar. Then they started beating him. The assailants snatched Tk 120,000 from fertilizer trader Bikash Mondal and beat him up. The attackers entered different houses and abused them. By creating panic, they entered the house and looted cash and gold ornaments.</v>
      </c>
      <c r="F57" s="1"/>
      <c r="G57" s="1"/>
      <c r="H57" s="1"/>
      <c r="I57" s="1"/>
    </row>
    <row r="58" spans="1:9" ht="15.6" x14ac:dyDescent="0.3">
      <c r="A58" s="1" t="s">
        <v>4</v>
      </c>
      <c r="B58" s="1" t="s">
        <v>4</v>
      </c>
      <c r="C58" s="10" t="s">
        <v>4</v>
      </c>
      <c r="D58" s="5" t="s">
        <v>59</v>
      </c>
      <c r="E58" s="1" t="str">
        <f ca="1">IFERROR(__xludf.DUMMYFUNCTION("GOOGLETRANSLATE(D58, ""bn"", ""en"")"),"There is no shortage of Muslims who keep you behind the curtain.. and spend the night in the neighboring villages, but the sad thing is that it only happens in Bangladesh..")</f>
        <v>There is no shortage of Muslims who keep you behind the curtain.. and spend the night in the neighboring villages, but the sad thing is that it only happens in Bangladesh..</v>
      </c>
      <c r="F58" s="1"/>
      <c r="G58" s="1"/>
      <c r="H58" s="1"/>
      <c r="I58" s="1"/>
    </row>
    <row r="59" spans="1:9" ht="15.6" x14ac:dyDescent="0.3">
      <c r="A59" s="1" t="s">
        <v>7</v>
      </c>
      <c r="B59" s="1" t="s">
        <v>7</v>
      </c>
      <c r="C59" s="10" t="s">
        <v>7</v>
      </c>
      <c r="D59" s="5" t="s">
        <v>60</v>
      </c>
      <c r="E59" s="1" t="str">
        <f ca="1">IFERROR(__xludf.DUMMYFUNCTION("GOOGLETRANSLATE(D59, ""bn"", ""en"")"),"Professor Richard Novak of Notre Dame College came to collect photos of the hellish massacre, rape, abduction, torture, and looting of Muslims on Hindus in Narayanganj. But he was brutally hacked to death by Muslims near Adarsh ​​Cotton Mill.")</f>
        <v>Professor Richard Novak of Notre Dame College came to collect photos of the hellish massacre, rape, abduction, torture, and looting of Muslims on Hindus in Narayanganj. But he was brutally hacked to death by Muslims near Adarsh ​​Cotton Mill.</v>
      </c>
      <c r="F59" s="1"/>
      <c r="G59" s="1"/>
      <c r="H59" s="1"/>
      <c r="I59" s="1"/>
    </row>
    <row r="60" spans="1:9" ht="15.6" x14ac:dyDescent="0.3">
      <c r="A60" s="1" t="s">
        <v>4</v>
      </c>
      <c r="B60" s="1" t="s">
        <v>4</v>
      </c>
      <c r="C60" s="10" t="s">
        <v>4</v>
      </c>
      <c r="D60" s="5" t="s">
        <v>61</v>
      </c>
      <c r="E60" s="1" t="str">
        <f ca="1">IFERROR(__xludf.DUMMYFUNCTION("GOOGLETRANSLATE(D60, ""bn"", ""en"")"),"Another secular ten minute school 'Saqib Bin Rashid'! He said that he had doubts about Islam a few days ago. ")</f>
        <v xml:space="preserve">Another secular ten minute school 'Saqib Bin Rashid'! He said that he had doubts about Islam a few days ago. </v>
      </c>
      <c r="F60" s="1"/>
      <c r="G60" s="1"/>
      <c r="H60" s="1"/>
      <c r="I60" s="1"/>
    </row>
    <row r="61" spans="1:9" ht="15.6" x14ac:dyDescent="0.3">
      <c r="A61" s="1" t="s">
        <v>5</v>
      </c>
      <c r="B61" s="1" t="s">
        <v>5</v>
      </c>
      <c r="C61" s="10" t="s">
        <v>5</v>
      </c>
      <c r="D61" s="5" t="s">
        <v>62</v>
      </c>
      <c r="E61" s="1" t="str">
        <f ca="1">IFERROR(__xludf.DUMMYFUNCTION("GOOGLETRANSLATE(D61, ""bn"", ""en"")"),"Both Sunni and Shia Muslims recognize this night as a night of forgiveness. Muslims observe Mid-Shaban as a night of worship and liberation. Scholars such as Imam Shafi'i, Imam Nawabi, Imam Ghazzali and Imam Suyuti have declared that prayers during the ni"&amp;"ght of Mid-Sha'ban are acceptable.")</f>
        <v>Both Sunni and Shia Muslims recognize this night as a night of forgiveness. Muslims observe Mid-Shaban as a night of worship and liberation. Scholars such as Imam Shafi'i, Imam Nawabi, Imam Ghazzali and Imam Suyuti have declared that prayers during the night of Mid-Sha'ban are acceptable.</v>
      </c>
      <c r="F61" s="1"/>
      <c r="G61" s="1"/>
      <c r="H61" s="1"/>
      <c r="I61" s="1"/>
    </row>
    <row r="62" spans="1:9" ht="15.6" x14ac:dyDescent="0.3">
      <c r="A62" s="1" t="s">
        <v>5</v>
      </c>
      <c r="B62" s="1" t="s">
        <v>5</v>
      </c>
      <c r="C62" s="10" t="s">
        <v>5</v>
      </c>
      <c r="D62" s="5" t="s">
        <v>63</v>
      </c>
      <c r="E62" s="1" t="str">
        <f ca="1">IFERROR(__xludf.DUMMYFUNCTION("GOOGLETRANSLATE(D62, ""bn"", ""en"")"),"I listen to this episode occasionally. Incredible voices and events. Every moment feels good for a while.")</f>
        <v>I listen to this episode occasionally. Incredible voices and events. Every moment feels good for a while.</v>
      </c>
      <c r="F62" s="1"/>
      <c r="G62" s="1"/>
      <c r="H62" s="1"/>
      <c r="I62" s="1"/>
    </row>
    <row r="63" spans="1:9" ht="15.6" x14ac:dyDescent="0.3">
      <c r="A63" s="1" t="s">
        <v>9</v>
      </c>
      <c r="B63" s="1" t="s">
        <v>9</v>
      </c>
      <c r="C63" s="10" t="s">
        <v>9</v>
      </c>
      <c r="D63" s="5" t="s">
        <v>64</v>
      </c>
      <c r="E63" s="1" t="str">
        <f ca="1">IFERROR(__xludf.DUMMYFUNCTION("GOOGLETRANSLATE(D63, ""bn"", ""en"")"),"A Hindu victim said, 'If our temple is attacked, who will we go to?")</f>
        <v>A Hindu victim said, 'If our temple is attacked, who will we go to?</v>
      </c>
      <c r="F63" s="1"/>
      <c r="G63" s="1"/>
      <c r="H63" s="1"/>
      <c r="I63" s="1"/>
    </row>
    <row r="64" spans="1:9" ht="15.6" x14ac:dyDescent="0.3">
      <c r="A64" s="1" t="s">
        <v>9</v>
      </c>
      <c r="B64" s="1" t="s">
        <v>4</v>
      </c>
      <c r="C64" s="10" t="s">
        <v>9</v>
      </c>
      <c r="D64" s="5" t="s">
        <v>65</v>
      </c>
      <c r="E64" s="1" t="str">
        <f ca="1">IFERROR(__xludf.DUMMYFUNCTION("GOOGLETRANSLATE(D64, ""bn"", ""en"")"),"Ever since the rumors of Hazratbal incident spread, Muslims have been expressing their outrage by pelting stones on the Hindu dormitory of the East Pakistan University of Engineering and Technology.")</f>
        <v>Ever since the rumors of Hazratbal incident spread, Muslims have been expressing their outrage by pelting stones on the Hindu dormitory of the East Pakistan University of Engineering and Technology.</v>
      </c>
      <c r="F64" s="1"/>
      <c r="G64" s="1"/>
      <c r="H64" s="1"/>
      <c r="I64" s="1"/>
    </row>
    <row r="65" spans="1:9" ht="15.6" x14ac:dyDescent="0.3">
      <c r="A65" s="1" t="s">
        <v>5</v>
      </c>
      <c r="B65" s="1" t="s">
        <v>5</v>
      </c>
      <c r="C65" s="10" t="s">
        <v>5</v>
      </c>
      <c r="D65" s="5" t="s">
        <v>66</v>
      </c>
      <c r="E65" s="1" t="str">
        <f ca="1">IFERROR(__xludf.DUMMYFUNCTION("GOOGLETRANSLATE(D65, ""bn"", ""en"")"),"The etymology of the word Allah has been widely debated by classical Arabic linguists.[12] Grammarians of the Basra school consider the word to be a ""spontaneously"" formed word or a specific form of ""lah"" (from the verb ""lih"").")</f>
        <v>The etymology of the word Allah has been widely debated by classical Arabic linguists.[12] Grammarians of the Basra school consider the word to be a "spontaneously" formed word or a specific form of "lah" (from the verb "lih").</v>
      </c>
      <c r="F65" s="1"/>
      <c r="G65" s="1"/>
      <c r="H65" s="1"/>
      <c r="I65" s="1"/>
    </row>
    <row r="66" spans="1:9" ht="15.6" x14ac:dyDescent="0.3">
      <c r="A66" s="1" t="s">
        <v>9</v>
      </c>
      <c r="B66" s="1" t="s">
        <v>4</v>
      </c>
      <c r="C66" s="10" t="s">
        <v>9</v>
      </c>
      <c r="D66" s="5" t="s">
        <v>67</v>
      </c>
      <c r="E66" s="1" t="str">
        <f ca="1">IFERROR(__xludf.DUMMYFUNCTION("GOOGLETRANSLATE(D66, ""bn"", ""en"")"),"But some kuchkri mahals have created Hindu-Muslim riots by promoting it as mosques are being built on temple land for political gains. ")</f>
        <v xml:space="preserve">But some kuchkri mahals have created Hindu-Muslim riots by promoting it as mosques are being built on temple land for political gains. </v>
      </c>
      <c r="F66" s="1"/>
      <c r="G66" s="1"/>
      <c r="H66" s="1"/>
      <c r="I66" s="1"/>
    </row>
    <row r="67" spans="1:9" ht="15.6" x14ac:dyDescent="0.3">
      <c r="A67" s="1" t="s">
        <v>9</v>
      </c>
      <c r="B67" s="1" t="s">
        <v>9</v>
      </c>
      <c r="C67" s="10" t="s">
        <v>9</v>
      </c>
      <c r="D67" s="5" t="s">
        <v>68</v>
      </c>
      <c r="E67" s="1" t="str">
        <f ca="1">IFERROR(__xludf.DUMMYFUNCTION("GOOGLETRANSLATE(D67, ""bn"", ""en"")"),"Historically Kashmir has been the center of Indian culture, religion and literature. But the Kashmiri Pandit Hindus in this area have been persecuted for centuries, forced to convert, and continue to suffer all these before and after independence.")</f>
        <v>Historically Kashmir has been the center of Indian culture, religion and literature. But the Kashmiri Pandit Hindus in this area have been persecuted for centuries, forced to convert, and continue to suffer all these before and after independence.</v>
      </c>
      <c r="F67" s="1"/>
      <c r="G67" s="1"/>
      <c r="H67" s="1"/>
      <c r="I67" s="1"/>
    </row>
    <row r="68" spans="1:9" ht="15.6" x14ac:dyDescent="0.3">
      <c r="A68" s="1" t="s">
        <v>9</v>
      </c>
      <c r="B68" s="1" t="s">
        <v>5</v>
      </c>
      <c r="C68" s="10" t="s">
        <v>9</v>
      </c>
      <c r="D68" s="5" t="s">
        <v>69</v>
      </c>
      <c r="E68" s="1" t="str">
        <f ca="1">IFERROR(__xludf.DUMMYFUNCTION("GOOGLETRANSLATE(D68, ""bn"", ""en"")"),"There is no conflict between science education and religious education in the education system of Bangladesh, never was, and will not be in the future. So I don't see any situation as the reason for the conflict.")</f>
        <v>There is no conflict between science education and religious education in the education system of Bangladesh, never was, and will not be in the future. So I don't see any situation as the reason for the conflict.</v>
      </c>
      <c r="F68" s="1"/>
      <c r="G68" s="1"/>
      <c r="H68" s="1"/>
      <c r="I68" s="1"/>
    </row>
    <row r="69" spans="1:9" ht="15.6" x14ac:dyDescent="0.3">
      <c r="A69" s="1" t="s">
        <v>9</v>
      </c>
      <c r="B69" s="1" t="s">
        <v>4</v>
      </c>
      <c r="C69" s="10" t="s">
        <v>9</v>
      </c>
      <c r="D69" s="5" t="s">
        <v>70</v>
      </c>
      <c r="E69" s="1" t="str">
        <f ca="1">IFERROR(__xludf.DUMMYFUNCTION("GOOGLETRANSLATE(D69, ""bn"", ""en"")"),"In preparation for Durga Puja in Bangladesh, the Pooja Celebrations Parishad has expressed concern that idols have been vandalized in 13 temples in 11 districts.")</f>
        <v>In preparation for Durga Puja in Bangladesh, the Pooja Celebrations Parishad has expressed concern that idols have been vandalized in 13 temples in 11 districts.</v>
      </c>
      <c r="F69" s="1"/>
      <c r="G69" s="1"/>
      <c r="H69" s="1"/>
      <c r="I69" s="1"/>
    </row>
    <row r="70" spans="1:9" ht="15.6" x14ac:dyDescent="0.3">
      <c r="A70" s="1" t="s">
        <v>7</v>
      </c>
      <c r="B70" s="1" t="s">
        <v>7</v>
      </c>
      <c r="C70" s="10" t="s">
        <v>7</v>
      </c>
      <c r="D70" s="5" t="s">
        <v>71</v>
      </c>
      <c r="E70" s="1" t="str">
        <f ca="1">IFERROR(__xludf.DUMMYFUNCTION("GOOGLETRANSLATE(D70, ""bn"", ""en"")"),"Keep me alive as long as my life is good for me. And give me death only when death is good for me.")</f>
        <v>Keep me alive as long as my life is good for me. And give me death only when death is good for me.</v>
      </c>
      <c r="F70" s="1"/>
      <c r="G70" s="1"/>
      <c r="H70" s="1"/>
      <c r="I70" s="1"/>
    </row>
    <row r="71" spans="1:9" ht="15.6" x14ac:dyDescent="0.3">
      <c r="A71" s="1" t="s">
        <v>9</v>
      </c>
      <c r="B71" s="1" t="s">
        <v>5</v>
      </c>
      <c r="C71" s="10" t="s">
        <v>9</v>
      </c>
      <c r="D71" s="5" t="s">
        <v>72</v>
      </c>
      <c r="E71" s="1" t="str">
        <f ca="1">IFERROR(__xludf.DUMMYFUNCTION("GOOGLETRANSLATE(D71, ""bn"", ""en"")"),"Around ten o'clock in the morning on May 22, a group of about 500 armed allies surrounded the village. The villagers gathered at the Barui family house. When the allies reached the village, about 200 Bengali Hindus armed themselves with sticks, spears and"&amp;" took the position of Wapda Dam. ")</f>
        <v xml:space="preserve">Around ten o'clock in the morning on May 22, a group of about 500 armed allies surrounded the village. The villagers gathered at the Barui family house. When the allies reached the village, about 200 Bengali Hindus armed themselves with sticks, spears and took the position of Wapda Dam. </v>
      </c>
      <c r="F71" s="1"/>
      <c r="G71" s="1"/>
      <c r="H71" s="1"/>
      <c r="I71" s="1"/>
    </row>
    <row r="72" spans="1:9" ht="15.6" x14ac:dyDescent="0.3">
      <c r="A72" s="1" t="s">
        <v>5</v>
      </c>
      <c r="B72" s="1" t="s">
        <v>5</v>
      </c>
      <c r="C72" s="10" t="s">
        <v>5</v>
      </c>
      <c r="D72" s="5" t="s">
        <v>73</v>
      </c>
      <c r="E72" s="1" t="str">
        <f ca="1">IFERROR(__xludf.DUMMYFUNCTION("GOOGLETRANSLATE(D72, ""bn"", ""en"")"),"We offer separate packages for Buddhists, Hindus and Muslims. But I don't do anything separately for Buddhists. However, we are getting good number of tourists from major Buddhist countries.")</f>
        <v>We offer separate packages for Buddhists, Hindus and Muslims. But I don't do anything separately for Buddhists. However, we are getting good number of tourists from major Buddhist countries.</v>
      </c>
      <c r="F72" s="1"/>
      <c r="G72" s="1"/>
      <c r="H72" s="1"/>
      <c r="I72" s="1"/>
    </row>
    <row r="73" spans="1:9" ht="15.6" x14ac:dyDescent="0.3">
      <c r="A73" s="1" t="s">
        <v>5</v>
      </c>
      <c r="B73" s="1" t="s">
        <v>5</v>
      </c>
      <c r="C73" s="10" t="s">
        <v>5</v>
      </c>
      <c r="D73" s="5" t="s">
        <v>74</v>
      </c>
      <c r="E73" s="1" t="str">
        <f ca="1">IFERROR(__xludf.DUMMYFUNCTION("GOOGLETRANSLATE(D73, ""bn"", ""en"")"),"The constitution of Bangladesh mentions that people of all religions have the right to celebrate festivals")</f>
        <v>The constitution of Bangladesh mentions that people of all religions have the right to celebrate festivals</v>
      </c>
      <c r="F73" s="1"/>
      <c r="G73" s="1"/>
      <c r="H73" s="1"/>
      <c r="I73" s="1"/>
    </row>
    <row r="74" spans="1:9" ht="15.6" x14ac:dyDescent="0.3">
      <c r="A74" s="1" t="s">
        <v>4</v>
      </c>
      <c r="B74" s="1" t="s">
        <v>5</v>
      </c>
      <c r="C74" s="10" t="s">
        <v>4</v>
      </c>
      <c r="D74" s="5" t="s">
        <v>75</v>
      </c>
      <c r="E74" s="1" t="str">
        <f ca="1">IFERROR(__xludf.DUMMYFUNCTION("GOOGLETRANSLATE(D74, ""bn"", ""en"")"),"By dividing people with religion, people can easily have power, no development question will be asked by people.")</f>
        <v>By dividing people with religion, people can easily have power, no development question will be asked by people.</v>
      </c>
      <c r="F74" s="1"/>
      <c r="G74" s="1"/>
      <c r="H74" s="1"/>
      <c r="I74" s="1"/>
    </row>
    <row r="75" spans="1:9" ht="15.6" x14ac:dyDescent="0.3">
      <c r="A75" s="1" t="s">
        <v>7</v>
      </c>
      <c r="B75" s="1" t="s">
        <v>7</v>
      </c>
      <c r="C75" s="10" t="s">
        <v>7</v>
      </c>
      <c r="D75" s="5" t="s">
        <v>76</v>
      </c>
      <c r="E75" s="1" t="str">
        <f ca="1">IFERROR(__xludf.DUMMYFUNCTION("GOOGLETRANSLATE(D75, ""bn"", ""en"")"),"Hindu potters of Rayerbazar were attacked by Noakhali Muslim workers of Hazaribagh leather factory and Bihari Muslims of Muhammadpur. [23] Every house in Rayerbazar was set on fire by the frenzied Muslims. At least 96 Hindus were brutally killed at that t"&amp;"ime.")</f>
        <v>Hindu potters of Rayerbazar were attacked by Noakhali Muslim workers of Hazaribagh leather factory and Bihari Muslims of Muhammadpur. [23] Every house in Rayerbazar was set on fire by the frenzied Muslims. At least 96 Hindus were brutally killed at that time.</v>
      </c>
      <c r="F75" s="1"/>
      <c r="G75" s="1"/>
      <c r="H75" s="1"/>
      <c r="I75" s="1"/>
    </row>
    <row r="76" spans="1:9" ht="15.6" x14ac:dyDescent="0.3">
      <c r="A76" s="1" t="s">
        <v>4</v>
      </c>
      <c r="B76" s="1" t="s">
        <v>4</v>
      </c>
      <c r="C76" s="10" t="s">
        <v>4</v>
      </c>
      <c r="D76" s="5" t="s">
        <v>77</v>
      </c>
      <c r="E76" s="1" t="str">
        <f ca="1">IFERROR(__xludf.DUMMYFUNCTION("GOOGLETRANSLATE(D76, ""bn"", ""en"")"),"Some time ago, the anti-Islamic organization Pegida was formed in Germany. The organization then quickly spread across Europe. European Muslims have become frightened by the activities of the activists and supporters of the organization.")</f>
        <v>Some time ago, the anti-Islamic organization Pegida was formed in Germany. The organization then quickly spread across Europe. European Muslims have become frightened by the activities of the activists and supporters of the organization.</v>
      </c>
      <c r="F76" s="1"/>
      <c r="G76" s="1"/>
      <c r="H76" s="1"/>
      <c r="I76" s="1"/>
    </row>
    <row r="77" spans="1:9" ht="15.6" x14ac:dyDescent="0.3">
      <c r="A77" s="1" t="s">
        <v>9</v>
      </c>
      <c r="B77" s="1" t="s">
        <v>4</v>
      </c>
      <c r="C77" s="10" t="s">
        <v>9</v>
      </c>
      <c r="D77" s="5" t="s">
        <v>78</v>
      </c>
      <c r="E77" s="1" t="str">
        <f ca="1">IFERROR(__xludf.DUMMYFUNCTION("GOOGLETRANSLATE(D77, ""bn"", ""en"")"),"Despite what appears to be an almost universal expression of commitment to religious human rights, the frequency—and severity—of religious persecution worldwide is staggering. Although this is impossible to do. Regardless of the exact number of people per"&amp;"secuted for their faith or religious affiliation, it is unquestionable that ""violations of freedom of religion and belief, including acts of severe persecution, occur with alarming frequency.")</f>
        <v>Despite what appears to be an almost universal expression of commitment to religious human rights, the frequency—and severity—of religious persecution worldwide is staggering. Although this is impossible to do. Regardless of the exact number of people persecuted for their faith or religious affiliation, it is unquestionable that "violations of freedom of religion and belief, including acts of severe persecution, occur with alarming frequency.</v>
      </c>
      <c r="F77" s="1"/>
      <c r="G77" s="1"/>
      <c r="H77" s="1"/>
      <c r="I77" s="1"/>
    </row>
    <row r="78" spans="1:9" ht="15.6" x14ac:dyDescent="0.3">
      <c r="A78" s="1" t="s">
        <v>4</v>
      </c>
      <c r="B78" s="1" t="s">
        <v>4</v>
      </c>
      <c r="C78" s="10" t="s">
        <v>4</v>
      </c>
      <c r="D78" s="5" t="s">
        <v>79</v>
      </c>
      <c r="E78" s="1" t="str">
        <f ca="1">IFERROR(__xludf.DUMMYFUNCTION("GOOGLETRANSLATE(D78, ""bn"", ""en"")"),"A look at other posts by social media users suggests that a large proportion of them are anti-Hindu and anti-Muslim.")</f>
        <v>A look at other posts by social media users suggests that a large proportion of them are anti-Hindu and anti-Muslim.</v>
      </c>
      <c r="F78" s="1"/>
      <c r="G78" s="1"/>
      <c r="H78" s="1"/>
      <c r="I78" s="1"/>
    </row>
    <row r="79" spans="1:9" ht="15.6" x14ac:dyDescent="0.3">
      <c r="A79" s="1" t="s">
        <v>7</v>
      </c>
      <c r="B79" s="1" t="s">
        <v>7</v>
      </c>
      <c r="C79" s="10" t="s">
        <v>7</v>
      </c>
      <c r="D79" s="5" t="s">
        <v>80</v>
      </c>
      <c r="E79" s="1" t="str">
        <f ca="1">IFERROR(__xludf.DUMMYFUNCTION("GOOGLETRANSLATE(D79, ""bn"", ""en"")"),"The men, including Kamini Kumar Dev, were lined up and killed in bursts of fire.[3] After killing the men, Pakistani soldiers raped the women. Local accomplices, including Razakar and Albadr, set fire to 19 houses and 6 barns in the village.")</f>
        <v>The men, including Kamini Kumar Dev, were lined up and killed in bursts of fire.[3] After killing the men, Pakistani soldiers raped the women. Local accomplices, including Razakar and Albadr, set fire to 19 houses and 6 barns in the village.</v>
      </c>
      <c r="F79" s="1"/>
      <c r="G79" s="1"/>
      <c r="H79" s="1"/>
      <c r="I79" s="1"/>
    </row>
    <row r="80" spans="1:9" ht="15.6" x14ac:dyDescent="0.3">
      <c r="A80" s="1" t="s">
        <v>4</v>
      </c>
      <c r="B80" s="1" t="s">
        <v>5</v>
      </c>
      <c r="C80" s="10" t="s">
        <v>4</v>
      </c>
      <c r="D80" s="5" t="s">
        <v>81</v>
      </c>
      <c r="E80" s="1" t="str">
        <f ca="1">IFERROR(__xludf.DUMMYFUNCTION("GOOGLETRANSLATE(D80, ""bn"", ""en"")"),"Have you not seen what is written in the notices banning all over the country? And this year, Bangladesh Awami League (BAL) doesn't want to do any Iftar party, it will be a waste of money, even though Joy Bangla concert and fireworks worth Tk 100 crores a"&amp;"re done for her father's birthday.")</f>
        <v>Have you not seen what is written in the notices banning all over the country? And this year, Bangladesh Awami League (BAL) doesn't want to do any Iftar party, it will be a waste of money, even though Joy Bangla concert and fireworks worth Tk 100 crores are done for her father's birthday.</v>
      </c>
      <c r="F80" s="1"/>
      <c r="G80" s="1"/>
      <c r="H80" s="1"/>
      <c r="I80" s="1"/>
    </row>
    <row r="81" spans="1:9" ht="15.6" x14ac:dyDescent="0.3">
      <c r="A81" s="1" t="s">
        <v>5</v>
      </c>
      <c r="B81" s="1" t="s">
        <v>5</v>
      </c>
      <c r="C81" s="10" t="s">
        <v>5</v>
      </c>
      <c r="D81" s="5" t="s">
        <v>82</v>
      </c>
      <c r="E81" s="1" t="str">
        <f ca="1">IFERROR(__xludf.DUMMYFUNCTION("GOOGLETRANSLATE(D81, ""bn"", ""en"")"),"If any religion is full of superstitions, it can undoubtedly be said to be Sanatani (Hinduism).")</f>
        <v>If any religion is full of superstitions, it can undoubtedly be said to be Sanatani (Hinduism).</v>
      </c>
      <c r="F81" s="1"/>
      <c r="G81" s="1"/>
      <c r="H81" s="1"/>
      <c r="I81" s="1"/>
    </row>
    <row r="82" spans="1:9" ht="15.6" x14ac:dyDescent="0.3">
      <c r="A82" s="1" t="s">
        <v>4</v>
      </c>
      <c r="B82" s="1" t="s">
        <v>5</v>
      </c>
      <c r="C82" s="10" t="s">
        <v>4</v>
      </c>
      <c r="D82" s="5" t="s">
        <v>83</v>
      </c>
      <c r="E82" s="1" t="str">
        <f ca="1">IFERROR(__xludf.DUMMYFUNCTION("GOOGLETRANSLATE(D82, ""bn"", ""en"")"),"We all know how Türkiye has turned into a radical Muslim state since Erdoğan came. How thousands of Muslim youths joined IS with Turkey's help. Young people from Europe came to Turkey to join IS and then crossed into Syria. Without the cooperation of Turk"&amp;"ey in these things, so many young people could not have crossed Syria. But BBC Bengali shamelessly called Turkey a secular state. It got a lot of laughs.")</f>
        <v>We all know how Türkiye has turned into a radical Muslim state since Erdoğan came. How thousands of Muslim youths joined IS with Turkey's help. Young people from Europe came to Turkey to join IS and then crossed into Syria. Without the cooperation of Turkey in these things, so many young people could not have crossed Syria. But BBC Bengali shamelessly called Turkey a secular state. It got a lot of laughs.</v>
      </c>
      <c r="F82" s="1"/>
      <c r="G82" s="1"/>
      <c r="H82" s="1"/>
      <c r="I82" s="1"/>
    </row>
    <row r="83" spans="1:9" ht="17.399999999999999" x14ac:dyDescent="0.3">
      <c r="A83" s="1" t="s">
        <v>7</v>
      </c>
      <c r="B83" s="1" t="s">
        <v>7</v>
      </c>
      <c r="C83" s="10" t="s">
        <v>7</v>
      </c>
      <c r="D83" s="5" t="s">
        <v>3491</v>
      </c>
      <c r="E83" s="1" t="str">
        <f ca="1">IFERROR(__xludf.DUMMYFUNCTION("GOOGLETRANSLATE(D83, ""bn"", ""en"")"),"His mother Amina died when Muhammad was six years old. As a result, he became an orphan. [8][9] The orphan Muhammad grew up under the care of his grandfather Abdul Muttalib and later his uncle Abu Talib.[")</f>
        <v>His mother Amina died when Muhammad was six years old. As a result, he became an orphan. [8][9] The orphan Muhammad grew up under the care of his grandfather Abdul Muttalib and later his uncle Abu Talib.[</v>
      </c>
      <c r="F83" s="1"/>
      <c r="G83" s="1"/>
      <c r="H83" s="1"/>
      <c r="I83" s="1"/>
    </row>
    <row r="84" spans="1:9" ht="15.6" x14ac:dyDescent="0.3">
      <c r="A84" s="1" t="s">
        <v>4</v>
      </c>
      <c r="B84" s="1" t="s">
        <v>4</v>
      </c>
      <c r="C84" s="10" t="s">
        <v>4</v>
      </c>
      <c r="D84" s="5" t="s">
        <v>84</v>
      </c>
      <c r="E84" s="1" t="str">
        <f ca="1">IFERROR(__xludf.DUMMYFUNCTION("GOOGLETRANSLATE(D84, ""bn"", ""en"")"),"It is true that he was born in Islam, but he never tried to know about Islam, never tried to understand the verses of the Quran, even if he tried to know a little about Islam, he would not have taken such a decision.")</f>
        <v>It is true that he was born in Islam, but he never tried to know about Islam, never tried to understand the verses of the Quran, even if he tried to know a little about Islam, he would not have taken such a decision.</v>
      </c>
      <c r="F84" s="1"/>
      <c r="G84" s="1"/>
      <c r="H84" s="1"/>
      <c r="I84" s="1"/>
    </row>
    <row r="85" spans="1:9" ht="15.6" x14ac:dyDescent="0.3">
      <c r="A85" s="1" t="s">
        <v>7</v>
      </c>
      <c r="B85" s="1" t="s">
        <v>4</v>
      </c>
      <c r="C85" s="10" t="s">
        <v>7</v>
      </c>
      <c r="D85" s="5" t="s">
        <v>85</v>
      </c>
      <c r="E85" s="1" t="str">
        <f ca="1">IFERROR(__xludf.DUMMYFUNCTION("GOOGLETRANSLATE(D85, ""bn"", ""en"")"),"In the afternoon of May 20, around 2 o'clock, the Pakistani occupation army entered Galimpur village via Ballabpur via Goalabazar road. Local Rajakar Abdul Ahad Chowdhury and Kala Maulvi, a madrasa teacher from Sherpur led them away.[1] Upon entry, they s"&amp;"urrounded six villagers and shot them dead.")</f>
        <v>In the afternoon of May 20, around 2 o'clock, the Pakistani occupation army entered Galimpur village via Ballabpur via Goalabazar road. Local Rajakar Abdul Ahad Chowdhury and Kala Maulvi, a madrasa teacher from Sherpur led them away.[1] Upon entry, they surrounded six villagers and shot them dead.</v>
      </c>
      <c r="F85" s="1"/>
      <c r="G85" s="1"/>
      <c r="H85" s="1"/>
      <c r="I85" s="1"/>
    </row>
    <row r="86" spans="1:9" ht="15.6" x14ac:dyDescent="0.3">
      <c r="A86" s="1" t="s">
        <v>5</v>
      </c>
      <c r="B86" s="1" t="s">
        <v>5</v>
      </c>
      <c r="C86" s="10" t="s">
        <v>5</v>
      </c>
      <c r="D86" s="5" t="s">
        <v>86</v>
      </c>
      <c r="E86" s="1" t="str">
        <f ca="1">IFERROR(__xludf.DUMMYFUNCTION("GOOGLETRANSLATE(D86, ""bn"", ""en"")"),"Religion gives a sense of peace to the inner soul of man. It helps him gain peace of mind and perspective, which helps him in any challenge in life.")</f>
        <v>Religion gives a sense of peace to the inner soul of man. It helps him gain peace of mind and perspective, which helps him in any challenge in life.</v>
      </c>
      <c r="F86" s="1"/>
      <c r="G86" s="1"/>
      <c r="H86" s="1"/>
      <c r="I86" s="1"/>
    </row>
    <row r="87" spans="1:9" ht="15.6" x14ac:dyDescent="0.3">
      <c r="A87" s="1" t="s">
        <v>7</v>
      </c>
      <c r="B87" s="1" t="s">
        <v>4</v>
      </c>
      <c r="C87" s="10" t="s">
        <v>7</v>
      </c>
      <c r="D87" s="5" t="s">
        <v>87</v>
      </c>
      <c r="E87" s="1" t="str">
        <f ca="1">IFERROR(__xludf.DUMMYFUNCTION("GOOGLETRANSLATE(D87, ""bn"", ""en"")"),"Hindus who refused to get off the train were killed on the spot by slitting their throats.[14][15] On 15 January, a violent Muslim mob entered the priest's house at 20, Nawabpur Road, destroyed the Radha-Krishna temple and beheaded the priest. ")</f>
        <v>Hindus who refused to get off the train were killed on the spot by slitting their throats.[14][15] On 15 January, a violent Muslim mob entered the priest's house at 20, Nawabpur Road, destroyed the Radha-Krishna temple and beheaded the priest. </v>
      </c>
      <c r="F87" s="1"/>
      <c r="G87" s="1"/>
      <c r="H87" s="1"/>
      <c r="I87" s="1"/>
    </row>
    <row r="88" spans="1:9" ht="15.6" x14ac:dyDescent="0.3">
      <c r="A88" s="1" t="s">
        <v>5</v>
      </c>
      <c r="B88" s="1" t="s">
        <v>5</v>
      </c>
      <c r="C88" s="10" t="s">
        <v>5</v>
      </c>
      <c r="D88" s="5" t="s">
        <v>88</v>
      </c>
      <c r="E88" s="1" t="str">
        <f ca="1">IFERROR(__xludf.DUMMYFUNCTION("GOOGLETRANSLATE(D88, ""bn"", ""en"")"),"He who understands the Gita, never considers any Hindu to be inferior or himself superior, knows and understands that all are one and all are servants of God, that God is one and unique. Sanatan i.e. Hinduism works for welfare, obeys God's orders for the "&amp;"upliftment of all and cherishes in mind.")</f>
        <v>He who understands the Gita, never considers any Hindu to be inferior or himself superior, knows and understands that all are one and all are servants of God, that God is one and unique. Sanatan i.e. Hinduism works for welfare, obeys God's orders for the upliftment of all and cherishes in mind.</v>
      </c>
      <c r="F88" s="1"/>
      <c r="G88" s="1"/>
      <c r="H88" s="1"/>
      <c r="I88" s="1"/>
    </row>
    <row r="89" spans="1:9" ht="15.6" x14ac:dyDescent="0.3">
      <c r="A89" s="1" t="s">
        <v>7</v>
      </c>
      <c r="B89" s="1" t="s">
        <v>7</v>
      </c>
      <c r="C89" s="10" t="s">
        <v>7</v>
      </c>
      <c r="D89" s="5" t="s">
        <v>89</v>
      </c>
      <c r="E89" s="1" t="str">
        <f ca="1">IFERROR(__xludf.DUMMYFUNCTION("GOOGLETRANSLATE(D89, ""bn"", ""en"")"),"A US airman commits suicide by dousing himself in petrol and setting himself on fire in protest against the killing of civilians in Palestine. Aaron Killeen's protest overshadowed the protests of hundreds of thousands of Palestinians. ")</f>
        <v xml:space="preserve">A US airman commits suicide by dousing himself in petrol and setting himself on fire in protest against the killing of civilians in Palestine. Aaron Killeen's protest overshadowed the protests of hundreds of thousands of Palestinians. </v>
      </c>
      <c r="F89" s="1"/>
      <c r="G89" s="1"/>
      <c r="H89" s="1"/>
      <c r="I89" s="1"/>
    </row>
    <row r="90" spans="1:9" ht="15.6" x14ac:dyDescent="0.3">
      <c r="A90" s="1" t="s">
        <v>7</v>
      </c>
      <c r="B90" s="1" t="s">
        <v>4</v>
      </c>
      <c r="C90" s="10" t="s">
        <v>7</v>
      </c>
      <c r="D90" s="5" t="s">
        <v>90</v>
      </c>
      <c r="E90" s="1" t="str">
        <f ca="1">IFERROR(__xludf.DUMMYFUNCTION("GOOGLETRANSLATE(D90, ""bn"", ""en"")")," The Das family was Kashem's closest neighbour. The invading forces brutally killed 19 members of the slave family. Before the murder, the women of the house were raped. [33] The Muslims attacked the Chowdhury family of Noakhola village under Ramganj poli"&amp;"ce station. ")</f>
        <v> The Das family was Kashem's closest neighbour. The invading forces brutally killed 19 members of the slave family. Before the murder, the women of the house were raped. [33] The Muslims attacked the Chowdhury family of Noakhola village under Ramganj police station. </v>
      </c>
      <c r="F90" s="1"/>
      <c r="G90" s="1"/>
      <c r="H90" s="1"/>
      <c r="I90" s="1"/>
    </row>
    <row r="91" spans="1:9" ht="15.6" x14ac:dyDescent="0.3">
      <c r="A91" s="1" t="s">
        <v>4</v>
      </c>
      <c r="B91" s="1" t="s">
        <v>4</v>
      </c>
      <c r="C91" s="10" t="s">
        <v>4</v>
      </c>
      <c r="D91" s="5" t="s">
        <v>91</v>
      </c>
      <c r="E91" s="1" t="str">
        <f ca="1">IFERROR(__xludf.DUMMYFUNCTION("GOOGLETRANSLATE(D91, ""bn"", ""en"")"),"""O,I,C"" consists of 57 Muslim countries. If the Muslims are in danger they are hiding in the pit, then there is no need for it. Disband, these people show the organization.")</f>
        <v>"O,I,C" consists of 57 Muslim countries. If the Muslims are in danger they are hiding in the pit, then there is no need for it. Disband, these people show the organization.</v>
      </c>
      <c r="F91" s="1"/>
      <c r="G91" s="1"/>
      <c r="H91" s="1"/>
      <c r="I91" s="1"/>
    </row>
    <row r="92" spans="1:9" ht="15.6" x14ac:dyDescent="0.3">
      <c r="A92" s="1" t="s">
        <v>7</v>
      </c>
      <c r="B92" s="1" t="s">
        <v>5</v>
      </c>
      <c r="C92" s="10" t="s">
        <v>7</v>
      </c>
      <c r="D92" s="5" t="s">
        <v>92</v>
      </c>
      <c r="E92" s="1" t="str">
        <f ca="1">IFERROR(__xludf.DUMMYFUNCTION("GOOGLETRANSLATE(D92, ""bn"", ""en"")"),"Allah Ta'ala said about the martyrs, And do not call those who are killed in the way of Allah dead, but they are alive; But you do not understand. ")</f>
        <v>Allah Ta'ala said about the martyrs, And do not call those who are killed in the way of Allah dead, but they are alive; But you do not understand. </v>
      </c>
      <c r="F92" s="1"/>
      <c r="G92" s="1"/>
      <c r="H92" s="1"/>
      <c r="I92" s="1"/>
    </row>
    <row r="93" spans="1:9" ht="15.6" x14ac:dyDescent="0.3">
      <c r="A93" s="1" t="s">
        <v>9</v>
      </c>
      <c r="B93" s="1" t="s">
        <v>9</v>
      </c>
      <c r="C93" s="10" t="s">
        <v>9</v>
      </c>
      <c r="D93" s="5" t="s">
        <v>93</v>
      </c>
      <c r="E93" s="1" t="str">
        <f ca="1">IFERROR(__xludf.DUMMYFUNCTION("GOOGLETRANSLATE(D93, ""bn"", ""en"")"),"Right after the announcement of the verdict, around 2 pm, activists armed with sticks started a procession to protest the verdict. The procession vandalized Kali Mandir in Rajganj Bazar and temples near Bainnbari. They then attacked Hindus in the nearby v"&amp;"illages of Tongipara and Aladinagar. They ransacked eight Hindu families and looted all valuables including money and jewellery.")</f>
        <v>Right after the announcement of the verdict, around 2 pm, activists armed with sticks started a procession to protest the verdict. The procession vandalized Kali Mandir in Rajganj Bazar and temples near Bainnbari. They then attacked Hindus in the nearby villages of Tongipara and Aladinagar. They ransacked eight Hindu families and looted all valuables including money and jewellery.</v>
      </c>
      <c r="F93" s="1"/>
      <c r="G93" s="1"/>
      <c r="H93" s="1"/>
      <c r="I93" s="1"/>
    </row>
    <row r="94" spans="1:9" ht="15.6" x14ac:dyDescent="0.3">
      <c r="A94" s="1" t="s">
        <v>5</v>
      </c>
      <c r="B94" s="1" t="s">
        <v>5</v>
      </c>
      <c r="C94" s="10" t="s">
        <v>5</v>
      </c>
      <c r="D94" s="5" t="s">
        <v>94</v>
      </c>
      <c r="E94" s="1" t="str">
        <f ca="1">IFERROR(__xludf.DUMMYFUNCTION("GOOGLETRANSLATE(D94, ""bn"", ""en"")"),"Every brother and sister watching this video may never meet in this worldly life but inshallah one day we will sit together in paradise and talk about Sura Pan karate!")</f>
        <v>Every brother and sister watching this video may never meet in this worldly life but inshallah one day we will sit together in paradise and talk about Sura Pan karate!</v>
      </c>
      <c r="F94" s="1"/>
      <c r="G94" s="1"/>
      <c r="H94" s="1"/>
      <c r="I94" s="1"/>
    </row>
    <row r="95" spans="1:9" ht="15.6" x14ac:dyDescent="0.3">
      <c r="A95" s="1" t="s">
        <v>9</v>
      </c>
      <c r="B95" s="1" t="s">
        <v>9</v>
      </c>
      <c r="C95" s="10" t="s">
        <v>9</v>
      </c>
      <c r="D95" s="5" t="s">
        <v>95</v>
      </c>
      <c r="E95" s="1" t="str">
        <f ca="1">IFERROR(__xludf.DUMMYFUNCTION("GOOGLETRANSLATE(D95, ""bn"", ""en"")"),"They attacked and looted every Hindu house in Ghoshpara, Mudakpara (Kuripara), Baulpara, Paitalpara and set it on fire. Thousands of Hindus took refuge in Narsingdi College Building. Muslims killed more than 3,500 Hindus in Narayanganj sub-division alone."&amp;" [18] At least 300 Hindu women were brutally raped by them. In addition, 31,000 houses were looted and vandalized and burned to ashes. As a result, 80,000 Hindus in 151 villages became homeless.")</f>
        <v>They attacked and looted every Hindu house in Ghoshpara, Mudakpara (Kuripara), Baulpara, Paitalpara and set it on fire. Thousands of Hindus took refuge in Narsingdi College Building. Muslims killed more than 3,500 Hindus in Narayanganj sub-division alone. [18] At least 300 Hindu women were brutally raped by them. In addition, 31,000 houses were looted and vandalized and burned to ashes. As a result, 80,000 Hindus in 151 villages became homeless.</v>
      </c>
      <c r="F95" s="1"/>
      <c r="G95" s="1"/>
      <c r="H95" s="1"/>
      <c r="I95" s="1"/>
    </row>
    <row r="96" spans="1:9" ht="15.6" x14ac:dyDescent="0.3">
      <c r="A96" s="1" t="s">
        <v>4</v>
      </c>
      <c r="B96" s="1" t="s">
        <v>5</v>
      </c>
      <c r="C96" s="10" t="s">
        <v>4</v>
      </c>
      <c r="D96" s="5" t="s">
        <v>96</v>
      </c>
      <c r="E96" s="1" t="str">
        <f ca="1">IFERROR(__xludf.DUMMYFUNCTION("GOOGLETRANSLATE(D96, ""bn"", ""en"")"),"Today, Allah Almighty has declared the end of those who disrespect the Qur'an and follow their dishonest predecessors in disrespecting and rejecting the Divine Book. These verses of the Quran and the various incidents of Quran-blasphemy in the present day"&amp;" have many lessons for the Muslims of today.")</f>
        <v>Today, Allah Almighty has declared the end of those who disrespect the Qur'an and follow their dishonest predecessors in disrespecting and rejecting the Divine Book. These verses of the Quran and the various incidents of Quran-blasphemy in the present day have many lessons for the Muslims of today.</v>
      </c>
      <c r="F96" s="1"/>
      <c r="G96" s="1"/>
      <c r="H96" s="1"/>
      <c r="I96" s="1"/>
    </row>
    <row r="97" spans="1:9" ht="15.6" x14ac:dyDescent="0.3">
      <c r="A97" s="1" t="s">
        <v>4</v>
      </c>
      <c r="B97" s="1" t="s">
        <v>4</v>
      </c>
      <c r="C97" s="10" t="s">
        <v>4</v>
      </c>
      <c r="D97" s="5" t="s">
        <v>97</v>
      </c>
      <c r="E97" s="1" t="str">
        <f ca="1">IFERROR(__xludf.DUMMYFUNCTION("GOOGLETRANSLATE(D97, ""bn"", ""en"")"),"When Islamist organizations in Bangladesh are protesting about the country's president's speech on Islam in France, some groups are trying to create a different atmosphere by spreading rumours.")</f>
        <v>When Islamist organizations in Bangladesh are protesting about the country's president's speech on Islam in France, some groups are trying to create a different atmosphere by spreading rumours.</v>
      </c>
      <c r="F97" s="1"/>
      <c r="G97" s="1"/>
      <c r="H97" s="1"/>
      <c r="I97" s="1"/>
    </row>
    <row r="98" spans="1:9" ht="15.6" x14ac:dyDescent="0.3">
      <c r="A98" s="1" t="s">
        <v>7</v>
      </c>
      <c r="B98" s="1" t="s">
        <v>7</v>
      </c>
      <c r="C98" s="10" t="s">
        <v>7</v>
      </c>
      <c r="D98" s="5" t="s">
        <v>98</v>
      </c>
      <c r="E98" s="1" t="str">
        <f ca="1">IFERROR(__xludf.DUMMYFUNCTION("GOOGLETRANSLATE(D98, ""bn"", ""en"")"),"An Odisha government minister, Vishwanath Das, visited Lichubagan to investigate the killing of Oriya workers at Kosoram Cotton Mills.[33] Some sources estimate the death toll at 10,000 or more.[6] Many authors claim that Hindus were the primary victims.")</f>
        <v>An Odisha government minister, Vishwanath Das, visited Lichubagan to investigate the killing of Oriya workers at Kosoram Cotton Mills.[33] Some sources estimate the death toll at 10,000 or more.[6] Many authors claim that Hindus were the primary victims.</v>
      </c>
      <c r="F98" s="1"/>
      <c r="G98" s="1"/>
      <c r="H98" s="1"/>
      <c r="I98" s="1"/>
    </row>
    <row r="99" spans="1:9" ht="15.6" x14ac:dyDescent="0.3">
      <c r="A99" s="1" t="s">
        <v>9</v>
      </c>
      <c r="B99" s="1" t="s">
        <v>4</v>
      </c>
      <c r="C99" s="10" t="s">
        <v>9</v>
      </c>
      <c r="D99" s="5" t="s">
        <v>99</v>
      </c>
      <c r="E99" s="1" t="str">
        <f ca="1">IFERROR(__xludf.DUMMYFUNCTION("GOOGLETRANSLATE(D99, ""bn"", ""en"")"),"The attack was carried out by accusing a college student named Akash Saha of insulting religion in a Facebook post As the police went into action quickly, the attackers could not carry out further rampage However, after Friday prayers, there was tension i"&amp;"n Dighlia market A procession was also taken out They marched in front of Akash's house demanding his arrest The tension increases in the afternoon The attack took place at night The attack might not have happened if the police had been active after the F"&amp;"riday prayers")</f>
        <v>The attack was carried out by accusing a college student named Akash Saha of insulting religion in a Facebook post As the police went into action quickly, the attackers could not carry out further rampage However, after Friday prayers, there was tension in Dighlia market A procession was also taken out They marched in front of Akash's house demanding his arrest The tension increases in the afternoon The attack took place at night The attack might not have happened if the police had been active after the Friday prayers</v>
      </c>
      <c r="F99" s="1"/>
      <c r="G99" s="1"/>
      <c r="H99" s="1"/>
      <c r="I99" s="1"/>
    </row>
    <row r="100" spans="1:9" ht="15.6" x14ac:dyDescent="0.3">
      <c r="A100" s="1" t="s">
        <v>7</v>
      </c>
      <c r="B100" s="1" t="s">
        <v>7</v>
      </c>
      <c r="C100" s="10" t="s">
        <v>7</v>
      </c>
      <c r="D100" s="5" t="s">
        <v>100</v>
      </c>
      <c r="E100" s="1" t="str">
        <f ca="1">IFERROR(__xludf.DUMMYFUNCTION("GOOGLETRANSLATE(D100, ""bn"", ""en"")"),"After 1980, Muslim militants brutally killed Kashmiri scholars who had lived there for centuries.")</f>
        <v>After 1980, Muslim militants brutally killed Kashmiri scholars who had lived there for centuries.</v>
      </c>
      <c r="F100" s="1"/>
      <c r="G100" s="1"/>
      <c r="H100" s="1"/>
      <c r="I100" s="1"/>
    </row>
    <row r="101" spans="1:9" ht="15.6" x14ac:dyDescent="0.3">
      <c r="A101" s="1" t="s">
        <v>9</v>
      </c>
      <c r="B101" s="1" t="s">
        <v>9</v>
      </c>
      <c r="C101" s="10" t="s">
        <v>9</v>
      </c>
      <c r="D101" s="5" t="s">
        <v>101</v>
      </c>
      <c r="E101" s="1" t="str">
        <f ca="1">IFERROR(__xludf.DUMMYFUNCTION("GOOGLETRANSLATE(D101, ""bn"", ""en"")"),"At one point on October 16, three villages were attacked, vandalized and looted in Pirganj Upazila of Rangpur, accusing them of 'offensive comments' on the Kaaba Sharif's photo on Facebook.")</f>
        <v>At one point on October 16, three villages were attacked, vandalized and looted in Pirganj Upazila of Rangpur, accusing them of 'offensive comments' on the Kaaba Sharif's photo on Facebook.</v>
      </c>
      <c r="F101" s="1"/>
      <c r="G101" s="1"/>
      <c r="H101" s="1"/>
      <c r="I101" s="1"/>
    </row>
    <row r="102" spans="1:9" ht="15.6" x14ac:dyDescent="0.3">
      <c r="A102" s="1" t="s">
        <v>4</v>
      </c>
      <c r="B102" s="1" t="s">
        <v>4</v>
      </c>
      <c r="C102" s="10" t="s">
        <v>4</v>
      </c>
      <c r="D102" s="5" t="s">
        <v>102</v>
      </c>
      <c r="E102" s="1" t="str">
        <f ca="1">IFERROR(__xludf.DUMMYFUNCTION("GOOGLETRANSLATE(D102, ""bn"", ""en"")"),"Shami was the team's worst bowler in the match. This pacer gave 43 runs in 3.5 overs. Then the attacks on him started on social media. Shami, the only Muslim cricketer in India's World Cup team, was the victim of religious hatred.")</f>
        <v>Shami was the team's worst bowler in the match. This pacer gave 43 runs in 3.5 overs. Then the attacks on him started on social media. Shami, the only Muslim cricketer in India's World Cup team, was the victim of religious hatred.</v>
      </c>
      <c r="F102" s="1"/>
      <c r="G102" s="1"/>
      <c r="H102" s="1"/>
      <c r="I102" s="1"/>
    </row>
    <row r="103" spans="1:9" ht="15.6" x14ac:dyDescent="0.3">
      <c r="A103" s="1" t="s">
        <v>4</v>
      </c>
      <c r="B103" s="1" t="s">
        <v>4</v>
      </c>
      <c r="C103" s="10" t="s">
        <v>4</v>
      </c>
      <c r="D103" s="5" t="s">
        <v>103</v>
      </c>
      <c r="E103" s="1" t="str">
        <f ca="1">IFERROR(__xludf.DUMMYFUNCTION("GOOGLETRANSLATE(D103, ""bn"", ""en"")"),"Another Bengali: I am Muslim I will practice Islam, this is my decision, Bangiy Sekulangar: You are a militant, hypocritical Bangiy ")</f>
        <v xml:space="preserve">Another Bengali: I am Muslim I will practice Islam, this is my decision, Bangiy Sekulangar: You are a militant, hypocritical Bangiy </v>
      </c>
      <c r="F103" s="1"/>
      <c r="G103" s="1"/>
      <c r="H103" s="1"/>
      <c r="I103" s="1"/>
    </row>
    <row r="104" spans="1:9" ht="15.6" x14ac:dyDescent="0.3">
      <c r="A104" s="1" t="s">
        <v>4</v>
      </c>
      <c r="B104" s="1" t="s">
        <v>5</v>
      </c>
      <c r="C104" s="10" t="s">
        <v>4</v>
      </c>
      <c r="D104" s="5" t="s">
        <v>104</v>
      </c>
      <c r="E104" s="1" t="str">
        <f ca="1">IFERROR(__xludf.DUMMYFUNCTION("GOOGLETRANSLATE(D104, ""bn"", ""en"")"),"Harassment of religious beliefs by making suggestive comments about religion is a punishable offense under the existing laws of the country.")</f>
        <v>Harassment of religious beliefs by making suggestive comments about religion is a punishable offense under the existing laws of the country.</v>
      </c>
      <c r="F104" s="1"/>
      <c r="G104" s="1"/>
      <c r="H104" s="1"/>
      <c r="I104" s="1"/>
    </row>
    <row r="105" spans="1:9" ht="15.6" x14ac:dyDescent="0.3">
      <c r="A105" s="1" t="s">
        <v>5</v>
      </c>
      <c r="B105" s="1" t="s">
        <v>5</v>
      </c>
      <c r="C105" s="10" t="s">
        <v>5</v>
      </c>
      <c r="D105" s="5" t="s">
        <v>105</v>
      </c>
      <c r="E105" s="1" t="str">
        <f ca="1">IFERROR(__xludf.DUMMYFUNCTION("GOOGLETRANSLATE(D105, ""bn"", ""en"")"),"Muslims are ready to sacrifice their lives to protect the honor of the Qur'an, even though the great creator himself has declared - ❝The responsibility of preserving the Qur'an is mine alone, I will protect it.❞")</f>
        <v>Muslims are ready to sacrifice their lives to protect the honor of the Qur'an, even though the great creator himself has declared - ❝The responsibility of preserving the Qur'an is mine alone, I will protect it.❞</v>
      </c>
      <c r="F105" s="1"/>
      <c r="G105" s="1"/>
      <c r="H105" s="1"/>
      <c r="I105" s="1"/>
    </row>
    <row r="106" spans="1:9" ht="15.6" x14ac:dyDescent="0.3">
      <c r="A106" s="1" t="s">
        <v>4</v>
      </c>
      <c r="B106" s="1" t="s">
        <v>5</v>
      </c>
      <c r="C106" s="10" t="s">
        <v>4</v>
      </c>
      <c r="D106" s="5" t="s">
        <v>106</v>
      </c>
      <c r="E106" s="1" t="str">
        <f ca="1">IFERROR(__xludf.DUMMYFUNCTION("GOOGLETRANSLATE(D106, ""bn"", ""en"")"),"The indigenous Garo and Hajong people living in Nalitabari, Kalmakanda, Durgapur, Haluaghat, Srivardi areas of the then greater Mymensingh district were evicted. As a result, many of them were forced to leave their homeland and take refuge in India.")</f>
        <v>The indigenous Garo and Hajong people living in Nalitabari, Kalmakanda, Durgapur, Haluaghat, Srivardi areas of the then greater Mymensingh district were evicted. As a result, many of them were forced to leave their homeland and take refuge in India.</v>
      </c>
      <c r="F106" s="1"/>
      <c r="G106" s="1"/>
      <c r="H106" s="1"/>
      <c r="I106" s="1"/>
    </row>
    <row r="107" spans="1:9" ht="15.6" x14ac:dyDescent="0.3">
      <c r="A107" s="1" t="s">
        <v>9</v>
      </c>
      <c r="B107" s="1" t="s">
        <v>9</v>
      </c>
      <c r="C107" s="10" t="s">
        <v>9</v>
      </c>
      <c r="D107" s="5" t="s">
        <v>107</v>
      </c>
      <c r="E107" s="1" t="str">
        <f ca="1">IFERROR(__xludf.DUMMYFUNCTION("GOOGLETRANSLATE(D107, ""bn"", ""en"")"),"In 1949, posters against Durga Puja, the biggest religious festival of Bengali Hindus, were put up all over Dhaka region. Because of this, the volume and number of Durga Pujas are decreasing at an alarming rate. On the day of Vijaya Dashami, hundreds of H"&amp;"indu houses are lit by Muslims. ")</f>
        <v>In 1949, posters against Durga Puja, the biggest religious festival of Bengali Hindus, were put up all over Dhaka region. Because of this, the volume and number of Durga Pujas are decreasing at an alarming rate. On the day of Vijaya Dashami, hundreds of Hindu houses are lit by Muslims. </v>
      </c>
      <c r="F107" s="1"/>
      <c r="G107" s="1"/>
      <c r="H107" s="1"/>
      <c r="I107" s="1"/>
    </row>
    <row r="108" spans="1:9" ht="15.6" x14ac:dyDescent="0.3">
      <c r="A108" s="1" t="s">
        <v>4</v>
      </c>
      <c r="B108" s="1" t="s">
        <v>5</v>
      </c>
      <c r="C108" s="10" t="s">
        <v>4</v>
      </c>
      <c r="D108" s="5" t="s">
        <v>108</v>
      </c>
      <c r="E108" s="1" t="str">
        <f ca="1">IFERROR(__xludf.DUMMYFUNCTION("GOOGLETRANSLATE(D108, ""bn"", ""en"")"),"As a means of inciting religious hatred and violence, why such incidents are taking place should be investigated. He also alleged that such incidents are happening with the consent of the Swedish government.")</f>
        <v>As a means of inciting religious hatred and violence, why such incidents are taking place should be investigated. He also alleged that such incidents are happening with the consent of the Swedish government.</v>
      </c>
      <c r="F108" s="1"/>
      <c r="G108" s="1"/>
      <c r="H108" s="1"/>
      <c r="I108" s="1"/>
    </row>
    <row r="109" spans="1:9" ht="15.6" x14ac:dyDescent="0.3">
      <c r="A109" s="1" t="s">
        <v>4</v>
      </c>
      <c r="B109" s="1" t="s">
        <v>4</v>
      </c>
      <c r="C109" s="10" t="s">
        <v>4</v>
      </c>
      <c r="D109" s="5" t="s">
        <v>109</v>
      </c>
      <c r="E109" s="1" t="str">
        <f ca="1">IFERROR(__xludf.DUMMYFUNCTION("GOOGLETRANSLATE(D109, ""bn"", ""en"")"),"The great book Al-Quran is our document of survival. Millions of copies of the Quran are spread all over the world. We want to make it clear to those who take a stand against the Quran - we strongly condemn and protest this incident. I demand exemplary pu"&amp;"nishment and execution of those responsible for insulting Quran.")</f>
        <v>The great book Al-Quran is our document of survival. Millions of copies of the Quran are spread all over the world. We want to make it clear to those who take a stand against the Quran - we strongly condemn and protest this incident. I demand exemplary punishment and execution of those responsible for insulting Quran.</v>
      </c>
      <c r="F109" s="1"/>
      <c r="G109" s="1"/>
      <c r="H109" s="1"/>
      <c r="I109" s="1"/>
    </row>
    <row r="110" spans="1:9" ht="15.6" x14ac:dyDescent="0.3">
      <c r="A110" s="1" t="s">
        <v>9</v>
      </c>
      <c r="B110" s="1" t="s">
        <v>9</v>
      </c>
      <c r="C110" s="10" t="s">
        <v>9</v>
      </c>
      <c r="D110" s="5" t="s">
        <v>110</v>
      </c>
      <c r="E110" s="1" t="str">
        <f ca="1">IFERROR(__xludf.DUMMYFUNCTION("GOOGLETRANSLATE(D110, ""bn"", ""en"")"),"The administration initially did not interfere. [19] [20] At one point in the attack, they were interrupted by police arguments, chases and clashes. Police fired 50 rounds of tear gas shells and rubber bullets. The police opened fire on them. Habibur Rahm"&amp;"an of Jamaat-e-Islam was killed in this.")</f>
        <v>The administration initially did not interfere. [19] [20] At one point in the attack, they were interrupted by police arguments, chases and clashes. Police fired 50 rounds of tear gas shells and rubber bullets. The police opened fire on them. Habibur Rahman of Jamaat-e-Islam was killed in this.</v>
      </c>
      <c r="F110" s="1"/>
      <c r="G110" s="1"/>
      <c r="H110" s="1"/>
      <c r="I110" s="1"/>
    </row>
    <row r="111" spans="1:9" ht="15.6" x14ac:dyDescent="0.3">
      <c r="A111" s="1" t="s">
        <v>9</v>
      </c>
      <c r="B111" s="1" t="s">
        <v>9</v>
      </c>
      <c r="C111" s="10" t="s">
        <v>9</v>
      </c>
      <c r="D111" s="5" t="s">
        <v>111</v>
      </c>
      <c r="E111" s="1" t="str">
        <f ca="1">IFERROR(__xludf.DUMMYFUNCTION("GOOGLETRANSLATE(D111, ""bn"", ""en"")"),"Hindu-Muslim riots erupted in 1921 when Muslim peasants revolted against the British in the Malabar region of Kerala, where many Hindus were allegedly forced to convert to Islam.")</f>
        <v>Hindu-Muslim riots erupted in 1921 when Muslim peasants revolted against the British in the Malabar region of Kerala, where many Hindus were allegedly forced to convert to Islam.</v>
      </c>
      <c r="F111" s="1"/>
      <c r="G111" s="1"/>
      <c r="H111" s="1"/>
      <c r="I111" s="1"/>
    </row>
    <row r="112" spans="1:9" ht="15.6" x14ac:dyDescent="0.3">
      <c r="A112" s="1" t="s">
        <v>5</v>
      </c>
      <c r="B112" s="1" t="s">
        <v>5</v>
      </c>
      <c r="C112" s="10" t="s">
        <v>5</v>
      </c>
      <c r="D112" s="5" t="s">
        <v>112</v>
      </c>
      <c r="E112" s="1" t="str">
        <f ca="1">IFERROR(__xludf.DUMMYFUNCTION("GOOGLETRANSLATE(D112, ""bn"", ""en"")"),"The United Nations classifies Bangladesh as a moderate democratic Muslim country.[2][3] However, Bangladesh is constitutionally a secular state.")</f>
        <v>The United Nations classifies Bangladesh as a moderate democratic Muslim country.[2][3] However, Bangladesh is constitutionally a secular state.</v>
      </c>
      <c r="F112" s="1"/>
      <c r="G112" s="1"/>
      <c r="H112" s="1"/>
      <c r="I112" s="1"/>
    </row>
    <row r="113" spans="1:9" ht="15.6" x14ac:dyDescent="0.3">
      <c r="A113" s="1" t="s">
        <v>7</v>
      </c>
      <c r="B113" s="1" t="s">
        <v>7</v>
      </c>
      <c r="C113" s="10" t="s">
        <v>7</v>
      </c>
      <c r="D113" s="5" t="s">
        <v>113</v>
      </c>
      <c r="E113" s="1" t="str">
        <f ca="1">IFERROR(__xludf.DUMMYFUNCTION("GOOGLETRANSLATE(D113, ""bn"", ""en"")"),"Two Sikh (Sikh Community) traders were shot dead by two unidentified miscreants. The incident took place in Batta Tal Chowk area of ​​Sarband region of Pakistan. Ranjit Singh (42) and Kuljit Singh (38) have a spice shop there. They were killed in the shop"&amp;". Police have started investigating the incident. Pak minorities are seething with anger.")</f>
        <v>Two Sikh (Sikh Community) traders were shot dead by two unidentified miscreants. The incident took place in Batta Tal Chowk area of ​​Sarband region of Pakistan. Ranjit Singh (42) and Kuljit Singh (38) have a spice shop there. They were killed in the shop. Police have started investigating the incident. Pak minorities are seething with anger.</v>
      </c>
      <c r="F113" s="1"/>
      <c r="G113" s="1"/>
      <c r="H113" s="1"/>
      <c r="I113" s="1"/>
    </row>
    <row r="114" spans="1:9" ht="15.6" x14ac:dyDescent="0.3">
      <c r="A114" s="1" t="s">
        <v>4</v>
      </c>
      <c r="B114" s="1" t="s">
        <v>5</v>
      </c>
      <c r="C114" s="10" t="s">
        <v>4</v>
      </c>
      <c r="D114" s="5" t="s">
        <v>114</v>
      </c>
      <c r="E114" s="1" t="str">
        <f ca="1">IFERROR(__xludf.DUMMYFUNCTION("GOOGLETRANSLATE(D114, ""bn"", ""en"")"),"Many people say again, why are religion involved in the festival? What is the problem with celebrating the festival according to religion?")</f>
        <v>Many people say again, why are religion involved in the festival? What is the problem with celebrating the festival according to religion?</v>
      </c>
      <c r="F114" s="1"/>
      <c r="G114" s="1"/>
      <c r="H114" s="1"/>
      <c r="I114" s="1"/>
    </row>
    <row r="115" spans="1:9" ht="15.6" x14ac:dyDescent="0.3">
      <c r="A115" s="1" t="s">
        <v>4</v>
      </c>
      <c r="B115" s="1" t="s">
        <v>4</v>
      </c>
      <c r="C115" s="10" t="s">
        <v>4</v>
      </c>
      <c r="D115" s="5" t="s">
        <v>115</v>
      </c>
      <c r="E115" s="1" t="str">
        <f ca="1">IFERROR(__xludf.DUMMYFUNCTION("GOOGLETRANSLATE(D115, ""bn"", ""en"")"),"I don't understand what the Hindu-Muslim comparison is here. And thanks to the people in my friends list for sharing posts with such nice captions ie insulting Hindus.")</f>
        <v>I don't understand what the Hindu-Muslim comparison is here. And thanks to the people in my friends list for sharing posts with such nice captions ie insulting Hindus.</v>
      </c>
      <c r="F115" s="1"/>
      <c r="G115" s="1"/>
      <c r="H115" s="1"/>
      <c r="I115" s="1"/>
    </row>
    <row r="116" spans="1:9" ht="15.6" x14ac:dyDescent="0.3">
      <c r="A116" s="1" t="s">
        <v>5</v>
      </c>
      <c r="B116" s="1" t="s">
        <v>5</v>
      </c>
      <c r="C116" s="10" t="s">
        <v>5</v>
      </c>
      <c r="D116" s="5" t="s">
        <v>116</v>
      </c>
      <c r="E116" s="1" t="str">
        <f ca="1">IFERROR(__xludf.DUMMYFUNCTION("GOOGLETRANSLATE(D116, ""bn"", ""en"")"),"A true Muslim can never do such a thing. Our religion always teaches us justice and humanity, and forbids injustice to anyone without reason.")</f>
        <v>A true Muslim can never do such a thing. Our religion always teaches us justice and humanity, and forbids injustice to anyone without reason.</v>
      </c>
      <c r="F116" s="1"/>
      <c r="G116" s="1"/>
      <c r="H116" s="1"/>
      <c r="I116" s="1"/>
    </row>
    <row r="117" spans="1:9" ht="15.6" x14ac:dyDescent="0.3">
      <c r="A117" s="1" t="s">
        <v>7</v>
      </c>
      <c r="B117" s="1" t="s">
        <v>7</v>
      </c>
      <c r="C117" s="10" t="s">
        <v>7</v>
      </c>
      <c r="D117" s="5" t="s">
        <v>117</v>
      </c>
      <c r="E117" s="1" t="str">
        <f ca="1">IFERROR(__xludf.DUMMYFUNCTION("GOOGLETRANSLATE(D117, ""bn"", ""en"")"),"After a young veterinarian was brutally gang-raped and murdered in Hyderabad, India, a BJP MLA from the city has been accused of stoking communal tension over the religious identity of the rapists. A BJP MLA named Raja Singh has been strongly condemned by"&amp;" various Muslim organizations in Hyderabad after he suggested on social media that 'the rapists must be Muslims'.")</f>
        <v>After a young veterinarian was brutally gang-raped and murdered in Hyderabad, India, a BJP MLA from the city has been accused of stoking communal tension over the religious identity of the rapists. A BJP MLA named Raja Singh has been strongly condemned by various Muslim organizations in Hyderabad after he suggested on social media that 'the rapists must be Muslims'.</v>
      </c>
      <c r="F117" s="1"/>
      <c r="G117" s="1"/>
      <c r="H117" s="1"/>
      <c r="I117" s="1"/>
    </row>
    <row r="118" spans="1:9" ht="17.399999999999999" x14ac:dyDescent="0.3">
      <c r="A118" s="1" t="s">
        <v>5</v>
      </c>
      <c r="B118" s="1" t="s">
        <v>5</v>
      </c>
      <c r="C118" s="10" t="s">
        <v>5</v>
      </c>
      <c r="D118" s="5" t="s">
        <v>3492</v>
      </c>
      <c r="E118" s="1" t="str">
        <f ca="1">IFERROR(__xludf.DUMMYFUNCTION("GOOGLETRANSLATE(D118, ""bn"", ""en"")"),"Muhammad has been given numerous names and titles in Muslim society.[22] These names are categorized as names given in the Qur'an, names described in the hadith, names mentioned in the Holy Book, and names corresponding to the beautiful names of Allah (as"&amp;"ma'ul husna). ")</f>
        <v>Muhammad has been given numerous names and titles in Muslim society.[22] These names are categorized as names given in the Qur'an, names described in the hadith, names mentioned in the Holy Book, and names corresponding to the beautiful names of Allah (asma'ul husna). </v>
      </c>
      <c r="F118" s="1"/>
      <c r="G118" s="1"/>
      <c r="H118" s="1"/>
      <c r="I118" s="1"/>
    </row>
    <row r="119" spans="1:9" ht="15.6" x14ac:dyDescent="0.3">
      <c r="A119" s="1" t="s">
        <v>5</v>
      </c>
      <c r="B119" s="1" t="s">
        <v>5</v>
      </c>
      <c r="C119" s="10" t="s">
        <v>5</v>
      </c>
      <c r="D119" s="5" t="s">
        <v>118</v>
      </c>
      <c r="E119" s="1" t="str">
        <f ca="1">IFERROR(__xludf.DUMMYFUNCTION("GOOGLETRANSLATE(D119, ""bn"", ""en"")"),"I heard it many times, I heard it again in 2023, Alhamdulillah. A wonderful description of the paradise of dreams in an emotional voice. May Allah grant us all tawfeek to go to Jannatul Firdaus.")</f>
        <v>I heard it many times, I heard it again in 2023, Alhamdulillah. A wonderful description of the paradise of dreams in an emotional voice. May Allah grant us all tawfeek to go to Jannatul Firdaus.</v>
      </c>
      <c r="F119" s="1"/>
      <c r="G119" s="1"/>
      <c r="H119" s="1"/>
      <c r="I119" s="1"/>
    </row>
    <row r="120" spans="1:9" ht="15.6" x14ac:dyDescent="0.3">
      <c r="A120" s="1" t="s">
        <v>4</v>
      </c>
      <c r="B120" s="1" t="s">
        <v>4</v>
      </c>
      <c r="C120" s="10" t="s">
        <v>4</v>
      </c>
      <c r="D120" s="5" t="s">
        <v>119</v>
      </c>
      <c r="E120" s="1" t="str">
        <f ca="1">IFERROR(__xludf.DUMMYFUNCTION("GOOGLETRANSLATE(D120, ""bn"", ""en"")"),"In our country every citizen has the right to practice his religion freely But why should Muslim religion hurt the religious feelings about the Holy Quran, the Holy Kaaba Sharif?")</f>
        <v>In our country every citizen has the right to practice his religion freely But why should Muslim religion hurt the religious feelings about the Holy Quran, the Holy Kaaba Sharif?</v>
      </c>
      <c r="F120" s="1"/>
      <c r="G120" s="1"/>
      <c r="H120" s="1"/>
      <c r="I120" s="1"/>
    </row>
    <row r="121" spans="1:9" ht="15.6" x14ac:dyDescent="0.3">
      <c r="A121" s="1" t="s">
        <v>5</v>
      </c>
      <c r="B121" s="1" t="s">
        <v>5</v>
      </c>
      <c r="C121" s="10" t="s">
        <v>5</v>
      </c>
      <c r="D121" s="5" t="s">
        <v>120</v>
      </c>
      <c r="E121" s="1" t="str">
        <f ca="1">IFERROR(__xludf.DUMMYFUNCTION("GOOGLETRANSLATE(D121, ""bn"", ""en"")"),"It is not right to misbehave with any holy book of any religion. The world's holiest book is Al-Quran of the Muslim religion. Alhamdulillah.")</f>
        <v>It is not right to misbehave with any holy book of any religion. The world's holiest book is Al-Quran of the Muslim religion. Alhamdulillah.</v>
      </c>
      <c r="F121" s="1"/>
      <c r="G121" s="1"/>
      <c r="H121" s="1"/>
      <c r="I121" s="1"/>
    </row>
    <row r="122" spans="1:9" ht="15.6" x14ac:dyDescent="0.3">
      <c r="A122" s="1" t="s">
        <v>9</v>
      </c>
      <c r="B122" s="1" t="s">
        <v>9</v>
      </c>
      <c r="C122" s="10" t="s">
        <v>9</v>
      </c>
      <c r="D122" s="5" t="s">
        <v>121</v>
      </c>
      <c r="E122" s="1" t="str">
        <f ca="1">IFERROR(__xludf.DUMMYFUNCTION("GOOGLETRANSLATE(D122, ""bn"", ""en"")"),"The civil society of the country has expressed strong anger in response to the incidents of violence in different parts of Bangladesh centered around Durga Puja, the biggest religious festival of the Hindu community.")</f>
        <v>The civil society of the country has expressed strong anger in response to the incidents of violence in different parts of Bangladesh centered around Durga Puja, the biggest religious festival of the Hindu community.</v>
      </c>
      <c r="F122" s="1"/>
      <c r="G122" s="1"/>
      <c r="H122" s="1"/>
      <c r="I122" s="1"/>
    </row>
    <row r="123" spans="1:9" ht="15.6" x14ac:dyDescent="0.3">
      <c r="A123" s="1" t="s">
        <v>9</v>
      </c>
      <c r="B123" s="1" t="s">
        <v>9</v>
      </c>
      <c r="C123" s="10" t="s">
        <v>9</v>
      </c>
      <c r="D123" s="5" t="s">
        <v>122</v>
      </c>
      <c r="E123" s="1" t="str">
        <f ca="1">IFERROR(__xludf.DUMMYFUNCTION("GOOGLETRANSLATE(D123, ""bn"", ""en"")"),"The extinction of Buddhism in India was due to the enmity of the Rohit caste Brahmins. The Hindu Shaivite king Shashanka (590-626), ruler of Gaur, destroyed the Bodhi tree - under which Gautama attained enlightenment while sitting in meditation.")</f>
        <v>The extinction of Buddhism in India was due to the enmity of the Rohit caste Brahmins. The Hindu Shaivite king Shashanka (590-626), ruler of Gaur, destroyed the Bodhi tree - under which Gautama attained enlightenment while sitting in meditation.</v>
      </c>
      <c r="F123" s="1"/>
      <c r="G123" s="1"/>
      <c r="H123" s="1"/>
      <c r="I123" s="1"/>
    </row>
    <row r="124" spans="1:9" ht="15.6" x14ac:dyDescent="0.3">
      <c r="A124" s="1" t="s">
        <v>9</v>
      </c>
      <c r="B124" s="1" t="s">
        <v>5</v>
      </c>
      <c r="C124" s="10" t="s">
        <v>9</v>
      </c>
      <c r="D124" s="5" t="s">
        <v>123</v>
      </c>
      <c r="E124" s="1" t="str">
        <f ca="1">IFERROR(__xludf.DUMMYFUNCTION("GOOGLETRANSLATE(D124, ""bn"", ""en"")"),"To say that the religion that Muslims follow, Islamic culture is rooted in Islamic principles. Islamic culture is found in following. No other religion's rituals are similar to Islamic culture. If someone matches it becomes conflicting. The combination of"&amp;" cultures of different religions with Islamic culture can be said to be in conflict with Islam.")</f>
        <v>To say that the religion that Muslims follow, Islamic culture is rooted in Islamic principles. Islamic culture is found in following. No other religion's rituals are similar to Islamic culture. If someone matches it becomes conflicting. The combination of cultures of different religions with Islamic culture can be said to be in conflict with Islam.</v>
      </c>
      <c r="F124" s="1"/>
      <c r="G124" s="1"/>
      <c r="H124" s="1"/>
      <c r="I124" s="1"/>
    </row>
    <row r="125" spans="1:9" ht="15.6" x14ac:dyDescent="0.3">
      <c r="A125" s="1" t="s">
        <v>9</v>
      </c>
      <c r="B125" s="1" t="s">
        <v>4</v>
      </c>
      <c r="C125" s="10" t="s">
        <v>9</v>
      </c>
      <c r="D125" s="5" t="s">
        <v>124</v>
      </c>
      <c r="E125" s="1" t="str">
        <f ca="1">IFERROR(__xludf.DUMMYFUNCTION("GOOGLETRANSLATE(D125, ""bn"", ""en"")"),"Violators face punishments such as imprisonment and flogging.[53] On March 24, 2005, Saudi authorities destroyed religious items from a makeshift Hindu temple found in an apartment in Riyadh.[54]")</f>
        <v>Violators face punishments such as imprisonment and flogging.[53] On March 24, 2005, Saudi authorities destroyed religious items from a makeshift Hindu temple found in an apartment in Riyadh.[54]</v>
      </c>
      <c r="F125" s="1"/>
      <c r="G125" s="1"/>
      <c r="H125" s="1"/>
      <c r="I125" s="1"/>
    </row>
    <row r="126" spans="1:9" ht="15.6" x14ac:dyDescent="0.3">
      <c r="A126" s="1" t="s">
        <v>7</v>
      </c>
      <c r="B126" s="1" t="s">
        <v>7</v>
      </c>
      <c r="C126" s="10" t="s">
        <v>7</v>
      </c>
      <c r="D126" s="5" t="s">
        <v>125</v>
      </c>
      <c r="E126" s="1" t="str">
        <f ca="1">IFERROR(__xludf.DUMMYFUNCTION("GOOGLETRANSLATE(D126, ""bn"", ""en"")"),"On 12th February the Hindu massacre started in Chittagong. Ansar forces under the leadership of Fazlul Quader Chowdhury began to massacre the Hindus. [30] Hindu neighborhoods were burning. Chatgaon, Noapara, Chowdhury Hat, Patia, Boalkhali, Sitakunday Hin"&amp;"dus were massacred.")</f>
        <v>On 12th February the Hindu massacre started in Chittagong. Ansar forces under the leadership of Fazlul Quader Chowdhury began to massacre the Hindus. [30] Hindu neighborhoods were burning. Chatgaon, Noapara, Chowdhury Hat, Patia, Boalkhali, Sitakunday Hindus were massacred.</v>
      </c>
      <c r="F126" s="1"/>
      <c r="G126" s="1"/>
      <c r="H126" s="1"/>
      <c r="I126" s="1"/>
    </row>
    <row r="127" spans="1:9" ht="15.6" x14ac:dyDescent="0.3">
      <c r="A127" s="1" t="s">
        <v>4</v>
      </c>
      <c r="B127" s="1" t="s">
        <v>4</v>
      </c>
      <c r="C127" s="10" t="s">
        <v>4</v>
      </c>
      <c r="D127" s="5" t="s">
        <v>126</v>
      </c>
      <c r="E127" s="1" t="str">
        <f ca="1">IFERROR(__xludf.DUMMYFUNCTION("GOOGLETRANSLATE(D127, ""bn"", ""en"")"),"Among the religious conflicts, there are various types of religious conflicts in Bangladesh between Sunni Wahhabi, Khareji, Rafeji and followers of different types of Islam. One side cannot tolerate the other.")</f>
        <v>Among the religious conflicts, there are various types of religious conflicts in Bangladesh between Sunni Wahhabi, Khareji, Rafeji and followers of different types of Islam. One side cannot tolerate the other.</v>
      </c>
      <c r="F127" s="1"/>
      <c r="G127" s="1"/>
      <c r="H127" s="1"/>
      <c r="I127" s="1"/>
    </row>
    <row r="128" spans="1:9" ht="15.6" x14ac:dyDescent="0.3">
      <c r="A128" s="1" t="s">
        <v>9</v>
      </c>
      <c r="B128" s="1" t="s">
        <v>4</v>
      </c>
      <c r="C128" s="10" t="s">
        <v>9</v>
      </c>
      <c r="D128" s="5" t="s">
        <v>127</v>
      </c>
      <c r="E128" s="1" t="str">
        <f ca="1">IFERROR(__xludf.DUMMYFUNCTION("GOOGLETRANSLATE(D128, ""bn"", ""en"")"),"After the speech of Ghulam Sarwar Hussaini, Muslims looted Hindu shops in the market under Ramganj police station. Muslims attacked the residences of Noakhali Bar President and Hindu Mahasabha leaders Surendranath Bose and Rajendralal Chowdhury.")</f>
        <v>After the speech of Ghulam Sarwar Hussaini, Muslims looted Hindu shops in the market under Ramganj police station. Muslims attacked the residences of Noakhali Bar President and Hindu Mahasabha leaders Surendranath Bose and Rajendralal Chowdhury.</v>
      </c>
      <c r="F128" s="1"/>
      <c r="G128" s="1"/>
      <c r="H128" s="1"/>
      <c r="I128" s="1"/>
    </row>
    <row r="129" spans="1:9" ht="15.6" x14ac:dyDescent="0.3">
      <c r="A129" s="1" t="s">
        <v>9</v>
      </c>
      <c r="B129" s="1" t="s">
        <v>4</v>
      </c>
      <c r="C129" s="10" t="s">
        <v>9</v>
      </c>
      <c r="D129" s="5" t="s">
        <v>128</v>
      </c>
      <c r="E129" s="1" t="str">
        <f ca="1">IFERROR(__xludf.DUMMYFUNCTION("GOOGLETRANSLATE(D129, ""bn"", ""en"")"),"The harmony between the Buddhist and Muslim communities in Ramu changed completely after the attack.")</f>
        <v>The harmony between the Buddhist and Muslim communities in Ramu changed completely after the attack.</v>
      </c>
      <c r="F129" s="1"/>
      <c r="G129" s="1"/>
      <c r="H129" s="1"/>
      <c r="I129" s="1"/>
    </row>
    <row r="130" spans="1:9" ht="15.6" x14ac:dyDescent="0.3">
      <c r="A130" s="1" t="s">
        <v>7</v>
      </c>
      <c r="B130" s="1" t="s">
        <v>7</v>
      </c>
      <c r="C130" s="10" t="s">
        <v>7</v>
      </c>
      <c r="D130" s="5" t="s">
        <v>129</v>
      </c>
      <c r="E130" s="1" t="str">
        <f ca="1">IFERROR(__xludf.DUMMYFUNCTION("GOOGLETRANSLATE(D130, ""bn"", ""en"")"),"According to the report, the statistics show that Hindu oppression is constantly increasing in the country. Compared to 2015, Hindu persecution has increased several times in 2016, 2017, 2018, 2019 and 2020. The Bangladesh National Hindu Mahazot has alleg"&amp;"ed that 149 people from the minority Hindu community have been killed across the country from January 1 to December 29, 2020.")</f>
        <v>According to the report, the statistics show that Hindu oppression is constantly increasing in the country. Compared to 2015, Hindu persecution has increased several times in 2016, 2017, 2018, 2019 and 2020. The Bangladesh National Hindu Mahazot has alleged that 149 people from the minority Hindu community have been killed across the country from January 1 to December 29, 2020.</v>
      </c>
      <c r="F130" s="1"/>
      <c r="G130" s="1"/>
      <c r="H130" s="1"/>
      <c r="I130" s="1"/>
    </row>
    <row r="131" spans="1:9" ht="15.6" x14ac:dyDescent="0.3">
      <c r="A131" s="1" t="s">
        <v>4</v>
      </c>
      <c r="B131" s="1" t="s">
        <v>4</v>
      </c>
      <c r="C131" s="10" t="s">
        <v>4</v>
      </c>
      <c r="D131" s="5" t="s">
        <v>130</v>
      </c>
      <c r="E131" s="1" t="str">
        <f ca="1">IFERROR(__xludf.DUMMYFUNCTION("GOOGLETRANSLATE(D131, ""bn"", ""en"")"),"The reconstruction of the mosque is going on in the land of the mosque. No one has been oppressed here, but the mosque and the common Muslims of the area have been oppressed by stopping the mosque's reconstruction.")</f>
        <v>The reconstruction of the mosque is going on in the land of the mosque. No one has been oppressed here, but the mosque and the common Muslims of the area have been oppressed by stopping the mosque's reconstruction.</v>
      </c>
      <c r="F131" s="1"/>
      <c r="G131" s="1"/>
      <c r="H131" s="1"/>
      <c r="I131" s="1"/>
    </row>
    <row r="132" spans="1:9" ht="15.6" x14ac:dyDescent="0.3">
      <c r="A132" s="1" t="s">
        <v>9</v>
      </c>
      <c r="B132" s="1" t="s">
        <v>4</v>
      </c>
      <c r="C132" s="10" t="s">
        <v>9</v>
      </c>
      <c r="D132" s="5" t="s">
        <v>131</v>
      </c>
      <c r="E132" s="1" t="str">
        <f ca="1">IFERROR(__xludf.DUMMYFUNCTION("GOOGLETRANSLATE(D132, ""bn"", ""en"")"),"Prohibited statements, advertisements, notices, news, or opinions are; (1) Names of the places where the riots took place (2) The manner in which the victims were killed or tortured (3) The names of the communities persecuted and the communities who tortu"&amp;"red them (4) The names of the places or temples or places of worship destroyed. ")</f>
        <v>Prohibited statements, advertisements, notices, news, or opinions are; (1) Names of the places where the riots took place (2) The manner in which the victims were killed or tortured (3) The names of the communities persecuted and the communities who tortured them (4) The names of the places or temples or places of worship destroyed. </v>
      </c>
      <c r="F132" s="1"/>
      <c r="G132" s="1"/>
      <c r="H132" s="1"/>
      <c r="I132" s="1"/>
    </row>
    <row r="133" spans="1:9" ht="15.6" x14ac:dyDescent="0.3">
      <c r="A133" s="1" t="s">
        <v>4</v>
      </c>
      <c r="B133" s="1" t="s">
        <v>4</v>
      </c>
      <c r="C133" s="10" t="s">
        <v>4</v>
      </c>
      <c r="D133" s="5" t="s">
        <v>132</v>
      </c>
      <c r="E133" s="1" t="str">
        <f ca="1">IFERROR(__xludf.DUMMYFUNCTION("GOOGLETRANSLATE(D133, ""bn"", ""en"")"),"Rumors or any provocative statements, especially on religious issues, the recent incidents happening in Lalmonirhat or other places, are being viewed very seriously by the government. Now these rumour-mongers are trying to carry out such mischief from wit"&amp;"hin the country or outside the country. Here a kind of confusion is created in the public mind, thereby creating a kind of anxiety and unrest.")</f>
        <v>Rumors or any provocative statements, especially on religious issues, the recent incidents happening in Lalmonirhat or other places, are being viewed very seriously by the government. Now these rumour-mongers are trying to carry out such mischief from within the country or outside the country. Here a kind of confusion is created in the public mind, thereby creating a kind of anxiety and unrest.</v>
      </c>
      <c r="F133" s="1"/>
      <c r="G133" s="1"/>
      <c r="H133" s="1"/>
      <c r="I133" s="1"/>
    </row>
    <row r="134" spans="1:9" ht="15.6" x14ac:dyDescent="0.3">
      <c r="A134" s="1" t="s">
        <v>9</v>
      </c>
      <c r="B134" s="1" t="s">
        <v>4</v>
      </c>
      <c r="C134" s="10" t="s">
        <v>9</v>
      </c>
      <c r="D134" s="5" t="s">
        <v>133</v>
      </c>
      <c r="E134" s="1" t="str">
        <f ca="1">IFERROR(__xludf.DUMMYFUNCTION("GOOGLETRANSLATE(D134, ""bn"", ""en"")"),"Muslim mobs incited communal violence against Hindu communities across Bangladesh during the Durga Puja festival, in response to a viral video in which a Quran was placed at the feet of a temple idol. Over 50 temples and makeshift worship facilities were "&amp;"vandalized across Bangladesh.")</f>
        <v>Muslim mobs incited communal violence against Hindu communities across Bangladesh during the Durga Puja festival, in response to a viral video in which a Quran was placed at the feet of a temple idol. Over 50 temples and makeshift worship facilities were vandalized across Bangladesh.</v>
      </c>
      <c r="F134" s="1"/>
      <c r="G134" s="1"/>
      <c r="H134" s="1"/>
      <c r="I134" s="1"/>
    </row>
    <row r="135" spans="1:9" ht="15.6" x14ac:dyDescent="0.3">
      <c r="A135" s="1" t="s">
        <v>4</v>
      </c>
      <c r="B135" s="1" t="s">
        <v>4</v>
      </c>
      <c r="C135" s="10" t="s">
        <v>4</v>
      </c>
      <c r="D135" s="5" t="s">
        <v>134</v>
      </c>
      <c r="E135" s="1" t="str">
        <f ca="1">IFERROR(__xludf.DUMMYFUNCTION("GOOGLETRANSLATE(D135, ""bn"", ""en"")"),"The names of the comments seem to be Muslim! There was a time when one could distinguish a Muslim or a non-Muslim by looking at the name, now there is no way to know it by looking at the name. Looking at their comments, it seems that it is better to put S"&amp;"ri next to the name.")</f>
        <v>The names of the comments seem to be Muslim! There was a time when one could distinguish a Muslim or a non-Muslim by looking at the name, now there is no way to know it by looking at the name. Looking at their comments, it seems that it is better to put Sri next to the name.</v>
      </c>
      <c r="F135" s="1"/>
      <c r="G135" s="1"/>
      <c r="H135" s="1"/>
      <c r="I135" s="1"/>
    </row>
    <row r="136" spans="1:9" ht="15.6" x14ac:dyDescent="0.3">
      <c r="A136" s="1" t="s">
        <v>5</v>
      </c>
      <c r="B136" s="1" t="s">
        <v>5</v>
      </c>
      <c r="C136" s="10" t="s">
        <v>5</v>
      </c>
      <c r="D136" s="5" t="s">
        <v>135</v>
      </c>
      <c r="E136" s="1" t="str">
        <f ca="1">IFERROR(__xludf.DUMMYFUNCTION("GOOGLETRANSLATE(D136, ""bn"", ""en"")"),"It should have been judged by the students, such incidents are happening frequently in the country now, I see these Muslim teachers also doing the niqab.")</f>
        <v>It should have been judged by the students, such incidents are happening frequently in the country now, I see these Muslim teachers also doing the niqab.</v>
      </c>
      <c r="F136" s="1"/>
      <c r="G136" s="1"/>
      <c r="H136" s="1"/>
      <c r="I136" s="1"/>
    </row>
    <row r="137" spans="1:9" ht="15.6" x14ac:dyDescent="0.3">
      <c r="A137" s="1" t="s">
        <v>5</v>
      </c>
      <c r="B137" s="1" t="s">
        <v>5</v>
      </c>
      <c r="C137" s="10" t="s">
        <v>5</v>
      </c>
      <c r="D137" s="5" t="s">
        <v>136</v>
      </c>
      <c r="E137" s="1" t="str">
        <f ca="1">IFERROR(__xludf.DUMMYFUNCTION("GOOGLETRANSLATE(D137, ""bn"", ""en"")"),"I also respect Gautama Buddha of Sanatan Dharma")</f>
        <v>I also respect Gautama Buddha of Sanatan Dharma</v>
      </c>
      <c r="F137" s="1"/>
      <c r="G137" s="1"/>
      <c r="H137" s="1"/>
      <c r="I137" s="1"/>
    </row>
    <row r="138" spans="1:9" ht="15.6" x14ac:dyDescent="0.3">
      <c r="A138" s="1" t="s">
        <v>5</v>
      </c>
      <c r="B138" s="1" t="s">
        <v>5</v>
      </c>
      <c r="C138" s="10" t="s">
        <v>5</v>
      </c>
      <c r="D138" s="5" t="s">
        <v>137</v>
      </c>
      <c r="E138" s="1" t="str">
        <f ca="1">IFERROR(__xludf.DUMMYFUNCTION("GOOGLETRANSLATE(D138, ""bn"", ""en"")"),"Every prayer of a believer is accepted in different categories. The impossible can be made possible through prayer. For example, when Zakariyya (a.s.) and his wife were unable to bear children, Allah Ta'ala answered their prayers and gave them children.")</f>
        <v>Every prayer of a believer is accepted in different categories. The impossible can be made possible through prayer. For example, when Zakariyya (a.s.) and his wife were unable to bear children, Allah Ta'ala answered their prayers and gave them children.</v>
      </c>
      <c r="F138" s="1"/>
      <c r="G138" s="1"/>
      <c r="H138" s="1"/>
      <c r="I138" s="1"/>
    </row>
    <row r="139" spans="1:9" ht="15.6" x14ac:dyDescent="0.3">
      <c r="A139" s="1" t="s">
        <v>9</v>
      </c>
      <c r="B139" s="1" t="s">
        <v>5</v>
      </c>
      <c r="C139" s="10" t="s">
        <v>9</v>
      </c>
      <c r="D139" s="5" t="s">
        <v>138</v>
      </c>
      <c r="E139" s="1" t="str">
        <f ca="1">IFERROR(__xludf.DUMMYFUNCTION("GOOGLETRANSLATE(D139, ""bn"", ""en"")"),"The Jamaats are inciting riots to occupy the house of a minority family in Domar.")</f>
        <v>The Jamaats are inciting riots to occupy the house of a minority family in Domar.</v>
      </c>
      <c r="F139" s="1"/>
      <c r="G139" s="1"/>
      <c r="H139" s="1"/>
      <c r="I139" s="1"/>
    </row>
    <row r="140" spans="1:9" ht="15.6" x14ac:dyDescent="0.3">
      <c r="A140" s="1" t="s">
        <v>7</v>
      </c>
      <c r="B140" s="1" t="s">
        <v>7</v>
      </c>
      <c r="C140" s="10" t="s">
        <v>7</v>
      </c>
      <c r="D140" s="5" t="s">
        <v>139</v>
      </c>
      <c r="E140" s="1" t="str">
        <f ca="1">IFERROR(__xludf.DUMMYFUNCTION("GOOGLETRANSLATE(D140, ""bn"", ""en"")"),"This murder was completely planned. All the railway workers including the train driver, guard are involved in this murder. West Bengal Chief Secretary Prabhas Chandra Lahiri blamed East Pakistan Chief Secretary Aziz Ahmed and Rajshahi District Magistrate "&amp;"Abdul Majeed for the murder.")</f>
        <v>This murder was completely planned. All the railway workers including the train driver, guard are involved in this murder. West Bengal Chief Secretary Prabhas Chandra Lahiri blamed East Pakistan Chief Secretary Aziz Ahmed and Rajshahi District Magistrate Abdul Majeed for the murder.</v>
      </c>
      <c r="F140" s="1"/>
      <c r="G140" s="1"/>
      <c r="H140" s="1"/>
      <c r="I140" s="1"/>
    </row>
    <row r="141" spans="1:9" ht="15.6" x14ac:dyDescent="0.3">
      <c r="A141" s="1" t="s">
        <v>9</v>
      </c>
      <c r="B141" s="1" t="s">
        <v>9</v>
      </c>
      <c r="C141" s="10" t="s">
        <v>9</v>
      </c>
      <c r="D141" s="5" t="s">
        <v>140</v>
      </c>
      <c r="E141" s="1" t="str">
        <f ca="1">IFERROR(__xludf.DUMMYFUNCTION("GOOGLETRANSLATE(D141, ""bn"", ""en"")"),"One of the biggest attacks on religious hatred in Bangladesh happened in Ramu in 2012. A number of Buddhist temples were also set on fire in Ramu, Cox's Bazar, on charges of desecration of Quran Sharif on Facebook.")</f>
        <v>One of the biggest attacks on religious hatred in Bangladesh happened in Ramu in 2012. A number of Buddhist temples were also set on fire in Ramu, Cox's Bazar, on charges of desecration of Quran Sharif on Facebook.</v>
      </c>
      <c r="F141" s="1"/>
      <c r="G141" s="1"/>
      <c r="H141" s="1"/>
      <c r="I141" s="1"/>
    </row>
    <row r="142" spans="1:9" ht="15.6" x14ac:dyDescent="0.3">
      <c r="A142" s="1" t="s">
        <v>9</v>
      </c>
      <c r="B142" s="1" t="s">
        <v>9</v>
      </c>
      <c r="C142" s="10" t="s">
        <v>9</v>
      </c>
      <c r="D142" s="5" t="s">
        <v>141</v>
      </c>
      <c r="E142" s="1" t="str">
        <f ca="1">IFERROR(__xludf.DUMMYFUNCTION("GOOGLETRANSLATE(D142, ""bn"", ""en"")"),"A Facebook ID of a college student named Akash Saha was accused of making controversial comments on a Facebook post about the Holy Prophet Hazrat Muhammad (PBUH). Because of this, on Friday afternoon, Sahapara of Dighlia village was attacked.")</f>
        <v>A Facebook ID of a college student named Akash Saha was accused of making controversial comments on a Facebook post about the Holy Prophet Hazrat Muhammad (PBUH). Because of this, on Friday afternoon, Sahapara of Dighlia village was attacked.</v>
      </c>
      <c r="F142" s="1"/>
      <c r="G142" s="1"/>
      <c r="H142" s="1"/>
      <c r="I142" s="1"/>
    </row>
    <row r="143" spans="1:9" ht="15.6" x14ac:dyDescent="0.3">
      <c r="A143" s="4" t="s">
        <v>7</v>
      </c>
      <c r="B143" s="4" t="s">
        <v>7</v>
      </c>
      <c r="C143" s="11" t="s">
        <v>7</v>
      </c>
      <c r="D143" s="5" t="s">
        <v>142</v>
      </c>
      <c r="E143" s="1" t="str">
        <f ca="1">IFERROR(__xludf.DUMMYFUNCTION("GOOGLETRANSLATE(D143, ""bn"", ""en"")"),"It is heard that Mujib took to the streets with a dagger in his hand during the great massacre in Kolkata. Mujib was a personal disciple of Surabardi. So why is it any wonder that the disciple would join the riot that the Guru had started? But Mujib learn"&amp;"ed to kill Hindus in riots from his village.")</f>
        <v>It is heard that Mujib took to the streets with a dagger in his hand during the great massacre in Kolkata. Mujib was a personal disciple of Surabardi. So why is it any wonder that the disciple would join the riot that the Guru had started? But Mujib learned to kill Hindus in riots from his village.</v>
      </c>
      <c r="F143" s="1"/>
      <c r="G143" s="1"/>
      <c r="H143" s="1"/>
      <c r="I143" s="1"/>
    </row>
    <row r="144" spans="1:9" ht="15.6" x14ac:dyDescent="0.3">
      <c r="A144" s="1" t="s">
        <v>9</v>
      </c>
      <c r="B144" s="1" t="s">
        <v>9</v>
      </c>
      <c r="C144" s="10" t="s">
        <v>9</v>
      </c>
      <c r="D144" s="5" t="s">
        <v>143</v>
      </c>
      <c r="E144" s="1" t="str">
        <f ca="1">IFERROR(__xludf.DUMMYFUNCTION("GOOGLETRANSLATE(D144, ""bn"", ""en"")"),"The Muslim invasion of the Indian subcontinent began in the early 8th century AD. According to Mirza Kalichbeg Fredunbeg's 1900 translation of the Persian text Chachnama, when some Arab merchants who were staying in Sinhalese for business died, the Sinhal"&amp;"a king sent some gifts to the families of the dead merchants and Hajjaz-bin-Yusuf along with 8 ships to Basra.")</f>
        <v>The Muslim invasion of the Indian subcontinent began in the early 8th century AD. According to Mirza Kalichbeg Fredunbeg's 1900 translation of the Persian text Chachnama, when some Arab merchants who were staying in Sinhalese for business died, the Sinhala king sent some gifts to the families of the dead merchants and Hajjaz-bin-Yusuf along with 8 ships to Basra.</v>
      </c>
      <c r="F144" s="1"/>
      <c r="G144" s="1"/>
      <c r="H144" s="1"/>
      <c r="I144" s="1"/>
    </row>
    <row r="145" spans="1:9" ht="15.6" x14ac:dyDescent="0.3">
      <c r="A145" s="1" t="s">
        <v>4</v>
      </c>
      <c r="B145" s="1" t="s">
        <v>5</v>
      </c>
      <c r="C145" s="10" t="s">
        <v>4</v>
      </c>
      <c r="D145" s="5" t="s">
        <v>144</v>
      </c>
      <c r="E145" s="1" t="str">
        <f ca="1">IFERROR(__xludf.DUMMYFUNCTION("GOOGLETRANSLATE(D145, ""bn"", ""en"")"),"A new crisis like the Rohingya crisis may emerge in the eastern part of India. Such a crisis would create a major disaster in Bangladesh.")</f>
        <v>A new crisis like the Rohingya crisis may emerge in the eastern part of India. Such a crisis would create a major disaster in Bangladesh.</v>
      </c>
      <c r="F145" s="1"/>
      <c r="G145" s="1"/>
      <c r="H145" s="1"/>
      <c r="I145" s="1"/>
    </row>
    <row r="146" spans="1:9" ht="15.6" x14ac:dyDescent="0.3">
      <c r="A146" s="1" t="s">
        <v>9</v>
      </c>
      <c r="B146" s="1" t="s">
        <v>9</v>
      </c>
      <c r="C146" s="10" t="s">
        <v>9</v>
      </c>
      <c r="D146" s="5" t="s">
        <v>145</v>
      </c>
      <c r="E146" s="1" t="str">
        <f ca="1">IFERROR(__xludf.DUMMYFUNCTION("GOOGLETRANSLATE(D146, ""bn"", ""en"")"),"In Narsingdi on September 19, some Hindu students were barred from entering the SSC English first paper examination after wearing vermilion and conch shells. After forcing the students to wipe the vermilion and open the shells, they were allowed to enter "&amp;"the examination hall.")</f>
        <v>In Narsingdi on September 19, some Hindu students were barred from entering the SSC English first paper examination after wearing vermilion and conch shells. After forcing the students to wipe the vermilion and open the shells, they were allowed to enter the examination hall.</v>
      </c>
      <c r="F146" s="1"/>
      <c r="G146" s="1"/>
      <c r="H146" s="1"/>
      <c r="I146" s="1"/>
    </row>
    <row r="147" spans="1:9" ht="15.6" x14ac:dyDescent="0.3">
      <c r="A147" s="1" t="s">
        <v>7</v>
      </c>
      <c r="B147" s="1" t="s">
        <v>7</v>
      </c>
      <c r="C147" s="10" t="s">
        <v>7</v>
      </c>
      <c r="D147" s="5" t="s">
        <v>146</v>
      </c>
      <c r="E147" s="1" t="str">
        <f ca="1">IFERROR(__xludf.DUMMYFUNCTION("GOOGLETRANSLATE(D147, ""bn"", ""en"")"),"Historians are reluctant to compare the Noakhali massacre with Hindu-Muslim riots elsewhere in India, mainly for three reasons. First, the power of the two sides was not equal here, as was seen during the Calcutta riots. Mainly Hindu people were attacked "&amp;"here.")</f>
        <v>Historians are reluctant to compare the Noakhali massacre with Hindu-Muslim riots elsewhere in India, mainly for three reasons. First, the power of the two sides was not equal here, as was seen during the Calcutta riots. Mainly Hindu people were attacked here.</v>
      </c>
      <c r="F147" s="1"/>
      <c r="G147" s="1"/>
      <c r="H147" s="1"/>
      <c r="I147" s="1"/>
    </row>
    <row r="148" spans="1:9" ht="15.6" x14ac:dyDescent="0.3">
      <c r="A148" s="1" t="s">
        <v>7</v>
      </c>
      <c r="B148" s="1" t="s">
        <v>7</v>
      </c>
      <c r="C148" s="10" t="s">
        <v>7</v>
      </c>
      <c r="D148" s="5" t="s">
        <v>147</v>
      </c>
      <c r="E148" s="1" t="str">
        <f ca="1">IFERROR(__xludf.DUMMYFUNCTION("GOOGLETRANSLATE(D148, ""bn"", ""en"")"),"The Makalkandi Massacre or Makalkandi Massacre was a massacre of Bengali Hindus in Makalkandi village under Habiganj sub-division of the undivided Sylhet district of Bangladesh by the Pakistani occupation army during the Bangladesh War of Independence, wh"&amp;"ich took place on 18 August 1971.")</f>
        <v>The Makalkandi Massacre or Makalkandi Massacre was a massacre of Bengali Hindus in Makalkandi village under Habiganj sub-division of the undivided Sylhet district of Bangladesh by the Pakistani occupation army during the Bangladesh War of Independence, which took place on 18 August 1971.</v>
      </c>
      <c r="F148" s="1"/>
      <c r="G148" s="1"/>
      <c r="H148" s="1"/>
      <c r="I148" s="1"/>
    </row>
    <row r="149" spans="1:9" ht="15.6" x14ac:dyDescent="0.3">
      <c r="A149" s="1" t="s">
        <v>9</v>
      </c>
      <c r="B149" s="1" t="s">
        <v>9</v>
      </c>
      <c r="C149" s="10" t="s">
        <v>9</v>
      </c>
      <c r="D149" s="5" t="s">
        <v>148</v>
      </c>
      <c r="E149" s="1" t="str">
        <f ca="1">IFERROR(__xludf.DUMMYFUNCTION("GOOGLETRANSLATE(D149, ""bn"", ""en"")"),"In the name of the so-called war against terrorism, another round of destruction and looting of Afghanistan was started. After exhausting all the resources, they returned to their own countries with their armies and slaves. Meanwhile, some people in the w"&amp;"orld are looking at America.")</f>
        <v>In the name of the so-called war against terrorism, another round of destruction and looting of Afghanistan was started. After exhausting all the resources, they returned to their own countries with their armies and slaves. Meanwhile, some people in the world are looking at America.</v>
      </c>
      <c r="F149" s="1"/>
      <c r="G149" s="1"/>
      <c r="H149" s="1"/>
      <c r="I149" s="1"/>
    </row>
    <row r="150" spans="1:9" ht="15.6" x14ac:dyDescent="0.3">
      <c r="A150" s="1" t="s">
        <v>4</v>
      </c>
      <c r="B150" s="1" t="s">
        <v>4</v>
      </c>
      <c r="C150" s="10" t="s">
        <v>4</v>
      </c>
      <c r="D150" s="5" t="s">
        <v>149</v>
      </c>
      <c r="E150" s="1" t="str">
        <f ca="1">IFERROR(__xludf.DUMMYFUNCTION("GOOGLETRANSLATE(D150, ""bn"", ""en"")"),"By proving this information wrong, because the weapons used in Syria came with the money of Saudi Arabia!  The gentleman's name is Justin Trudeau. Prime Minister of Canada.")</f>
        <v>By proving this information wrong, because the weapons used in Syria came with the money of Saudi Arabia!  The gentleman's name is Justin Trudeau. Prime Minister of Canada.</v>
      </c>
      <c r="F150" s="1"/>
      <c r="G150" s="1"/>
      <c r="H150" s="1"/>
      <c r="I150" s="1"/>
    </row>
    <row r="151" spans="1:9" ht="15.6" x14ac:dyDescent="0.3">
      <c r="A151" s="1" t="s">
        <v>9</v>
      </c>
      <c r="B151" s="1" t="s">
        <v>9</v>
      </c>
      <c r="C151" s="10" t="s">
        <v>9</v>
      </c>
      <c r="D151" s="5" t="s">
        <v>150</v>
      </c>
      <c r="E151" s="1" t="str">
        <f ca="1">IFERROR(__xludf.DUMMYFUNCTION("GOOGLETRANSLATE(D151, ""bn"", ""en"")"),"Serb forces launched a campaign of ethnic cleansing against Bosnian Muslims (1995).")</f>
        <v>Serb forces launched a campaign of ethnic cleansing against Bosnian Muslims (1995).</v>
      </c>
      <c r="F151" s="1"/>
      <c r="G151" s="1"/>
      <c r="H151" s="1"/>
      <c r="I151" s="1"/>
    </row>
    <row r="152" spans="1:9" ht="31.2" x14ac:dyDescent="0.3">
      <c r="A152" s="1" t="s">
        <v>9</v>
      </c>
      <c r="B152" s="1" t="s">
        <v>9</v>
      </c>
      <c r="C152" s="10" t="s">
        <v>9</v>
      </c>
      <c r="D152" s="6" t="s">
        <v>151</v>
      </c>
      <c r="E152" s="1" t="str">
        <f ca="1">IFERROR(__xludf.DUMMYFUNCTION("GOOGLETRANSLATE(D152, ""bn"", ""en"")"),"However, Deputy Commissioner of Narail Mohammad Habibur Rahman said that law and order forces dispersed the attackers with a strong hand that day by lathi charge and tear gas. But the attackers did some vandalism while dispersing")</f>
        <v>However, Deputy Commissioner of Narail Mohammad Habibur Rahman said that law and order forces dispersed the attackers with a strong hand that day by lathi charge and tear gas. But the attackers did some vandalism while dispersing</v>
      </c>
      <c r="F152" s="1"/>
      <c r="G152" s="1"/>
      <c r="H152" s="1"/>
      <c r="I152" s="1"/>
    </row>
    <row r="153" spans="1:9" ht="15.6" x14ac:dyDescent="0.3">
      <c r="A153" s="1" t="s">
        <v>5</v>
      </c>
      <c r="B153" s="1" t="s">
        <v>4</v>
      </c>
      <c r="C153" s="10" t="s">
        <v>5</v>
      </c>
      <c r="D153" s="5" t="s">
        <v>152</v>
      </c>
      <c r="E153" s="1" t="str">
        <f ca="1">IFERROR(__xludf.DUMMYFUNCTION("GOOGLETRANSLATE(D153, ""bn"", ""en"")"),"Brother, we know that you love Buddhism, it is good to say Buddhism in a beautiful way ")</f>
        <v xml:space="preserve">Brother, we know that you love Buddhism, it is good to say Buddhism in a beautiful way </v>
      </c>
      <c r="F153" s="1"/>
      <c r="G153" s="1"/>
      <c r="H153" s="1"/>
      <c r="I153" s="1"/>
    </row>
    <row r="154" spans="1:9" ht="15.6" x14ac:dyDescent="0.3">
      <c r="A154" s="1" t="s">
        <v>5</v>
      </c>
      <c r="B154" s="1" t="s">
        <v>5</v>
      </c>
      <c r="C154" s="10" t="s">
        <v>5</v>
      </c>
      <c r="D154" s="5" t="s">
        <v>153</v>
      </c>
      <c r="E154" s="1" t="str">
        <f ca="1">IFERROR(__xludf.DUMMYFUNCTION("GOOGLETRANSLATE(D154, ""bn"", ""en"")"),"I am a woman and my chest is bursting, but I want to be patient in everything, O Allah, guide those who have committed crimes, punish them so that they return to the right path, and the whole world finds peace and learning.")</f>
        <v>I am a woman and my chest is bursting, but I want to be patient in everything, O Allah, guide those who have committed crimes, punish them so that they return to the right path, and the whole world finds peace and learning.</v>
      </c>
      <c r="F154" s="1"/>
      <c r="G154" s="1"/>
      <c r="H154" s="1"/>
      <c r="I154" s="1"/>
    </row>
    <row r="155" spans="1:9" ht="15.6" x14ac:dyDescent="0.3">
      <c r="A155" s="1" t="s">
        <v>5</v>
      </c>
      <c r="B155" s="1" t="s">
        <v>5</v>
      </c>
      <c r="C155" s="10" t="s">
        <v>5</v>
      </c>
      <c r="D155" s="5" t="s">
        <v>154</v>
      </c>
      <c r="E155" s="1" t="str">
        <f ca="1">IFERROR(__xludf.DUMMYFUNCTION("GOOGLETRANSLATE(D155, ""bn"", ""en"")"),"People develop their sense of belonging and spirituality through various means of religion. Religion directs every man to the path of justice and truth in all parts of his life. It creates prosperity and honor in personal and social life. Man defines his "&amp;"concepts through religion, which makes him dependent and fixed.")</f>
        <v>People develop their sense of belonging and spirituality through various means of religion. Religion directs every man to the path of justice and truth in all parts of his life. It creates prosperity and honor in personal and social life. Man defines his concepts through religion, which makes him dependent and fixed.</v>
      </c>
      <c r="F155" s="1"/>
      <c r="G155" s="1"/>
      <c r="H155" s="1"/>
      <c r="I155" s="1"/>
    </row>
    <row r="156" spans="1:9" ht="15.6" x14ac:dyDescent="0.3">
      <c r="A156" s="1" t="s">
        <v>9</v>
      </c>
      <c r="B156" s="1" t="s">
        <v>9</v>
      </c>
      <c r="C156" s="10" t="s">
        <v>9</v>
      </c>
      <c r="D156" s="5" t="s">
        <v>155</v>
      </c>
      <c r="E156" s="1" t="str">
        <f ca="1">IFERROR(__xludf.DUMMYFUNCTION("GOOGLETRANSLATE(D156, ""bn"", ""en"")"),"Then Iftar, Jumma and Eid prayers will be understood as unnecessary in the society. Then the mosque will become redundant. There is no sense of needlessly occupying such an expensive place with an unnecessary mosque! So the mosques will be demolished unde"&amp;"r this pretext.")</f>
        <v>Then Iftar, Jumma and Eid prayers will be understood as unnecessary in the society. Then the mosque will become redundant. There is no sense of needlessly occupying such an expensive place with an unnecessary mosque! So the mosques will be demolished under this pretext.</v>
      </c>
      <c r="F156" s="1"/>
      <c r="G156" s="1"/>
      <c r="H156" s="1"/>
      <c r="I156" s="1"/>
    </row>
    <row r="157" spans="1:9" ht="15.6" x14ac:dyDescent="0.3">
      <c r="A157" s="1" t="s">
        <v>5</v>
      </c>
      <c r="B157" s="1" t="s">
        <v>5</v>
      </c>
      <c r="C157" s="10" t="s">
        <v>5</v>
      </c>
      <c r="D157" s="5" t="s">
        <v>156</v>
      </c>
      <c r="E157" s="1" t="str">
        <f ca="1">IFERROR(__xludf.DUMMYFUNCTION("GOOGLETRANSLATE(D157, ""bn"", ""en"")"),"My religion also teaches that exaggeration of religion is forbidden. Everyone has the right to practice their religion. It is wrong to make negative comments about someone's religion or to impose one's religion on others. Even if you are going to give an "&amp;"invitation on the path of religion, you should use beautiful language.")</f>
        <v>My religion also teaches that exaggeration of religion is forbidden. Everyone has the right to practice their religion. It is wrong to make negative comments about someone's religion or to impose one's religion on others. Even if you are going to give an invitation on the path of religion, you should use beautiful language.</v>
      </c>
      <c r="F157" s="1"/>
      <c r="G157" s="1"/>
      <c r="H157" s="1"/>
      <c r="I157" s="1"/>
    </row>
    <row r="158" spans="1:9" ht="15.6" x14ac:dyDescent="0.3">
      <c r="A158" s="1" t="s">
        <v>5</v>
      </c>
      <c r="B158" s="1" t="s">
        <v>5</v>
      </c>
      <c r="C158" s="10" t="s">
        <v>5</v>
      </c>
      <c r="D158" s="5" t="s">
        <v>157</v>
      </c>
      <c r="E158" s="1" t="str">
        <f ca="1">IFERROR(__xludf.DUMMYFUNCTION("GOOGLETRANSLATE(D158, ""bn"", ""en"")"),"In April 623, the Prophet of Islam, Muhammad, sent Ubaydah ibn Harith with an army of 60 Muhajirun to the Rabigh Valley in Saudi Arabia, known as the campaign of Ubayd ibn al Harith.")</f>
        <v>In April 623, the Prophet of Islam, Muhammad, sent Ubaydah ibn Harith with an army of 60 Muhajirun to the Rabigh Valley in Saudi Arabia, known as the campaign of Ubayd ibn al Harith.</v>
      </c>
      <c r="F158" s="1"/>
      <c r="G158" s="1"/>
      <c r="H158" s="1"/>
      <c r="I158" s="1"/>
    </row>
    <row r="159" spans="1:9" ht="15.6" x14ac:dyDescent="0.3">
      <c r="A159" s="1" t="s">
        <v>5</v>
      </c>
      <c r="B159" s="1" t="s">
        <v>5</v>
      </c>
      <c r="C159" s="10" t="s">
        <v>5</v>
      </c>
      <c r="D159" s="5" t="s">
        <v>158</v>
      </c>
      <c r="E159" s="1" t="str">
        <f ca="1">IFERROR(__xludf.DUMMYFUNCTION("GOOGLETRANSLATE(D159, ""bn"", ""en"")"),"Alhamdulillah, Alhamdulillah. La ilaha illallah, Muhammadur Rasulullah. One God created the heavens and the earth. There is no one except Allah. La ilaha illallah, Muhammadur Rasulullah.")</f>
        <v>Alhamdulillah, Alhamdulillah. La ilaha illallah, Muhammadur Rasulullah. One God created the heavens and the earth. There is no one except Allah. La ilaha illallah, Muhammadur Rasulullah.</v>
      </c>
      <c r="F159" s="1"/>
      <c r="G159" s="1"/>
      <c r="H159" s="1"/>
      <c r="I159" s="1"/>
    </row>
    <row r="160" spans="1:9" ht="15.6" x14ac:dyDescent="0.3">
      <c r="A160" s="1" t="s">
        <v>4</v>
      </c>
      <c r="B160" s="1" t="s">
        <v>4</v>
      </c>
      <c r="C160" s="10" t="s">
        <v>4</v>
      </c>
      <c r="D160" s="5" t="s">
        <v>159</v>
      </c>
      <c r="E160" s="1" t="str">
        <f ca="1">IFERROR(__xludf.DUMMYFUNCTION("GOOGLETRANSLATE(D160, ""bn"", ""en"")"),"The Hindu-Buddhist-Christian Unity Council has complained that minorities are being targeted in the incidents that have taken place for a few days amid rumors of insulting religion in Bangladesh.")</f>
        <v>The Hindu-Buddhist-Christian Unity Council has complained that minorities are being targeted in the incidents that have taken place for a few days amid rumors of insulting religion in Bangladesh.</v>
      </c>
      <c r="F160" s="1"/>
      <c r="G160" s="1"/>
      <c r="H160" s="1"/>
      <c r="I160" s="1"/>
    </row>
    <row r="161" spans="1:9" ht="15.6" x14ac:dyDescent="0.3">
      <c r="A161" s="1" t="s">
        <v>7</v>
      </c>
      <c r="B161" s="1" t="s">
        <v>7</v>
      </c>
      <c r="C161" s="10" t="s">
        <v>7</v>
      </c>
      <c r="D161" s="5" t="s">
        <v>160</v>
      </c>
      <c r="E161" s="1" t="str">
        <f ca="1">IFERROR(__xludf.DUMMYFUNCTION("GOOGLETRANSLATE(D161, ""bn"", ""en"")"),"Adityapur village was under Balaganj Union of Balaganj Upazila of Sylhet District. Adityapur was a prosperous Hindu village on the banks of Kushiara river. In 1971, when the Pakistani occupation army launched Operation Searchlight and began massacring Hin"&amp;"dus, thousands of Hindus began fleeing to India. In Balaganj, Hindus stayed instead of becoming refugees in India.")</f>
        <v>Adityapur village was under Balaganj Union of Balaganj Upazila of Sylhet District. Adityapur was a prosperous Hindu village on the banks of Kushiara river. In 1971, when the Pakistani occupation army launched Operation Searchlight and began massacring Hindus, thousands of Hindus began fleeing to India. In Balaganj, Hindus stayed instead of becoming refugees in India.</v>
      </c>
      <c r="F161" s="1"/>
      <c r="G161" s="1"/>
      <c r="H161" s="1"/>
      <c r="I161" s="1"/>
    </row>
    <row r="162" spans="1:9" ht="15.6" x14ac:dyDescent="0.3">
      <c r="A162" s="1" t="s">
        <v>7</v>
      </c>
      <c r="B162" s="1" t="s">
        <v>7</v>
      </c>
      <c r="C162" s="10" t="s">
        <v>7</v>
      </c>
      <c r="D162" s="5" t="s">
        <v>161</v>
      </c>
      <c r="E162" s="1" t="str">
        <f ca="1">IFERROR(__xludf.DUMMYFUNCTION("GOOGLETRANSLATE(D162, ""bn"", ""en"")"),"The only punishment for insulting the Prophet (PBUH) is death. Ijma (consensus) of the Ummah has been established in this regard. Allama Ibn Taymiyyah (R.A.) mentions, the consensus of all Madhhabs has been decided—the one who insults the Prophet (S.A.W.)"&amp;" is a Kafir and his only punishment is the death penalty.")</f>
        <v>The only punishment for insulting the Prophet (PBUH) is death. Ijma (consensus) of the Ummah has been established in this regard. Allama Ibn Taymiyyah (R.A.) mentions, the consensus of all Madhhabs has been decided—the one who insults the Prophet (S.A.W.) is a Kafir and his only punishment is the death penalty.</v>
      </c>
      <c r="F162" s="1"/>
      <c r="G162" s="1"/>
      <c r="H162" s="1"/>
      <c r="I162" s="1"/>
    </row>
    <row r="163" spans="1:9" ht="15.6" x14ac:dyDescent="0.3">
      <c r="A163" s="1" t="s">
        <v>7</v>
      </c>
      <c r="B163" s="1" t="s">
        <v>7</v>
      </c>
      <c r="C163" s="10" t="s">
        <v>7</v>
      </c>
      <c r="D163" s="5" t="s">
        <v>162</v>
      </c>
      <c r="E163" s="1" t="str">
        <f ca="1">IFERROR(__xludf.DUMMYFUNCTION("GOOGLETRANSLATE(D163, ""bn"", ""en"")"),"They were later buried near the Kushiara river flood control dam. As the villagers started running for their lives, the Pakistani invaders opened fire indiscriminately killing 26 villagers, including four teenagers.")</f>
        <v>They were later buried near the Kushiara river flood control dam. As the villagers started running for their lives, the Pakistani invaders opened fire indiscriminately killing 26 villagers, including four teenagers.</v>
      </c>
      <c r="F163" s="1"/>
      <c r="G163" s="1"/>
      <c r="H163" s="1"/>
      <c r="I163" s="1"/>
    </row>
    <row r="164" spans="1:9" ht="15.6" x14ac:dyDescent="0.3">
      <c r="A164" s="1" t="s">
        <v>7</v>
      </c>
      <c r="B164" s="1" t="s">
        <v>7</v>
      </c>
      <c r="C164" s="10" t="s">
        <v>7</v>
      </c>
      <c r="D164" s="5" t="s">
        <v>163</v>
      </c>
      <c r="E164" s="1" t="str">
        <f ca="1">IFERROR(__xludf.DUMMYFUNCTION("GOOGLETRANSLATE(D164, ""bn"", ""en"")"),"Immoral relationship, adultery, rape, disappearance, murder etc. are very common in our society but a boy marrying someone older than him is a big crime. It can not be accepted at all!")</f>
        <v>Immoral relationship, adultery, rape, disappearance, murder etc. are very common in our society but a boy marrying someone older than him is a big crime. It can not be accepted at all!</v>
      </c>
      <c r="F164" s="1"/>
      <c r="G164" s="1"/>
      <c r="H164" s="1"/>
      <c r="I164" s="1"/>
    </row>
    <row r="165" spans="1:9" ht="15.6" x14ac:dyDescent="0.3">
      <c r="A165" s="1" t="s">
        <v>5</v>
      </c>
      <c r="B165" s="1" t="s">
        <v>5</v>
      </c>
      <c r="C165" s="10" t="s">
        <v>5</v>
      </c>
      <c r="D165" s="5" t="s">
        <v>164</v>
      </c>
      <c r="E165" s="1" t="str">
        <f ca="1">IFERROR(__xludf.DUMMYFUNCTION("GOOGLETRANSLATE(D165, ""bn"", ""en"")"),"Respect for unity and purity and love for the environment are deeply supported in Hinduism.")</f>
        <v>Respect for unity and purity and love for the environment are deeply supported in Hinduism.</v>
      </c>
      <c r="F165" s="1"/>
      <c r="G165" s="1"/>
      <c r="H165" s="1"/>
      <c r="I165" s="1"/>
    </row>
    <row r="166" spans="1:9" ht="15.6" x14ac:dyDescent="0.3">
      <c r="A166" s="1" t="s">
        <v>4</v>
      </c>
      <c r="B166" s="1" t="s">
        <v>4</v>
      </c>
      <c r="C166" s="10" t="s">
        <v>4</v>
      </c>
      <c r="D166" s="5" t="s">
        <v>165</v>
      </c>
      <c r="E166" s="1" t="str">
        <f ca="1">IFERROR(__xludf.DUMMYFUNCTION("GOOGLETRANSLATE(D166, ""bn"", ""en"")"),"Nabi's cartoon: Islamists protest in Dhaka over the 'insult' of Islam in France")</f>
        <v>Nabi's cartoon: Islamists protest in Dhaka over the 'insult' of Islam in France</v>
      </c>
      <c r="F166" s="1"/>
      <c r="G166" s="1"/>
      <c r="H166" s="1"/>
      <c r="I166" s="1"/>
    </row>
    <row r="167" spans="1:9" ht="15.6" x14ac:dyDescent="0.3">
      <c r="A167" s="1" t="s">
        <v>5</v>
      </c>
      <c r="B167" s="1" t="s">
        <v>5</v>
      </c>
      <c r="C167" s="10" t="s">
        <v>5</v>
      </c>
      <c r="D167" s="5" t="s">
        <v>166</v>
      </c>
      <c r="E167" s="1" t="str">
        <f ca="1">IFERROR(__xludf.DUMMYFUNCTION("GOOGLETRANSLATE(D167, ""bn"", ""en"")"),"I would like to request the Hindu community from all levels of the country, instead of just worshiping, kirtan, singing and playing, speak out against those who are trying to harm Hindu religion and society, who are planning to eliminate Hindus from Bangl"&amp;"adesh.")</f>
        <v>I would like to request the Hindu community from all levels of the country, instead of just worshiping, kirtan, singing and playing, speak out against those who are trying to harm Hindu religion and society, who are planning to eliminate Hindus from Bangladesh.</v>
      </c>
      <c r="F167" s="1"/>
      <c r="G167" s="1"/>
      <c r="H167" s="1"/>
      <c r="I167" s="1"/>
    </row>
    <row r="168" spans="1:9" ht="15.6" x14ac:dyDescent="0.3">
      <c r="A168" s="1" t="s">
        <v>7</v>
      </c>
      <c r="B168" s="1" t="s">
        <v>7</v>
      </c>
      <c r="C168" s="10" t="s">
        <v>7</v>
      </c>
      <c r="D168" s="5" t="s">
        <v>167</v>
      </c>
      <c r="E168" s="1" t="str">
        <f ca="1">IFERROR(__xludf.DUMMYFUNCTION("GOOGLETRANSLATE(D168, ""bn"", ""en"")")," An attempt to kill a Christian priest with sharp weapons in Dinajpur is an example of communal violence.")</f>
        <v xml:space="preserve"> An attempt to kill a Christian priest with sharp weapons in Dinajpur is an example of communal violence.</v>
      </c>
      <c r="F168" s="1"/>
      <c r="G168" s="1"/>
      <c r="H168" s="1"/>
      <c r="I168" s="1"/>
    </row>
    <row r="169" spans="1:9" ht="15.6" x14ac:dyDescent="0.3">
      <c r="A169" s="1" t="s">
        <v>5</v>
      </c>
      <c r="B169" s="1" t="s">
        <v>5</v>
      </c>
      <c r="C169" s="10" t="s">
        <v>5</v>
      </c>
      <c r="D169" s="5" t="s">
        <v>168</v>
      </c>
      <c r="E169" s="1" t="str">
        <f ca="1">IFERROR(__xludf.DUMMYFUNCTION("GOOGLETRANSLATE(D169, ""bn"", ""en"")"),"Bro, make another video about Banan Jannat - I can't count how many times I've seen this video - I've kind of memorized the video. I will be happy if you give new Jannat video with reference, dear brother.")</f>
        <v>Bro, make another video about Banan Jannat - I can't count how many times I've seen this video - I've kind of memorized the video. I will be happy if you give new Jannat video with reference, dear brother.</v>
      </c>
      <c r="F169" s="1"/>
      <c r="G169" s="1"/>
      <c r="H169" s="1"/>
      <c r="I169" s="1"/>
    </row>
    <row r="170" spans="1:9" ht="15.6" x14ac:dyDescent="0.3">
      <c r="A170" s="1" t="s">
        <v>7</v>
      </c>
      <c r="B170" s="1" t="s">
        <v>7</v>
      </c>
      <c r="C170" s="10" t="s">
        <v>7</v>
      </c>
      <c r="D170" s="5" t="s">
        <v>169</v>
      </c>
      <c r="E170" s="1" t="str">
        <f ca="1">IFERROR(__xludf.DUMMYFUNCTION("GOOGLETRANSLATE(D170, ""bn"", ""en"")"),"And whoever commits suicide with an iron weapon, that iron weapon will remain in his hand, and he will insert it into his stomach in Hell, and he will remain there forever.'")</f>
        <v>And whoever commits suicide with an iron weapon, that iron weapon will remain in his hand, and he will insert it into his stomach in Hell, and he will remain there forever.'</v>
      </c>
      <c r="F170" s="1"/>
      <c r="G170" s="1"/>
      <c r="H170" s="1"/>
      <c r="I170" s="1"/>
    </row>
    <row r="171" spans="1:9" ht="15.6" x14ac:dyDescent="0.3">
      <c r="A171" s="1" t="s">
        <v>7</v>
      </c>
      <c r="B171" s="1" t="s">
        <v>7</v>
      </c>
      <c r="C171" s="10" t="s">
        <v>7</v>
      </c>
      <c r="D171" s="5" t="s">
        <v>170</v>
      </c>
      <c r="E171" s="1" t="str">
        <f ca="1">IFERROR(__xludf.DUMMYFUNCTION("GOOGLETRANSLATE(D171, ""bn"", ""en"")"),"Bangladesh's War of Independence (1971) resulted in one of the largest genocides of the 20th century. Although casualties are estimated at 3,000,000, it is reasonably certain that Hindus suffered disproportionately in the Pakistan Army's offensive against"&amp;" the Bengali population of East Pakistan.")</f>
        <v>Bangladesh's War of Independence (1971) resulted in one of the largest genocides of the 20th century. Although casualties are estimated at 3,000,000, it is reasonably certain that Hindus suffered disproportionately in the Pakistan Army's offensive against the Bengali population of East Pakistan.</v>
      </c>
      <c r="F171" s="1"/>
      <c r="G171" s="1"/>
      <c r="H171" s="1"/>
      <c r="I171" s="1"/>
    </row>
    <row r="172" spans="1:9" ht="15.6" x14ac:dyDescent="0.3">
      <c r="A172" s="1" t="s">
        <v>4</v>
      </c>
      <c r="B172" s="1" t="s">
        <v>4</v>
      </c>
      <c r="C172" s="10" t="s">
        <v>4</v>
      </c>
      <c r="D172" s="5" t="s">
        <v>171</v>
      </c>
      <c r="E172" s="1" t="str">
        <f ca="1">IFERROR(__xludf.DUMMYFUNCTION("GOOGLETRANSLATE(D172, ""bn"", ""en"")"),"Any allegation of blasphemy, whether true or false, easily offends these people.")</f>
        <v>Any allegation of blasphemy, whether true or false, easily offends these people.</v>
      </c>
      <c r="F172" s="1"/>
      <c r="G172" s="1"/>
      <c r="H172" s="1"/>
      <c r="I172" s="1"/>
    </row>
    <row r="173" spans="1:9" ht="15.6" x14ac:dyDescent="0.3">
      <c r="A173" s="1" t="s">
        <v>7</v>
      </c>
      <c r="B173" s="1" t="s">
        <v>7</v>
      </c>
      <c r="C173" s="10" t="s">
        <v>7</v>
      </c>
      <c r="D173" s="5" t="s">
        <v>172</v>
      </c>
      <c r="E173" s="1" t="str">
        <f ca="1">IFERROR(__xludf.DUMMYFUNCTION("GOOGLETRANSLATE(D173, ""bn"", ""en"")"),"Suicide destroys both this life and the hereafter. Man does not own his life; Its true owner is Allah Ta'ala. Therefore, the servant has no right to interfere with the life that belongs to Allah. ")</f>
        <v>Suicide destroys both this life and the hereafter. Man does not own his life; Its true owner is Allah Ta'ala. Therefore, the servant has no right to interfere with the life that belongs to Allah. </v>
      </c>
      <c r="F173" s="1"/>
      <c r="G173" s="1"/>
      <c r="H173" s="1"/>
      <c r="I173" s="1"/>
    </row>
    <row r="174" spans="1:9" ht="15.6" x14ac:dyDescent="0.3">
      <c r="A174" s="1" t="s">
        <v>9</v>
      </c>
      <c r="B174" s="1" t="s">
        <v>9</v>
      </c>
      <c r="C174" s="10" t="s">
        <v>9</v>
      </c>
      <c r="D174" s="5" t="s">
        <v>173</v>
      </c>
      <c r="E174" s="1" t="str">
        <f ca="1">IFERROR(__xludf.DUMMYFUNCTION("GOOGLETRANSLATE(D174, ""bn"", ""en"")"),"There is still fear in Rajshahi's Bujruk Kola, minorities are threatened to attack again, residents will boycott Durga Puja")</f>
        <v>There is still fear in Rajshahi's Bujruk Kola, minorities are threatened to attack again, residents will boycott Durga Puja</v>
      </c>
      <c r="F174" s="1"/>
      <c r="G174" s="1"/>
      <c r="H174" s="1"/>
      <c r="I174" s="1"/>
    </row>
    <row r="175" spans="1:9" ht="15.6" x14ac:dyDescent="0.3">
      <c r="A175" s="1" t="s">
        <v>4</v>
      </c>
      <c r="B175" s="1" t="s">
        <v>4</v>
      </c>
      <c r="C175" s="10" t="s">
        <v>4</v>
      </c>
      <c r="D175" s="5" t="s">
        <v>174</v>
      </c>
      <c r="E175" s="1" t="str">
        <f ca="1">IFERROR(__xludf.DUMMYFUNCTION("GOOGLETRANSLATE(D175, ""bn"", ""en"")"),"There is no word to condemn the pre-planned conspiracy to destroy communal harmony! Find out who is behind the incitement of peaceful Muslims by insulting the Holy Quran.")</f>
        <v>There is no word to condemn the pre-planned conspiracy to destroy communal harmony! Find out who is behind the incitement of peaceful Muslims by insulting the Holy Quran.</v>
      </c>
      <c r="F175" s="1"/>
      <c r="G175" s="1"/>
      <c r="H175" s="1"/>
      <c r="I175" s="1"/>
    </row>
    <row r="176" spans="1:9" ht="15.6" x14ac:dyDescent="0.3">
      <c r="A176" s="1" t="s">
        <v>7</v>
      </c>
      <c r="B176" s="1" t="s">
        <v>7</v>
      </c>
      <c r="C176" s="10" t="s">
        <v>7</v>
      </c>
      <c r="D176" s="5" t="s">
        <v>175</v>
      </c>
      <c r="E176" s="1" t="str">
        <f ca="1">IFERROR(__xludf.DUMMYFUNCTION("GOOGLETRANSLATE(D176, ""bn"", ""en"")"),"A Muslim man named Pehlu Khan was killed by cow vigilantes in one of the incidents of cow terror.")</f>
        <v>A Muslim man named Pehlu Khan was killed by cow vigilantes in one of the incidents of cow terror.</v>
      </c>
      <c r="F176" s="1"/>
      <c r="G176" s="1"/>
      <c r="H176" s="1"/>
      <c r="I176" s="1"/>
    </row>
    <row r="177" spans="1:9" ht="15.6" x14ac:dyDescent="0.3">
      <c r="A177" s="1" t="s">
        <v>7</v>
      </c>
      <c r="B177" s="1" t="s">
        <v>4</v>
      </c>
      <c r="C177" s="10" t="s">
        <v>7</v>
      </c>
      <c r="D177" s="5" t="s">
        <v>176</v>
      </c>
      <c r="E177" s="1" t="str">
        <f ca="1">IFERROR(__xludf.DUMMYFUNCTION("GOOGLETRANSLATE(D177, ""bn"", ""en"")"),"Take the Qur'an as your companion before death, the Qur'an will be your companion after death, inshallah")</f>
        <v>Take the Qur'an as your companion before death, the Qur'an will be your companion after death, inshallah</v>
      </c>
      <c r="F177" s="1"/>
      <c r="G177" s="1"/>
      <c r="H177" s="1"/>
      <c r="I177" s="1"/>
    </row>
    <row r="178" spans="1:9" ht="15.6" x14ac:dyDescent="0.3">
      <c r="A178" s="1" t="s">
        <v>9</v>
      </c>
      <c r="B178" s="1" t="s">
        <v>9</v>
      </c>
      <c r="C178" s="10" t="s">
        <v>9</v>
      </c>
      <c r="D178" s="5" t="s">
        <v>177</v>
      </c>
      <c r="E178" s="1" t="str">
        <f ca="1">IFERROR(__xludf.DUMMYFUNCTION("GOOGLETRANSLATE(D178, ""bn"", ""en"")"),"The Prataksha Sangmar Divas riots triggered several riots between Muslims and Hindu-Sikhs in Noakhali, Bihar and Punjab that year.")</f>
        <v>The Prataksha Sangmar Divas riots triggered several riots between Muslims and Hindu-Sikhs in Noakhali, Bihar and Punjab that year.</v>
      </c>
      <c r="F178" s="1"/>
      <c r="G178" s="1"/>
      <c r="H178" s="1"/>
      <c r="I178" s="1"/>
    </row>
    <row r="179" spans="1:9" ht="15.6" x14ac:dyDescent="0.3">
      <c r="A179" s="1" t="s">
        <v>4</v>
      </c>
      <c r="B179" s="1" t="s">
        <v>5</v>
      </c>
      <c r="C179" s="10" t="s">
        <v>4</v>
      </c>
      <c r="D179" s="5" t="s">
        <v>178</v>
      </c>
      <c r="E179" s="1" t="str">
        <f ca="1">IFERROR(__xludf.DUMMYFUNCTION("GOOGLETRANSLATE(D179, ""bn"", ""en"")"),"Against my Allah, against my Messenger, insulting my Qur'an, he has no escape in this world.")</f>
        <v>Against my Allah, against my Messenger, insulting my Qur'an, he has no escape in this world.</v>
      </c>
      <c r="F179" s="1"/>
      <c r="G179" s="1"/>
      <c r="H179" s="1"/>
      <c r="I179" s="1"/>
    </row>
    <row r="180" spans="1:9" ht="15.6" x14ac:dyDescent="0.3">
      <c r="A180" s="1" t="s">
        <v>4</v>
      </c>
      <c r="B180" s="1" t="s">
        <v>4</v>
      </c>
      <c r="C180" s="10" t="s">
        <v>4</v>
      </c>
      <c r="D180" s="5" t="s">
        <v>179</v>
      </c>
      <c r="E180" s="1" t="str">
        <f ca="1">IFERROR(__xludf.DUMMYFUNCTION("GOOGLETRANSLATE(D180, ""bn"", ""en"")"),"I strongly condemn Narsingdi Index Plaza and all the shops that have these shoes who gave them the right to play with Sanatan Dharma. ")</f>
        <v xml:space="preserve">I strongly condemn Narsingdi Index Plaza and all the shops that have these shoes who gave them the right to play with Sanatan Dharma. </v>
      </c>
      <c r="F180" s="1"/>
      <c r="G180" s="1"/>
      <c r="H180" s="1"/>
      <c r="I180" s="1"/>
    </row>
    <row r="181" spans="1:9" ht="15.6" x14ac:dyDescent="0.3">
      <c r="A181" s="1" t="s">
        <v>7</v>
      </c>
      <c r="B181" s="1" t="s">
        <v>7</v>
      </c>
      <c r="C181" s="10" t="s">
        <v>7</v>
      </c>
      <c r="D181" s="5" t="s">
        <v>180</v>
      </c>
      <c r="E181" s="1" t="str">
        <f ca="1">IFERROR(__xludf.DUMMYFUNCTION("GOOGLETRANSLATE(D181, ""bn"", ""en"")"),"Thousands of pilgrims appeared in Prayag as Moni Amavasya. Bathing was going on since night. And 30 people died in that crowd.")</f>
        <v>Thousands of pilgrims appeared in Prayag as Moni Amavasya. Bathing was going on since night. And 30 people died in that crowd.</v>
      </c>
      <c r="F181" s="1"/>
      <c r="G181" s="1"/>
      <c r="H181" s="1"/>
      <c r="I181" s="1"/>
    </row>
    <row r="182" spans="1:9" ht="15.6" x14ac:dyDescent="0.3">
      <c r="A182" s="1" t="s">
        <v>7</v>
      </c>
      <c r="B182" s="1" t="s">
        <v>7</v>
      </c>
      <c r="C182" s="10" t="s">
        <v>7</v>
      </c>
      <c r="D182" s="5" t="s">
        <v>181</v>
      </c>
      <c r="E182" s="1" t="str">
        <f ca="1">IFERROR(__xludf.DUMMYFUNCTION("GOOGLETRANSLATE(D182, ""bn"", ""en"")"),"After the Gulshan attack, on the morning of Eid on July 7, a bomb attack was carried out on the policemen who were in charge of security near the country's largest Eid Jamaat ground in Sholakia, Kishoreganj. In the meantime, a woman died in the kitchen of"&amp;" her house. A militant, whose pajama had a special pocket for chapati, was killed in police firing.")</f>
        <v>After the Gulshan attack, on the morning of Eid on July 7, a bomb attack was carried out on the policemen who were in charge of security near the country's largest Eid Jamaat ground in Sholakia, Kishoreganj. In the meantime, a woman died in the kitchen of her house. A militant, whose pajama had a special pocket for chapati, was killed in police firing.</v>
      </c>
      <c r="F182" s="1"/>
      <c r="G182" s="1"/>
      <c r="H182" s="1"/>
      <c r="I182" s="1"/>
    </row>
    <row r="183" spans="1:9" ht="15.6" x14ac:dyDescent="0.3">
      <c r="A183" s="1" t="s">
        <v>7</v>
      </c>
      <c r="B183" s="1" t="s">
        <v>7</v>
      </c>
      <c r="C183" s="10" t="s">
        <v>7</v>
      </c>
      <c r="D183" s="5" t="s">
        <v>182</v>
      </c>
      <c r="E183" s="1" t="str">
        <f ca="1">IFERROR(__xludf.DUMMYFUNCTION("GOOGLETRANSLATE(D183, ""bn"", ""en"")"),"Those who engage in enmity against Allah and His Messenger and intend to create turmoil and calamity in the world, their punishment is only death, crucifixion, or amputation of the opposite side of the hand or foot, or exile (imprisonment).")</f>
        <v>Those who engage in enmity against Allah and His Messenger and intend to create turmoil and calamity in the world, their punishment is only death, crucifixion, or amputation of the opposite side of the hand or foot, or exile (imprisonment).</v>
      </c>
      <c r="F183" s="1"/>
      <c r="G183" s="1"/>
      <c r="H183" s="1"/>
      <c r="I183" s="1"/>
    </row>
    <row r="184" spans="1:9" ht="15.6" x14ac:dyDescent="0.3">
      <c r="A184" s="1" t="s">
        <v>4</v>
      </c>
      <c r="B184" s="1" t="s">
        <v>5</v>
      </c>
      <c r="C184" s="10" t="s">
        <v>4</v>
      </c>
      <c r="D184" s="5" t="s">
        <v>183</v>
      </c>
      <c r="E184" s="1" t="str">
        <f ca="1">IFERROR(__xludf.DUMMYFUNCTION("GOOGLETRANSLATE(D184, ""bn"", ""en"")"),"Earlier they used to worship moon, sun, stones, animals and birds, but now singers worship heroes. Some worship humanity of their own making.")</f>
        <v>Earlier they used to worship moon, sun, stones, animals and birds, but now singers worship heroes. Some worship humanity of their own making.</v>
      </c>
      <c r="F184" s="1"/>
      <c r="G184" s="1"/>
      <c r="H184" s="1"/>
      <c r="I184" s="1"/>
    </row>
    <row r="185" spans="1:9" ht="15.6" x14ac:dyDescent="0.3">
      <c r="A185" s="1" t="s">
        <v>5</v>
      </c>
      <c r="B185" s="1" t="s">
        <v>5</v>
      </c>
      <c r="C185" s="10" t="s">
        <v>5</v>
      </c>
      <c r="D185" s="5" t="s">
        <v>184</v>
      </c>
      <c r="E185" s="1" t="str">
        <f ca="1">IFERROR(__xludf.DUMMYFUNCTION("GOOGLETRANSLATE(D185, ""bn"", ""en"")"),"I am proud that I was born in a Buddhist family. If I am born among humans in the next life, I will be born again in a Buddhist family and attain 1 of the 4 paths by having the vision of Aryamitra Buddha.")</f>
        <v>I am proud that I was born in a Buddhist family. If I am born among humans in the next life, I will be born again in a Buddhist family and attain 1 of the 4 paths by having the vision of Aryamitra Buddha.</v>
      </c>
      <c r="F185" s="1"/>
      <c r="G185" s="1"/>
      <c r="H185" s="1"/>
      <c r="I185" s="1"/>
    </row>
    <row r="186" spans="1:9" ht="15.6" x14ac:dyDescent="0.3">
      <c r="A186" s="1" t="s">
        <v>9</v>
      </c>
      <c r="B186" s="1" t="s">
        <v>4</v>
      </c>
      <c r="C186" s="10" t="s">
        <v>9</v>
      </c>
      <c r="D186" s="5" t="s">
        <v>185</v>
      </c>
      <c r="E186" s="1" t="str">
        <f ca="1">IFERROR(__xludf.DUMMYFUNCTION("GOOGLETRANSLATE(D186, ""bn"", ""en"")"),"They were returned in the morning of February 18 in a state of great distress. When their families went to the police to complain, the police asked them to pay Rs 1,000 for an out-of-court settlement. In almost all the villages under the control of Sylhet"&amp;" Sadar Police Station, Muslims raped numerous girls in this way.")</f>
        <v>They were returned in the morning of February 18 in a state of great distress. When their families went to the police to complain, the police asked them to pay Rs 1,000 for an out-of-court settlement. In almost all the villages under the control of Sylhet Sadar Police Station, Muslims raped numerous girls in this way.</v>
      </c>
      <c r="F186" s="1"/>
      <c r="G186" s="1"/>
      <c r="H186" s="1"/>
      <c r="I186" s="1"/>
    </row>
    <row r="187" spans="1:9" ht="15.6" x14ac:dyDescent="0.3">
      <c r="A187" s="1" t="s">
        <v>5</v>
      </c>
      <c r="B187" s="1" t="s">
        <v>5</v>
      </c>
      <c r="C187" s="10" t="s">
        <v>5</v>
      </c>
      <c r="D187" s="5" t="s">
        <v>186</v>
      </c>
      <c r="E187" s="1" t="str">
        <f ca="1">IFERROR(__xludf.DUMMYFUNCTION("GOOGLETRANSLATE(D187, ""bn"", ""en"")"),"As a result of the generosity of the Muslim rulers, the good treatment of the Muslims towards the Buddhists, the Buddhists began to seek shelter under the shadow of Islam.")</f>
        <v>As a result of the generosity of the Muslim rulers, the good treatment of the Muslims towards the Buddhists, the Buddhists began to seek shelter under the shadow of Islam.</v>
      </c>
      <c r="F187" s="1"/>
      <c r="G187" s="1"/>
      <c r="H187" s="1"/>
      <c r="I187" s="1"/>
    </row>
    <row r="188" spans="1:9" ht="15.6" x14ac:dyDescent="0.3">
      <c r="A188" s="1" t="s">
        <v>5</v>
      </c>
      <c r="B188" s="1" t="s">
        <v>5</v>
      </c>
      <c r="C188" s="10" t="s">
        <v>5</v>
      </c>
      <c r="D188" s="5" t="s">
        <v>187</v>
      </c>
      <c r="E188" s="1" t="str">
        <f ca="1">IFERROR(__xludf.DUMMYFUNCTION("GOOGLETRANSLATE(D188, ""bn"", ""en"")"),"Since the 20th century, most Catholic Christians have lived in the Southern Hemisphere, due to the rise of secularism in Europe and increased persecution of Christians in the Middle East.")</f>
        <v>Since the 20th century, most Catholic Christians have lived in the Southern Hemisphere, due to the rise of secularism in Europe and increased persecution of Christians in the Middle East.</v>
      </c>
      <c r="F188" s="1"/>
      <c r="G188" s="1"/>
      <c r="H188" s="1"/>
      <c r="I188" s="1"/>
    </row>
    <row r="189" spans="1:9" ht="15.6" x14ac:dyDescent="0.3">
      <c r="A189" s="1" t="s">
        <v>4</v>
      </c>
      <c r="B189" s="1" t="s">
        <v>4</v>
      </c>
      <c r="C189" s="10" t="s">
        <v>4</v>
      </c>
      <c r="D189" s="5" t="s">
        <v>188</v>
      </c>
      <c r="E189" s="1" t="str">
        <f ca="1">IFERROR(__xludf.DUMMYFUNCTION("GOOGLETRANSLATE(D189, ""bn"", ""en"")"),"Koran or burn? Why did it burn now? He runs a test to see if the Koran can be burned.")</f>
        <v>Koran or burn? Why did it burn now? He runs a test to see if the Koran can be burned.</v>
      </c>
      <c r="F189" s="1"/>
      <c r="G189" s="1"/>
      <c r="H189" s="1"/>
      <c r="I189" s="1"/>
    </row>
    <row r="190" spans="1:9" ht="15.6" x14ac:dyDescent="0.3">
      <c r="A190" s="1" t="s">
        <v>5</v>
      </c>
      <c r="B190" s="1" t="s">
        <v>5</v>
      </c>
      <c r="C190" s="10" t="s">
        <v>5</v>
      </c>
      <c r="D190" s="5" t="s">
        <v>189</v>
      </c>
      <c r="E190" s="1" t="str">
        <f ca="1">IFERROR(__xludf.DUMMYFUNCTION("GOOGLETRANSLATE(D190, ""bn"", ""en"")"),"In Hinduism, every human being should be employed for the welfare of humanity and world peace through the religious path.")</f>
        <v>In Hinduism, every human being should be employed for the welfare of humanity and world peace through the religious path.</v>
      </c>
      <c r="F190" s="1"/>
      <c r="G190" s="1"/>
      <c r="H190" s="1"/>
      <c r="I190" s="1"/>
    </row>
    <row r="191" spans="1:9" ht="15.6" x14ac:dyDescent="0.3">
      <c r="A191" s="1" t="s">
        <v>4</v>
      </c>
      <c r="B191" s="1" t="s">
        <v>5</v>
      </c>
      <c r="C191" s="10" t="s">
        <v>4</v>
      </c>
      <c r="D191" s="5" t="s">
        <v>190</v>
      </c>
      <c r="E191" s="1" t="str">
        <f ca="1">IFERROR(__xludf.DUMMYFUNCTION("GOOGLETRANSLATE(D191, ""bn"", ""en"")"),"Whether the father of this journalist is a Muslim, then why they are trying to make a dead man a Hindu, I do not understand. ")</f>
        <v xml:space="preserve">Whether the father of this journalist is a Muslim, then why they are trying to make a dead man a Hindu, I do not understand. </v>
      </c>
      <c r="F191" s="1"/>
      <c r="G191" s="1"/>
      <c r="H191" s="1"/>
      <c r="I191" s="1"/>
    </row>
    <row r="192" spans="1:9" ht="15.6" x14ac:dyDescent="0.3">
      <c r="A192" s="1" t="s">
        <v>5</v>
      </c>
      <c r="B192" s="1" t="s">
        <v>5</v>
      </c>
      <c r="C192" s="10" t="s">
        <v>5</v>
      </c>
      <c r="D192" s="5" t="s">
        <v>191</v>
      </c>
      <c r="E192" s="1" t="str">
        <f ca="1">IFERROR(__xludf.DUMMYFUNCTION("GOOGLETRANSLATE(D192, ""bn"", ""en"")"),"I have sent you as a good tiding and a warner with the truth. You will not be asked any questions about the Hell-mongers.")</f>
        <v>I have sent you as a good tiding and a warner with the truth. You will not be asked any questions about the Hell-mongers.</v>
      </c>
      <c r="F192" s="1"/>
      <c r="G192" s="1"/>
      <c r="H192" s="1"/>
      <c r="I192" s="1"/>
    </row>
    <row r="193" spans="1:9" ht="15.6" x14ac:dyDescent="0.3">
      <c r="A193" s="1" t="s">
        <v>5</v>
      </c>
      <c r="B193" s="1" t="s">
        <v>5</v>
      </c>
      <c r="C193" s="10" t="s">
        <v>5</v>
      </c>
      <c r="D193" s="5" t="s">
        <v>192</v>
      </c>
      <c r="E193" s="1" t="str">
        <f ca="1">IFERROR(__xludf.DUMMYFUNCTION("GOOGLETRANSLATE(D193, ""bn"", ""en"")"),"In the history of Bengal, Hindus and Muslims have never faced each other, although there have been two incidents, which I admit.")</f>
        <v>In the history of Bengal, Hindus and Muslims have never faced each other, although there have been two incidents, which I admit.</v>
      </c>
      <c r="F193" s="1"/>
      <c r="G193" s="1"/>
      <c r="H193" s="1"/>
      <c r="I193" s="1"/>
    </row>
    <row r="194" spans="1:9" ht="15.6" x14ac:dyDescent="0.3">
      <c r="A194" s="1" t="s">
        <v>4</v>
      </c>
      <c r="B194" s="1" t="s">
        <v>4</v>
      </c>
      <c r="C194" s="10" t="s">
        <v>4</v>
      </c>
      <c r="D194" s="5" t="s">
        <v>193</v>
      </c>
      <c r="E194" s="1" t="str">
        <f ca="1">IFERROR(__xludf.DUMMYFUNCTION("GOOGLETRANSLATE(D194, ""bn"", ""en"")"),"In 1958, Ayub Khan became the military ruler of Pakistan. The Pakistani government under the leadership of Ayub Khan planned ethnic cleansing of Bengali Hindus and other minority communities from the beginning.[")</f>
        <v>In 1958, Ayub Khan became the military ruler of Pakistan. The Pakistani government under the leadership of Ayub Khan planned ethnic cleansing of Bengali Hindus and other minority communities from the beginning.[</v>
      </c>
      <c r="F194" s="1"/>
      <c r="G194" s="1"/>
      <c r="H194" s="1"/>
      <c r="I194" s="1"/>
    </row>
    <row r="195" spans="1:9" ht="15.6" x14ac:dyDescent="0.3">
      <c r="A195" s="1" t="s">
        <v>5</v>
      </c>
      <c r="B195" s="1" t="s">
        <v>5</v>
      </c>
      <c r="C195" s="10" t="s">
        <v>5</v>
      </c>
      <c r="D195" s="5" t="s">
        <v>194</v>
      </c>
      <c r="E195" s="1" t="str">
        <f ca="1">IFERROR(__xludf.DUMMYFUNCTION("GOOGLETRANSLATE(D195, ""bn"", ""en"")"),"This festival is celebrated with special dignity in Buddhist influenced countries like Sri Lanka. ")</f>
        <v>This festival is celebrated with special dignity in Buddhist influenced countries like Sri Lanka. </v>
      </c>
      <c r="F195" s="1"/>
      <c r="G195" s="1"/>
      <c r="H195" s="1"/>
      <c r="I195" s="1"/>
    </row>
    <row r="196" spans="1:9" ht="15.6" x14ac:dyDescent="0.3">
      <c r="A196" s="1" t="s">
        <v>5</v>
      </c>
      <c r="B196" s="1" t="s">
        <v>5</v>
      </c>
      <c r="C196" s="10" t="s">
        <v>5</v>
      </c>
      <c r="D196" s="5" t="s">
        <v>195</v>
      </c>
      <c r="E196" s="1" t="str">
        <f ca="1">IFERROR(__xludf.DUMMYFUNCTION("GOOGLETRANSLATE(D196, ""bn"", ""en"")"),"The Jews consider themselves the most blessed nation of Yahweh God and consider themselves more powerful than any other nation that God has given them.")</f>
        <v>The Jews consider themselves the most blessed nation of Yahweh God and consider themselves more powerful than any other nation that God has given them.</v>
      </c>
      <c r="F196" s="1"/>
      <c r="G196" s="1"/>
      <c r="H196" s="1"/>
      <c r="I196" s="1"/>
    </row>
    <row r="197" spans="1:9" ht="15.6" x14ac:dyDescent="0.3">
      <c r="A197" s="1" t="s">
        <v>9</v>
      </c>
      <c r="B197" s="1" t="s">
        <v>9</v>
      </c>
      <c r="C197" s="10" t="s">
        <v>9</v>
      </c>
      <c r="D197" s="5" t="s">
        <v>196</v>
      </c>
      <c r="E197" s="1" t="str">
        <f ca="1">IFERROR(__xludf.DUMMYFUNCTION("GOOGLETRANSLATE(D197, ""bn"", ""en"")"),"According to reports, 115 cases have been registered and at least 100 people have been arrested in the country since August 4.")</f>
        <v>According to reports, 115 cases have been registered and at least 100 people have been arrested in the country since August 4.</v>
      </c>
      <c r="F197" s="1"/>
      <c r="G197" s="1"/>
      <c r="H197" s="1"/>
      <c r="I197" s="1"/>
    </row>
    <row r="198" spans="1:9" ht="15.6" x14ac:dyDescent="0.3">
      <c r="A198" s="1" t="s">
        <v>4</v>
      </c>
      <c r="B198" s="1" t="s">
        <v>5</v>
      </c>
      <c r="C198" s="10" t="s">
        <v>4</v>
      </c>
      <c r="D198" s="5" t="s">
        <v>197</v>
      </c>
      <c r="E198" s="1" t="str">
        <f ca="1">IFERROR(__xludf.DUMMYFUNCTION("GOOGLETRANSLATE(D198, ""bn"", ""en"")"),"These separate gods have their own councils of ministers just as humans have councils of ministers to govern their kingdoms. The truth is that such preachers should be boycotted.  ")</f>
        <v xml:space="preserve">These separate gods have their own councils of ministers just as humans have councils of ministers to govern their kingdoms. The truth is that such preachers should be boycotted.  </v>
      </c>
      <c r="F198" s="1"/>
      <c r="G198" s="1"/>
      <c r="H198" s="1"/>
      <c r="I198" s="1"/>
    </row>
    <row r="199" spans="1:9" ht="15.6" x14ac:dyDescent="0.3">
      <c r="A199" s="1" t="s">
        <v>5</v>
      </c>
      <c r="B199" s="1" t="s">
        <v>5</v>
      </c>
      <c r="C199" s="10" t="s">
        <v>5</v>
      </c>
      <c r="D199" s="5" t="s">
        <v>198</v>
      </c>
      <c r="E199" s="1" t="str">
        <f ca="1">IFERROR(__xludf.DUMMYFUNCTION("GOOGLETRANSLATE(D199, ""bn"", ""en"")"),"Religion brings harmony between worldly and spiritual happiness in man. It shows him the path of spiritual progress along with the joys of life.")</f>
        <v>Religion brings harmony between worldly and spiritual happiness in man. It shows him the path of spiritual progress along with the joys of life.</v>
      </c>
      <c r="F199" s="1"/>
      <c r="G199" s="1"/>
      <c r="H199" s="1"/>
      <c r="I199" s="1"/>
    </row>
    <row r="200" spans="1:9" ht="15.6" x14ac:dyDescent="0.3">
      <c r="A200" s="1" t="s">
        <v>9</v>
      </c>
      <c r="B200" s="1" t="s">
        <v>9</v>
      </c>
      <c r="C200" s="10" t="s">
        <v>9</v>
      </c>
      <c r="D200" s="5" t="s">
        <v>199</v>
      </c>
      <c r="E200" s="1" t="str">
        <f ca="1">IFERROR(__xludf.DUMMYFUNCTION("GOOGLETRANSLATE(D200, ""bn"", ""en"")"),"On March 18, more than 150 armed assailants attacked and vandalized the Pabal Sarvajanin Kalibari temple in Banikpara, Khulna city around 9:30 pm. After bursting into flames, they vandalized Hindu houses and shops in the area.")</f>
        <v>On March 18, more than 150 armed assailants attacked and vandalized the Pabal Sarvajanin Kalibari temple in Banikpara, Khulna city around 9:30 pm. After bursting into flames, they vandalized Hindu houses and shops in the area.</v>
      </c>
      <c r="F200" s="1"/>
      <c r="G200" s="1"/>
      <c r="H200" s="1"/>
      <c r="I200" s="1"/>
    </row>
    <row r="201" spans="1:9" ht="15.6" x14ac:dyDescent="0.3">
      <c r="A201" s="1" t="s">
        <v>4</v>
      </c>
      <c r="B201" s="1" t="s">
        <v>4</v>
      </c>
      <c r="C201" s="10" t="s">
        <v>4</v>
      </c>
      <c r="D201" s="5" t="s">
        <v>200</v>
      </c>
      <c r="E201" s="1" t="str">
        <f ca="1">IFERROR(__xludf.DUMMYFUNCTION("GOOGLETRANSLATE(D201, ""bn"", ""en"")"),"The call for a boycott of Muslim immigrants has been linked to hatred and hatred towards Muslims. In addition to preventing the immigration of citizens of the Muslim countries of the world, especially those of Asia, Africa and the Middle East, these hard-"&amp;"rights in Europe have started a strong campaign to send back the Muslims who have already received citizenship. ")</f>
        <v>The call for a boycott of Muslim immigrants has been linked to hatred and hatred towards Muslims. In addition to preventing the immigration of citizens of the Muslim countries of the world, especially those of Asia, Africa and the Middle East, these hard-rights in Europe have started a strong campaign to send back the Muslims who have already received citizenship. </v>
      </c>
      <c r="F201" s="1"/>
      <c r="G201" s="1"/>
      <c r="H201" s="1"/>
      <c r="I201" s="1"/>
    </row>
    <row r="202" spans="1:9" ht="15.6" x14ac:dyDescent="0.3">
      <c r="A202" s="1" t="s">
        <v>5</v>
      </c>
      <c r="B202" s="1" t="s">
        <v>5</v>
      </c>
      <c r="C202" s="10" t="s">
        <v>5</v>
      </c>
      <c r="D202" s="5" t="s">
        <v>201</v>
      </c>
      <c r="E202" s="1" t="str">
        <f ca="1">IFERROR(__xludf.DUMMYFUNCTION("GOOGLETRANSLATE(D202, ""bn"", ""en"")"),"The administration will take strict measures to ensure that no such religious gathering and any gathering including political, cultural and social can be held anywhere else in the country.")</f>
        <v>The administration will take strict measures to ensure that no such religious gathering and any gathering including political, cultural and social can be held anywhere else in the country.</v>
      </c>
      <c r="F202" s="1"/>
      <c r="G202" s="1"/>
      <c r="H202" s="1"/>
      <c r="I202" s="1"/>
    </row>
    <row r="203" spans="1:9" ht="15.6" x14ac:dyDescent="0.3">
      <c r="A203" s="1" t="s">
        <v>4</v>
      </c>
      <c r="B203" s="1" t="s">
        <v>4</v>
      </c>
      <c r="C203" s="10" t="s">
        <v>4</v>
      </c>
      <c r="D203" s="5" t="s">
        <v>202</v>
      </c>
      <c r="E203" s="1" t="str">
        <f ca="1">IFERROR(__xludf.DUMMYFUNCTION("GOOGLETRANSLATE(D203, ""bn"", ""en"")"),"O Allah, protect Your Qur'an Sharif with Your own hand, Ameen. And you yourself will punish the person who burned the Qur'an Sharif, so that all the people of the world will understand.")</f>
        <v>O Allah, protect Your Qur'an Sharif with Your own hand, Ameen. And you yourself will punish the person who burned the Qur'an Sharif, so that all the people of the world will understand.</v>
      </c>
      <c r="F203" s="1"/>
      <c r="G203" s="1"/>
      <c r="H203" s="1"/>
      <c r="I203" s="1"/>
    </row>
    <row r="204" spans="1:9" ht="15.6" x14ac:dyDescent="0.3">
      <c r="A204" s="1" t="s">
        <v>5</v>
      </c>
      <c r="B204" s="1" t="s">
        <v>5</v>
      </c>
      <c r="C204" s="10" t="s">
        <v>5</v>
      </c>
      <c r="D204" s="5" t="s">
        <v>203</v>
      </c>
      <c r="E204" s="1" t="str">
        <f ca="1">IFERROR(__xludf.DUMMYFUNCTION("GOOGLETRANSLATE(D204, ""bn"", ""en"")"),"We were exiled two thousand years ago and our Creator, through the prophecy of King Solomon, clearly commanded that we are forbidden to re-establish a Jewish state or sovereignty. We are also forbidden to return en masse to that holy land (Jerusalem), and"&amp;" remain loyal citizens of whatever country we live in.")</f>
        <v>We were exiled two thousand years ago and our Creator, through the prophecy of King Solomon, clearly commanded that we are forbidden to re-establish a Jewish state or sovereignty. We are also forbidden to return en masse to that holy land (Jerusalem), and remain loyal citizens of whatever country we live in.</v>
      </c>
      <c r="F204" s="1"/>
      <c r="G204" s="1"/>
      <c r="H204" s="1"/>
      <c r="I204" s="1"/>
    </row>
    <row r="205" spans="1:9" ht="15.6" x14ac:dyDescent="0.3">
      <c r="A205" s="1" t="s">
        <v>9</v>
      </c>
      <c r="B205" s="1" t="s">
        <v>9</v>
      </c>
      <c r="C205" s="10" t="s">
        <v>9</v>
      </c>
      <c r="D205" s="5" t="s">
        <v>204</v>
      </c>
      <c r="E205" s="1" t="str">
        <f ca="1">IFERROR(__xludf.DUMMYFUNCTION("GOOGLETRANSLATE(D205, ""bn"", ""en"")"),"Leaders of the Hindu-Buddhist-Christian Unity Council said that there have been many incidents of attacks and torture on minorities in Bangladesh before.")</f>
        <v>Leaders of the Hindu-Buddhist-Christian Unity Council said that there have been many incidents of attacks and torture on minorities in Bangladesh before.</v>
      </c>
      <c r="F205" s="1"/>
      <c r="G205" s="1"/>
      <c r="H205" s="1"/>
      <c r="I205" s="1"/>
    </row>
    <row r="206" spans="1:9" ht="15.6" x14ac:dyDescent="0.3">
      <c r="A206" s="1" t="s">
        <v>5</v>
      </c>
      <c r="B206" s="1" t="s">
        <v>5</v>
      </c>
      <c r="C206" s="10" t="s">
        <v>5</v>
      </c>
      <c r="D206" s="5" t="s">
        <v>205</v>
      </c>
      <c r="E206" s="1" t="str">
        <f ca="1">IFERROR(__xludf.DUMMYFUNCTION("GOOGLETRANSLATE(D206, ""bn"", ""en"")"),"There was no lack of enthusiasm among the participants in the Kumbh Mela, but some moments of inattention due to the security system not being strong enough led to some tragic incidents due to crowd pressure among the people.")</f>
        <v>There was no lack of enthusiasm among the participants in the Kumbh Mela, but some moments of inattention due to the security system not being strong enough led to some tragic incidents due to crowd pressure among the people.</v>
      </c>
      <c r="F206" s="1"/>
      <c r="G206" s="1"/>
      <c r="H206" s="1"/>
      <c r="I206" s="1"/>
    </row>
    <row r="207" spans="1:9" ht="15.6" x14ac:dyDescent="0.3">
      <c r="A207" s="1" t="s">
        <v>9</v>
      </c>
      <c r="B207" s="1" t="s">
        <v>5</v>
      </c>
      <c r="C207" s="10" t="s">
        <v>9</v>
      </c>
      <c r="D207" s="5" t="s">
        <v>206</v>
      </c>
      <c r="E207" s="1" t="str">
        <f ca="1">IFERROR(__xludf.DUMMYFUNCTION("GOOGLETRANSLATE(D207, ""bn"", ""en"")"),"The village surrounding the Ramana Kali temple was an ancient Hindu village in the heart of the Dhaka Race Course. About 2,000 Hindu men, women and children lived in the village. [3] Even during Dhaka's worst Hindu-Muslim riots, the village remained intac"&amp;"t.")</f>
        <v>The village surrounding the Ramana Kali temple was an ancient Hindu village in the heart of the Dhaka Race Course. About 2,000 Hindu men, women and children lived in the village. [3] Even during Dhaka's worst Hindu-Muslim riots, the village remained intact.</v>
      </c>
      <c r="F207" s="1"/>
      <c r="G207" s="1"/>
      <c r="H207" s="1"/>
      <c r="I207" s="1"/>
    </row>
    <row r="208" spans="1:9" ht="15.6" x14ac:dyDescent="0.3">
      <c r="A208" s="1" t="s">
        <v>7</v>
      </c>
      <c r="B208" s="1" t="s">
        <v>7</v>
      </c>
      <c r="C208" s="10" t="s">
        <v>7</v>
      </c>
      <c r="D208" s="5" t="s">
        <v>207</v>
      </c>
      <c r="E208" s="1" t="str">
        <f ca="1">IFERROR(__xludf.DUMMYFUNCTION("GOOGLETRANSLATE(D208, ""bn"", ""en"")"),"Mr. Karim, manager of the Adamjee Group, declared a general holiday at Adamjee Jute Mills on January 13 and 14 and systematically spread rumors that his brother had been killed in Kolkata.[21] On the night of January 13, Muslim workers at Adamjee Jute Mil"&amp;"ls attacked the surrounding quarters where Hindus lived.")</f>
        <v>Mr. Karim, manager of the Adamjee Group, declared a general holiday at Adamjee Jute Mills on January 13 and 14 and systematically spread rumors that his brother had been killed in Kolkata.[21] On the night of January 13, Muslim workers at Adamjee Jute Mills attacked the surrounding quarters where Hindus lived.</v>
      </c>
      <c r="F208" s="1"/>
      <c r="G208" s="1"/>
      <c r="H208" s="1"/>
      <c r="I208" s="1"/>
    </row>
    <row r="209" spans="1:9" ht="15.6" x14ac:dyDescent="0.3">
      <c r="A209" s="1" t="s">
        <v>7</v>
      </c>
      <c r="B209" s="1" t="s">
        <v>7</v>
      </c>
      <c r="C209" s="10" t="s">
        <v>7</v>
      </c>
      <c r="D209" s="5" t="s">
        <v>208</v>
      </c>
      <c r="E209" s="1" t="str">
        <f ca="1">IFERROR(__xludf.DUMMYFUNCTION("GOOGLETRANSLATE(D209, ""bn"", ""en"")"),"Attacks on the pretext of hurting religious sentiments have claimed many precious lives, posing a major challenge to civilized society.")</f>
        <v>Attacks on the pretext of hurting religious sentiments have claimed many precious lives, posing a major challenge to civilized society.</v>
      </c>
      <c r="F209" s="1"/>
      <c r="G209" s="1"/>
      <c r="H209" s="1"/>
      <c r="I209" s="1"/>
    </row>
    <row r="210" spans="1:9" ht="15.6" x14ac:dyDescent="0.3">
      <c r="A210" s="1" t="s">
        <v>5</v>
      </c>
      <c r="B210" s="1" t="s">
        <v>4</v>
      </c>
      <c r="C210" s="10" t="s">
        <v>5</v>
      </c>
      <c r="D210" s="5" t="s">
        <v>209</v>
      </c>
      <c r="E210" s="1" t="str">
        <f ca="1">IFERROR(__xludf.DUMMYFUNCTION("GOOGLETRANSLATE(D210, ""bn"", ""en"")"),"There is no time to look at who is on the side of Muslims, we are Muslims, that is our only strength, if someone wrongs our Holy Quran, no Muslim can tolerate it, so I say to those who insult Islam, ask forgiveness from Allah Almighty, otherwise there is "&amp;"a severe punishment for you... Oh Allah, guide them, Ameen.")</f>
        <v>There is no time to look at who is on the side of Muslims, we are Muslims, that is our only strength, if someone wrongs our Holy Quran, no Muslim can tolerate it, so I say to those who insult Islam, ask forgiveness from Allah Almighty, otherwise there is a severe punishment for you... Oh Allah, guide them, Ameen.</v>
      </c>
      <c r="F210" s="1"/>
      <c r="G210" s="1"/>
      <c r="H210" s="1"/>
      <c r="I210" s="1"/>
    </row>
    <row r="211" spans="1:9" ht="15.6" x14ac:dyDescent="0.3">
      <c r="A211" s="1" t="s">
        <v>5</v>
      </c>
      <c r="B211" s="1" t="s">
        <v>5</v>
      </c>
      <c r="C211" s="10" t="s">
        <v>5</v>
      </c>
      <c r="D211" s="5" t="s">
        <v>210</v>
      </c>
      <c r="E211" s="1" t="str">
        <f ca="1">IFERROR(__xludf.DUMMYFUNCTION("GOOGLETRANSLATE(D211, ""bn"", ""en"")"),"Gautama Buddha, the founder of Buddhism, stayed in Paharpur, Bangladesh, and there are Buddhist stupas there. As a result, Bangladesh is one of the most sacred places for Buddhists. Every year tourists come here from different countries including Bhutan, "&amp;"Thailand, Vietnam, Cambodia.")</f>
        <v>Gautama Buddha, the founder of Buddhism, stayed in Paharpur, Bangladesh, and there are Buddhist stupas there. As a result, Bangladesh is one of the most sacred places for Buddhists. Every year tourists come here from different countries including Bhutan, Thailand, Vietnam, Cambodia.</v>
      </c>
      <c r="F211" s="1"/>
      <c r="G211" s="1"/>
      <c r="H211" s="1"/>
      <c r="I211" s="1"/>
    </row>
    <row r="212" spans="1:9" ht="15.6" x14ac:dyDescent="0.3">
      <c r="A212" s="1" t="s">
        <v>5</v>
      </c>
      <c r="B212" s="1" t="s">
        <v>5</v>
      </c>
      <c r="C212" s="10" t="s">
        <v>5</v>
      </c>
      <c r="D212" s="5" t="s">
        <v>211</v>
      </c>
      <c r="E212" s="1" t="str">
        <f ca="1">IFERROR(__xludf.DUMMYFUNCTION("GOOGLETRANSLATE(D212, ""bn"", ""en"")"),"What the big guys couldn't do, you did it by being heterosexual. Honestly, Dr. Yashoda Jeevan Debnath Dada is an extraordinary human being. He does not respect caste and religion, people of all religions are equal to Dada.")</f>
        <v>What the big guys couldn't do, you did it by being heterosexual. Honestly, Dr. Yashoda Jeevan Debnath Dada is an extraordinary human being. He does not respect caste and religion, people of all religions are equal to Dada.</v>
      </c>
      <c r="F212" s="1"/>
      <c r="G212" s="1"/>
      <c r="H212" s="1"/>
      <c r="I212" s="1"/>
    </row>
    <row r="213" spans="1:9" ht="15.6" x14ac:dyDescent="0.3">
      <c r="A213" s="1" t="s">
        <v>4</v>
      </c>
      <c r="B213" s="1" t="s">
        <v>5</v>
      </c>
      <c r="C213" s="10" t="s">
        <v>4</v>
      </c>
      <c r="D213" s="5" t="s">
        <v>212</v>
      </c>
      <c r="E213" s="1" t="str">
        <f ca="1">IFERROR(__xludf.DUMMYFUNCTION("GOOGLETRANSLATE(D213, ""bn"", ""en"")"),"Information Minister and Awami League General Secretary Hasan Mahmud said that he does not support anything that insults the Holy Prophet Muhammad (PBUH).")</f>
        <v>Information Minister and Awami League General Secretary Hasan Mahmud said that he does not support anything that insults the Holy Prophet Muhammad (PBUH).</v>
      </c>
      <c r="F213" s="1"/>
      <c r="G213" s="1"/>
      <c r="H213" s="1"/>
      <c r="I213" s="1"/>
    </row>
    <row r="214" spans="1:9" ht="15.6" x14ac:dyDescent="0.3">
      <c r="A214" s="1" t="s">
        <v>4</v>
      </c>
      <c r="B214" s="1" t="s">
        <v>5</v>
      </c>
      <c r="C214" s="10" t="s">
        <v>4</v>
      </c>
      <c r="D214" s="5" t="s">
        <v>213</v>
      </c>
      <c r="E214" s="1" t="str">
        <f ca="1">IFERROR(__xludf.DUMMYFUNCTION("GOOGLETRANSLATE(D214, ""bn"", ""en"")"),"In this case, her colleagues and acquaintances who saw the body claimed that the deceased girl's name was Abhishruti Shastri and that she was a follower of Sanatan Dharma. However, his father, identified as Sabuj Sheikh, a Muslim, refused to accept this c"&amp;"laim.")</f>
        <v>In this case, her colleagues and acquaintances who saw the body claimed that the deceased girl's name was Abhishruti Shastri and that she was a follower of Sanatan Dharma. However, his father, identified as Sabuj Sheikh, a Muslim, refused to accept this claim.</v>
      </c>
      <c r="F214" s="1"/>
      <c r="G214" s="1"/>
      <c r="H214" s="1"/>
      <c r="I214" s="1"/>
    </row>
    <row r="215" spans="1:9" ht="15.6" x14ac:dyDescent="0.3">
      <c r="A215" s="1" t="s">
        <v>4</v>
      </c>
      <c r="B215" s="1" t="s">
        <v>5</v>
      </c>
      <c r="C215" s="10" t="s">
        <v>4</v>
      </c>
      <c r="D215" s="5" t="s">
        <v>214</v>
      </c>
      <c r="E215" s="1" t="str">
        <f ca="1">IFERROR(__xludf.DUMMYFUNCTION("GOOGLETRANSLATE(D215, ""bn"", ""en"")"),"There are other ways to use social media to boycott India other than punishing bullies.")</f>
        <v>There are other ways to use social media to boycott India other than punishing bullies.</v>
      </c>
      <c r="F215" s="1"/>
      <c r="G215" s="1"/>
      <c r="H215" s="1"/>
      <c r="I215" s="1"/>
    </row>
    <row r="216" spans="1:9" ht="15.6" x14ac:dyDescent="0.3">
      <c r="A216" s="1" t="s">
        <v>4</v>
      </c>
      <c r="B216" s="1" t="s">
        <v>5</v>
      </c>
      <c r="C216" s="10" t="s">
        <v>4</v>
      </c>
      <c r="D216" s="5" t="s">
        <v>215</v>
      </c>
      <c r="E216" s="1" t="str">
        <f ca="1">IFERROR(__xludf.DUMMYFUNCTION("GOOGLETRANSLATE(D216, ""bn"", ""en"")"),"Islam is not a religion, it is politics. If you can criticize the founder of BNP, you can also criticize the founder of Islamic politics.")</f>
        <v>Islam is not a religion, it is politics. If you can criticize the founder of BNP, you can also criticize the founder of Islamic politics.</v>
      </c>
      <c r="F216" s="1"/>
      <c r="G216" s="1"/>
      <c r="H216" s="1"/>
      <c r="I216" s="1"/>
    </row>
    <row r="217" spans="1:9" ht="15.6" x14ac:dyDescent="0.3">
      <c r="A217" s="1" t="s">
        <v>5</v>
      </c>
      <c r="B217" s="1" t="s">
        <v>5</v>
      </c>
      <c r="C217" s="10" t="s">
        <v>5</v>
      </c>
      <c r="D217" s="5" t="s">
        <v>216</v>
      </c>
      <c r="E217" s="1" t="str">
        <f ca="1">IFERROR(__xludf.DUMMYFUNCTION("GOOGLETRANSLATE(D217, ""bn"", ""en"")"),"Humanity and justice are the core teachings of all religions, which can bring true peace in our lives.")</f>
        <v>Humanity and justice are the core teachings of all religions, which can bring true peace in our lives.</v>
      </c>
      <c r="F217" s="1"/>
      <c r="G217" s="1"/>
      <c r="H217" s="1"/>
      <c r="I217" s="1"/>
    </row>
    <row r="218" spans="1:9" ht="15.6" x14ac:dyDescent="0.3">
      <c r="A218" s="1" t="s">
        <v>7</v>
      </c>
      <c r="B218" s="1" t="s">
        <v>4</v>
      </c>
      <c r="C218" s="10" t="s">
        <v>7</v>
      </c>
      <c r="D218" s="5" t="s">
        <v>217</v>
      </c>
      <c r="E218" s="1" t="str">
        <f ca="1">IFERROR(__xludf.DUMMYFUNCTION("GOOGLETRANSLATE(D218, ""bn"", ""en"")"),"Another group of Muslims attacked the house of Jashoda Pal and Bharat Bhuiyan in Gobindpur of Ramganj Police Station. They brutally killed 16 members of the family by tying them with ropes and burning them alive. The women of the house are also raped.")</f>
        <v>Another group of Muslims attacked the house of Jashoda Pal and Bharat Bhuiyan in Gobindpur of Ramganj Police Station. They brutally killed 16 members of the family by tying them with ropes and burning them alive. The women of the house are also raped.</v>
      </c>
      <c r="F218" s="1"/>
      <c r="G218" s="1"/>
      <c r="H218" s="1"/>
      <c r="I218" s="1"/>
    </row>
    <row r="219" spans="1:9" ht="15.6" x14ac:dyDescent="0.3">
      <c r="A219" s="1" t="s">
        <v>7</v>
      </c>
      <c r="B219" s="1" t="s">
        <v>7</v>
      </c>
      <c r="C219" s="10" t="s">
        <v>7</v>
      </c>
      <c r="D219" s="5" t="s">
        <v>218</v>
      </c>
      <c r="E219" s="1" t="str">
        <f ca="1">IFERROR(__xludf.DUMMYFUNCTION("GOOGLETRANSLATE(D219, ""bn"", ""en"")"),"Bengal Chief Minister Mamata Banerjee had earlier said, 'I am deeply saddened by the tragic trampling incident at Mahakumbh. At least 15 innocent people died in the incident.")</f>
        <v>Bengal Chief Minister Mamata Banerjee had earlier said, 'I am deeply saddened by the tragic trampling incident at Mahakumbh. At least 15 innocent people died in the incident.</v>
      </c>
      <c r="F219" s="1"/>
      <c r="G219" s="1"/>
      <c r="H219" s="1"/>
      <c r="I219" s="1"/>
    </row>
    <row r="220" spans="1:9" ht="15.6" x14ac:dyDescent="0.3">
      <c r="A220" s="1" t="s">
        <v>9</v>
      </c>
      <c r="B220" s="1" t="s">
        <v>4</v>
      </c>
      <c r="C220" s="10" t="s">
        <v>9</v>
      </c>
      <c r="D220" s="5" t="s">
        <v>219</v>
      </c>
      <c r="E220" s="1" t="str">
        <f ca="1">IFERROR(__xludf.DUMMYFUNCTION("GOOGLETRANSLATE(D220, ""bn"", ""en"")"),"Prior to the 19th century, anti-Semitism was primarily religious. Christians harbored this hostility towards Judaism in light of their own religious interpretations and perspectives. As the largest minority religious group in then-Christian-dominated Euro"&amp;"pe, Jews were at times the victims of religious hatred, persecution and violence.")</f>
        <v>Prior to the 19th century, anti-Semitism was primarily religious. Christians harbored this hostility towards Judaism in light of their own religious interpretations and perspectives. As the largest minority religious group in then-Christian-dominated Europe, Jews were at times the victims of religious hatred, persecution and violence.</v>
      </c>
      <c r="F220" s="1"/>
      <c r="G220" s="1"/>
      <c r="H220" s="1"/>
      <c r="I220" s="1"/>
    </row>
    <row r="221" spans="1:9" ht="15.6" x14ac:dyDescent="0.3">
      <c r="A221" s="1" t="s">
        <v>4</v>
      </c>
      <c r="B221" s="1" t="s">
        <v>4</v>
      </c>
      <c r="C221" s="10" t="s">
        <v>4</v>
      </c>
      <c r="D221" s="5" t="s">
        <v>220</v>
      </c>
      <c r="E221" s="1" t="str">
        <f ca="1">IFERROR(__xludf.DUMMYFUNCTION("GOOGLETRANSLATE(D221, ""bn"", ""en"")"),"Those who exaggerate and insult religion can never be religious,,,Religion is the path of peace,,survived by respect,If I respect your religion,you will too,,,")</f>
        <v>Those who exaggerate and insult religion can never be religious,,,Religion is the path of peace,,survived by respect,If I respect your religion,you will too,,,</v>
      </c>
      <c r="F221" s="1"/>
      <c r="G221" s="1"/>
      <c r="H221" s="1"/>
      <c r="I221" s="1"/>
    </row>
    <row r="222" spans="1:9" ht="15.6" x14ac:dyDescent="0.3">
      <c r="A222" s="1" t="s">
        <v>9</v>
      </c>
      <c r="B222" s="1" t="s">
        <v>9</v>
      </c>
      <c r="C222" s="10" t="s">
        <v>9</v>
      </c>
      <c r="D222" s="5" t="s">
        <v>221</v>
      </c>
      <c r="E222" s="1" t="str">
        <f ca="1">IFERROR(__xludf.DUMMYFUNCTION("GOOGLETRANSLATE(D222, ""bn"", ""en"")"),"District Magistrate of Satkhira district issued section 144 in some areas of Satkhira and Asasuni upazilas. On March 5, Jamaat-Shibir and BNP workers burnt down eight Hindu houses in Khulna. Around midnight on March 12, miscreants vandalized 23 idols of L"&amp;"ord Shiva in the Angita cremation temple in Kaliganj upazila of Jhenaidah district.")</f>
        <v>District Magistrate of Satkhira district issued section 144 in some areas of Satkhira and Asasuni upazilas. On March 5, Jamaat-Shibir and BNP workers burnt down eight Hindu houses in Khulna. Around midnight on March 12, miscreants vandalized 23 idols of Lord Shiva in the Angita cremation temple in Kaliganj upazila of Jhenaidah district.</v>
      </c>
      <c r="F222" s="1"/>
      <c r="G222" s="1"/>
      <c r="H222" s="1"/>
      <c r="I222" s="1"/>
    </row>
    <row r="223" spans="1:9" ht="15.6" x14ac:dyDescent="0.3">
      <c r="A223" s="1" t="s">
        <v>7</v>
      </c>
      <c r="B223" s="1" t="s">
        <v>7</v>
      </c>
      <c r="C223" s="10" t="s">
        <v>7</v>
      </c>
      <c r="D223" s="5" t="s">
        <v>222</v>
      </c>
      <c r="E223" s="1" t="str">
        <f ca="1">IFERROR(__xludf.DUMMYFUNCTION("GOOGLETRANSLATE(D223, ""bn"", ""en"")"),"Two NGO workers killed in Faridpur are victims of religious extremism")</f>
        <v>Two NGO workers killed in Faridpur are victims of religious extremism</v>
      </c>
      <c r="F223" s="1"/>
      <c r="G223" s="1"/>
      <c r="H223" s="1"/>
      <c r="I223" s="1"/>
    </row>
    <row r="224" spans="1:9" ht="15.6" x14ac:dyDescent="0.3">
      <c r="A224" s="1" t="s">
        <v>5</v>
      </c>
      <c r="B224" s="1" t="s">
        <v>5</v>
      </c>
      <c r="C224" s="10" t="s">
        <v>5</v>
      </c>
      <c r="D224" s="5" t="s">
        <v>223</v>
      </c>
      <c r="E224" s="1" t="str">
        <f ca="1">IFERROR(__xludf.DUMMYFUNCTION("GOOGLETRANSLATE(D224, ""bn"", ""en"")"),"We can express opinion, but cannot hurt anyone's religious sentiments. There is no compulsion regarding one's religious beliefs. ")</f>
        <v xml:space="preserve">We can express opinion, but cannot hurt anyone's religious sentiments. There is no compulsion regarding one's religious beliefs. </v>
      </c>
      <c r="F224" s="1"/>
      <c r="G224" s="1"/>
      <c r="H224" s="1"/>
      <c r="I224" s="1"/>
    </row>
    <row r="225" spans="1:9" ht="15.6" x14ac:dyDescent="0.3">
      <c r="A225" s="1" t="s">
        <v>5</v>
      </c>
      <c r="B225" s="1" t="s">
        <v>5</v>
      </c>
      <c r="C225" s="10" t="s">
        <v>5</v>
      </c>
      <c r="D225" s="5" t="s">
        <v>224</v>
      </c>
      <c r="E225" s="1" t="str">
        <f ca="1">IFERROR(__xludf.DUMMYFUNCTION("GOOGLETRANSLATE(D225, ""bn"", ""en"")"),"If we respect each other, harmony and love will grow in the society.")</f>
        <v>If we respect each other, harmony and love will grow in the society.</v>
      </c>
      <c r="F225" s="1"/>
      <c r="G225" s="1"/>
      <c r="H225" s="1"/>
      <c r="I225" s="1"/>
    </row>
    <row r="226" spans="1:9" ht="15.6" x14ac:dyDescent="0.3">
      <c r="A226" s="1" t="s">
        <v>5</v>
      </c>
      <c r="B226" s="1" t="s">
        <v>5</v>
      </c>
      <c r="C226" s="10" t="s">
        <v>5</v>
      </c>
      <c r="D226" s="5" t="s">
        <v>225</v>
      </c>
      <c r="E226" s="1" t="str">
        <f ca="1">IFERROR(__xludf.DUMMYFUNCTION("GOOGLETRANSLATE(D226, ""bn"", ""en"")"),"Don't give up religion for love but give up life for religion")</f>
        <v>Don't give up religion for love but give up life for religion</v>
      </c>
      <c r="F226" s="1"/>
      <c r="G226" s="1"/>
      <c r="H226" s="1"/>
      <c r="I226" s="1"/>
    </row>
    <row r="227" spans="1:9" ht="15.6" x14ac:dyDescent="0.3">
      <c r="A227" s="1" t="s">
        <v>9</v>
      </c>
      <c r="B227" s="1" t="s">
        <v>9</v>
      </c>
      <c r="C227" s="10" t="s">
        <v>9</v>
      </c>
      <c r="D227" s="5" t="s">
        <v>226</v>
      </c>
      <c r="E227" s="1" t="str">
        <f ca="1">IFERROR(__xludf.DUMMYFUNCTION("GOOGLETRANSLATE(D227, ""bn"", ""en"")"),"The 2017 Gangachara communal violence was an attack on Hindus by Jamaat-e-Islami extremists on November 10, 2017 in Thakurpara and Brahmanpara villages in Gangachara upazila of Rangpur on the pretext of insulting Islam.")</f>
        <v>The 2017 Gangachara communal violence was an attack on Hindus by Jamaat-e-Islami extremists on November 10, 2017 in Thakurpara and Brahmanpara villages in Gangachara upazila of Rangpur on the pretext of insulting Islam.</v>
      </c>
      <c r="F227" s="1"/>
      <c r="G227" s="1"/>
      <c r="H227" s="1"/>
      <c r="I227" s="1"/>
    </row>
    <row r="228" spans="1:9" ht="17.399999999999999" x14ac:dyDescent="0.3">
      <c r="A228" s="1" t="s">
        <v>7</v>
      </c>
      <c r="B228" s="1" t="s">
        <v>7</v>
      </c>
      <c r="C228" s="10" t="s">
        <v>7</v>
      </c>
      <c r="D228" s="5" t="s">
        <v>3493</v>
      </c>
      <c r="E228" s="1" t="str">
        <f ca="1">IFERROR(__xludf.DUMMYFUNCTION("GOOGLETRANSLATE(D228, ""bn"", ""en"")"),"In 2002, a 65-year-old woman named Kuttu died after sitting on her husband's funeral pyre in Panna district of Madhya Pradesh. [146] On 18 May 2006, Vidyavati, a 35-year-old woman, was accused of being a sati by jumping on her husband's burning funeral py"&amp;"re in Rari-Buzurg village of Fatehpur district in Uttar Pradesh.")</f>
        <v>In 2002, a 65-year-old woman named Kuttu died after sitting on her husband's funeral pyre in Panna district of Madhya Pradesh. [146] On 18 May 2006, Vidyavati, a 35-year-old woman, was accused of being a sati by jumping on her husband's burning funeral pyre in Rari-Buzurg village of Fatehpur district in Uttar Pradesh.</v>
      </c>
      <c r="F228" s="1"/>
      <c r="G228" s="1"/>
      <c r="H228" s="1"/>
      <c r="I228" s="1"/>
    </row>
    <row r="229" spans="1:9" ht="15.6" x14ac:dyDescent="0.3">
      <c r="A229" s="1" t="s">
        <v>7</v>
      </c>
      <c r="B229" s="1" t="s">
        <v>7</v>
      </c>
      <c r="C229" s="10" t="s">
        <v>7</v>
      </c>
      <c r="D229" s="5" t="s">
        <v>227</v>
      </c>
      <c r="E229" s="1" t="str">
        <f ca="1">IFERROR(__xludf.DUMMYFUNCTION("GOOGLETRANSLATE(D229, ""bn"", ""en"")"),"If you have to die, life is boring, so I can give you wisdom by doing something according to religion.")</f>
        <v>If you have to die, life is boring, so I can give you wisdom by doing something according to religion.</v>
      </c>
      <c r="F229" s="1"/>
      <c r="G229" s="1"/>
      <c r="H229" s="1"/>
      <c r="I229" s="1"/>
    </row>
    <row r="230" spans="1:9" ht="15.6" x14ac:dyDescent="0.3">
      <c r="A230" s="1" t="s">
        <v>9</v>
      </c>
      <c r="B230" s="1" t="s">
        <v>9</v>
      </c>
      <c r="C230" s="10" t="s">
        <v>9</v>
      </c>
      <c r="D230" s="5" t="s">
        <v>228</v>
      </c>
      <c r="E230" s="1" t="str">
        <f ca="1">IFERROR(__xludf.DUMMYFUNCTION("GOOGLETRANSLATE(D230, ""bn"", ""en"")"),"They started firing from Patkhola Bazar and later moved towards Chuknagar Bazar[3]. The firing continued till three in the afternoon. Eyewitnesses put the death toll at 13,000 or more.[1][4] The bodies were thrown into the river by Pak forces and local pe"&amp;"ople were later forced to throw most of the remaining bodies into the river.")</f>
        <v>They started firing from Patkhola Bazar and later moved towards Chuknagar Bazar[3]. The firing continued till three in the afternoon. Eyewitnesses put the death toll at 13,000 or more.[1][4] The bodies were thrown into the river by Pak forces and local people were later forced to throw most of the remaining bodies into the river.</v>
      </c>
      <c r="F230" s="1"/>
      <c r="G230" s="1"/>
      <c r="H230" s="1"/>
      <c r="I230" s="1"/>
    </row>
    <row r="231" spans="1:9" ht="15.6" x14ac:dyDescent="0.3">
      <c r="A231" s="1" t="s">
        <v>9</v>
      </c>
      <c r="B231" s="1" t="s">
        <v>5</v>
      </c>
      <c r="C231" s="10" t="s">
        <v>9</v>
      </c>
      <c r="D231" s="5" t="s">
        <v>229</v>
      </c>
      <c r="E231" s="1" t="str">
        <f ca="1">IFERROR(__xludf.DUMMYFUNCTION("GOOGLETRANSLATE(D231, ""bn"", ""en"")"),"Brenton Tarrant, the man who attacked Christchurch in New Zealand, published a massive 74-page manifesto before carrying out the attack. If you read the things mentioned in his manifesto, it will be seen that there is a historical context to the things sa"&amp;"id there. Racism is not the only cause of this incident in New Zealand.")</f>
        <v>Brenton Tarrant, the man who attacked Christchurch in New Zealand, published a massive 74-page manifesto before carrying out the attack. If you read the things mentioned in his manifesto, it will be seen that there is a historical context to the things said there. Racism is not the only cause of this incident in New Zealand.</v>
      </c>
      <c r="F231" s="1"/>
      <c r="G231" s="1"/>
      <c r="H231" s="1"/>
      <c r="I231" s="1"/>
    </row>
    <row r="232" spans="1:9" ht="15.6" x14ac:dyDescent="0.3">
      <c r="A232" s="1" t="s">
        <v>9</v>
      </c>
      <c r="B232" s="1" t="s">
        <v>9</v>
      </c>
      <c r="C232" s="10" t="s">
        <v>9</v>
      </c>
      <c r="D232" s="5" t="s">
        <v>230</v>
      </c>
      <c r="E232" s="1" t="str">
        <f ca="1">IFERROR(__xludf.DUMMYFUNCTION("GOOGLETRANSLATE(D232, ""bn"", ""en"")"),"In fact, whoever did this may be a hypocrite with a Muslim name or an inhuman with a Hindu name, or of another religion! It may be from a neighboring country in exchange for money, a bezman! The real purpose of which was to prevent a Hindu-Muslim riot in "&amp;"peaceful Bangladesh!")</f>
        <v>In fact, whoever did this may be a hypocrite with a Muslim name or an inhuman with a Hindu name, or of another religion! It may be from a neighboring country in exchange for money, a bezman! The real purpose of which was to prevent a Hindu-Muslim riot in peaceful Bangladesh!</v>
      </c>
      <c r="F232" s="1"/>
      <c r="G232" s="1"/>
      <c r="H232" s="1"/>
      <c r="I232" s="1"/>
    </row>
    <row r="233" spans="1:9" ht="15.6" x14ac:dyDescent="0.3">
      <c r="A233" s="1" t="s">
        <v>4</v>
      </c>
      <c r="B233" s="1" t="s">
        <v>4</v>
      </c>
      <c r="C233" s="10" t="s">
        <v>4</v>
      </c>
      <c r="D233" s="5" t="s">
        <v>231</v>
      </c>
      <c r="E233" s="1" t="str">
        <f ca="1">IFERROR(__xludf.DUMMYFUNCTION("GOOGLETRANSLATE(D233, ""bn"", ""en"")"),"At present, we Muslim countries have become agents of the West, so this is the situation of Muslim brothers today. O Allah, you are the most powerful.")</f>
        <v>At present, we Muslim countries have become agents of the West, so this is the situation of Muslim brothers today. O Allah, you are the most powerful.</v>
      </c>
      <c r="F233" s="1"/>
      <c r="G233" s="1"/>
      <c r="H233" s="1"/>
      <c r="I233" s="1"/>
    </row>
    <row r="234" spans="1:9" ht="15.6" x14ac:dyDescent="0.3">
      <c r="A234" s="1" t="s">
        <v>7</v>
      </c>
      <c r="B234" s="1" t="s">
        <v>7</v>
      </c>
      <c r="C234" s="10" t="s">
        <v>7</v>
      </c>
      <c r="D234" s="5" t="s">
        <v>232</v>
      </c>
      <c r="E234" s="1" t="str">
        <f ca="1">IFERROR(__xludf.DUMMYFUNCTION("GOOGLETRANSLATE(D234, ""bn"", ""en"")"),"The Qur'an itself gives only brief clues about the time between death and resurrection. But it mentions that certain persons like the martyrs are alive and not dead 2:154 and also indicates that some persons are already in Hell.")</f>
        <v>The Qur'an itself gives only brief clues about the time between death and resurrection. But it mentions that certain persons like the martyrs are alive and not dead 2:154 and also indicates that some persons are already in Hell.</v>
      </c>
      <c r="F234" s="1"/>
      <c r="G234" s="1"/>
      <c r="H234" s="1"/>
      <c r="I234" s="1"/>
    </row>
    <row r="235" spans="1:9" ht="15.6" x14ac:dyDescent="0.3">
      <c r="A235" s="1" t="s">
        <v>4</v>
      </c>
      <c r="B235" s="1" t="s">
        <v>4</v>
      </c>
      <c r="C235" s="10" t="s">
        <v>4</v>
      </c>
      <c r="D235" s="5" t="s">
        <v>233</v>
      </c>
      <c r="E235" s="1" t="str">
        <f ca="1">IFERROR(__xludf.DUMMYFUNCTION("GOOGLETRANSLATE(D235, ""bn"", ""en"")"),"Akramuzzaman will be arrested for making bad comments about Shabbat ")</f>
        <v xml:space="preserve">Akramuzzaman will be arrested for making bad comments about Shabbat </v>
      </c>
      <c r="F235" s="1"/>
      <c r="G235" s="1"/>
      <c r="H235" s="1"/>
      <c r="I235" s="1"/>
    </row>
    <row r="236" spans="1:9" ht="15.6" x14ac:dyDescent="0.3">
      <c r="A236" s="1" t="s">
        <v>5</v>
      </c>
      <c r="B236" s="1" t="s">
        <v>5</v>
      </c>
      <c r="C236" s="10" t="s">
        <v>5</v>
      </c>
      <c r="D236" s="5" t="s">
        <v>234</v>
      </c>
      <c r="E236" s="1" t="str">
        <f ca="1">IFERROR(__xludf.DUMMYFUNCTION("GOOGLETRANSLATE(D236, ""bn"", ""en"")"),"Instead of running after the world, it is necessary to employ all the forces behind the hereafter. Then both the world and the hereafter will be found.")</f>
        <v>Instead of running after the world, it is necessary to employ all the forces behind the hereafter. Then both the world and the hereafter will be found.</v>
      </c>
      <c r="F236" s="1"/>
      <c r="G236" s="1"/>
      <c r="H236" s="1"/>
      <c r="I236" s="1"/>
    </row>
    <row r="237" spans="1:9" ht="15.6" x14ac:dyDescent="0.3">
      <c r="A237" s="1" t="s">
        <v>7</v>
      </c>
      <c r="B237" s="1" t="s">
        <v>7</v>
      </c>
      <c r="C237" s="10" t="s">
        <v>7</v>
      </c>
      <c r="D237" s="5" t="s">
        <v>235</v>
      </c>
      <c r="E237" s="1" t="str">
        <f ca="1">IFERROR(__xludf.DUMMYFUNCTION("GOOGLETRANSLATE(D237, ""bn"", ""en"")"),"Minority communities affected again in Pakistan. Ranjit and Kuljit opened the shop as usual. Allegedly, at that time, two assailants arrived at the scene on a motorbike. Before realizing anything, they shoot Ranjit and Kuljit and run away.")</f>
        <v>Minority communities affected again in Pakistan. Ranjit and Kuljit opened the shop as usual. Allegedly, at that time, two assailants arrived at the scene on a motorbike. Before realizing anything, they shoot Ranjit and Kuljit and run away.</v>
      </c>
      <c r="F237" s="1"/>
      <c r="G237" s="1"/>
      <c r="H237" s="1"/>
      <c r="I237" s="1"/>
    </row>
    <row r="238" spans="1:9" ht="15.6" x14ac:dyDescent="0.3">
      <c r="A238" s="1" t="s">
        <v>7</v>
      </c>
      <c r="B238" s="1" t="s">
        <v>4</v>
      </c>
      <c r="C238" s="10" t="s">
        <v>7</v>
      </c>
      <c r="D238" s="5" t="s">
        <v>236</v>
      </c>
      <c r="E238" s="1" t="str">
        <f ca="1">IFERROR(__xludf.DUMMYFUNCTION("GOOGLETRANSLATE(D238, ""bn"", ""en"")"),"About the indescribable torture of Hindu women in Noakhali, the condition of girls there is the worst. Many of them have seen their husbands killed and the killers of their husbands have converted and married them.")</f>
        <v>About the indescribable torture of Hindu women in Noakhali, the condition of girls there is the worst. Many of them have seen their husbands killed and the killers of their husbands have converted and married them.</v>
      </c>
      <c r="F238" s="1"/>
      <c r="G238" s="1"/>
      <c r="H238" s="1"/>
      <c r="I238" s="1"/>
    </row>
    <row r="239" spans="1:9" ht="15.6" x14ac:dyDescent="0.3">
      <c r="A239" s="1" t="s">
        <v>9</v>
      </c>
      <c r="B239" s="1" t="s">
        <v>9</v>
      </c>
      <c r="C239" s="10" t="s">
        <v>9</v>
      </c>
      <c r="D239" s="5" t="s">
        <v>237</v>
      </c>
      <c r="E239" s="1" t="str">
        <f ca="1">IFERROR(__xludf.DUMMYFUNCTION("GOOGLETRANSLATE(D239, ""bn"", ""en"")"),"Israel has been attacking Syria for years. Especially in the cities of Aleppo and Damascus. In addition, incidents of violence also occurred in the disputed Golan Heights. ")</f>
        <v>Israel has been attacking Syria for years. Especially in the cities of Aleppo and Damascus. In addition, incidents of violence also occurred in the disputed Golan Heights. </v>
      </c>
      <c r="F239" s="1"/>
      <c r="G239" s="1"/>
      <c r="H239" s="1"/>
      <c r="I239" s="1"/>
    </row>
    <row r="240" spans="1:9" ht="15.6" x14ac:dyDescent="0.3">
      <c r="A240" s="1" t="s">
        <v>7</v>
      </c>
      <c r="B240" s="1" t="s">
        <v>7</v>
      </c>
      <c r="C240" s="10" t="s">
        <v>7</v>
      </c>
      <c r="D240" s="5" t="s">
        <v>238</v>
      </c>
      <c r="E240" s="1" t="str">
        <f ca="1">IFERROR(__xludf.DUMMYFUNCTION("GOOGLETRANSLATE(D240, ""bn"", ""en"")"),"After the train fire at Godhra, there were widespread attacks on Muslims across Gujarat, killing an estimated 2,000 Muslims.")</f>
        <v>After the train fire at Godhra, there were widespread attacks on Muslims across Gujarat, killing an estimated 2,000 Muslims.</v>
      </c>
      <c r="F240" s="1"/>
      <c r="G240" s="1"/>
      <c r="H240" s="1"/>
      <c r="I240" s="1"/>
    </row>
    <row r="241" spans="1:9" ht="15.6" x14ac:dyDescent="0.3">
      <c r="A241" s="1" t="s">
        <v>9</v>
      </c>
      <c r="B241" s="1" t="s">
        <v>5</v>
      </c>
      <c r="C241" s="10" t="s">
        <v>9</v>
      </c>
      <c r="D241" s="5" t="s">
        <v>239</v>
      </c>
      <c r="E241" s="1" t="str">
        <f ca="1">IFERROR(__xludf.DUMMYFUNCTION("GOOGLETRANSLATE(D241, ""bn"", ""en"")"),"Maybe this is the result of government restrictions, maybe this decision is taken due to the fear that these terrorist activities will spread more due to more publicity of these news. If this is the reason, why BBC Bangla promotes these news with such imp"&amp;"ortance?")</f>
        <v>Maybe this is the result of government restrictions, maybe this decision is taken due to the fear that these terrorist activities will spread more due to more publicity of these news. If this is the reason, why BBC Bangla promotes these news with such importance?</v>
      </c>
      <c r="F241" s="1"/>
      <c r="G241" s="1"/>
      <c r="H241" s="1"/>
      <c r="I241" s="1"/>
    </row>
    <row r="242" spans="1:9" ht="15.6" x14ac:dyDescent="0.3">
      <c r="A242" s="1" t="s">
        <v>9</v>
      </c>
      <c r="B242" s="1" t="s">
        <v>9</v>
      </c>
      <c r="C242" s="10" t="s">
        <v>9</v>
      </c>
      <c r="D242" s="5" t="s">
        <v>240</v>
      </c>
      <c r="E242" s="1" t="str">
        <f ca="1">IFERROR(__xludf.DUMMYFUNCTION("GOOGLETRANSLATE(D242, ""bn"", ""en"")"),"The temple priest and ten other Hindu families were subjected to brutal demonic torture. The brutality continued uninterrupted for four hours. [6] Muslims looted and destroyed numerous Hindu places of worship, including a Durga temple in Lalbagh, Girigova"&amp;"rdhan Jiu Mandir on Pusparaj Saha Lane, Raghunath Jiu Akhara on Harnath Ghosh Lane, Kamrangichar crematorium.")</f>
        <v>The temple priest and ten other Hindu families were subjected to brutal demonic torture. The brutality continued uninterrupted for four hours. [6] Muslims looted and destroyed numerous Hindu places of worship, including a Durga temple in Lalbagh, Girigovardhan Jiu Mandir on Pusparaj Saha Lane, Raghunath Jiu Akhara on Harnath Ghosh Lane, Kamrangichar crematorium.</v>
      </c>
      <c r="F242" s="1"/>
      <c r="G242" s="1"/>
      <c r="H242" s="1"/>
      <c r="I242" s="1"/>
    </row>
    <row r="243" spans="1:9" ht="15.6" x14ac:dyDescent="0.3">
      <c r="A243" s="1" t="s">
        <v>5</v>
      </c>
      <c r="B243" s="1" t="s">
        <v>4</v>
      </c>
      <c r="C243" s="10" t="s">
        <v>5</v>
      </c>
      <c r="D243" s="5" t="s">
        <v>241</v>
      </c>
      <c r="E243" s="1" t="str">
        <f ca="1">IFERROR(__xludf.DUMMYFUNCTION("GOOGLETRANSLATE(D243, ""bn"", ""en"")"),"A devotee could therefore deeply respect the Buddha within Hinduism. This was the final nail in the coffin of Buddhism in the birthplace of Buddha. Hinduism therefore gradually became - ""a center of confidence and satisfaction for believers of various fa"&amp;"iths."" In addition to giving place to a personal God, emotional devotional songs began to emerge which had not been seen before.")</f>
        <v>A devotee could therefore deeply respect the Buddha within Hinduism. This was the final nail in the coffin of Buddhism in the birthplace of Buddha. Hinduism therefore gradually became - "a center of confidence and satisfaction for believers of various faiths." In addition to giving place to a personal God, emotional devotional songs began to emerge which had not been seen before.</v>
      </c>
      <c r="F243" s="1"/>
      <c r="G243" s="1"/>
      <c r="H243" s="1"/>
      <c r="I243" s="1"/>
    </row>
    <row r="244" spans="1:9" ht="15.6" x14ac:dyDescent="0.3">
      <c r="A244" s="1" t="s">
        <v>9</v>
      </c>
      <c r="B244" s="1" t="s">
        <v>9</v>
      </c>
      <c r="C244" s="10" t="s">
        <v>9</v>
      </c>
      <c r="D244" s="5" t="s">
        <v>242</v>
      </c>
      <c r="E244" s="1" t="str">
        <f ca="1">IFERROR(__xludf.DUMMYFUNCTION("GOOGLETRANSLATE(D244, ""bn"", ""en"")"),"Even if you riot Hindu Muslims, we unite Hindu-Muslims, this is the Trinamool family, this is the culture of Bengal, win Bengal. This is not just a photo. This is real India here you will find Bengali Bihari Punjabi and Muslim all together.")</f>
        <v>Even if you riot Hindu Muslims, we unite Hindu-Muslims, this is the Trinamool family, this is the culture of Bengal, win Bengal. This is not just a photo. This is real India here you will find Bengali Bihari Punjabi and Muslim all together.</v>
      </c>
      <c r="F244" s="1"/>
      <c r="G244" s="1"/>
      <c r="H244" s="1"/>
      <c r="I244" s="1"/>
    </row>
    <row r="245" spans="1:9" ht="15.6" x14ac:dyDescent="0.3">
      <c r="A245" s="1" t="s">
        <v>5</v>
      </c>
      <c r="B245" s="1" t="s">
        <v>5</v>
      </c>
      <c r="C245" s="10" t="s">
        <v>5</v>
      </c>
      <c r="D245" s="5" t="s">
        <v>243</v>
      </c>
      <c r="E245" s="1" t="str">
        <f ca="1">IFERROR(__xludf.DUMMYFUNCTION("GOOGLETRANSLATE(D245, ""bn"", ""en"")"),"Allah says in the Qur'an that He is the Creator of all creation, and the guidance that comes from Him is best for the welfare of humanity.")</f>
        <v>Allah says in the Qur'an that He is the Creator of all creation, and the guidance that comes from Him is best for the welfare of humanity.</v>
      </c>
      <c r="F245" s="1"/>
      <c r="G245" s="1"/>
      <c r="H245" s="1"/>
      <c r="I245" s="1"/>
    </row>
    <row r="246" spans="1:9" ht="15.6" x14ac:dyDescent="0.3">
      <c r="A246" s="1" t="s">
        <v>5</v>
      </c>
      <c r="B246" s="1" t="s">
        <v>5</v>
      </c>
      <c r="C246" s="10" t="s">
        <v>5</v>
      </c>
      <c r="D246" s="5" t="s">
        <v>244</v>
      </c>
      <c r="E246" s="1" t="str">
        <f ca="1">IFERROR(__xludf.DUMMYFUNCTION("GOOGLETRANSLATE(D246, ""bn"", ""en"")"),"By obeying Allah's orders, we gain peace and spiritual peace in this worldly life, and Allah's mercy in the Hereafter.")</f>
        <v>By obeying Allah's orders, we gain peace and spiritual peace in this worldly life, and Allah's mercy in the Hereafter.</v>
      </c>
      <c r="F246" s="1"/>
      <c r="G246" s="1"/>
      <c r="H246" s="1"/>
      <c r="I246" s="1"/>
    </row>
    <row r="247" spans="1:9" ht="15.6" x14ac:dyDescent="0.3">
      <c r="A247" s="1" t="s">
        <v>5</v>
      </c>
      <c r="B247" s="1" t="s">
        <v>5</v>
      </c>
      <c r="C247" s="10" t="s">
        <v>5</v>
      </c>
      <c r="D247" s="5" t="s">
        <v>245</v>
      </c>
      <c r="E247" s="1" t="str">
        <f ca="1">IFERROR(__xludf.DUMMYFUNCTION("GOOGLETRANSLATE(D247, ""bn"", ""en"")"),"A believer is satisfied with the good and bad of fate. Even if he is touched on something he does not like, he does not question it. Because Allah's command is, 'He (Allah) cannot be questioned about what He does, rather they will be questioned. '")</f>
        <v>A believer is satisfied with the good and bad of fate. Even if he is touched on something he does not like, he does not question it. Because Allah's command is, 'He (Allah) cannot be questioned about what He does, rather they will be questioned. '</v>
      </c>
      <c r="F247" s="1"/>
      <c r="G247" s="1"/>
      <c r="H247" s="1"/>
      <c r="I247" s="1"/>
    </row>
    <row r="248" spans="1:9" ht="15.6" x14ac:dyDescent="0.3">
      <c r="A248" s="1" t="s">
        <v>7</v>
      </c>
      <c r="B248" s="1" t="s">
        <v>4</v>
      </c>
      <c r="C248" s="10" t="s">
        <v>7</v>
      </c>
      <c r="D248" s="5" t="s">
        <v>246</v>
      </c>
      <c r="E248" s="1" t="str">
        <f ca="1">IFERROR(__xludf.DUMMYFUNCTION("GOOGLETRANSLATE(D248, ""bn"", ""en"")"),"He sent his wife and children to West Bengal for safety and stayed in Noakhali with his brother. After a few months, Mahatma Gandhi's efforts made it possible to recover his melted body.")</f>
        <v>He sent his wife and children to West Bengal for safety and stayed in Noakhali with his brother. After a few months, Mahatma Gandhi's efforts made it possible to recover his melted body.</v>
      </c>
      <c r="F248" s="1"/>
      <c r="G248" s="1"/>
      <c r="H248" s="1"/>
      <c r="I248" s="1"/>
    </row>
    <row r="249" spans="1:9" ht="17.399999999999999" x14ac:dyDescent="0.3">
      <c r="A249" s="1" t="s">
        <v>7</v>
      </c>
      <c r="B249" s="1" t="s">
        <v>7</v>
      </c>
      <c r="C249" s="10" t="s">
        <v>7</v>
      </c>
      <c r="D249" s="5" t="s">
        <v>3494</v>
      </c>
      <c r="E249" s="1" t="str">
        <f ca="1">IFERROR(__xludf.DUMMYFUNCTION("GOOGLETRANSLATE(D249, ""bn"", ""en"")"),"The Marichjhangpi massacre or the Marichjhangpi incident was the 1979 eviction of refugees from post-partition Bengal in the protected forest area of ​​Marichjhangpi Island (Sunderbans, West Bengal). These refugees came here from Dandakaranya camps locate"&amp;"d in Odisha, Madhya Pradesh and Chhattisgarh.[1][2] Settlers clashed with the police during the Sati eviction, imposed an economic blockade, and resulted in many casualties.")</f>
        <v>The Marichjhangpi massacre or the Marichjhangpi incident was the 1979 eviction of refugees from post-partition Bengal in the protected forest area of ​​Marichjhangpi Island (Sunderbans, West Bengal). These refugees came here from Dandakaranya camps located in Odisha, Madhya Pradesh and Chhattisgarh.[1][2] Settlers clashed with the police during the Sati eviction, imposed an economic blockade, and resulted in many casualties.</v>
      </c>
      <c r="F249" s="1"/>
      <c r="G249" s="1"/>
      <c r="H249" s="1"/>
      <c r="I249" s="1"/>
    </row>
    <row r="250" spans="1:9" ht="15.6" x14ac:dyDescent="0.3">
      <c r="A250" s="1" t="s">
        <v>5</v>
      </c>
      <c r="B250" s="1" t="s">
        <v>5</v>
      </c>
      <c r="C250" s="10" t="s">
        <v>5</v>
      </c>
      <c r="D250" s="5" t="s">
        <v>247</v>
      </c>
      <c r="E250" s="1" t="str">
        <f ca="1">IFERROR(__xludf.DUMMYFUNCTION("GOOGLETRANSLATE(D250, ""bn"", ""en"")"),"In Arabia, followers of Islam respect their religious culture and traditions. The country has certain religious principles to uphold Islamic values, which are part of its culture.")</f>
        <v>In Arabia, followers of Islam respect their religious culture and traditions. The country has certain religious principles to uphold Islamic values, which are part of its culture.</v>
      </c>
      <c r="F250" s="1"/>
      <c r="G250" s="1"/>
      <c r="H250" s="1"/>
      <c r="I250" s="1"/>
    </row>
    <row r="251" spans="1:9" ht="15.6" x14ac:dyDescent="0.3">
      <c r="A251" s="1" t="s">
        <v>5</v>
      </c>
      <c r="B251" s="1" t="s">
        <v>5</v>
      </c>
      <c r="C251" s="10" t="s">
        <v>5</v>
      </c>
      <c r="D251" s="5" t="s">
        <v>248</v>
      </c>
      <c r="E251" s="1" t="str">
        <f ca="1">IFERROR(__xludf.DUMMYFUNCTION("GOOGLETRANSLATE(D251, ""bn"", ""en"")"),"If you look at it through a religious prism, you will think so. It should be seen through a political prism. Shanti Kami no Hindu Muslim does these things, nor is he supposed to do this, because I know very well how my relationship with Devabrat Majumdar "&amp;"of my neighborhood is? He knows how I am?")</f>
        <v>If you look at it through a religious prism, you will think so. It should be seen through a political prism. Shanti Kami no Hindu Muslim does these things, nor is he supposed to do this, because I know very well how my relationship with Devabrat Majumdar of my neighborhood is? He knows how I am?</v>
      </c>
      <c r="F251" s="1"/>
      <c r="G251" s="1"/>
      <c r="H251" s="1"/>
      <c r="I251" s="1"/>
    </row>
    <row r="252" spans="1:9" ht="15.6" x14ac:dyDescent="0.3">
      <c r="A252" s="1" t="s">
        <v>5</v>
      </c>
      <c r="B252" s="1" t="s">
        <v>9</v>
      </c>
      <c r="C252" s="10" t="s">
        <v>5</v>
      </c>
      <c r="D252" s="5" t="s">
        <v>249</v>
      </c>
      <c r="E252" s="1" t="str">
        <f ca="1">IFERROR(__xludf.DUMMYFUNCTION("GOOGLETRANSLATE(D252, ""bn"", ""en"")"),"In addition to the pioneering efforts, it is the duty of the Muslim Ummah to protect this valuable resource with their lives, to establish a relationship with the Quran, to strengthen their faith and trust in the Quran, to know and obey the correct recita"&amp;"tion of the Quran and the educational instructions of the Quran, and to inform and obey their children and families.")</f>
        <v>In addition to the pioneering efforts, it is the duty of the Muslim Ummah to protect this valuable resource with their lives, to establish a relationship with the Quran, to strengthen their faith and trust in the Quran, to know and obey the correct recitation of the Quran and the educational instructions of the Quran, and to inform and obey their children and families.</v>
      </c>
      <c r="F252" s="1"/>
      <c r="G252" s="1"/>
      <c r="H252" s="1"/>
      <c r="I252" s="1"/>
    </row>
    <row r="253" spans="1:9" ht="15.6" x14ac:dyDescent="0.3">
      <c r="A253" s="1" t="s">
        <v>5</v>
      </c>
      <c r="B253" s="1" t="s">
        <v>5</v>
      </c>
      <c r="C253" s="10" t="s">
        <v>5</v>
      </c>
      <c r="D253" s="5" t="s">
        <v>250</v>
      </c>
      <c r="E253" s="1" t="str">
        <f ca="1">IFERROR(__xludf.DUMMYFUNCTION("GOOGLETRANSLATE(D253, ""bn"", ""en"")"),"Assalamu alaikum brother, MashaAllah the way you explained is so beautiful, explain it so beautifully. May Allah grant you more understanding. May Allah grant you good life, brother Masha Allah no one can explain so beautifully.")</f>
        <v>Assalamu alaikum brother, MashaAllah the way you explained is so beautiful, explain it so beautifully. May Allah grant you more understanding. May Allah grant you good life, brother Masha Allah no one can explain so beautifully.</v>
      </c>
      <c r="F253" s="1"/>
      <c r="G253" s="1"/>
      <c r="H253" s="1"/>
      <c r="I253" s="1"/>
    </row>
    <row r="254" spans="1:9" ht="15.6" x14ac:dyDescent="0.3">
      <c r="A254" s="1" t="s">
        <v>7</v>
      </c>
      <c r="B254" s="1" t="s">
        <v>7</v>
      </c>
      <c r="C254" s="10" t="s">
        <v>7</v>
      </c>
      <c r="D254" s="5" t="s">
        <v>251</v>
      </c>
      <c r="E254" s="1" t="str">
        <f ca="1">IFERROR(__xludf.DUMMYFUNCTION("GOOGLETRANSLATE(D254, ""bn"", ""en"")"),"National elections were held on January 5 of that year. Hindus were victims of the subsequent violence. 761 Hindu homes, 193 business establishments and 247 temples were attacked that year. Then one person was killed.")</f>
        <v>National elections were held on January 5 of that year. Hindus were victims of the subsequent violence. 761 Hindu homes, 193 business establishments and 247 temples were attacked that year. Then one person was killed.</v>
      </c>
      <c r="F254" s="1"/>
      <c r="G254" s="1"/>
      <c r="H254" s="1"/>
      <c r="I254" s="1"/>
    </row>
    <row r="255" spans="1:9" ht="15.6" x14ac:dyDescent="0.3">
      <c r="A255" s="1" t="s">
        <v>4</v>
      </c>
      <c r="B255" s="1" t="s">
        <v>4</v>
      </c>
      <c r="C255" s="10" t="s">
        <v>4</v>
      </c>
      <c r="D255" s="5" t="s">
        <v>252</v>
      </c>
      <c r="E255" s="1" t="str">
        <f ca="1">IFERROR(__xludf.DUMMYFUNCTION("GOOGLETRANSLATE(D255, ""bn"", ""en"")"),"These lies insult my religion and hurt my existence, they belittle my country.")</f>
        <v>These lies insult my religion and hurt my existence, they belittle my country.</v>
      </c>
      <c r="F255" s="1"/>
      <c r="G255" s="1"/>
      <c r="H255" s="1"/>
      <c r="I255" s="1"/>
    </row>
    <row r="256" spans="1:9" ht="15.6" x14ac:dyDescent="0.3">
      <c r="A256" s="1" t="s">
        <v>9</v>
      </c>
      <c r="B256" s="1" t="s">
        <v>9</v>
      </c>
      <c r="C256" s="10" t="s">
        <v>9</v>
      </c>
      <c r="D256" s="5" t="s">
        <v>253</v>
      </c>
      <c r="E256" s="1" t="str">
        <f ca="1">IFERROR(__xludf.DUMMYFUNCTION("GOOGLETRANSLATE(D256, ""bn"", ""en"")"),"Indiscriminate attacks on the Hindus of various Hindu villages around Sherpur such as Lakshanpur, Mucherer Char, Char Sherpur Jhankata, Bhatsana, Sapmari etc. started. The houses of Hindus were looted and set on fire.")</f>
        <v>Indiscriminate attacks on the Hindus of various Hindu villages around Sherpur such as Lakshanpur, Mucherer Char, Char Sherpur Jhankata, Bhatsana, Sapmari etc. started. The houses of Hindus were looted and set on fire.</v>
      </c>
      <c r="F256" s="1"/>
      <c r="G256" s="1"/>
      <c r="H256" s="1"/>
      <c r="I256" s="1"/>
    </row>
    <row r="257" spans="1:9" ht="15.6" x14ac:dyDescent="0.3">
      <c r="A257" s="1" t="s">
        <v>4</v>
      </c>
      <c r="B257" s="1" t="s">
        <v>5</v>
      </c>
      <c r="C257" s="10" t="s">
        <v>4</v>
      </c>
      <c r="D257" s="5" t="s">
        <v>254</v>
      </c>
      <c r="E257" s="1" t="str">
        <f ca="1">IFERROR(__xludf.DUMMYFUNCTION("GOOGLETRANSLATE(D257, ""bn"", ""en"")"),"Those who indulge in the dirty game of secularization in the name of secularism need to be resisted in time.")</f>
        <v>Those who indulge in the dirty game of secularization in the name of secularism need to be resisted in time.</v>
      </c>
      <c r="F257" s="1"/>
      <c r="G257" s="1"/>
      <c r="H257" s="1"/>
      <c r="I257" s="1"/>
    </row>
    <row r="258" spans="1:9" ht="15.6" x14ac:dyDescent="0.3">
      <c r="A258" s="1" t="s">
        <v>5</v>
      </c>
      <c r="B258" s="1" t="s">
        <v>5</v>
      </c>
      <c r="C258" s="10" t="s">
        <v>5</v>
      </c>
      <c r="D258" s="5" t="s">
        <v>255</v>
      </c>
      <c r="E258" s="1" t="str">
        <f ca="1">IFERROR(__xludf.DUMMYFUNCTION("GOOGLETRANSLATE(D258, ""bn"", ""en"")"),"In the Holy Vedas God has instructed the mankind about the age of marriage that when the celibate life is over, the youth should marry a suitable partner-")</f>
        <v>In the Holy Vedas God has instructed the mankind about the age of marriage that when the celibate life is over, the youth should marry a suitable partner-</v>
      </c>
      <c r="F258" s="1"/>
      <c r="G258" s="1"/>
      <c r="H258" s="1"/>
      <c r="I258" s="1"/>
    </row>
    <row r="259" spans="1:9" ht="15.6" x14ac:dyDescent="0.3">
      <c r="A259" s="1" t="s">
        <v>7</v>
      </c>
      <c r="B259" s="1" t="s">
        <v>7</v>
      </c>
      <c r="C259" s="10" t="s">
        <v>7</v>
      </c>
      <c r="D259" s="5" t="s">
        <v>256</v>
      </c>
      <c r="E259" s="1" t="str">
        <f ca="1">IFERROR(__xludf.DUMMYFUNCTION("GOOGLETRANSLATE(D259, ""bn"", ""en"")"),"Radical religious bigotry has created hatred in the minds of people, resulting in many killings and destruction of peace.")</f>
        <v>Radical religious bigotry has created hatred in the minds of people, resulting in many killings and destruction of peace.</v>
      </c>
      <c r="F259" s="1"/>
      <c r="G259" s="1"/>
      <c r="H259" s="1"/>
      <c r="I259" s="1"/>
    </row>
    <row r="260" spans="1:9" ht="15.6" x14ac:dyDescent="0.3">
      <c r="A260" s="1" t="s">
        <v>7</v>
      </c>
      <c r="B260" s="1" t="s">
        <v>7</v>
      </c>
      <c r="C260" s="10" t="s">
        <v>7</v>
      </c>
      <c r="D260" s="5" t="s">
        <v>257</v>
      </c>
      <c r="E260" s="1" t="str">
        <f ca="1">IFERROR(__xludf.DUMMYFUNCTION("GOOGLETRANSLATE(D260, ""bn"", ""en"")"),"Inamder, Oberfield, and Darrell state that women who commit satim are often ""childless or old and face a miserable life of poverty"" which alone can lead to widow suicide due to the loss of personal support.")</f>
        <v>Inamder, Oberfield, and Darrell state that women who commit satim are often "childless or old and face a miserable life of poverty" which alone can lead to widow suicide due to the loss of personal support.</v>
      </c>
      <c r="F260" s="1"/>
      <c r="G260" s="1"/>
      <c r="H260" s="1"/>
      <c r="I260" s="1"/>
    </row>
    <row r="261" spans="1:9" ht="15.6" x14ac:dyDescent="0.3">
      <c r="A261" s="1" t="s">
        <v>4</v>
      </c>
      <c r="B261" s="1" t="s">
        <v>4</v>
      </c>
      <c r="C261" s="10" t="s">
        <v>4</v>
      </c>
      <c r="D261" s="5" t="s">
        <v>258</v>
      </c>
      <c r="E261" s="1" t="str">
        <f ca="1">IFERROR(__xludf.DUMMYFUNCTION("GOOGLETRANSLATE(D261, ""bn"", ""en"")"),"UN human rights chief Volker Turk told UNHRC that such provocative actions against Muslims as well as other religions or minorities are wrong, outrageous and irresponsible.")</f>
        <v>UN human rights chief Volker Turk told UNHRC that such provocative actions against Muslims as well as other religions or minorities are wrong, outrageous and irresponsible.</v>
      </c>
      <c r="F261" s="1"/>
      <c r="G261" s="1"/>
      <c r="H261" s="1"/>
      <c r="I261" s="1"/>
    </row>
    <row r="262" spans="1:9" ht="15.6" x14ac:dyDescent="0.3">
      <c r="A262" s="1" t="s">
        <v>5</v>
      </c>
      <c r="B262" s="1" t="s">
        <v>5</v>
      </c>
      <c r="C262" s="10" t="s">
        <v>5</v>
      </c>
      <c r="D262" s="5" t="s">
        <v>259</v>
      </c>
      <c r="E262" s="1" t="str">
        <f ca="1">IFERROR(__xludf.DUMMYFUNCTION("GOOGLETRANSLATE(D262, ""bn"", ""en"")"),"No religion should be exaggerated. Avoiding it is good for everyone. He should point out his mistakes and show him the right path, so that others can also learn.")</f>
        <v>No religion should be exaggerated. Avoiding it is good for everyone. He should point out his mistakes and show him the right path, so that others can also learn.</v>
      </c>
      <c r="F262" s="1"/>
      <c r="G262" s="1"/>
      <c r="H262" s="1"/>
      <c r="I262" s="1"/>
    </row>
    <row r="263" spans="1:9" ht="15.6" x14ac:dyDescent="0.3">
      <c r="A263" s="4" t="s">
        <v>7</v>
      </c>
      <c r="B263" s="4" t="s">
        <v>7</v>
      </c>
      <c r="C263" s="11" t="s">
        <v>7</v>
      </c>
      <c r="D263" s="5" t="s">
        <v>260</v>
      </c>
      <c r="E263" s="1" t="str">
        <f ca="1">IFERROR(__xludf.DUMMYFUNCTION("GOOGLETRANSLATE(D263, ""bn"", ""en"")"),"A mob of Muslims set fire to the Galshahid police post and killed two policemen and looted weapons. Then the police also took a violent approach.")</f>
        <v>A mob of Muslims set fire to the Galshahid police post and killed two policemen and looted weapons. Then the police also took a violent approach.</v>
      </c>
      <c r="F263" s="1"/>
      <c r="G263" s="1"/>
      <c r="H263" s="1"/>
      <c r="I263" s="1"/>
    </row>
    <row r="264" spans="1:9" ht="15.6" x14ac:dyDescent="0.3">
      <c r="A264" s="1" t="s">
        <v>9</v>
      </c>
      <c r="B264" s="1" t="s">
        <v>9</v>
      </c>
      <c r="C264" s="10" t="s">
        <v>9</v>
      </c>
      <c r="D264" s="5" t="s">
        <v>261</v>
      </c>
      <c r="E264" s="1" t="str">
        <f ca="1">IFERROR(__xludf.DUMMYFUNCTION("GOOGLETRANSLATE(D264, ""bn"", ""en"")"),"In 2017, Rohingya Muslim settlements were set on fire, leaving many homeless and injured.")</f>
        <v>In 2017, Rohingya Muslim settlements were set on fire, leaving many homeless and injured.</v>
      </c>
      <c r="F264" s="1"/>
      <c r="G264" s="1"/>
      <c r="H264" s="1"/>
      <c r="I264" s="1"/>
    </row>
    <row r="265" spans="1:9" ht="15.6" x14ac:dyDescent="0.3">
      <c r="A265" s="1" t="s">
        <v>5</v>
      </c>
      <c r="B265" s="1" t="s">
        <v>5</v>
      </c>
      <c r="C265" s="10" t="s">
        <v>5</v>
      </c>
      <c r="D265" s="5" t="s">
        <v>262</v>
      </c>
      <c r="E265" s="1" t="str">
        <f ca="1">IFERROR(__xludf.DUMMYFUNCTION("GOOGLETRANSLATE(D265, ""bn"", ""en"")"),"Only 300-400 lucky Hindus would be able to get permission to enter India.[37] Khulna, the only Hindu majority district in East-Pakistan, was also converted into a Muslim majority district due to endless migration.")</f>
        <v>Only 300-400 lucky Hindus would be able to get permission to enter India.[37] Khulna, the only Hindu majority district in East-Pakistan, was also converted into a Muslim majority district due to endless migration.</v>
      </c>
      <c r="F265" s="1"/>
      <c r="G265" s="1"/>
      <c r="H265" s="1"/>
      <c r="I265" s="1"/>
    </row>
    <row r="266" spans="1:9" ht="15.6" x14ac:dyDescent="0.3">
      <c r="A266" s="1" t="s">
        <v>4</v>
      </c>
      <c r="B266" s="1" t="s">
        <v>5</v>
      </c>
      <c r="C266" s="10" t="s">
        <v>4</v>
      </c>
      <c r="D266" s="5" t="s">
        <v>263</v>
      </c>
      <c r="E266" s="1" t="str">
        <f ca="1">IFERROR(__xludf.DUMMYFUNCTION("GOOGLETRANSLATE(D266, ""bn"", ""en"")"),"Lourenco Pires, the Portuguese ambassador to Rome, expressed his displeasure to the king after hearing of the excesses in the name of spreading Christianity. He warned him that this persecution in the name of Christianity was actually harming the religion"&amp;" and the state. The Inquisition led to the collapse of the Portuguese Empire in the east.")</f>
        <v>Lourenco Pires, the Portuguese ambassador to Rome, expressed his displeasure to the king after hearing of the excesses in the name of spreading Christianity. He warned him that this persecution in the name of Christianity was actually harming the religion and the state. The Inquisition led to the collapse of the Portuguese Empire in the east.</v>
      </c>
      <c r="F266" s="1"/>
      <c r="G266" s="1"/>
      <c r="H266" s="1"/>
      <c r="I266" s="1"/>
    </row>
    <row r="267" spans="1:9" ht="15.6" x14ac:dyDescent="0.3">
      <c r="A267" s="1" t="s">
        <v>4</v>
      </c>
      <c r="B267" s="1" t="s">
        <v>4</v>
      </c>
      <c r="C267" s="10" t="s">
        <v>4</v>
      </c>
      <c r="D267" s="5" t="s">
        <v>264</v>
      </c>
      <c r="E267" s="1" t="str">
        <f ca="1">IFERROR(__xludf.DUMMYFUNCTION("GOOGLETRANSLATE(D267, ""bn"", ""en"")"),"Since almost all religions, including Islam, are allowed to have limited festivals in their own way, they have left their rituals in the open market with the joy of Fakhruddin's chutney.")</f>
        <v>Since almost all religions, including Islam, are allowed to have limited festivals in their own way, they have left their rituals in the open market with the joy of Fakhruddin's chutney.</v>
      </c>
      <c r="F267" s="1"/>
      <c r="G267" s="1"/>
      <c r="H267" s="1"/>
      <c r="I267" s="1"/>
    </row>
    <row r="268" spans="1:9" ht="15.6" x14ac:dyDescent="0.3">
      <c r="A268" s="1" t="s">
        <v>9</v>
      </c>
      <c r="B268" s="1" t="s">
        <v>9</v>
      </c>
      <c r="C268" s="10" t="s">
        <v>9</v>
      </c>
      <c r="D268" s="5" t="s">
        <v>265</v>
      </c>
      <c r="E268" s="1" t="str">
        <f ca="1">IFERROR(__xludf.DUMMYFUNCTION("GOOGLETRANSLATE(D268, ""bn"", ""en"")"),"Torture of religious minorities, tension over the lifestyle of minorities, food habits. We also see in Bangladesh people talking anti-India and anti-Hindu to gain cheap popularity. In fact, we are now becoming communal rather than religious.")</f>
        <v>Torture of religious minorities, tension over the lifestyle of minorities, food habits. We also see in Bangladesh people talking anti-India and anti-Hindu to gain cheap popularity. In fact, we are now becoming communal rather than religious.</v>
      </c>
      <c r="F268" s="1"/>
      <c r="G268" s="1"/>
      <c r="H268" s="1"/>
      <c r="I268" s="1"/>
    </row>
    <row r="269" spans="1:9" ht="15.6" x14ac:dyDescent="0.3">
      <c r="A269" s="1" t="s">
        <v>5</v>
      </c>
      <c r="B269" s="1" t="s">
        <v>5</v>
      </c>
      <c r="C269" s="10" t="s">
        <v>5</v>
      </c>
      <c r="D269" s="5" t="s">
        <v>266</v>
      </c>
      <c r="E269" s="1" t="str">
        <f ca="1">IFERROR(__xludf.DUMMYFUNCTION("GOOGLETRANSLATE(D269, ""bn"", ""en"")"),"Thanks Youtuber brother. To divide the questions like this. We will then easily find the question we need. Ahmadullah Huzur requested to give every video like this.")</f>
        <v>Thanks Youtuber brother. To divide the questions like this. We will then easily find the question we need. Ahmadullah Huzur requested to give every video like this.</v>
      </c>
      <c r="F269" s="1"/>
      <c r="G269" s="1"/>
      <c r="H269" s="1"/>
      <c r="I269" s="1"/>
    </row>
    <row r="270" spans="1:9" ht="15.6" x14ac:dyDescent="0.3">
      <c r="A270" s="1" t="s">
        <v>9</v>
      </c>
      <c r="B270" s="1" t="s">
        <v>9</v>
      </c>
      <c r="C270" s="10" t="s">
        <v>9</v>
      </c>
      <c r="D270" s="5" t="s">
        <v>267</v>
      </c>
      <c r="E270" s="1" t="str">
        <f ca="1">IFERROR(__xludf.DUMMYFUNCTION("GOOGLETRANSLATE(D270, ""bn"", ""en"")"),"After 1947, some wealthy Bihari Muslim businessmen also started settling here. On March 26, troops bombarded the Sutrapur police station. A few policemen died, the rest escaped. The army is stationed at that police station.")</f>
        <v>After 1947, some wealthy Bihari Muslim businessmen also started settling here. On March 26, troops bombarded the Sutrapur police station. A few policemen died, the rest escaped. The army is stationed at that police station.</v>
      </c>
      <c r="F270" s="1"/>
      <c r="G270" s="1"/>
      <c r="H270" s="1"/>
      <c r="I270" s="1"/>
    </row>
    <row r="271" spans="1:9" ht="15.6" x14ac:dyDescent="0.3">
      <c r="A271" s="1" t="s">
        <v>5</v>
      </c>
      <c r="B271" s="1" t="s">
        <v>5</v>
      </c>
      <c r="C271" s="10" t="s">
        <v>5</v>
      </c>
      <c r="D271" s="5" t="s">
        <v>268</v>
      </c>
      <c r="E271" s="1" t="str">
        <f ca="1">IFERROR(__xludf.DUMMYFUNCTION("GOOGLETRANSLATE(D271, ""bn"", ""en"")"),"""Subhanallah, today I believe the scientific explanations whether I understand it or not, but why should I not believe the words of Allah? O Lord, please listen to me more videos that chill my liver. Brother, I pray for you. May God rest you in peace. Am"&amp;"en.")</f>
        <v>"Subhanallah, today I believe the scientific explanations whether I understand it or not, but why should I not believe the words of Allah? O Lord, please listen to me more videos that chill my liver. Brother, I pray for you. May God rest you in peace. Amen.</v>
      </c>
      <c r="F271" s="1"/>
      <c r="G271" s="1"/>
      <c r="H271" s="1"/>
      <c r="I271" s="1"/>
    </row>
    <row r="272" spans="1:9" ht="15.6" x14ac:dyDescent="0.3">
      <c r="A272" s="1" t="s">
        <v>4</v>
      </c>
      <c r="B272" s="1" t="s">
        <v>4</v>
      </c>
      <c r="C272" s="10" t="s">
        <v>4</v>
      </c>
      <c r="D272" s="5" t="s">
        <v>269</v>
      </c>
      <c r="E272" s="1" t="str">
        <f ca="1">IFERROR(__xludf.DUMMYFUNCTION("GOOGLETRANSLATE(D272, ""bn"", ""en"")"),"Strongly condemn those who insult the Holy Quran. I demand severe punishment.")</f>
        <v>Strongly condemn those who insult the Holy Quran. I demand severe punishment.</v>
      </c>
      <c r="F272" s="1"/>
      <c r="G272" s="1"/>
      <c r="H272" s="1"/>
      <c r="I272" s="1"/>
    </row>
    <row r="273" spans="1:9" ht="15.6" x14ac:dyDescent="0.3">
      <c r="A273" s="1" t="s">
        <v>7</v>
      </c>
      <c r="B273" s="1" t="s">
        <v>7</v>
      </c>
      <c r="C273" s="10" t="s">
        <v>7</v>
      </c>
      <c r="D273" s="5" t="s">
        <v>270</v>
      </c>
      <c r="E273" s="1" t="str">
        <f ca="1">IFERROR(__xludf.DUMMYFUNCTION("GOOGLETRANSLATE(D273, ""bn"", ""en"")"),"The person who is entitled to offer pindana in honor of the deceased is called 'Sapinda'. The descendants are the main owners of the property of the deceased. ")</f>
        <v xml:space="preserve">The person who is entitled to offer pindana in honor of the deceased is called 'Sapinda'. The descendants are the main owners of the property of the deceased. </v>
      </c>
      <c r="F273" s="1"/>
      <c r="G273" s="1"/>
      <c r="H273" s="1"/>
      <c r="I273" s="1"/>
    </row>
    <row r="274" spans="1:9" ht="15.6" x14ac:dyDescent="0.3">
      <c r="A274" s="1" t="s">
        <v>4</v>
      </c>
      <c r="B274" s="1" t="s">
        <v>4</v>
      </c>
      <c r="C274" s="10" t="s">
        <v>4</v>
      </c>
      <c r="D274" s="5" t="s">
        <v>271</v>
      </c>
      <c r="E274" s="1" t="str">
        <f ca="1">IFERROR(__xludf.DUMMYFUNCTION("GOOGLETRANSLATE(D274, ""bn"", ""en"")"),"He was saying, 'The Prophet (peace and blessings of Allah be upon him) is insulting. There will be protests about this. People are posting videos on Facebook. Saying that this is not good.'")</f>
        <v>He was saying, 'The Prophet (peace and blessings of Allah be upon him) is insulting. There will be protests about this. People are posting videos on Facebook. Saying that this is not good.'</v>
      </c>
      <c r="F274" s="1"/>
      <c r="G274" s="1"/>
      <c r="H274" s="1"/>
      <c r="I274" s="1"/>
    </row>
    <row r="275" spans="1:9" ht="15.6" x14ac:dyDescent="0.3">
      <c r="A275" s="1" t="s">
        <v>5</v>
      </c>
      <c r="B275" s="1" t="s">
        <v>5</v>
      </c>
      <c r="C275" s="10" t="s">
        <v>5</v>
      </c>
      <c r="D275" s="5" t="s">
        <v>272</v>
      </c>
      <c r="E275" s="1" t="str">
        <f ca="1">IFERROR(__xludf.DUMMYFUNCTION("GOOGLETRANSLATE(D275, ""bn"", ""en"")"),"The only way to get out of all crises is to follow the path of Islam guided by Allah Rabbul Alamin in every aspect of life.")</f>
        <v>The only way to get out of all crises is to follow the path of Islam guided by Allah Rabbul Alamin in every aspect of life.</v>
      </c>
      <c r="F275" s="1"/>
      <c r="G275" s="1"/>
      <c r="H275" s="1"/>
      <c r="I275" s="1"/>
    </row>
    <row r="276" spans="1:9" ht="15.6" x14ac:dyDescent="0.3">
      <c r="A276" s="1" t="s">
        <v>4</v>
      </c>
      <c r="B276" s="1" t="s">
        <v>4</v>
      </c>
      <c r="C276" s="10" t="s">
        <v>4</v>
      </c>
      <c r="D276" s="5" t="s">
        <v>273</v>
      </c>
      <c r="E276" s="1" t="str">
        <f ca="1">IFERROR(__xludf.DUMMYFUNCTION("GOOGLETRANSLATE(D276, ""bn"", ""en"")"),"What is the need for more exaggeration about the atheist girl, where her family gave her the opportunity to become an atheist, she should not even be taught the funeral.")</f>
        <v>What is the need for more exaggeration about the atheist girl, where her family gave her the opportunity to become an atheist, she should not even be taught the funeral.</v>
      </c>
      <c r="F276" s="1"/>
      <c r="G276" s="1"/>
      <c r="H276" s="1"/>
      <c r="I276" s="1"/>
    </row>
    <row r="277" spans="1:9" ht="15.6" x14ac:dyDescent="0.3">
      <c r="A277" s="1" t="s">
        <v>4</v>
      </c>
      <c r="B277" s="1" t="s">
        <v>4</v>
      </c>
      <c r="C277" s="10" t="s">
        <v>4</v>
      </c>
      <c r="D277" s="5" t="s">
        <v>274</v>
      </c>
      <c r="E277" s="1" t="str">
        <f ca="1">IFERROR(__xludf.DUMMYFUNCTION("GOOGLETRANSLATE(D277, ""bn"", ""en"")"),"Allah, I do not know what you will punish these infidels. Allah, punish those who disrespect your Quran in such a way that no one else will do such a thing in the future.")</f>
        <v>Allah, I do not know what you will punish these infidels. Allah, punish those who disrespect your Quran in such a way that no one else will do such a thing in the future.</v>
      </c>
      <c r="F277" s="1"/>
      <c r="G277" s="1"/>
      <c r="H277" s="1"/>
      <c r="I277" s="1"/>
    </row>
    <row r="278" spans="1:9" ht="15.6" x14ac:dyDescent="0.3">
      <c r="A278" s="1" t="s">
        <v>5</v>
      </c>
      <c r="B278" s="1" t="s">
        <v>5</v>
      </c>
      <c r="C278" s="10" t="s">
        <v>5</v>
      </c>
      <c r="D278" s="5" t="s">
        <v>275</v>
      </c>
      <c r="E278" s="1" t="str">
        <f ca="1">IFERROR(__xludf.DUMMYFUNCTION("GOOGLETRANSLATE(D278,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F278" s="1"/>
      <c r="G278" s="1"/>
      <c r="H278" s="1"/>
      <c r="I278" s="1"/>
    </row>
    <row r="279" spans="1:9" ht="15.6" x14ac:dyDescent="0.3">
      <c r="A279" s="1" t="s">
        <v>9</v>
      </c>
      <c r="B279" s="1" t="s">
        <v>9</v>
      </c>
      <c r="C279" s="10" t="s">
        <v>9</v>
      </c>
      <c r="D279" s="5" t="s">
        <v>276</v>
      </c>
      <c r="E279" s="1" t="str">
        <f ca="1">IFERROR(__xludf.DUMMYFUNCTION("GOOGLETRANSLATE(D279, ""bn"", ""en"")"),"Ever since the Hamas attack on Israel, many Indian social media users have been posting that they want to go to war for Israel.")</f>
        <v>Ever since the Hamas attack on Israel, many Indian social media users have been posting that they want to go to war for Israel.</v>
      </c>
      <c r="F279" s="1"/>
      <c r="G279" s="1"/>
      <c r="H279" s="1"/>
      <c r="I279" s="1"/>
    </row>
    <row r="280" spans="1:9" ht="15.6" x14ac:dyDescent="0.3">
      <c r="A280" s="1" t="s">
        <v>9</v>
      </c>
      <c r="B280" s="1" t="s">
        <v>9</v>
      </c>
      <c r="C280" s="10" t="s">
        <v>9</v>
      </c>
      <c r="D280" s="5" t="s">
        <v>277</v>
      </c>
      <c r="E280" s="1" t="str">
        <f ca="1">IFERROR(__xludf.DUMMYFUNCTION("GOOGLETRANSLATE(D280, ""bn"", ""en"")"),"Local Muslims looted at least 100 Hindu houses and businesses in Gar Beltali and Hazaribagh and vandalized and set fire to more than a dozen Hindu temples.")</f>
        <v>Local Muslims looted at least 100 Hindu houses and businesses in Gar Beltali and Hazaribagh and vandalized and set fire to more than a dozen Hindu temples.</v>
      </c>
      <c r="F280" s="1"/>
      <c r="G280" s="1"/>
      <c r="H280" s="1"/>
      <c r="I280" s="1"/>
    </row>
    <row r="281" spans="1:9" ht="15.6" x14ac:dyDescent="0.3">
      <c r="A281" s="1" t="s">
        <v>9</v>
      </c>
      <c r="B281" s="1" t="s">
        <v>9</v>
      </c>
      <c r="C281" s="10" t="s">
        <v>9</v>
      </c>
      <c r="D281" s="5" t="s">
        <v>278</v>
      </c>
      <c r="E281" s="1" t="str">
        <f ca="1">IFERROR(__xludf.DUMMYFUNCTION("GOOGLETRANSLATE(D281, ""bn"", ""en"")"),"4 cases were filed by the police in the Pirganj incident. Among them, 3 cases have been filed under the Digital Security Act and another case has been filed against Hindus for vandalism, arson and looting. ")</f>
        <v>4 cases were filed by the police in the Pirganj incident. Among them, 3 cases have been filed under the Digital Security Act and another case has been filed against Hindus for vandalism, arson and looting. </v>
      </c>
      <c r="F281" s="1"/>
      <c r="G281" s="1"/>
      <c r="H281" s="1"/>
      <c r="I281" s="1"/>
    </row>
    <row r="282" spans="1:9" ht="17.399999999999999" x14ac:dyDescent="0.3">
      <c r="A282" s="1" t="s">
        <v>7</v>
      </c>
      <c r="B282" s="1" t="s">
        <v>7</v>
      </c>
      <c r="C282" s="10" t="s">
        <v>7</v>
      </c>
      <c r="D282" s="5" t="s">
        <v>3495</v>
      </c>
      <c r="E282" s="1" t="str">
        <f ca="1">IFERROR(__xludf.DUMMYFUNCTION("GOOGLETRANSLATE(D282, ""bn"", ""en"")"),"The practice of satiyya was imitated by royalty and warriors as part of the process of acculturation,[15] but its spread was also associated with centuries of Islamic invasion and its spread into South Asia.")</f>
        <v>The practice of satiyya was imitated by royalty and warriors as part of the process of acculturation,[15] but its spread was also associated with centuries of Islamic invasion and its spread into South Asia.</v>
      </c>
      <c r="F282" s="1"/>
      <c r="G282" s="1"/>
      <c r="H282" s="1"/>
      <c r="I282" s="1"/>
    </row>
    <row r="283" spans="1:9" ht="17.399999999999999" x14ac:dyDescent="0.3">
      <c r="A283" s="1" t="s">
        <v>5</v>
      </c>
      <c r="B283" s="1" t="s">
        <v>5</v>
      </c>
      <c r="C283" s="10" t="s">
        <v>5</v>
      </c>
      <c r="D283" s="5" t="s">
        <v>3496</v>
      </c>
      <c r="E283" s="1" t="str">
        <f ca="1">IFERROR(__xludf.DUMMYFUNCTION("GOOGLETRANSLATE(D283, ""bn"", ""en"")")," Bangladesh is one of the few Muslim-majority countries[4][5] and conversion from one religion to another is legalized by law.")</f>
        <v> Bangladesh is one of the few Muslim-majority countries[4][5] and conversion from one religion to another is legalized by law.</v>
      </c>
      <c r="F283" s="1"/>
      <c r="G283" s="1"/>
      <c r="H283" s="1"/>
      <c r="I283" s="1"/>
    </row>
    <row r="284" spans="1:9" ht="15.6" x14ac:dyDescent="0.3">
      <c r="A284" s="1" t="s">
        <v>5</v>
      </c>
      <c r="B284" s="1" t="s">
        <v>5</v>
      </c>
      <c r="C284" s="10" t="s">
        <v>5</v>
      </c>
      <c r="D284" s="5" t="s">
        <v>279</v>
      </c>
      <c r="E284" s="1" t="str">
        <f ca="1">IFERROR(__xludf.DUMMYFUNCTION("GOOGLETRANSLATE(D284, ""bn"", ""en"")"),"Muslims call Moses, the chief prophet of Judaism, as Prophet Moses and consider him one of the most influential prophets of Allah.")</f>
        <v>Muslims call Moses, the chief prophet of Judaism, as Prophet Moses and consider him one of the most influential prophets of Allah.</v>
      </c>
      <c r="F284" s="1"/>
      <c r="G284" s="1"/>
      <c r="H284" s="1"/>
      <c r="I284" s="1"/>
    </row>
    <row r="285" spans="1:9" ht="15.6" x14ac:dyDescent="0.3">
      <c r="A285" s="1" t="s">
        <v>9</v>
      </c>
      <c r="B285" s="1" t="s">
        <v>7</v>
      </c>
      <c r="C285" s="10" t="s">
        <v>9</v>
      </c>
      <c r="D285" s="5" t="s">
        <v>280</v>
      </c>
      <c r="E285" s="1" t="str">
        <f ca="1">IFERROR(__xludf.DUMMYFUNCTION("GOOGLETRANSLATE(D285, ""bn"", ""en"")"),"Muslim and Hindu communities have lived in a delicate balance in South Asia since the end of Muslim rule. Violent clashes were frequent and the partition of India in 1947 perpetuated the conflict.")</f>
        <v>Muslim and Hindu communities have lived in a delicate balance in South Asia since the end of Muslim rule. Violent clashes were frequent and the partition of India in 1947 perpetuated the conflict.</v>
      </c>
      <c r="F285" s="1"/>
      <c r="G285" s="1"/>
      <c r="H285" s="1"/>
      <c r="I285" s="1"/>
    </row>
    <row r="286" spans="1:9" ht="15.6" x14ac:dyDescent="0.3">
      <c r="A286" s="1" t="s">
        <v>5</v>
      </c>
      <c r="B286" s="1" t="s">
        <v>5</v>
      </c>
      <c r="C286" s="10" t="s">
        <v>5</v>
      </c>
      <c r="D286" s="5" t="s">
        <v>281</v>
      </c>
      <c r="E286" s="1" t="str">
        <f ca="1">IFERROR(__xludf.DUMMYFUNCTION("GOOGLETRANSLATE(D286, ""bn"", ""en"")"),"We discourage mass gatherings. We encourage those who are sick, elderly and those who have recently returned from abroad to pray in congregation in mosques. ")</f>
        <v>We discourage mass gatherings. We encourage those who are sick, elderly and those who have recently returned from abroad to pray in congregation in mosques. </v>
      </c>
      <c r="F286" s="1"/>
      <c r="G286" s="1"/>
      <c r="H286" s="1"/>
      <c r="I286" s="1"/>
    </row>
    <row r="287" spans="1:9" ht="15.6" x14ac:dyDescent="0.3">
      <c r="A287" s="1" t="s">
        <v>9</v>
      </c>
      <c r="B287" s="1" t="s">
        <v>7</v>
      </c>
      <c r="C287" s="10" t="s">
        <v>9</v>
      </c>
      <c r="D287" s="5" t="s">
        <v>282</v>
      </c>
      <c r="E287" s="1" t="str">
        <f ca="1">IFERROR(__xludf.DUMMYFUNCTION("GOOGLETRANSLATE(D287, ""bn"", ""en"")"),"In Alfadanga of Faridpur, 10 idols of 3 temples were vandalized in one night. Upazila Hindu Buddhist Christian Oikya Parishad and other traditional organizations formed a human chain in Alfadanga Chowrasta area today in protest against the incident of Fri"&amp;"day night. ")</f>
        <v xml:space="preserve">In Alfadanga of Faridpur, 10 idols of 3 temples were vandalized in one night. Upazila Hindu Buddhist Christian Oikya Parishad and other traditional organizations formed a human chain in Alfadanga Chowrasta area today in protest against the incident of Friday night. </v>
      </c>
      <c r="F287" s="1"/>
      <c r="G287" s="1"/>
      <c r="H287" s="1"/>
      <c r="I287" s="1"/>
    </row>
    <row r="288" spans="1:9" ht="15.6" x14ac:dyDescent="0.3">
      <c r="A288" s="1" t="s">
        <v>5</v>
      </c>
      <c r="B288" s="1" t="s">
        <v>5</v>
      </c>
      <c r="C288" s="10" t="s">
        <v>5</v>
      </c>
      <c r="D288" s="5" t="s">
        <v>283</v>
      </c>
      <c r="E288" s="1" t="str">
        <f ca="1">IFERROR(__xludf.DUMMYFUNCTION("GOOGLETRANSLATE(D288, ""bn"", ""en"")"),"Our only selfless guardian who always looks out for us, provides us with sustenance, loves us the most is our Almighty Allah Subhanallah. He who understands the language of the mind, who stands by most in times of danger. Ya Allah subhanallah wa ta'ala ta"&amp;"ala we love you and your beloved prophet very much.")</f>
        <v>Our only selfless guardian who always looks out for us, provides us with sustenance, loves us the most is our Almighty Allah Subhanallah. He who understands the language of the mind, who stands by most in times of danger. Ya Allah subhanallah wa ta'ala taala we love you and your beloved prophet very much.</v>
      </c>
      <c r="F288" s="1"/>
      <c r="G288" s="1"/>
      <c r="H288" s="1"/>
      <c r="I288" s="1"/>
    </row>
    <row r="289" spans="1:9" ht="15.6" x14ac:dyDescent="0.3">
      <c r="A289" s="1" t="s">
        <v>4</v>
      </c>
      <c r="B289" s="1" t="s">
        <v>4</v>
      </c>
      <c r="C289" s="10" t="s">
        <v>4</v>
      </c>
      <c r="D289" s="5" t="s">
        <v>284</v>
      </c>
      <c r="E289" s="1" t="str">
        <f ca="1">IFERROR(__xludf.DUMMYFUNCTION("GOOGLETRANSLATE(D289, ""bn"", ""en"")"),"The conspirators gave it, not the Quran. But the Quran was in a visible place (as seen in the picture). So why did not the people in charge of Pujamandap remove it? So are the responsible persons of Mandap or any of them involved in this conspiracy? They "&amp;"should be brought to justice.")</f>
        <v>The conspirators gave it, not the Quran. But the Quran was in a visible place (as seen in the picture). So why did not the people in charge of Pujamandap remove it? So are the responsible persons of Mandap or any of them involved in this conspiracy? They should be brought to justice.</v>
      </c>
      <c r="F289" s="1"/>
      <c r="G289" s="1"/>
      <c r="H289" s="1"/>
      <c r="I289" s="1"/>
    </row>
    <row r="290" spans="1:9" ht="15.6" x14ac:dyDescent="0.3">
      <c r="A290" s="1" t="s">
        <v>7</v>
      </c>
      <c r="B290" s="1" t="s">
        <v>7</v>
      </c>
      <c r="C290" s="10" t="s">
        <v>7</v>
      </c>
      <c r="D290" s="5" t="s">
        <v>285</v>
      </c>
      <c r="E290" s="1" t="str">
        <f ca="1">IFERROR(__xludf.DUMMYFUNCTION("GOOGLETRANSLATE(D290, ""bn"", ""en"")"),"The two Bangladeshis who were shot dead by miscreants in the Queens area of ​​New York, one of them was the imam of a local mosque and the other was his assistant, it is said.")</f>
        <v>The two Bangladeshis who were shot dead by miscreants in the Queens area of ​​New York, one of them was the imam of a local mosque and the other was his assistant, it is said.</v>
      </c>
      <c r="F290" s="1"/>
      <c r="G290" s="1"/>
      <c r="H290" s="1"/>
      <c r="I290" s="1"/>
    </row>
    <row r="291" spans="1:9" ht="15.6" x14ac:dyDescent="0.3">
      <c r="A291" s="1" t="s">
        <v>4</v>
      </c>
      <c r="B291" s="1" t="s">
        <v>5</v>
      </c>
      <c r="C291" s="10" t="s">
        <v>4</v>
      </c>
      <c r="D291" s="5" t="s">
        <v>286</v>
      </c>
      <c r="E291" s="1" t="str">
        <f ca="1">IFERROR(__xludf.DUMMYFUNCTION("GOOGLETRANSLATE(D291, ""bn"", ""en"")"),"The judge sentenced the accused Paritosh Sarkar to a total of 11 years imprisonment in four sections as it was proved that the Facebook post hurt religious sentiments. However, as all the sentences run together, he will have to serve a maximum of five yea"&amp;"rs in prison.")</f>
        <v>The judge sentenced the accused Paritosh Sarkar to a total of 11 years imprisonment in four sections as it was proved that the Facebook post hurt religious sentiments. However, as all the sentences run together, he will have to serve a maximum of five years in prison.</v>
      </c>
      <c r="F291" s="1"/>
      <c r="G291" s="1"/>
      <c r="H291" s="1"/>
      <c r="I291" s="1"/>
    </row>
    <row r="292" spans="1:9" ht="15.6" x14ac:dyDescent="0.3">
      <c r="A292" s="1" t="s">
        <v>7</v>
      </c>
      <c r="B292" s="1" t="s">
        <v>7</v>
      </c>
      <c r="C292" s="10" t="s">
        <v>7</v>
      </c>
      <c r="D292" s="5" t="s">
        <v>287</v>
      </c>
      <c r="E292" s="1" t="str">
        <f ca="1">IFERROR(__xludf.DUMMYFUNCTION("GOOGLETRANSLATE(D292, ""bn"", ""en"")"),"China's Uyghur Muslim community has been accused of religious persecution and genocide, with many dying in detention camps.")</f>
        <v>China's Uyghur Muslim community has been accused of religious persecution and genocide, with many dying in detention camps.</v>
      </c>
      <c r="F292" s="1"/>
      <c r="G292" s="1"/>
      <c r="H292" s="1"/>
      <c r="I292" s="1"/>
    </row>
    <row r="293" spans="1:9" ht="15.6" x14ac:dyDescent="0.3">
      <c r="A293" s="1" t="s">
        <v>9</v>
      </c>
      <c r="B293" s="1" t="s">
        <v>4</v>
      </c>
      <c r="C293" s="10" t="s">
        <v>9</v>
      </c>
      <c r="D293" s="5" t="s">
        <v>288</v>
      </c>
      <c r="E293" s="1" t="str">
        <f ca="1">IFERROR(__xludf.DUMMYFUNCTION("GOOGLETRANSLATE(D293, ""bn"", ""en"")"),"Americans do not want to see the killing of Palestinian children in the Gaza Strip. Regardless of your politics, the American people do not want to be complicit in the killing of small children who are bombed while they sleep")</f>
        <v>Americans do not want to see the killing of Palestinian children in the Gaza Strip. Regardless of your politics, the American people do not want to be complicit in the killing of small children who are bombed while they sleep</v>
      </c>
      <c r="F293" s="1"/>
      <c r="G293" s="1"/>
      <c r="H293" s="1"/>
      <c r="I293" s="1"/>
    </row>
    <row r="294" spans="1:9" ht="15.6" x14ac:dyDescent="0.3">
      <c r="A294" s="1" t="s">
        <v>5</v>
      </c>
      <c r="B294" s="1" t="s">
        <v>5</v>
      </c>
      <c r="C294" s="10" t="s">
        <v>5</v>
      </c>
      <c r="D294" s="5" t="s">
        <v>289</v>
      </c>
      <c r="E294" s="1" t="str">
        <f ca="1">IFERROR(__xludf.DUMMYFUNCTION("GOOGLETRANSLATE(D294, ""bn"", ""en"")"),"When the month of Ramadan came, the Prophet (PBUH) used to say to the Companions, ""This month has been completed for you, and there is a night in it that is better than a thousand months."" A person who is deprived of the benefits of this night is indeed"&amp;" deprived of all benefits. Only the (poor) unfortunates are deprived of the benefits of this night.'")</f>
        <v>When the month of Ramadan came, the Prophet (PBUH) used to say to the Companions, "This month has been completed for you, and there is a night in it that is better than a thousand months." A person who is deprived of the benefits of this night is indeed deprived of all benefits. Only the (poor) unfortunates are deprived of the benefits of this night.'</v>
      </c>
      <c r="F294" s="1"/>
      <c r="G294" s="1"/>
      <c r="H294" s="1"/>
      <c r="I294" s="1"/>
    </row>
    <row r="295" spans="1:9" ht="15.6" x14ac:dyDescent="0.3">
      <c r="A295" s="1" t="s">
        <v>4</v>
      </c>
      <c r="B295" s="1" t="s">
        <v>4</v>
      </c>
      <c r="C295" s="10" t="s">
        <v>4</v>
      </c>
      <c r="D295" s="5" t="s">
        <v>290</v>
      </c>
      <c r="E295" s="1" t="str">
        <f ca="1">IFERROR(__xludf.DUMMYFUNCTION("GOOGLETRANSLATE(D295, ""bn"", ""en"")"),"For the past few days, social media has seen anti-India posts where Indian Hindus are being trolled for eating beef. ")</f>
        <v xml:space="preserve">For the past few days, social media has seen anti-India posts where Indian Hindus are being trolled for eating beef. </v>
      </c>
      <c r="F295" s="1"/>
      <c r="G295" s="1"/>
      <c r="H295" s="1"/>
      <c r="I295" s="1"/>
    </row>
    <row r="296" spans="1:9" ht="15.6" x14ac:dyDescent="0.3">
      <c r="A296" s="1" t="s">
        <v>9</v>
      </c>
      <c r="B296" s="1" t="s">
        <v>5</v>
      </c>
      <c r="C296" s="10" t="s">
        <v>9</v>
      </c>
      <c r="D296" s="5" t="s">
        <v>291</v>
      </c>
      <c r="E296" s="1" t="str">
        <f ca="1">IFERROR(__xludf.DUMMYFUNCTION("GOOGLETRANSLATE(D296, ""bn"", ""en"")"),"Hindus in Fiji make up about 38% of the country's population. In the late 1990s, Fiji saw several riots with Hindus by Christian fundamentalists.")</f>
        <v>Hindus in Fiji make up about 38% of the country's population. In the late 1990s, Fiji saw several riots with Hindus by Christian fundamentalists.</v>
      </c>
      <c r="F296" s="1"/>
      <c r="G296" s="1"/>
      <c r="H296" s="1"/>
      <c r="I296" s="1"/>
    </row>
    <row r="297" spans="1:9" ht="15.6" x14ac:dyDescent="0.3">
      <c r="A297" s="1" t="s">
        <v>7</v>
      </c>
      <c r="B297" s="1" t="s">
        <v>7</v>
      </c>
      <c r="C297" s="10" t="s">
        <v>7</v>
      </c>
      <c r="D297" s="5" t="s">
        <v>292</v>
      </c>
      <c r="E297" s="1" t="str">
        <f ca="1">IFERROR(__xludf.DUMMYFUNCTION("GOOGLETRANSLATE(D297, ""bn"", ""en"")"),"Ratha music was performed at the last rites of suicided ratha artiste Sadi Mohammad.")</f>
        <v>Ratha music was performed at the last rites of suicided ratha artiste Sadi Mohammad.</v>
      </c>
      <c r="F297" s="1"/>
      <c r="G297" s="1"/>
      <c r="H297" s="1"/>
      <c r="I297" s="1"/>
    </row>
    <row r="298" spans="1:9" ht="15.6" x14ac:dyDescent="0.3">
      <c r="A298" s="1" t="s">
        <v>4</v>
      </c>
      <c r="B298" s="1" t="s">
        <v>4</v>
      </c>
      <c r="C298" s="10" t="s">
        <v>4</v>
      </c>
      <c r="D298" s="5" t="s">
        <v>293</v>
      </c>
      <c r="E298" s="1" t="str">
        <f ca="1">IFERROR(__xludf.DUMMYFUNCTION("GOOGLETRANSLATE(D298, ""bn"", ""en"")"),"It is a shame to say that Bangladesh is a country of Muslims, because there are some nominal Muslims who get away with wrongdoing repeatedly. Why have they not been brought under the law yet? Does it mean that the country has become a Muslim state, and th"&amp;"e whole world has hurt the Muslims. ")</f>
        <v>It is a shame to say that Bangladesh is a country of Muslims, because there are some nominal Muslims who get away with wrongdoing repeatedly. Why have they not been brought under the law yet? Does it mean that the country has become a Muslim state, and the whole world has hurt the Muslims. </v>
      </c>
      <c r="F298" s="1"/>
      <c r="G298" s="1"/>
      <c r="H298" s="1"/>
      <c r="I298" s="1"/>
    </row>
    <row r="299" spans="1:9" ht="15.6" x14ac:dyDescent="0.3">
      <c r="A299" s="1" t="s">
        <v>4</v>
      </c>
      <c r="B299" s="1" t="s">
        <v>5</v>
      </c>
      <c r="C299" s="10" t="s">
        <v>4</v>
      </c>
      <c r="D299" s="5" t="s">
        <v>294</v>
      </c>
      <c r="E299" s="1" t="str">
        <f ca="1">IFERROR(__xludf.DUMMYFUNCTION("GOOGLETRANSLATE(D299, ""bn"", ""en"")"),"A class of people drags religion in there and mixes religion with science to spoil the environment of the unnecessary group. We do not disrespect any religion. But exaggeration of religion is not acceptable in scientific groups.")</f>
        <v>A class of people drags religion in there and mixes religion with science to spoil the environment of the unnecessary group. We do not disrespect any religion. But exaggeration of religion is not acceptable in scientific groups.</v>
      </c>
      <c r="F299" s="1"/>
      <c r="G299" s="1"/>
      <c r="H299" s="1"/>
      <c r="I299" s="1"/>
    </row>
    <row r="300" spans="1:9" ht="15.6" x14ac:dyDescent="0.3">
      <c r="A300" s="1" t="s">
        <v>4</v>
      </c>
      <c r="B300" s="1" t="s">
        <v>4</v>
      </c>
      <c r="C300" s="10" t="s">
        <v>4</v>
      </c>
      <c r="D300" s="5" t="s">
        <v>295</v>
      </c>
      <c r="E300" s="1" t="str">
        <f ca="1">IFERROR(__xludf.DUMMYFUNCTION("GOOGLETRANSLATE(D300, ""bn"", ""en"")"),"Whoever insults Quran should be punished by memorizing 30 paras with translation. Then one day he will realize what he has done. Because prison will not fix his mind I think.")</f>
        <v>Whoever insults Quran should be punished by memorizing 30 paras with translation. Then one day he will realize what he has done. Because prison will not fix his mind I think.</v>
      </c>
      <c r="F300" s="1"/>
      <c r="G300" s="1"/>
      <c r="H300" s="1"/>
      <c r="I300" s="1"/>
    </row>
    <row r="301" spans="1:9" ht="15.6" x14ac:dyDescent="0.3">
      <c r="A301" s="1" t="s">
        <v>5</v>
      </c>
      <c r="B301" s="1" t="s">
        <v>5</v>
      </c>
      <c r="C301" s="10" t="s">
        <v>5</v>
      </c>
      <c r="D301" s="5" t="s">
        <v>296</v>
      </c>
      <c r="E301" s="1" t="str">
        <f ca="1">IFERROR(__xludf.DUMMYFUNCTION("GOOGLETRANSLATE(D301, ""bn"", ""en"")"),"Even if you don't feel it, the palm is being separated into your blood, flesh, bones, skin, hair and nails. Similarly, when we read a book, it strengthens our language, enriches our knowledge, refines our character, improves our penmanship and speech.")</f>
        <v>Even if you don't feel it, the palm is being separated into your blood, flesh, bones, skin, hair and nails. Similarly, when we read a book, it strengthens our language, enriches our knowledge, refines our character, improves our penmanship and speech.</v>
      </c>
      <c r="F301" s="1"/>
      <c r="G301" s="1"/>
      <c r="H301" s="1"/>
      <c r="I301" s="1"/>
    </row>
    <row r="302" spans="1:9" ht="15.6" x14ac:dyDescent="0.3">
      <c r="A302" s="4" t="s">
        <v>7</v>
      </c>
      <c r="B302" s="4" t="s">
        <v>7</v>
      </c>
      <c r="C302" s="11" t="s">
        <v>7</v>
      </c>
      <c r="D302" s="5" t="s">
        <v>297</v>
      </c>
      <c r="E302" s="1" t="str">
        <f ca="1">IFERROR(__xludf.DUMMYFUNCTION("GOOGLETRANSLATE(D302, ""bn"", ""en"")"),"A fact-finding team of the CPI, citing officials in its report, admitted that at least 500 people were killed in the month-long anti-church riots, in which the VHP and the Bajrang Dal played a central role.")</f>
        <v>A fact-finding team of the CPI, citing officials in its report, admitted that at least 500 people were killed in the month-long anti-church riots, in which the VHP and the Bajrang Dal played a central role.</v>
      </c>
      <c r="F302" s="1"/>
      <c r="G302" s="1"/>
      <c r="H302" s="1"/>
      <c r="I302" s="1"/>
    </row>
    <row r="303" spans="1:9" ht="15.6" x14ac:dyDescent="0.3">
      <c r="A303" s="4" t="s">
        <v>7</v>
      </c>
      <c r="B303" s="4" t="s">
        <v>7</v>
      </c>
      <c r="C303" s="11" t="s">
        <v>7</v>
      </c>
      <c r="D303" s="5" t="s">
        <v>298</v>
      </c>
      <c r="E303" s="1" t="str">
        <f ca="1">IFERROR(__xludf.DUMMYFUNCTION("GOOGLETRANSLATE(D303, ""bn"", ""en"")"),"In 1964, riots between Hindus and Muslims in Calcutta killed more than 100 people and injured 438.")</f>
        <v>In 1964, riots between Hindus and Muslims in Calcutta killed more than 100 people and injured 438.</v>
      </c>
      <c r="F303" s="1"/>
      <c r="G303" s="1"/>
      <c r="H303" s="1"/>
      <c r="I303" s="1"/>
    </row>
    <row r="304" spans="1:9" ht="15.6" x14ac:dyDescent="0.3">
      <c r="A304" s="1" t="s">
        <v>5</v>
      </c>
      <c r="B304" s="1" t="s">
        <v>5</v>
      </c>
      <c r="C304" s="10" t="s">
        <v>5</v>
      </c>
      <c r="D304" s="5" t="s">
        <v>299</v>
      </c>
      <c r="E304" s="1" t="str">
        <f ca="1">IFERROR(__xludf.DUMMYFUNCTION("GOOGLETRANSLATE(D304, ""bn"", ""en"")"),"The fundamental principles of Islam have been around since the beginning of human creation. However, there were many differences in the method and time of cultivation.")</f>
        <v>The fundamental principles of Islam have been around since the beginning of human creation. However, there were many differences in the method and time of cultivation.</v>
      </c>
      <c r="F304" s="1"/>
      <c r="G304" s="1"/>
      <c r="H304" s="1"/>
      <c r="I304" s="1"/>
    </row>
    <row r="305" spans="1:9" ht="15.6" x14ac:dyDescent="0.3">
      <c r="A305" s="1" t="s">
        <v>4</v>
      </c>
      <c r="B305" s="1" t="s">
        <v>5</v>
      </c>
      <c r="C305" s="10" t="s">
        <v>4</v>
      </c>
      <c r="D305" s="5" t="s">
        <v>300</v>
      </c>
      <c r="E305" s="1" t="str">
        <f ca="1">IFERROR(__xludf.DUMMYFUNCTION("GOOGLETRANSLATE(D305, ""bn"", ""en"")"),"Before saying - Iftar party since Ramadan or religious program? What makes Ramadan to celebrate?")</f>
        <v>Before saying - Iftar party since Ramadan or religious program? What makes Ramadan to celebrate?</v>
      </c>
      <c r="F305" s="1"/>
      <c r="G305" s="1"/>
      <c r="H305" s="1"/>
      <c r="I305" s="1"/>
    </row>
    <row r="306" spans="1:9" ht="15.6" x14ac:dyDescent="0.3">
      <c r="A306" s="1" t="s">
        <v>7</v>
      </c>
      <c r="B306" s="1" t="s">
        <v>7</v>
      </c>
      <c r="C306" s="10" t="s">
        <v>7</v>
      </c>
      <c r="D306" s="5" t="s">
        <v>301</v>
      </c>
      <c r="E306" s="1" t="str">
        <f ca="1">IFERROR(__xludf.DUMMYFUNCTION("GOOGLETRANSLATE(D306, ""bn"", ""en"")"),"85 killed in drone attack on Muslim religious gathering")</f>
        <v>85 killed in drone attack on Muslim religious gathering</v>
      </c>
      <c r="F306" s="1"/>
      <c r="G306" s="1"/>
      <c r="H306" s="1"/>
      <c r="I306" s="1"/>
    </row>
    <row r="307" spans="1:9" ht="15.6" x14ac:dyDescent="0.3">
      <c r="A307" s="1" t="s">
        <v>5</v>
      </c>
      <c r="B307" s="1" t="s">
        <v>5</v>
      </c>
      <c r="C307" s="10" t="s">
        <v>5</v>
      </c>
      <c r="D307" s="5" t="s">
        <v>302</v>
      </c>
      <c r="E307" s="1" t="str">
        <f ca="1">IFERROR(__xludf.DUMMYFUNCTION("GOOGLETRANSLATE(D307, ""bn"", ""en"")"),"I will appeal to the government to at least amend the state 18 age law on conversion and marriage.")</f>
        <v>I will appeal to the government to at least amend the state 18 age law on conversion and marriage.</v>
      </c>
      <c r="F307" s="1"/>
      <c r="G307" s="1"/>
      <c r="H307" s="1"/>
      <c r="I307" s="1"/>
    </row>
    <row r="308" spans="1:9" ht="15.6" x14ac:dyDescent="0.3">
      <c r="A308" s="1" t="s">
        <v>5</v>
      </c>
      <c r="B308" s="1" t="s">
        <v>5</v>
      </c>
      <c r="C308" s="10" t="s">
        <v>5</v>
      </c>
      <c r="D308" s="5" t="s">
        <v>303</v>
      </c>
      <c r="E308" s="1" t="str">
        <f ca="1">IFERROR(__xludf.DUMMYFUNCTION("GOOGLETRANSLATE(D308, ""bn"", ""en"")"),"""Neo-Muslim Counseling"" I like the topic. It really needs to be worked on.")</f>
        <v>"Neo-Muslim Counseling" I like the topic. It really needs to be worked on.</v>
      </c>
      <c r="F308" s="1"/>
      <c r="G308" s="1"/>
      <c r="H308" s="1"/>
      <c r="I308" s="1"/>
    </row>
    <row r="309" spans="1:9" ht="15.6" x14ac:dyDescent="0.3">
      <c r="A309" s="1" t="s">
        <v>4</v>
      </c>
      <c r="B309" s="1" t="s">
        <v>4</v>
      </c>
      <c r="C309" s="10" t="s">
        <v>4</v>
      </c>
      <c r="D309" s="5" t="s">
        <v>304</v>
      </c>
      <c r="E309" s="1" t="str">
        <f ca="1">IFERROR(__xludf.DUMMYFUNCTION("GOOGLETRANSLATE(D309, ""bn"", ""en"")"),"In 1971 Madhyapara, Keshbhog, Rudrapur villages were under Palang police station of Madaripur upazila. They currently belong to Shariatpur Municipality of Shariatpur Sadar Upazila. These were then completely Hindu-dominated villages, now devoid of Hindus.")</f>
        <v>In 1971 Madhyapara, Keshbhog, Rudrapur villages were under Palang police station of Madaripur upazila. They currently belong to Shariatpur Municipality of Shariatpur Sadar Upazila. These were then completely Hindu-dominated villages, now devoid of Hindus.</v>
      </c>
      <c r="F309" s="1"/>
      <c r="G309" s="1"/>
      <c r="H309" s="1"/>
      <c r="I309" s="1"/>
    </row>
    <row r="310" spans="1:9" ht="15.6" x14ac:dyDescent="0.3">
      <c r="A310" s="1" t="s">
        <v>4</v>
      </c>
      <c r="B310" s="1" t="s">
        <v>5</v>
      </c>
      <c r="C310" s="10" t="s">
        <v>4</v>
      </c>
      <c r="D310" s="5" t="s">
        <v>305</v>
      </c>
      <c r="E310" s="1" t="str">
        <f ca="1">IFERROR(__xludf.DUMMYFUNCTION("GOOGLETRANSLATE(D310, ""bn"", ""en"")"),"Quran is our oxygen. We are ready to give our lives for the Qur'an. Those who have insulted our Qur'an will be judged in this world, Inshallah.")</f>
        <v>Quran is our oxygen. We are ready to give our lives for the Qur'an. Those who have insulted our Qur'an will be judged in this world, Inshallah.</v>
      </c>
      <c r="F310" s="1"/>
      <c r="G310" s="1"/>
      <c r="H310" s="1"/>
      <c r="I310" s="1"/>
    </row>
    <row r="311" spans="1:9" ht="15.6" x14ac:dyDescent="0.3">
      <c r="A311" s="1" t="s">
        <v>5</v>
      </c>
      <c r="B311" s="1" t="s">
        <v>5</v>
      </c>
      <c r="C311" s="10" t="s">
        <v>5</v>
      </c>
      <c r="D311" s="5" t="s">
        <v>306</v>
      </c>
      <c r="E311" s="1" t="str">
        <f ca="1">IFERROR(__xludf.DUMMYFUNCTION("GOOGLETRANSLATE(D311, ""bn"", ""en"")"),"This expedition was carried out on Muhammad's orders seven to nine months after the Hijrah. It was led by Hamza ibn Abdul-Muttalib (Muhammad's uncle) and consisted of 30 to 40 men. The leader of the caravan, Amr Ibn Hisham (Abu Jahl) camped at Al-I with 3"&amp;"00 Meccan pilgrims.")</f>
        <v>This expedition was carried out on Muhammad's orders seven to nine months after the Hijrah. It was led by Hamza ibn Abdul-Muttalib (Muhammad's uncle) and consisted of 30 to 40 men. The leader of the caravan, Amr Ibn Hisham (Abu Jahl) camped at Al-I with 300 Meccan pilgrims.</v>
      </c>
      <c r="F311" s="1"/>
      <c r="G311" s="1"/>
      <c r="H311" s="1"/>
      <c r="I311" s="1"/>
    </row>
    <row r="312" spans="1:9" ht="15.6" x14ac:dyDescent="0.3">
      <c r="A312" s="1" t="s">
        <v>5</v>
      </c>
      <c r="B312" s="1" t="s">
        <v>5</v>
      </c>
      <c r="C312" s="10" t="s">
        <v>5</v>
      </c>
      <c r="D312" s="5" t="s">
        <v>307</v>
      </c>
      <c r="E312" s="1" t="str">
        <f ca="1">IFERROR(__xludf.DUMMYFUNCTION("GOOGLETRANSLATE(D312, ""bn"", ""en"")"),"It seems futile to even imagine hearing about paradise because no heart can imagine paradise but still it feels like a calmness.")</f>
        <v>It seems futile to even imagine hearing about paradise because no heart can imagine paradise but still it feels like a calmness.</v>
      </c>
      <c r="F312" s="1"/>
      <c r="G312" s="1"/>
      <c r="H312" s="1"/>
      <c r="I312" s="1"/>
    </row>
    <row r="313" spans="1:9" ht="15.6" x14ac:dyDescent="0.3">
      <c r="A313" s="1" t="s">
        <v>5</v>
      </c>
      <c r="B313" s="1" t="s">
        <v>5</v>
      </c>
      <c r="C313" s="10" t="s">
        <v>5</v>
      </c>
      <c r="D313" s="5" t="s">
        <v>308</v>
      </c>
      <c r="E313" s="1" t="str">
        <f ca="1">IFERROR(__xludf.DUMMYFUNCTION("GOOGLETRANSLATE(D313, ""bn"", ""en"")"),"It was only through their criticism that I came to know the truth of Sanatan Dharma.")</f>
        <v>It was only through their criticism that I came to know the truth of Sanatan Dharma.</v>
      </c>
      <c r="F313" s="1"/>
      <c r="G313" s="1"/>
      <c r="H313" s="1"/>
      <c r="I313" s="1"/>
    </row>
    <row r="314" spans="1:9" ht="15.6" x14ac:dyDescent="0.3">
      <c r="A314" s="1" t="s">
        <v>7</v>
      </c>
      <c r="B314" s="1" t="s">
        <v>7</v>
      </c>
      <c r="C314" s="10" t="s">
        <v>7</v>
      </c>
      <c r="D314" s="5" t="s">
        <v>309</v>
      </c>
      <c r="E314" s="1" t="str">
        <f ca="1">IFERROR(__xludf.DUMMYFUNCTION("GOOGLETRANSLATE(D314, ""bn"", ""en"")"),"Hindu-Muslim riots erupted in Delhi, killing 53 people, mostly Muslims, as opponents and supporters of the Citizenship Amendment Act (CAA) clashed.")</f>
        <v>Hindu-Muslim riots erupted in Delhi, killing 53 people, mostly Muslims, as opponents and supporters of the Citizenship Amendment Act (CAA) clashed.</v>
      </c>
      <c r="F314" s="1"/>
      <c r="G314" s="1"/>
      <c r="H314" s="1"/>
      <c r="I314" s="1"/>
    </row>
    <row r="315" spans="1:9" ht="15.6" x14ac:dyDescent="0.3">
      <c r="A315" s="1" t="s">
        <v>5</v>
      </c>
      <c r="B315" s="1" t="s">
        <v>5</v>
      </c>
      <c r="C315" s="10" t="s">
        <v>5</v>
      </c>
      <c r="D315" s="5" t="s">
        <v>310</v>
      </c>
      <c r="E315" s="1" t="str">
        <f ca="1">IFERROR(__xludf.DUMMYFUNCTION("GOOGLETRANSLATE(D315, ""bn"", ""en"")"),"(qibla for prayer for Muslims) walks counterclockwise seven times around, fast walks seven times between the mountains of Safa and Marwa, then drinks from the well of Zamzam, stays in the grounds of Mount Arafat, spends a night in the grounds of Muzdalifa"&amp;"h and symbolizes Satan by throwing stones at the three pillars. threw stones. ")</f>
        <v>(qibla for prayer for Muslims) walks counterclockwise seven times around, fast walks seven times between the mountains of Safa and Marwa, then drinks from the well of Zamzam, stays in the grounds of Mount Arafat, spends a night in the grounds of Muzdalifah and symbolizes Satan by throwing stones at the three pillars. threw stones. </v>
      </c>
      <c r="F315" s="1"/>
      <c r="G315" s="1"/>
      <c r="H315" s="1"/>
      <c r="I315" s="1"/>
    </row>
    <row r="316" spans="1:9" ht="15.6" x14ac:dyDescent="0.3">
      <c r="A316" s="1" t="s">
        <v>7</v>
      </c>
      <c r="B316" s="1" t="s">
        <v>7</v>
      </c>
      <c r="C316" s="10" t="s">
        <v>7</v>
      </c>
      <c r="D316" s="5" t="s">
        <v>311</v>
      </c>
      <c r="E316" s="1" t="str">
        <f ca="1">IFERROR(__xludf.DUMMYFUNCTION("GOOGLETRANSLATE(D316, ""bn"", ""en"")"),"Sa Ka Chowdhury's father Fazlul Quader Chowdhury dragged Nutan Chandra Singh, a Samaj Sevak of Danveer Kundeshwari Pharmacy, to the 71-A Asan room while he was offering Tagore puja and shot him dead.")</f>
        <v>Sa Ka Chowdhury's father Fazlul Quader Chowdhury dragged Nutan Chandra Singh, a Samaj Sevak of Danveer Kundeshwari Pharmacy, to the 71-A Asan room while he was offering Tagore puja and shot him dead.</v>
      </c>
      <c r="F316" s="1"/>
      <c r="G316" s="1"/>
      <c r="H316" s="1"/>
      <c r="I316" s="1"/>
    </row>
    <row r="317" spans="1:9" ht="15.6" x14ac:dyDescent="0.3">
      <c r="A317" s="1" t="s">
        <v>9</v>
      </c>
      <c r="B317" s="1" t="s">
        <v>9</v>
      </c>
      <c r="C317" s="10" t="s">
        <v>9</v>
      </c>
      <c r="D317" s="5" t="s">
        <v>312</v>
      </c>
      <c r="E317" s="1" t="str">
        <f ca="1">IFERROR(__xludf.DUMMYFUNCTION("GOOGLETRANSLATE(D317, ""bn"", ""en"")"),"Apart from Dhaka, the capital of Bangladesh, Hindus in at least 12 cities were victims of communal terror. [9] News of severe torture on Hindus in Jessore, Narail, Gaibandha, Mymensingh, Sunamganj, Sylhet was published in the daily Ittefaq newspaper.")</f>
        <v>Apart from Dhaka, the capital of Bangladesh, Hindus in at least 12 cities were victims of communal terror. [9] News of severe torture on Hindus in Jessore, Narail, Gaibandha, Mymensingh, Sunamganj, Sylhet was published in the daily Ittefaq newspaper.</v>
      </c>
      <c r="F317" s="1"/>
      <c r="G317" s="1"/>
      <c r="H317" s="1"/>
      <c r="I317" s="1"/>
    </row>
    <row r="318" spans="1:9" ht="15.6" x14ac:dyDescent="0.3">
      <c r="A318" s="1" t="s">
        <v>7</v>
      </c>
      <c r="B318" s="1" t="s">
        <v>7</v>
      </c>
      <c r="C318" s="10" t="s">
        <v>7</v>
      </c>
      <c r="D318" s="5" t="s">
        <v>313</v>
      </c>
      <c r="E318" s="1" t="str">
        <f ca="1">IFERROR(__xludf.DUMMYFUNCTION("GOOGLETRANSLATE(D318, ""bn"", ""en"")"),"Between 3,000 and 3,500 people are estimated to have been killed in the incident.[5] However, the massacre is believed to have killed over three thousand people. Approximately 300 to 500 women are estimated to be widowed.")</f>
        <v>Between 3,000 and 3,500 people are estimated to have been killed in the incident.[5] However, the massacre is believed to have killed over three thousand people. Approximately 300 to 500 women are estimated to be widowed.</v>
      </c>
      <c r="F318" s="1"/>
      <c r="G318" s="1"/>
      <c r="H318" s="1"/>
      <c r="I318" s="1"/>
    </row>
    <row r="319" spans="1:9" ht="15.6" x14ac:dyDescent="0.3">
      <c r="A319" s="1" t="s">
        <v>7</v>
      </c>
      <c r="B319" s="1" t="s">
        <v>7</v>
      </c>
      <c r="C319" s="10" t="s">
        <v>7</v>
      </c>
      <c r="D319" s="5" t="s">
        <v>314</v>
      </c>
      <c r="E319" s="1" t="str">
        <f ca="1">IFERROR(__xludf.DUMMYFUNCTION("GOOGLETRANSLATE(D319, ""bn"", ""en"")"),"On January 10 last year, Asifa Banu was abducted, gang-raped and later brutally murdered due to communal concerns. She was held for days in a temple in Kathua, drugged, starved, tortured and then strangled after being raped.")</f>
        <v>On January 10 last year, Asifa Banu was abducted, gang-raped and later brutally murdered due to communal concerns. She was held for days in a temple in Kathua, drugged, starved, tortured and then strangled after being raped.</v>
      </c>
      <c r="F319" s="1"/>
      <c r="G319" s="1"/>
      <c r="H319" s="1"/>
      <c r="I319" s="1"/>
    </row>
    <row r="320" spans="1:9" ht="15.6" x14ac:dyDescent="0.3">
      <c r="A320" s="1" t="s">
        <v>5</v>
      </c>
      <c r="B320" s="1" t="s">
        <v>5</v>
      </c>
      <c r="C320" s="10" t="s">
        <v>5</v>
      </c>
      <c r="D320" s="5" t="s">
        <v>315</v>
      </c>
      <c r="E320" s="1" t="str">
        <f ca="1">IFERROR(__xludf.DUMMYFUNCTION("GOOGLETRANSLATE(D320, ""bn"", ""en"")"),"If you bury or burn the body without determining the religion, the religion itself will become impure! If this explanation is given by someone other than religious scholars, it will not be correct")</f>
        <v>If you bury or burn the body without determining the religion, the religion itself will become impure! If this explanation is given by someone other than religious scholars, it will not be correct</v>
      </c>
      <c r="F320" s="1"/>
      <c r="G320" s="1"/>
      <c r="H320" s="1"/>
      <c r="I320" s="1"/>
    </row>
    <row r="321" spans="1:9" ht="15.6" x14ac:dyDescent="0.3">
      <c r="A321" s="1" t="s">
        <v>4</v>
      </c>
      <c r="B321" s="1" t="s">
        <v>4</v>
      </c>
      <c r="C321" s="10" t="s">
        <v>4</v>
      </c>
      <c r="D321" s="5" t="s">
        <v>316</v>
      </c>
      <c r="E321" s="1" t="str">
        <f ca="1">IFERROR(__xludf.DUMMYFUNCTION("GOOGLETRANSLATE(D321, ""bn"", ""en"")"),"Attacking religious centers or places of worship of any minority community or any deviant or renegade sect of Islam is not permissible in any way. It is not an act prescribed or permitted by Islam for any Muslim. In the eyes of Islam, such an attack is a "&amp;"reprehensible and punishable crime.")</f>
        <v>Attacking religious centers or places of worship of any minority community or any deviant or renegade sect of Islam is not permissible in any way. It is not an act prescribed or permitted by Islam for any Muslim. In the eyes of Islam, such an attack is a reprehensible and punishable crime.</v>
      </c>
      <c r="F321" s="1"/>
      <c r="G321" s="1"/>
      <c r="H321" s="1"/>
      <c r="I321" s="1"/>
    </row>
    <row r="322" spans="1:9" ht="15.6" x14ac:dyDescent="0.3">
      <c r="A322" s="1" t="s">
        <v>5</v>
      </c>
      <c r="B322" s="1" t="s">
        <v>4</v>
      </c>
      <c r="C322" s="10" t="s">
        <v>5</v>
      </c>
      <c r="D322" s="5" t="s">
        <v>317</v>
      </c>
      <c r="E322" s="1" t="str">
        <f ca="1">IFERROR(__xludf.DUMMYFUNCTION("GOOGLETRANSLATE(D322, ""bn"", ""en"")"),"Gandhiji's journey to Noakhali and his stay there created an opportunity for discussion and exchange of views between Muslim leaders. Addressing a procession in Comilla on February 12, 1947, AK Fazlul Haque said that Gandhi's stay in Noakhali opened the d"&amp;"oor to new ideas about Islam.")</f>
        <v>Gandhiji's journey to Noakhali and his stay there created an opportunity for discussion and exchange of views between Muslim leaders. Addressing a procession in Comilla on February 12, 1947, AK Fazlul Haque said that Gandhi's stay in Noakhali opened the door to new ideas about Islam.</v>
      </c>
      <c r="F322" s="1"/>
      <c r="G322" s="1"/>
      <c r="H322" s="1"/>
      <c r="I322" s="1"/>
    </row>
    <row r="323" spans="1:9" ht="15.6" x14ac:dyDescent="0.3">
      <c r="A323" s="1" t="s">
        <v>5</v>
      </c>
      <c r="B323" s="1" t="s">
        <v>5</v>
      </c>
      <c r="C323" s="10" t="s">
        <v>5</v>
      </c>
      <c r="D323" s="5" t="s">
        <v>318</v>
      </c>
      <c r="E323" s="1" t="str">
        <f ca="1">IFERROR(__xludf.DUMMYFUNCTION("GOOGLETRANSLATE(D323, ""bn"", ""en"")"),"Be it Hindu, Muslim, Buddhist, Christian, any community caste. Those who look at religion with so much passion, the nation or the country can never progress.")</f>
        <v>Be it Hindu, Muslim, Buddhist, Christian, any community caste. Those who look at religion with so much passion, the nation or the country can never progress.</v>
      </c>
      <c r="F323" s="1"/>
      <c r="G323" s="1"/>
      <c r="H323" s="1"/>
      <c r="I323" s="1"/>
    </row>
    <row r="324" spans="1:9" ht="15.6" x14ac:dyDescent="0.3">
      <c r="A324" s="1" t="s">
        <v>4</v>
      </c>
      <c r="B324" s="1" t="s">
        <v>4</v>
      </c>
      <c r="C324" s="10" t="s">
        <v>4</v>
      </c>
      <c r="D324" s="5" t="s">
        <v>319</v>
      </c>
      <c r="E324" s="1" t="str">
        <f ca="1">IFERROR(__xludf.DUMMYFUNCTION("GOOGLETRANSLATE(D324, ""bn"", ""en"")")," Awami League moves they are inciting religious riots and because of this they will slowly try to eliminate Islam as the state religion, so Muslims must be careful, Awami League will fall soon inshallah.")</f>
        <v> Awami League moves they are inciting religious riots and because of this they will slowly try to eliminate Islam as the state religion, so Muslims must be careful, Awami League will fall soon inshallah.</v>
      </c>
      <c r="F324" s="1"/>
      <c r="G324" s="1"/>
      <c r="H324" s="1"/>
      <c r="I324" s="1"/>
    </row>
    <row r="325" spans="1:9" ht="15.6" x14ac:dyDescent="0.3">
      <c r="A325" s="1" t="s">
        <v>9</v>
      </c>
      <c r="B325" s="1" t="s">
        <v>9</v>
      </c>
      <c r="C325" s="10" t="s">
        <v>9</v>
      </c>
      <c r="D325" s="5" t="s">
        <v>320</v>
      </c>
      <c r="E325" s="1" t="str">
        <f ca="1">IFERROR(__xludf.DUMMYFUNCTION("GOOGLETRANSLATE(D325, ""bn"", ""en"")"),"Two Hindu houses owned by a local Awami League leader were set on fire in Nagram Union.[20] On 3 April, miscreants set fire to a Hindu temple after vandalizing three idols of deities again in the same place.")</f>
        <v>Two Hindu houses owned by a local Awami League leader were set on fire in Nagram Union.[20] On 3 April, miscreants set fire to a Hindu temple after vandalizing three idols of deities again in the same place.</v>
      </c>
      <c r="F325" s="1"/>
      <c r="G325" s="1"/>
      <c r="H325" s="1"/>
      <c r="I325" s="1"/>
    </row>
    <row r="326" spans="1:9" ht="15.6" x14ac:dyDescent="0.3">
      <c r="A326" s="1" t="s">
        <v>7</v>
      </c>
      <c r="B326" s="1" t="s">
        <v>7</v>
      </c>
      <c r="C326" s="10" t="s">
        <v>7</v>
      </c>
      <c r="D326" s="5" t="s">
        <v>321</v>
      </c>
      <c r="E326" s="1" t="str">
        <f ca="1">IFERROR(__xludf.DUMMYFUNCTION("GOOGLETRANSLATE(D326, ""bn"", ""en"")"),"I will die in your religion, but my love is no time. If I die, I will wait for your god.")</f>
        <v>I will die in your religion, but my love is no time. If I die, I will wait for your god.</v>
      </c>
      <c r="F326" s="1"/>
      <c r="G326" s="1"/>
      <c r="H326" s="1"/>
      <c r="I326" s="1"/>
    </row>
    <row r="327" spans="1:9" ht="15.6" x14ac:dyDescent="0.3">
      <c r="A327" s="1" t="s">
        <v>5</v>
      </c>
      <c r="B327" s="1" t="s">
        <v>5</v>
      </c>
      <c r="C327" s="10" t="s">
        <v>5</v>
      </c>
      <c r="D327" s="5" t="s">
        <v>322</v>
      </c>
      <c r="E327" s="1" t="str">
        <f ca="1">IFERROR(__xludf.DUMMYFUNCTION("GOOGLETRANSLATE(D327, ""bn"", ""en"")"),"By obeying Allah's guidance, our lives are standardized and we are on the right path, which increases our confidence and happiness.")</f>
        <v>By obeying Allah's guidance, our lives are standardized and we are on the right path, which increases our confidence and happiness.</v>
      </c>
      <c r="F327" s="1"/>
      <c r="G327" s="1"/>
      <c r="H327" s="1"/>
      <c r="I327" s="1"/>
    </row>
    <row r="328" spans="1:9" ht="15.6" x14ac:dyDescent="0.3">
      <c r="A328" s="1" t="s">
        <v>4</v>
      </c>
      <c r="B328" s="1" t="s">
        <v>5</v>
      </c>
      <c r="C328" s="10" t="s">
        <v>4</v>
      </c>
      <c r="D328" s="5" t="s">
        <v>323</v>
      </c>
      <c r="E328" s="1" t="str">
        <f ca="1">IFERROR(__xludf.DUMMYFUNCTION("GOOGLETRANSLATE(D328, ""bn"", ""en"")"),"A sick generation is being created day by day. They post fun about Seheri, take pictures of Seheri and post on Facebook first, post Iftar first on Facebook. ")</f>
        <v xml:space="preserve">A sick generation is being created day by day. They post fun about Seheri, take pictures of Seheri and post on Facebook first, post Iftar first on Facebook. </v>
      </c>
      <c r="F328" s="1"/>
      <c r="G328" s="1"/>
      <c r="H328" s="1"/>
      <c r="I328" s="1"/>
    </row>
    <row r="329" spans="1:9" ht="15.6" x14ac:dyDescent="0.3">
      <c r="A329" s="1" t="s">
        <v>9</v>
      </c>
      <c r="B329" s="1" t="s">
        <v>9</v>
      </c>
      <c r="C329" s="10" t="s">
        <v>9</v>
      </c>
      <c r="D329" s="5" t="s">
        <v>324</v>
      </c>
      <c r="E329" s="1" t="str">
        <f ca="1">IFERROR(__xludf.DUMMYFUNCTION("GOOGLETRANSLATE(D329, ""bn"", ""en"")"),"Meanwhile, last week the former head of Israel's Shin Bet secret service, Amy Ayalon, warned that Tel Aviv's war and territorial expansion would lead to the 'end of Israel'. Both have written books warning of the country's dire future if Israel's occupati"&amp;"on continues.")</f>
        <v>Meanwhile, last week the former head of Israel's Shin Bet secret service, Amy Ayalon, warned that Tel Aviv's war and territorial expansion would lead to the 'end of Israel'. Both have written books warning of the country's dire future if Israel's occupation continues.</v>
      </c>
      <c r="F329" s="1"/>
      <c r="G329" s="1"/>
      <c r="H329" s="1"/>
      <c r="I329" s="1"/>
    </row>
    <row r="330" spans="1:9" ht="15.6" x14ac:dyDescent="0.3">
      <c r="A330" s="1" t="s">
        <v>4</v>
      </c>
      <c r="B330" s="1" t="s">
        <v>9</v>
      </c>
      <c r="C330" s="10" t="s">
        <v>4</v>
      </c>
      <c r="D330" s="5" t="s">
        <v>325</v>
      </c>
      <c r="E330" s="1" t="str">
        <f ca="1">IFERROR(__xludf.DUMMYFUNCTION("GOOGLETRANSLATE(D330, ""bn"", ""en"")"),"Minority organizations in Bangladesh will take to the streets to demand justice and rumors of insulting religion")</f>
        <v>Minority organizations in Bangladesh will take to the streets to demand justice and rumors of insulting religion</v>
      </c>
      <c r="F330" s="1"/>
      <c r="G330" s="1"/>
      <c r="H330" s="1"/>
      <c r="I330" s="1"/>
    </row>
    <row r="331" spans="1:9" ht="15.6" x14ac:dyDescent="0.3">
      <c r="A331" s="1" t="s">
        <v>9</v>
      </c>
      <c r="B331" s="1" t="s">
        <v>5</v>
      </c>
      <c r="C331" s="10" t="s">
        <v>9</v>
      </c>
      <c r="D331" s="5" t="s">
        <v>326</v>
      </c>
      <c r="E331" s="1" t="str">
        <f ca="1">IFERROR(__xludf.DUMMYFUNCTION("GOOGLETRANSLATE(D331, ""bn"", ""en"")"),"The organization strongly condemned and protested the attack, vandalism and looting of Hindu homes and held a human chain program in front of the National Press Club on Saturday. A proper investigation of the attack was also demanded to bring the people i"&amp;"nvolved under the law.")</f>
        <v>The organization strongly condemned and protested the attack, vandalism and looting of Hindu homes and held a human chain program in front of the National Press Club on Saturday. A proper investigation of the attack was also demanded to bring the people involved under the law.</v>
      </c>
      <c r="F331" s="1"/>
      <c r="G331" s="1"/>
      <c r="H331" s="1"/>
      <c r="I331" s="1"/>
    </row>
    <row r="332" spans="1:9" ht="15.6" x14ac:dyDescent="0.3">
      <c r="A332" s="1" t="s">
        <v>9</v>
      </c>
      <c r="B332" s="1" t="s">
        <v>9</v>
      </c>
      <c r="C332" s="10" t="s">
        <v>9</v>
      </c>
      <c r="D332" s="5" t="s">
        <v>327</v>
      </c>
      <c r="E332" s="1" t="str">
        <f ca="1">IFERROR(__xludf.DUMMYFUNCTION("GOOGLETRANSLATE(D332, ""bn"", ""en"")"),"On the afternoon of January 5, Hindu communities of Satkania Upazila, Lohagra Upazila and Banashkhali Upazila of Chittagong Division were attacked. Jamaat Islam and Bangladesh Islami Chhatra Shibir cadres set fire to at least 150 Hindu houses.")</f>
        <v>On the afternoon of January 5, Hindu communities of Satkania Upazila, Lohagra Upazila and Banashkhali Upazila of Chittagong Division were attacked. Jamaat Islam and Bangladesh Islami Chhatra Shibir cadres set fire to at least 150 Hindu houses.</v>
      </c>
      <c r="F332" s="1"/>
      <c r="G332" s="1"/>
      <c r="H332" s="1"/>
      <c r="I332" s="1"/>
    </row>
    <row r="333" spans="1:9" ht="15.6" x14ac:dyDescent="0.3">
      <c r="A333" s="1" t="s">
        <v>4</v>
      </c>
      <c r="B333" s="1" t="s">
        <v>4</v>
      </c>
      <c r="C333" s="10" t="s">
        <v>4</v>
      </c>
      <c r="D333" s="5" t="s">
        <v>328</v>
      </c>
      <c r="E333" s="1" t="str">
        <f ca="1">IFERROR(__xludf.DUMMYFUNCTION("GOOGLETRANSLATE(D333, ""bn"", ""en"")"),"After years in the Arab countries of the Middle East Kamala is now saying ""there can be no non-Muslims in Muslim countries"". They have surpassed even Hitler in justifying their hatred.")</f>
        <v>After years in the Arab countries of the Middle East Kamala is now saying "there can be no non-Muslims in Muslim countries". They have surpassed even Hitler in justifying their hatred.</v>
      </c>
      <c r="F333" s="1"/>
      <c r="G333" s="1"/>
      <c r="H333" s="1"/>
      <c r="I333" s="1"/>
    </row>
    <row r="334" spans="1:9" ht="15.6" x14ac:dyDescent="0.3">
      <c r="A334" s="1" t="s">
        <v>9</v>
      </c>
      <c r="B334" s="1" t="s">
        <v>4</v>
      </c>
      <c r="C334" s="10" t="s">
        <v>9</v>
      </c>
      <c r="D334" s="5" t="s">
        <v>329</v>
      </c>
      <c r="E334" s="1" t="str">
        <f ca="1">IFERROR(__xludf.DUMMYFUNCTION("GOOGLETRANSLATE(D334, ""bn"", ""en"")"),"Within a month of Partition, Muslims attacked Janmashtami processions in Dhaka. [3] In 1948, the famous Dhamrai Rath Yatra and Janmashtami processions were banned.")</f>
        <v>Within a month of Partition, Muslims attacked Janmashtami processions in Dhaka. [3] In 1948, the famous Dhamrai Rath Yatra and Janmashtami processions were banned.</v>
      </c>
      <c r="F334" s="1"/>
      <c r="G334" s="1"/>
      <c r="H334" s="1"/>
      <c r="I334" s="1"/>
    </row>
    <row r="335" spans="1:9" ht="15.6" x14ac:dyDescent="0.3">
      <c r="A335" s="1" t="s">
        <v>7</v>
      </c>
      <c r="B335" s="1" t="s">
        <v>5</v>
      </c>
      <c r="C335" s="10" t="s">
        <v>7</v>
      </c>
      <c r="D335" s="5" t="s">
        <v>330</v>
      </c>
      <c r="E335" s="1" t="str">
        <f ca="1">IFERROR(__xludf.DUMMYFUNCTION("GOOGLETRANSLATE(D335, ""bn"", ""en"")"),"No monument was erected in memory of the victims of the robbery. [7] In 2010 the Dakar Genocide Memorial Preservation Council organized a program to commemorate the victims of the Dakar Genocide.")</f>
        <v>No monument was erected in memory of the victims of the robbery. [7] In 2010 the Dakar Genocide Memorial Preservation Council organized a program to commemorate the victims of the Dakar Genocide.</v>
      </c>
      <c r="F335" s="1"/>
      <c r="G335" s="1"/>
      <c r="H335" s="1"/>
      <c r="I335" s="1"/>
    </row>
    <row r="336" spans="1:9" ht="15.6" x14ac:dyDescent="0.3">
      <c r="A336" s="1" t="s">
        <v>9</v>
      </c>
      <c r="B336" s="1" t="s">
        <v>9</v>
      </c>
      <c r="C336" s="10" t="s">
        <v>9</v>
      </c>
      <c r="D336" s="5" t="s">
        <v>331</v>
      </c>
      <c r="E336" s="1" t="str">
        <f ca="1">IFERROR(__xludf.DUMMYFUNCTION("GOOGLETRANSLATE(D336, ""bn"", ""en"")"),"Islamic militants opened fire on a bus of Coptic Christians in the city of Minya, part of a wave of violence against the country's Christian minority.")</f>
        <v>Islamic militants opened fire on a bus of Coptic Christians in the city of Minya, part of a wave of violence against the country's Christian minority.</v>
      </c>
      <c r="F336" s="1"/>
      <c r="G336" s="1"/>
      <c r="H336" s="1"/>
      <c r="I336" s="1"/>
    </row>
    <row r="337" spans="1:9" ht="15.6" x14ac:dyDescent="0.3">
      <c r="A337" s="1" t="s">
        <v>5</v>
      </c>
      <c r="B337" s="1" t="s">
        <v>5</v>
      </c>
      <c r="C337" s="10" t="s">
        <v>5</v>
      </c>
      <c r="D337" s="5" t="s">
        <v>332</v>
      </c>
      <c r="E337" s="1" t="str">
        <f ca="1">IFERROR(__xludf.DUMMYFUNCTION("GOOGLETRANSLATE(D337, ""bn"", ""en"")"),"Meeting the Almighty Allah, the sole creator of the entire creation, defies even the infinite thoughts of imagination.")</f>
        <v>Meeting the Almighty Allah, the sole creator of the entire creation, defies even the infinite thoughts of imagination.</v>
      </c>
      <c r="F337" s="1"/>
      <c r="G337" s="1"/>
      <c r="H337" s="1"/>
      <c r="I337" s="1"/>
    </row>
    <row r="338" spans="1:9" ht="15.6" x14ac:dyDescent="0.3">
      <c r="A338" s="1" t="s">
        <v>5</v>
      </c>
      <c r="B338" s="1" t="s">
        <v>5</v>
      </c>
      <c r="C338" s="10" t="s">
        <v>5</v>
      </c>
      <c r="D338" s="5" t="s">
        <v>333</v>
      </c>
      <c r="E338" s="1" t="str">
        <f ca="1">IFERROR(__xludf.DUMMYFUNCTION("GOOGLETRANSLATE(D338, ""bn"", ""en"")"),"To see Allah and the Messenger, it is written in the Quran. He who is lucky enough to get in, has reached the threshold of Paradise. That country is a peaceful religious country. The Prophet and the Messenger met there.")</f>
        <v>To see Allah and the Messenger, it is written in the Quran. He who is lucky enough to get in, has reached the threshold of Paradise. That country is a peaceful religious country. The Prophet and the Messenger met there.</v>
      </c>
      <c r="F338" s="1"/>
      <c r="G338" s="1"/>
      <c r="H338" s="1"/>
      <c r="I338" s="1"/>
    </row>
    <row r="339" spans="1:9" ht="15.6" x14ac:dyDescent="0.3">
      <c r="A339" s="1" t="s">
        <v>5</v>
      </c>
      <c r="B339" s="1" t="s">
        <v>5</v>
      </c>
      <c r="C339" s="10" t="s">
        <v>5</v>
      </c>
      <c r="D339" s="5" t="s">
        <v>334</v>
      </c>
      <c r="E339" s="1" t="str">
        <f ca="1">IFERROR(__xludf.DUMMYFUNCTION("GOOGLETRANSLATE(D339, ""bn"", ""en"")"),"He became interested in learning about Islam and Muslims. The life history of the Holy Prophet (PBUH) and the Holy Qur'an inspired him to accept Islam.")</f>
        <v>He became interested in learning about Islam and Muslims. The life history of the Holy Prophet (PBUH) and the Holy Qur'an inspired him to accept Islam.</v>
      </c>
      <c r="F339" s="1"/>
      <c r="G339" s="1"/>
      <c r="H339" s="1"/>
      <c r="I339" s="1"/>
    </row>
    <row r="340" spans="1:9" ht="15.6" x14ac:dyDescent="0.3">
      <c r="A340" s="1" t="s">
        <v>4</v>
      </c>
      <c r="B340" s="1" t="s">
        <v>5</v>
      </c>
      <c r="C340" s="10" t="s">
        <v>4</v>
      </c>
      <c r="D340" s="5" t="s">
        <v>335</v>
      </c>
      <c r="E340" s="1" t="str">
        <f ca="1">IFERROR(__xludf.DUMMYFUNCTION("GOOGLETRANSLATE(D340, ""bn"", ""en"")"),"If you start boycotting from the spirit, the business people of our country, saints of Allah, will start increasing the prices by syndicating and adulterating the products. Almost all the people of this country are honest only because of the lack of oppor"&amp;"tunity. Everyone will do the idle work if they get the opportunity, including me and you.")</f>
        <v>If you start boycotting from the spirit, the business people of our country, saints of Allah, will start increasing the prices by syndicating and adulterating the products. Almost all the people of this country are honest only because of the lack of opportunity. Everyone will do the idle work if they get the opportunity, including me and you.</v>
      </c>
      <c r="F340" s="1"/>
      <c r="G340" s="1"/>
      <c r="H340" s="1"/>
      <c r="I340" s="1"/>
    </row>
    <row r="341" spans="1:9" ht="15.6" x14ac:dyDescent="0.3">
      <c r="A341" s="1" t="s">
        <v>9</v>
      </c>
      <c r="B341" s="1" t="s">
        <v>9</v>
      </c>
      <c r="C341" s="10" t="s">
        <v>9</v>
      </c>
      <c r="D341" s="5" t="s">
        <v>336</v>
      </c>
      <c r="E341" s="1" t="str">
        <f ca="1">IFERROR(__xludf.DUMMYFUNCTION("GOOGLETRANSLATE(D341, ""bn"", ""en"")"),"In the evening, the Minister of State for Religion Faridul Haque Khan visited the places of worship of the Hindu community affected by the communal attack in Chaumuhani. ")</f>
        <v xml:space="preserve">In the evening, the Minister of State for Religion Faridul Haque Khan visited the places of worship of the Hindu community affected by the communal attack in Chaumuhani. </v>
      </c>
      <c r="F341" s="1"/>
      <c r="G341" s="1"/>
      <c r="H341" s="1"/>
      <c r="I341" s="1"/>
    </row>
    <row r="342" spans="1:9" ht="15.6" x14ac:dyDescent="0.3">
      <c r="A342" s="1" t="s">
        <v>5</v>
      </c>
      <c r="B342" s="1" t="s">
        <v>5</v>
      </c>
      <c r="C342" s="10" t="s">
        <v>5</v>
      </c>
      <c r="D342" s="5" t="s">
        <v>337</v>
      </c>
      <c r="E342" s="1" t="str">
        <f ca="1">IFERROR(__xludf.DUMMYFUNCTION("GOOGLETRANSLATE(D342, ""bn"", ""en"")")," The Buwat campaign took place a month after the Abwa campaign. Meanwhile, a caravan led by Umayyad Ibn Khalaf was passing near Medina. There were 100 members of this caravan.")</f>
        <v xml:space="preserve"> The Buwat campaign took place a month after the Abwa campaign. Meanwhile, a caravan led by Umayyad Ibn Khalaf was passing near Medina. There were 100 members of this caravan.</v>
      </c>
      <c r="F342" s="1"/>
      <c r="G342" s="1"/>
      <c r="H342" s="1"/>
      <c r="I342" s="1"/>
    </row>
    <row r="343" spans="1:9" ht="15.6" x14ac:dyDescent="0.3">
      <c r="A343" s="1" t="s">
        <v>7</v>
      </c>
      <c r="B343" s="1" t="s">
        <v>7</v>
      </c>
      <c r="C343" s="10" t="s">
        <v>7</v>
      </c>
      <c r="D343" s="5" t="s">
        <v>338</v>
      </c>
      <c r="E343" s="1" t="str">
        <f ca="1">IFERROR(__xludf.DUMMYFUNCTION("GOOGLETRANSLATE(D343, ""bn"", ""en"")"),"The debate still arose about the respective responsibilities of Hindus and Muslims as two major communities, apart from the role of individual leaders in the killings. ")</f>
        <v>The debate still arose about the respective responsibilities of Hindus and Muslims as two major communities, apart from the role of individual leaders in the killings. </v>
      </c>
      <c r="F343" s="1"/>
      <c r="G343" s="1"/>
      <c r="H343" s="1"/>
      <c r="I343" s="1"/>
    </row>
    <row r="344" spans="1:9" ht="15.6" x14ac:dyDescent="0.3">
      <c r="A344" s="1" t="s">
        <v>9</v>
      </c>
      <c r="B344" s="1" t="s">
        <v>9</v>
      </c>
      <c r="C344" s="10" t="s">
        <v>9</v>
      </c>
      <c r="D344" s="5" t="s">
        <v>339</v>
      </c>
      <c r="E344" s="1" t="str">
        <f ca="1">IFERROR(__xludf.DUMMYFUNCTION("GOOGLETRANSLATE(D344, ""bn"", ""en"")"),"Unable to bear the horrors of the torture, many Hindu Narnaris fled to the Maldah district of India. [36] When the Hindu refugees started fleeing to India, the armed forces that were on the way began to torture them on their way. There was no torture left"&amp;" that was not inflicted on the Hindu refugee passengers.")</f>
        <v>Unable to bear the horrors of the torture, many Hindu Narnaris fled to the Maldah district of India. [36] When the Hindu refugees started fleeing to India, the armed forces that were on the way began to torture them on their way. There was no torture left that was not inflicted on the Hindu refugee passengers.</v>
      </c>
      <c r="F344" s="1"/>
      <c r="G344" s="1"/>
      <c r="H344" s="1"/>
      <c r="I344" s="1"/>
    </row>
    <row r="345" spans="1:9" ht="15.6" x14ac:dyDescent="0.3">
      <c r="A345" s="1" t="s">
        <v>9</v>
      </c>
      <c r="B345" s="1" t="s">
        <v>9</v>
      </c>
      <c r="C345" s="10" t="s">
        <v>9</v>
      </c>
      <c r="D345" s="5" t="s">
        <v>340</v>
      </c>
      <c r="E345" s="1" t="str">
        <f ca="1">IFERROR(__xludf.DUMMYFUNCTION("GOOGLETRANSLATE(D345, ""bn"", ""en"")"),"On Monday, May 30, devotees were ambushed and molested while performing religious rituals on the balcony of Vasudev temple in Biyanibazar, Sylhet. The police arrested a young man named Mohammad Ali Ahmed in the incident. 10 fans were injured in the incide"&amp;"nt.")</f>
        <v>On Monday, May 30, devotees were ambushed and molested while performing religious rituals on the balcony of Vasudev temple in Biyanibazar, Sylhet. The police arrested a young man named Mohammad Ali Ahmed in the incident. 10 fans were injured in the incident.</v>
      </c>
      <c r="F345" s="1"/>
      <c r="G345" s="1"/>
      <c r="H345" s="1"/>
      <c r="I345" s="1"/>
    </row>
    <row r="346" spans="1:9" ht="15.6" x14ac:dyDescent="0.3">
      <c r="A346" s="1" t="s">
        <v>4</v>
      </c>
      <c r="B346" s="1" t="s">
        <v>5</v>
      </c>
      <c r="C346" s="10" t="s">
        <v>4</v>
      </c>
      <c r="D346" s="5" t="s">
        <v>341</v>
      </c>
      <c r="E346" s="1" t="str">
        <f ca="1">IFERROR(__xludf.DUMMYFUNCTION("GOOGLETRANSLATE(D346, ""bn"", ""en"")"),"Hindus were harassed on false charges and petty charges. The Goa Inquisition was established in 1560 by Portuguese missionaries in Portuguese-ruled India.")</f>
        <v>Hindus were harassed on false charges and petty charges. The Goa Inquisition was established in 1560 by Portuguese missionaries in Portuguese-ruled India.</v>
      </c>
      <c r="F346" s="1"/>
      <c r="G346" s="1"/>
      <c r="H346" s="1"/>
      <c r="I346" s="1"/>
    </row>
    <row r="347" spans="1:9" ht="15.6" x14ac:dyDescent="0.3">
      <c r="A347" s="1" t="s">
        <v>5</v>
      </c>
      <c r="B347" s="1" t="s">
        <v>5</v>
      </c>
      <c r="C347" s="10" t="s">
        <v>5</v>
      </c>
      <c r="D347" s="5" t="s">
        <v>342</v>
      </c>
      <c r="E347" s="1" t="str">
        <f ca="1">IFERROR(__xludf.DUMMYFUNCTION("GOOGLETRANSLATE(D347, ""bn"", ""en"")"),"The conversion of Bodhgaya's Mahabodhi Vihara into a Shiva temple is still under debate. Similarly, the conversion of the Buddha Stupa-Pagoda at Kushinagar into a temple of an obscure Hindu deity named Ramhar Bhavani is also under discussion.")</f>
        <v>The conversion of Bodhgaya's Mahabodhi Vihara into a Shiva temple is still under debate. Similarly, the conversion of the Buddha Stupa-Pagoda at Kushinagar into a temple of an obscure Hindu deity named Ramhar Bhavani is also under discussion.</v>
      </c>
      <c r="F347" s="1"/>
      <c r="G347" s="1"/>
      <c r="H347" s="1"/>
      <c r="I347" s="1"/>
    </row>
    <row r="348" spans="1:9" ht="15.6" x14ac:dyDescent="0.3">
      <c r="A348" s="1" t="s">
        <v>4</v>
      </c>
      <c r="B348" s="1" t="s">
        <v>4</v>
      </c>
      <c r="C348" s="10" t="s">
        <v>4</v>
      </c>
      <c r="D348" s="5" t="s">
        <v>343</v>
      </c>
      <c r="E348" s="1" t="str">
        <f ca="1">IFERROR(__xludf.DUMMYFUNCTION("GOOGLETRANSLATE(D348, ""bn"", ""en"")"),"Every post of him complete anti-Islamic extremism! Which means he might have been hurt by a fanatic in some way!")</f>
        <v>Every post of him complete anti-Islamic extremism! Which means he might have been hurt by a fanatic in some way!</v>
      </c>
      <c r="F348" s="1"/>
      <c r="G348" s="1"/>
      <c r="H348" s="1"/>
      <c r="I348" s="1"/>
    </row>
    <row r="349" spans="1:9" ht="15.6" x14ac:dyDescent="0.3">
      <c r="A349" s="1" t="s">
        <v>7</v>
      </c>
      <c r="B349" s="1" t="s">
        <v>5</v>
      </c>
      <c r="C349" s="10" t="s">
        <v>7</v>
      </c>
      <c r="D349" s="5" t="s">
        <v>344</v>
      </c>
      <c r="E349" s="1" t="str">
        <f ca="1">IFERROR(__xludf.DUMMYFUNCTION("GOOGLETRANSLATE(D349, ""bn"", ""en"")"),"Not of the level of Ahl al-Kitab (People of the Book) or Mushrik (polytheists). Rather, they are among the most misguided kafirs (infidels)... their women may be taken as slaves and their property confiscated... they will be killed whenever they are found"&amp;" and cursed as described... it is obligatory to kill their scholars and religious figures so that they may not lead others astray"", [192] in which setting violence against them as apostates is justified. [193] [194] The Ottomans often relied on Ibn Taymi"&amp;"yya's religious judgments to justify their persecution of the Druze.")</f>
        <v>Not of the level of Ahl al-Kitab (People of the Book) or Mushrik (polytheists). Rather, they are among the most misguided kafirs (infidels)... their women may be taken as slaves and their property confiscated... they will be killed whenever they are found and cursed as described... it is obligatory to kill their scholars and religious figures so that they may not lead others astray", [192] in which setting violence against them as apostates is justified. [193] [194] The Ottomans often relied on Ibn Taymiyya's religious judgments to justify their persecution of the Druze.</v>
      </c>
      <c r="F349" s="1"/>
      <c r="G349" s="1"/>
      <c r="H349" s="1"/>
      <c r="I349" s="1"/>
    </row>
    <row r="350" spans="1:9" ht="15.6" x14ac:dyDescent="0.3">
      <c r="A350" s="1" t="s">
        <v>9</v>
      </c>
      <c r="B350" s="1" t="s">
        <v>4</v>
      </c>
      <c r="C350" s="10" t="s">
        <v>9</v>
      </c>
      <c r="D350" s="5" t="s">
        <v>345</v>
      </c>
      <c r="E350" s="1" t="str">
        <f ca="1">IFERROR(__xludf.DUMMYFUNCTION("GOOGLETRANSLATE(D350, ""bn"", ""en"")"),"From 2010 to 2017, 84% of victims of cow vigilante violence in India were Muslims, and after May 2014, about 99% of these attacks were reported to be Muslims. ")</f>
        <v>From 2010 to 2017, 84% of victims of cow vigilante violence in India were Muslims, and after May 2014, about 99% of these attacks were reported to be Muslims. </v>
      </c>
      <c r="F350" s="1"/>
      <c r="G350" s="1"/>
      <c r="H350" s="1"/>
      <c r="I350" s="1"/>
    </row>
    <row r="351" spans="1:9" ht="15.6" x14ac:dyDescent="0.3">
      <c r="A351" s="1" t="s">
        <v>7</v>
      </c>
      <c r="B351" s="1" t="s">
        <v>7</v>
      </c>
      <c r="C351" s="10" t="s">
        <v>7</v>
      </c>
      <c r="D351" s="5" t="s">
        <v>346</v>
      </c>
      <c r="E351" s="1" t="str">
        <f ca="1">IFERROR(__xludf.DUMMYFUNCTION("GOOGLETRANSLATE(D351, ""bn"", ""en"")")," The massacre took place on May 20, 1971. As Chuknagar is close to the Indian border, after the war of independence, people from different places flocked here to cross the border. Almost lakhs of people gathered in Chuknagar after crossing Bhadra river fr"&amp;"om Khulna Obagerhat in Bangladesh.")</f>
        <v xml:space="preserve"> The massacre took place on May 20, 1971. As Chuknagar is close to the Indian border, after the war of independence, people from different places flocked here to cross the border. Almost lakhs of people gathered in Chuknagar after crossing Bhadra river from Khulna Obagerhat in Bangladesh.</v>
      </c>
      <c r="F351" s="1"/>
      <c r="G351" s="1"/>
      <c r="H351" s="1"/>
      <c r="I351" s="1"/>
    </row>
    <row r="352" spans="1:9" ht="15.6" x14ac:dyDescent="0.3">
      <c r="A352" s="1" t="s">
        <v>9</v>
      </c>
      <c r="B352" s="1" t="s">
        <v>9</v>
      </c>
      <c r="C352" s="10" t="s">
        <v>9</v>
      </c>
      <c r="D352" s="5" t="s">
        <v>347</v>
      </c>
      <c r="E352" s="1" t="str">
        <f ca="1">IFERROR(__xludf.DUMMYFUNCTION("GOOGLETRANSLATE(D352, ""bn"", ""en"")"),"Sir, please send a small video message, so that no Muslim destroys the houses of the Hindus, does not destroy the pujamandap, if they want it, so that the international media can be told that they see atrocities on minorities and Bangladesh, and you are o"&amp;"nly about Kashmir, so please, Sir, be careful.")</f>
        <v>Sir, please send a small video message, so that no Muslim destroys the houses of the Hindus, does not destroy the pujamandap, if they want it, so that the international media can be told that they see atrocities on minorities and Bangladesh, and you are only about Kashmir, so please, Sir, be careful.</v>
      </c>
      <c r="F352" s="1"/>
      <c r="G352" s="1"/>
      <c r="H352" s="1"/>
      <c r="I352" s="1"/>
    </row>
    <row r="353" spans="1:9" ht="15.6" x14ac:dyDescent="0.3">
      <c r="A353" s="4" t="s">
        <v>7</v>
      </c>
      <c r="B353" s="4" t="s">
        <v>7</v>
      </c>
      <c r="C353" s="11" t="s">
        <v>7</v>
      </c>
      <c r="D353" s="5" t="s">
        <v>348</v>
      </c>
      <c r="E353" s="1" t="str">
        <f ca="1">IFERROR(__xludf.DUMMYFUNCTION("GOOGLETRANSLATE(D353, ""bn"", ""en"")")," There is evidence of brutal persecution of Hindu Bengalis in various villages of Dhemaji district. On the other hand, it is easy to mistake Bengali speakers of Islam as Bangladeshis. The embodiment of which is Nelly Genocide.")</f>
        <v xml:space="preserve"> There is evidence of brutal persecution of Hindu Bengalis in various villages of Dhemaji district. On the other hand, it is easy to mistake Bengali speakers of Islam as Bangladeshis. The embodiment of which is Nelly Genocide.</v>
      </c>
      <c r="F353" s="1"/>
      <c r="G353" s="1"/>
      <c r="H353" s="1"/>
      <c r="I353" s="1"/>
    </row>
    <row r="354" spans="1:9" ht="15.6" x14ac:dyDescent="0.3">
      <c r="A354" s="1" t="s">
        <v>4</v>
      </c>
      <c r="B354" s="1" t="s">
        <v>4</v>
      </c>
      <c r="C354" s="10" t="s">
        <v>4</v>
      </c>
      <c r="D354" s="5" t="s">
        <v>349</v>
      </c>
      <c r="E354" s="1" t="str">
        <f ca="1">IFERROR(__xludf.DUMMYFUNCTION("GOOGLETRANSLATE(D354, ""bn"", ""en"")"),"We Muslims enter the mosque after performing ablution. And because of the rules or sunnah of doing ablution, I don't think that corona is dangerous for praying in the mosque.")</f>
        <v>We Muslims enter the mosque after performing ablution. And because of the rules or sunnah of doing ablution, I don't think that corona is dangerous for praying in the mosque.</v>
      </c>
      <c r="F354" s="1"/>
      <c r="G354" s="1"/>
      <c r="H354" s="1"/>
      <c r="I354" s="1"/>
    </row>
    <row r="355" spans="1:9" ht="15.6" x14ac:dyDescent="0.3">
      <c r="A355" s="1" t="s">
        <v>4</v>
      </c>
      <c r="B355" s="1" t="s">
        <v>4</v>
      </c>
      <c r="C355" s="10" t="s">
        <v>4</v>
      </c>
      <c r="D355" s="5" t="s">
        <v>350</v>
      </c>
      <c r="E355" s="1" t="str">
        <f ca="1">IFERROR(__xludf.DUMMYFUNCTION("GOOGLETRANSLATE(D355, ""bn"", ""en"")"),"In the present era, some people who are fond of caste reform are indulging in the mischievous attempt to make themselves saints by putting the deeds of their forefathers on the shoulders of Muslims. Their statement is that the Muslims expelled the Buddhis"&amp;"ts from the soil of Bengal.")</f>
        <v>In the present era, some people who are fond of caste reform are indulging in the mischievous attempt to make themselves saints by putting the deeds of their forefathers on the shoulders of Muslims. Their statement is that the Muslims expelled the Buddhists from the soil of Bengal.</v>
      </c>
      <c r="F355" s="1"/>
      <c r="G355" s="1"/>
      <c r="H355" s="1"/>
      <c r="I355" s="1"/>
    </row>
    <row r="356" spans="1:9" ht="15.6" x14ac:dyDescent="0.3">
      <c r="A356" s="1" t="s">
        <v>5</v>
      </c>
      <c r="B356" s="1" t="s">
        <v>5</v>
      </c>
      <c r="C356" s="10" t="s">
        <v>5</v>
      </c>
      <c r="D356" s="5" t="s">
        <v>351</v>
      </c>
      <c r="E356" s="1" t="str">
        <f ca="1">IFERROR(__xludf.DUMMYFUNCTION("GOOGLETRANSLATE(D356, ""bn"", ""en"")"),"Solid Cheebar Daan is held in Venuban Bihar in Agartala, Tripura state, India. Here, along with the traditional practice of donating Cheebar, followers tie books, pens, notes etc. to the Kalpatru with thread with the intention of fulfilling their wishes.")</f>
        <v>Solid Cheebar Daan is held in Venuban Bihar in Agartala, Tripura state, India. Here, along with the traditional practice of donating Cheebar, followers tie books, pens, notes etc. to the Kalpatru with thread with the intention of fulfilling their wishes.</v>
      </c>
      <c r="F356" s="1"/>
      <c r="G356" s="1"/>
      <c r="H356" s="1"/>
      <c r="I356" s="1"/>
    </row>
    <row r="357" spans="1:9" ht="15.6" x14ac:dyDescent="0.3">
      <c r="A357" s="1" t="s">
        <v>4</v>
      </c>
      <c r="B357" s="1" t="s">
        <v>9</v>
      </c>
      <c r="C357" s="10" t="s">
        <v>4</v>
      </c>
      <c r="D357" s="5" t="s">
        <v>352</v>
      </c>
      <c r="E357" s="1" t="str">
        <f ca="1">IFERROR(__xludf.DUMMYFUNCTION("GOOGLETRANSLATE(D357, ""bn"", ""en"")"),"Rana Dasgupta, General Secretary of Hindu-Buddhist-Christian Unity Council, said that the attacks were carried out on the one hand by spreading rumours, and on the other hand, the victims were being tried to be framed for insulting religion.")</f>
        <v>Rana Dasgupta, General Secretary of Hindu-Buddhist-Christian Unity Council, said that the attacks were carried out on the one hand by spreading rumours, and on the other hand, the victims were being tried to be framed for insulting religion.</v>
      </c>
      <c r="F357" s="1"/>
      <c r="G357" s="1"/>
      <c r="H357" s="1"/>
      <c r="I357" s="1"/>
    </row>
    <row r="358" spans="1:9" ht="15.6" x14ac:dyDescent="0.3">
      <c r="A358" s="1" t="s">
        <v>7</v>
      </c>
      <c r="B358" s="1" t="s">
        <v>7</v>
      </c>
      <c r="C358" s="10" t="s">
        <v>7</v>
      </c>
      <c r="D358" s="5" t="s">
        <v>353</v>
      </c>
      <c r="E358" s="1" t="str">
        <f ca="1">IFERROR(__xludf.DUMMYFUNCTION("GOOGLETRANSLATE(D358, ""bn"", ""en"")"),"Where it was claimed that as many as two and a half thousand were killed. Various news about the Shapla Chattar tragedy came out throughout the night.")</f>
        <v>Where it was claimed that as many as two and a half thousand were killed. Various news about the Shapla Chattar tragedy came out throughout the night.</v>
      </c>
      <c r="F358" s="1"/>
      <c r="G358" s="1"/>
      <c r="H358" s="1"/>
      <c r="I358" s="1"/>
    </row>
    <row r="359" spans="1:9" ht="15.6" x14ac:dyDescent="0.3">
      <c r="A359" s="1" t="s">
        <v>5</v>
      </c>
      <c r="B359" s="1" t="s">
        <v>5</v>
      </c>
      <c r="C359" s="10" t="s">
        <v>5</v>
      </c>
      <c r="D359" s="5" t="s">
        <v>354</v>
      </c>
      <c r="E359" s="1" t="str">
        <f ca="1">IFERROR(__xludf.DUMMYFUNCTION("GOOGLETRANSLATE(D359, ""bn"", ""en"")"),"Some of the indigenous communities who practice animism have come under Buddhism. The beliefs and rituals of the Buddhist community in the region are a combination of Buddhism and ancient animistic beliefs. Buddhist Purnima is most celebrated among both B"&amp;"engali Buddhists and Buddhist tribes.")</f>
        <v>Some of the indigenous communities who practice animism have come under Buddhism. The beliefs and rituals of the Buddhist community in the region are a combination of Buddhism and ancient animistic beliefs. Buddhist Purnima is most celebrated among both Bengali Buddhists and Buddhist tribes.</v>
      </c>
      <c r="F359" s="1"/>
      <c r="G359" s="1"/>
      <c r="H359" s="1"/>
      <c r="I359" s="1"/>
    </row>
    <row r="360" spans="1:9" ht="15.6" x14ac:dyDescent="0.3">
      <c r="A360" s="1" t="s">
        <v>9</v>
      </c>
      <c r="B360" s="1" t="s">
        <v>5</v>
      </c>
      <c r="C360" s="10" t="s">
        <v>9</v>
      </c>
      <c r="D360" s="5" t="s">
        <v>355</v>
      </c>
      <c r="E360" s="1" t="str">
        <f ca="1">IFERROR(__xludf.DUMMYFUNCTION("GOOGLETRANSLATE(D360, ""bn"", ""en"")"),"Muslim armies captured numerous Hindu Jats as prisoners of war and transported them as slaves to Iraq and elsewhere.")</f>
        <v>Muslim armies captured numerous Hindu Jats as prisoners of war and transported them as slaves to Iraq and elsewhere.</v>
      </c>
      <c r="F360" s="1"/>
      <c r="G360" s="1"/>
      <c r="H360" s="1"/>
      <c r="I360" s="1"/>
    </row>
    <row r="361" spans="1:9" ht="15.6" x14ac:dyDescent="0.3">
      <c r="A361" s="1" t="s">
        <v>7</v>
      </c>
      <c r="B361" s="1" t="s">
        <v>7</v>
      </c>
      <c r="C361" s="10" t="s">
        <v>7</v>
      </c>
      <c r="D361" s="5" t="s">
        <v>356</v>
      </c>
      <c r="E361" s="1" t="str">
        <f ca="1">IFERROR(__xludf.DUMMYFUNCTION("GOOGLETRANSLATE(D361, ""bn"", ""en"")"),"Bangladesh Hindu Buddhist Christian Unity Council claimed in a press conference on Thursday that 23 people have been killed in communal violence in the last four and a half months after the uprising.")</f>
        <v>Bangladesh Hindu Buddhist Christian Unity Council claimed in a press conference on Thursday that 23 people have been killed in communal violence in the last four and a half months after the uprising.</v>
      </c>
      <c r="F361" s="1"/>
      <c r="G361" s="1"/>
      <c r="H361" s="1"/>
      <c r="I361" s="1"/>
    </row>
    <row r="362" spans="1:9" ht="15.6" x14ac:dyDescent="0.3">
      <c r="A362" s="1" t="s">
        <v>7</v>
      </c>
      <c r="B362" s="1" t="s">
        <v>7</v>
      </c>
      <c r="C362" s="10" t="s">
        <v>7</v>
      </c>
      <c r="D362" s="5" t="s">
        <v>357</v>
      </c>
      <c r="E362" s="1" t="str">
        <f ca="1">IFERROR(__xludf.DUMMYFUNCTION("GOOGLETRANSLATE(D362, ""bn"", ""en"")"),"In the early hours of 27 May, a joint operation by the Pakistani Army, Al Badr, Razakar and the East Pakistan Central Peace Committee surrounded the villages. Al Badr killed more than two hundred people, mostly Bengali Hindus, indiscriminately firing.")</f>
        <v>In the early hours of 27 May, a joint operation by the Pakistani Army, Al Badr, Razakar and the East Pakistan Central Peace Committee surrounded the villages. Al Badr killed more than two hundred people, mostly Bengali Hindus, indiscriminately firing.</v>
      </c>
      <c r="F362" s="1"/>
      <c r="G362" s="1"/>
      <c r="H362" s="1"/>
      <c r="I362" s="1"/>
    </row>
    <row r="363" spans="1:9" ht="15.6" x14ac:dyDescent="0.3">
      <c r="A363" s="1" t="s">
        <v>7</v>
      </c>
      <c r="B363" s="1" t="s">
        <v>7</v>
      </c>
      <c r="C363" s="10" t="s">
        <v>7</v>
      </c>
      <c r="D363" s="5" t="s">
        <v>358</v>
      </c>
      <c r="E363" s="1" t="str">
        <f ca="1">IFERROR(__xludf.DUMMYFUNCTION("GOOGLETRANSLATE(D363, ""bn"", ""en"")")," Muslim rioters organized and attacked Rajendralal's house. They connect fire to the house. Twenty-two family members were killed, including Rajendralal, his elder Chintacharan and Anuj Satish. [29] Rajendralal Roy Chowdhury's head was beheaded by Muslims"&amp;".")</f>
        <v> Muslim rioters organized and attacked Rajendralal's house. They connect fire to the house. Twenty-two family members were killed, including Rajendralal, his elder Chintacharan and Anuj Satish. [29] Rajendralal Roy Chowdhury's head was beheaded by Muslims.</v>
      </c>
      <c r="F363" s="1"/>
      <c r="G363" s="1"/>
      <c r="H363" s="1"/>
      <c r="I363" s="1"/>
    </row>
    <row r="364" spans="1:9" ht="15.6" x14ac:dyDescent="0.3">
      <c r="A364" s="1" t="s">
        <v>9</v>
      </c>
      <c r="B364" s="1" t="s">
        <v>9</v>
      </c>
      <c r="C364" s="10" t="s">
        <v>9</v>
      </c>
      <c r="D364" s="5" t="s">
        <v>359</v>
      </c>
      <c r="E364" s="1" t="str">
        <f ca="1">IFERROR(__xludf.DUMMYFUNCTION("GOOGLETRANSLATE(D364, ""bn"", ""en"")"),"Muslim fanatics attacked Ashutosh Doctor Bari Puja Mandap, Jagannath Mahaprabhu Sevashram Puja Mandir, Radha Govinda Sevashram Puja Mandir, Sri Loknath Mandir Puja Mandap, Tapovan Ashram Puja Mandir, Guruchand Satyabhama Puja Mandir, Hatia Municipality Ka"&amp;"li Mandir and vandalized 4-5 houses of Hindus at Shankar Market in Hatia, Noakhali district on 13th October.")</f>
        <v>Muslim fanatics attacked Ashutosh Doctor Bari Puja Mandap, Jagannath Mahaprabhu Sevashram Puja Mandir, Radha Govinda Sevashram Puja Mandir, Sri Loknath Mandir Puja Mandap, Tapovan Ashram Puja Mandir, Guruchand Satyabhama Puja Mandir, Hatia Municipality Kali Mandir and vandalized 4-5 houses of Hindus at Shankar Market in Hatia, Noakhali district on 13th October.</v>
      </c>
      <c r="F364" s="1"/>
      <c r="G364" s="1"/>
      <c r="H364" s="1"/>
      <c r="I364" s="1"/>
    </row>
    <row r="365" spans="1:9" ht="15.6" x14ac:dyDescent="0.3">
      <c r="A365" s="1" t="s">
        <v>4</v>
      </c>
      <c r="B365" s="1" t="s">
        <v>4</v>
      </c>
      <c r="C365" s="10" t="s">
        <v>4</v>
      </c>
      <c r="D365" s="5" t="s">
        <v>360</v>
      </c>
      <c r="E365" s="1" t="str">
        <f ca="1">IFERROR(__xludf.DUMMYFUNCTION("GOOGLETRANSLATE(D365, ""bn"", ""en"")"),"We observe that attempts are being made to cancel the studentship of six students of three universities and one college - Noakhali Science and Technology University, Jessore Science and Technology University and Jagannath University. A teacher of Chittago"&amp;"ng University is being threatened. They are all Hindus. Attempts are being made to implicate them by hacking their Facebook and spreading rumors of insulting religion.")</f>
        <v>We observe that attempts are being made to cancel the studentship of six students of three universities and one college - Noakhali Science and Technology University, Jessore Science and Technology University and Jagannath University. A teacher of Chittagong University is being threatened. They are all Hindus. Attempts are being made to implicate them by hacking their Facebook and spreading rumors of insulting religion.</v>
      </c>
      <c r="F365" s="1"/>
      <c r="G365" s="1"/>
      <c r="H365" s="1"/>
      <c r="I365" s="1"/>
    </row>
    <row r="366" spans="1:9" ht="15.6" x14ac:dyDescent="0.3">
      <c r="A366" s="1" t="s">
        <v>4</v>
      </c>
      <c r="B366" s="1" t="s">
        <v>4</v>
      </c>
      <c r="C366" s="10" t="s">
        <v>4</v>
      </c>
      <c r="D366" s="5" t="s">
        <v>361</v>
      </c>
      <c r="E366" s="1" t="str">
        <f ca="1">IFERROR(__xludf.DUMMYFUNCTION("GOOGLETRANSLATE(D366, ""bn"", ""en"")"),"What happened behind the banning of iftar in universities, debate on beef in Seheri, playing of Indian national anthem in Senate hall of Dhaka University, kissing at Brac University?")</f>
        <v>What happened behind the banning of iftar in universities, debate on beef in Seheri, playing of Indian national anthem in Senate hall of Dhaka University, kissing at Brac University?</v>
      </c>
      <c r="F366" s="1"/>
      <c r="G366" s="1"/>
      <c r="H366" s="1"/>
      <c r="I366" s="1"/>
    </row>
    <row r="367" spans="1:9" ht="17.399999999999999" x14ac:dyDescent="0.3">
      <c r="A367" s="1" t="s">
        <v>5</v>
      </c>
      <c r="B367" s="1" t="s">
        <v>5</v>
      </c>
      <c r="C367" s="10" t="s">
        <v>5</v>
      </c>
      <c r="D367" s="5" t="s">
        <v>3497</v>
      </c>
      <c r="E367" s="1" t="str">
        <f ca="1">IFERROR(__xludf.DUMMYFUNCTION("GOOGLETRANSLATE(D367, ""bn"", ""en"")"),"It is known that during the time of Gautama Buddha, Visakha, Buddha made this way in one day. And that is the result of the present 'Kathin Cheebar Daan' program.")</f>
        <v>It is known that during the time of Gautama Buddha, Visakha, Buddha made this way in one day. And that is the result of the present 'Kathin Cheebar Daan' program.</v>
      </c>
      <c r="F367" s="1"/>
      <c r="G367" s="1"/>
      <c r="H367" s="1"/>
      <c r="I367" s="1"/>
    </row>
    <row r="368" spans="1:9" ht="15.6" x14ac:dyDescent="0.3">
      <c r="A368" s="1" t="s">
        <v>5</v>
      </c>
      <c r="B368" s="1" t="s">
        <v>5</v>
      </c>
      <c r="C368" s="10" t="s">
        <v>5</v>
      </c>
      <c r="D368" s="5" t="s">
        <v>362</v>
      </c>
      <c r="E368" s="1" t="str">
        <f ca="1">IFERROR(__xludf.DUMMYFUNCTION("GOOGLETRANSLATE(D368, ""bn"", ""en"")"),"Let the sectarian and religious fundamentalism of Bangladesh be eradicated. Let humanity be freed. May the world humanity win.")</f>
        <v>Let the sectarian and religious fundamentalism of Bangladesh be eradicated. Let humanity be freed. May the world humanity win.</v>
      </c>
      <c r="F368" s="1"/>
      <c r="G368" s="1"/>
      <c r="H368" s="1"/>
      <c r="I368" s="1"/>
    </row>
    <row r="369" spans="1:9" ht="15.6" x14ac:dyDescent="0.3">
      <c r="A369" s="1" t="s">
        <v>9</v>
      </c>
      <c r="B369" s="1" t="s">
        <v>5</v>
      </c>
      <c r="C369" s="10" t="s">
        <v>9</v>
      </c>
      <c r="D369" s="5" t="s">
        <v>363</v>
      </c>
      <c r="E369" s="1" t="str">
        <f ca="1">IFERROR(__xludf.DUMMYFUNCTION("GOOGLETRANSLATE(D369, ""bn"", ""en"")"),"Whereupon Sa'd ibn Abi Waqqas shot an arrow at Quraysh. This is known as Islam's first arrow shot.[6][7] Despite this surprise attack, ""they did not draw swords or approach each other"" and the Muslims returned empty-handed;[2][3][4] however, two merchan"&amp;"ts living in Mecca left their caravan and became Muslims and accompanied the expedition to Medina.")</f>
        <v>Whereupon Sa'd ibn Abi Waqqas shot an arrow at Quraysh. This is known as Islam's first arrow shot.[6][7] Despite this surprise attack, "they did not draw swords or approach each other" and the Muslims returned empty-handed;[2][3][4] however, two merchants living in Mecca left their caravan and became Muslims and accompanied the expedition to Medina.</v>
      </c>
      <c r="F369" s="1"/>
      <c r="G369" s="1"/>
      <c r="H369" s="1"/>
      <c r="I369" s="1"/>
    </row>
    <row r="370" spans="1:9" ht="15.6" x14ac:dyDescent="0.3">
      <c r="A370" s="1" t="s">
        <v>7</v>
      </c>
      <c r="B370" s="1" t="s">
        <v>7</v>
      </c>
      <c r="C370" s="10" t="s">
        <v>7</v>
      </c>
      <c r="D370" s="5" t="s">
        <v>364</v>
      </c>
      <c r="E370" s="1" t="str">
        <f ca="1">IFERROR(__xludf.DUMMYFUNCTION("GOOGLETRANSLATE(D370, ""bn"", ""en"")"),"A procession came from Moninag area of ​​Hajiganj upazila of Chandpur district and attacked some temples after 8 pm on October 13. Clashes broke out when the attackers were intercepted by the police. 3 people were killed and 17 policemen were injured in t"&amp;"he clash.")</f>
        <v>A procession came from Moninag area of ​​Hajiganj upazila of Chandpur district and attacked some temples after 8 pm on October 13. Clashes broke out when the attackers were intercepted by the police. 3 people were killed and 17 policemen were injured in the clash.</v>
      </c>
      <c r="F370" s="1"/>
      <c r="G370" s="1"/>
      <c r="H370" s="1"/>
      <c r="I370" s="1"/>
    </row>
    <row r="371" spans="1:9" ht="15.6" x14ac:dyDescent="0.3">
      <c r="A371" s="1" t="s">
        <v>4</v>
      </c>
      <c r="B371" s="1" t="s">
        <v>4</v>
      </c>
      <c r="C371" s="10" t="s">
        <v>4</v>
      </c>
      <c r="D371" s="5" t="s">
        <v>365</v>
      </c>
      <c r="E371" s="1" t="str">
        <f ca="1">IFERROR(__xludf.DUMMYFUNCTION("GOOGLETRANSLATE(D371, ""bn"", ""en"")"),"Someone conspired to leave the Quran in an unguarded puja mandap and for that some fanatical Islamic fundamentalists started abusing Hindu homes and places of worship indiscriminately in the rest of the country.")</f>
        <v>Someone conspired to leave the Quran in an unguarded puja mandap and for that some fanatical Islamic fundamentalists started abusing Hindu homes and places of worship indiscriminately in the rest of the country.</v>
      </c>
      <c r="F371" s="1"/>
      <c r="G371" s="1"/>
      <c r="H371" s="1"/>
      <c r="I371" s="1"/>
    </row>
    <row r="372" spans="1:9" ht="15.6" x14ac:dyDescent="0.3">
      <c r="A372" s="1" t="s">
        <v>7</v>
      </c>
      <c r="B372" s="1" t="s">
        <v>7</v>
      </c>
      <c r="C372" s="10" t="s">
        <v>7</v>
      </c>
      <c r="D372" s="5" t="s">
        <v>366</v>
      </c>
      <c r="E372" s="1" t="str">
        <f ca="1">IFERROR(__xludf.DUMMYFUNCTION("GOOGLETRANSLATE(D372, ""bn"", ""en"")"),"In the Gujarat riots of 2002, violence between Muslim and Hindu communities resulted in the loss of many innocent lives, a brutal result of religious hatred.")</f>
        <v>In the Gujarat riots of 2002, violence between Muslim and Hindu communities resulted in the loss of many innocent lives, a brutal result of religious hatred.</v>
      </c>
      <c r="F372" s="1"/>
      <c r="G372" s="1"/>
      <c r="H372" s="1"/>
      <c r="I372" s="1"/>
    </row>
    <row r="373" spans="1:9" ht="15.6" x14ac:dyDescent="0.3">
      <c r="A373" s="1" t="s">
        <v>4</v>
      </c>
      <c r="B373" s="1" t="s">
        <v>4</v>
      </c>
      <c r="C373" s="10" t="s">
        <v>4</v>
      </c>
      <c r="D373" s="5" t="s">
        <v>367</v>
      </c>
      <c r="E373" s="1" t="str">
        <f ca="1">IFERROR(__xludf.DUMMYFUNCTION("GOOGLETRANSLATE(D373, ""bn"", ""en"")"),"What religion this man belongs to, he himself does not know better, he will talk about other religions again. According to them, Allah considers him to be the last of their turn.")</f>
        <v>What religion this man belongs to, he himself does not know better, he will talk about other religions again. According to them, Allah considers him to be the last of their turn.</v>
      </c>
      <c r="F373" s="1"/>
      <c r="G373" s="1"/>
      <c r="H373" s="1"/>
      <c r="I373" s="1"/>
    </row>
    <row r="374" spans="1:9" ht="15.6" x14ac:dyDescent="0.3">
      <c r="A374" s="1" t="s">
        <v>4</v>
      </c>
      <c r="B374" s="1" t="s">
        <v>4</v>
      </c>
      <c r="C374" s="10" t="s">
        <v>4</v>
      </c>
      <c r="D374" s="5" t="s">
        <v>368</v>
      </c>
      <c r="E374" s="1" t="str">
        <f ca="1">IFERROR(__xludf.DUMMYFUNCTION("GOOGLETRANSLATE(D374, ""bn"", ""en"")"),"If you get the true religion you will go...and the saint himself does not know..the name of his scriptures..what else will he preach.")</f>
        <v>If you get the true religion you will go...and the saint himself does not know..the name of his scriptures..what else will he preach.</v>
      </c>
      <c r="F374" s="1"/>
      <c r="G374" s="1"/>
      <c r="H374" s="1"/>
      <c r="I374" s="1"/>
    </row>
    <row r="375" spans="1:9" ht="15.6" x14ac:dyDescent="0.3">
      <c r="A375" s="1" t="s">
        <v>5</v>
      </c>
      <c r="B375" s="1" t="s">
        <v>5</v>
      </c>
      <c r="C375" s="10" t="s">
        <v>5</v>
      </c>
      <c r="D375" s="5" t="s">
        <v>369</v>
      </c>
      <c r="E375" s="1" t="str">
        <f ca="1">IFERROR(__xludf.DUMMYFUNCTION("GOOGLETRANSLATE(D375, ""bn"", ""en"")"),"Most of the Buddhists in the Chittagong Hill Tracts belong to the Chakma, Marma, Khumi, Baom, Chak, Kuki, Murang, Tanchangia and Khiang tribes, who have been practicing Buddhism since ancient times. ")</f>
        <v>Most of the Buddhists in the Chittagong Hill Tracts belong to the Chakma, Marma, Khumi, Baom, Chak, Kuki, Murang, Tanchangia and Khiang tribes, who have been practicing Buddhism since ancient times. </v>
      </c>
      <c r="F375" s="1"/>
      <c r="G375" s="1"/>
      <c r="H375" s="1"/>
      <c r="I375" s="1"/>
    </row>
    <row r="376" spans="1:9" ht="15.6" x14ac:dyDescent="0.3">
      <c r="A376" s="1" t="s">
        <v>5</v>
      </c>
      <c r="B376" s="1" t="s">
        <v>5</v>
      </c>
      <c r="C376" s="10" t="s">
        <v>5</v>
      </c>
      <c r="D376" s="5" t="s">
        <v>370</v>
      </c>
      <c r="E376" s="1" t="str">
        <f ca="1">IFERROR(__xludf.DUMMYFUNCTION("GOOGLETRANSLATE(D376, ""bn"", ""en"")"),"As religion seeks truth and justice, it inculcates the idea of ​​tolerance and sincerity among people, where everyone supports and respects each other, with no intention of creating any kind of conflict or enmity.")</f>
        <v>As religion seeks truth and justice, it inculcates the idea of ​​tolerance and sincerity among people, where everyone supports and respects each other, with no intention of creating any kind of conflict or enmity.</v>
      </c>
      <c r="F376" s="1"/>
      <c r="G376" s="1"/>
      <c r="H376" s="1"/>
      <c r="I376" s="1"/>
    </row>
    <row r="377" spans="1:9" ht="15.6" x14ac:dyDescent="0.3">
      <c r="A377" s="1" t="s">
        <v>9</v>
      </c>
      <c r="B377" s="1" t="s">
        <v>9</v>
      </c>
      <c r="C377" s="10" t="s">
        <v>9</v>
      </c>
      <c r="D377" s="5" t="s">
        <v>371</v>
      </c>
      <c r="E377" s="1" t="str">
        <f ca="1">IFERROR(__xludf.DUMMYFUNCTION("GOOGLETRANSLATE(D377, ""bn"", ""en"")"),"In the past few days, the persecution of the Hindu community in Bangladesh shows that there is no security for the lives of Hindus in Bangladesh.")</f>
        <v>In the past few days, the persecution of the Hindu community in Bangladesh shows that there is no security for the lives of Hindus in Bangladesh.</v>
      </c>
      <c r="F377" s="1"/>
      <c r="G377" s="1"/>
      <c r="H377" s="1"/>
      <c r="I377" s="1"/>
    </row>
    <row r="378" spans="1:9" ht="15.6" x14ac:dyDescent="0.3">
      <c r="A378" s="1" t="s">
        <v>5</v>
      </c>
      <c r="B378" s="1" t="s">
        <v>7</v>
      </c>
      <c r="C378" s="10" t="s">
        <v>5</v>
      </c>
      <c r="D378" s="5" t="s">
        <v>372</v>
      </c>
      <c r="E378" s="1" t="str">
        <f ca="1">IFERROR(__xludf.DUMMYFUNCTION("GOOGLETRANSLATE(D378, ""bn"", ""en"")"),"The strong attachment to the principles of Quranic revelation and the clear socio-economic content of Islamic religious practice further strengthened this bond of faith. In 622 AD, when the Prophet migrated to Medina, his teachings were quickly adopted an"&amp;"d the positive development of the community-state of Islam began.")</f>
        <v>The strong attachment to the principles of Quranic revelation and the clear socio-economic content of Islamic religious practice further strengthened this bond of faith. In 622 AD, when the Prophet migrated to Medina, his teachings were quickly adopted and the positive development of the community-state of Islam began.</v>
      </c>
      <c r="F378" s="1"/>
      <c r="G378" s="1"/>
      <c r="H378" s="1"/>
      <c r="I378" s="1"/>
    </row>
    <row r="379" spans="1:9" ht="15.6" x14ac:dyDescent="0.3">
      <c r="A379" s="1" t="s">
        <v>4</v>
      </c>
      <c r="B379" s="1" t="s">
        <v>4</v>
      </c>
      <c r="C379" s="10" t="s">
        <v>4</v>
      </c>
      <c r="D379" s="5" t="s">
        <v>373</v>
      </c>
      <c r="E379" s="1" t="str">
        <f ca="1">IFERROR(__xludf.DUMMYFUNCTION("GOOGLETRANSLATE(D379, ""bn"", ""en"")"),"Jews do not consider Muhammad (pbuh), the preacher of Islam, as a prophet. He is considered a false prophet which causes a lot of trouble to Muslims. Jews consider Islam to be the religion of the Arabs and consider Muhammad (pbuh) to be an Arab leader hea"&amp;"vily influenced by Judaism and the original source of the Qur'an.")</f>
        <v>Jews do not consider Muhammad (pbuh), the preacher of Islam, as a prophet. He is considered a false prophet which causes a lot of trouble to Muslims. Jews consider Islam to be the religion of the Arabs and consider Muhammad (pbuh) to be an Arab leader heavily influenced by Judaism and the original source of the Qur'an.</v>
      </c>
      <c r="F379" s="1"/>
      <c r="G379" s="1"/>
      <c r="H379" s="1"/>
      <c r="I379" s="1"/>
    </row>
    <row r="380" spans="1:9" ht="15.6" x14ac:dyDescent="0.3">
      <c r="A380" s="1" t="s">
        <v>9</v>
      </c>
      <c r="B380" s="1" t="s">
        <v>9</v>
      </c>
      <c r="C380" s="10" t="s">
        <v>9</v>
      </c>
      <c r="D380" s="5" t="s">
        <v>374</v>
      </c>
      <c r="E380" s="1" t="str">
        <f ca="1">IFERROR(__xludf.DUMMYFUNCTION("GOOGLETRANSLATE(D380, ""bn"", ""en"")"),"They set fire to the houses and haystacks of 12 Hindu farming families. Two units of the fire brigade arrived from Dinajpur to douse the fire around 1:15 AM, but by then the houses were completely reduced to ashes. [26] Jamaat-Shibir activists also blocke"&amp;"d the Jaipurhat-Bogra highway for three hours.")</f>
        <v>They set fire to the houses and haystacks of 12 Hindu farming families. Two units of the fire brigade arrived from Dinajpur to douse the fire around 1:15 AM, but by then the houses were completely reduced to ashes. [26] Jamaat-Shibir activists also blocked the Jaipurhat-Bogra highway for three hours.</v>
      </c>
      <c r="F380" s="1"/>
      <c r="G380" s="1"/>
      <c r="H380" s="1"/>
      <c r="I380" s="1"/>
    </row>
    <row r="381" spans="1:9" ht="15.6" x14ac:dyDescent="0.3">
      <c r="A381" s="1" t="s">
        <v>9</v>
      </c>
      <c r="B381" s="1" t="s">
        <v>9</v>
      </c>
      <c r="C381" s="10" t="s">
        <v>9</v>
      </c>
      <c r="D381" s="5" t="s">
        <v>375</v>
      </c>
      <c r="E381" s="1" t="str">
        <f ca="1">IFERROR(__xludf.DUMMYFUNCTION("GOOGLETRANSLATE(D381, ""bn"", ""en"")"),"In late April, Rajakars from Kharna and Allahabad villages targeted Hindu villages for torture and looting. As their villages began to become frequent sightings, the elderly all decided to set up a village defense system.")</f>
        <v>In late April, Rajakars from Kharna and Allahabad villages targeted Hindu villages for torture and looting. As their villages began to become frequent sightings, the elderly all decided to set up a village defense system.</v>
      </c>
      <c r="F381" s="1"/>
      <c r="G381" s="1"/>
      <c r="H381" s="1"/>
      <c r="I381" s="1"/>
    </row>
    <row r="382" spans="1:9" ht="15.6" x14ac:dyDescent="0.3">
      <c r="A382" s="1" t="s">
        <v>7</v>
      </c>
      <c r="B382" s="1" t="s">
        <v>7</v>
      </c>
      <c r="C382" s="10" t="s">
        <v>7</v>
      </c>
      <c r="D382" s="5" t="s">
        <v>376</v>
      </c>
      <c r="E382" s="1" t="str">
        <f ca="1">IFERROR(__xludf.DUMMYFUNCTION("GOOGLETRANSLATE(D382, ""bn"", ""en"")"),"During the Modi government, several Muslim and Dalit communities were attacked in the name of cow protection, in which many were killed.")</f>
        <v>During the Modi government, several Muslim and Dalit communities were attacked in the name of cow protection, in which many were killed.</v>
      </c>
      <c r="F382" s="1"/>
      <c r="G382" s="1"/>
      <c r="H382" s="1"/>
      <c r="I382" s="1"/>
    </row>
    <row r="383" spans="1:9" ht="15.6" x14ac:dyDescent="0.3">
      <c r="A383" s="1" t="s">
        <v>5</v>
      </c>
      <c r="B383" s="1" t="s">
        <v>5</v>
      </c>
      <c r="C383" s="10" t="s">
        <v>5</v>
      </c>
      <c r="D383" s="5" t="s">
        <v>377</v>
      </c>
      <c r="E383" s="1" t="str">
        <f ca="1">IFERROR(__xludf.DUMMYFUNCTION("GOOGLETRANSLATE(D383, ""bn"", ""en"")"),"If you are circumcised, you are a Muslim, what is the law of the women race, proof of Brahmin drinking sugar, what about Bamni sugar... ")</f>
        <v xml:space="preserve">If you are circumcised, you are a Muslim, what is the law of the women race, proof of Brahmin drinking sugar, what about Bamni sugar... </v>
      </c>
      <c r="F383" s="1"/>
      <c r="G383" s="1"/>
      <c r="H383" s="1"/>
      <c r="I383" s="1"/>
    </row>
    <row r="384" spans="1:9" ht="15.6" x14ac:dyDescent="0.3">
      <c r="A384" s="1" t="s">
        <v>9</v>
      </c>
      <c r="B384" s="1" t="s">
        <v>4</v>
      </c>
      <c r="C384" s="10" t="s">
        <v>9</v>
      </c>
      <c r="D384" s="5" t="s">
        <v>378</v>
      </c>
      <c r="E384" s="1" t="str">
        <f ca="1">IFERROR(__xludf.DUMMYFUNCTION("GOOGLETRANSLATE(D384, ""bn"", ""en"")")," Contrary to the prevailing anti-Islamic narrative, it is true that when the Bakhtiyar cavalry defeated the Hindu kings, the local Buddhists saw the Muslims as their saviors from the oppression of the racist Hindus.")</f>
        <v> Contrary to the prevailing anti-Islamic narrative, it is true that when the Bakhtiyar cavalry defeated the Hindu kings, the local Buddhists saw the Muslims as their saviors from the oppression of the racist Hindus.</v>
      </c>
      <c r="F384" s="1"/>
      <c r="G384" s="1"/>
      <c r="H384" s="1"/>
      <c r="I384" s="1"/>
    </row>
    <row r="385" spans="1:9" ht="15.6" x14ac:dyDescent="0.3">
      <c r="A385" s="1" t="s">
        <v>5</v>
      </c>
      <c r="B385" s="1" t="s">
        <v>5</v>
      </c>
      <c r="C385" s="10" t="s">
        <v>5</v>
      </c>
      <c r="D385" s="5" t="s">
        <v>379</v>
      </c>
      <c r="E385" s="1" t="str">
        <f ca="1">IFERROR(__xludf.DUMMYFUNCTION("GOOGLETRANSLATE(D385, ""bn"", ""en"")")," Renowned actor Praveer Mitra voluntarily converted to Islam at this old age. While many were happy with the news, some did not take it lightly.")</f>
        <v> Renowned actor Praveer Mitra voluntarily converted to Islam at this old age. While many were happy with the news, some did not take it lightly.</v>
      </c>
      <c r="F385" s="1"/>
      <c r="G385" s="1"/>
      <c r="H385" s="1"/>
      <c r="I385" s="1"/>
    </row>
    <row r="386" spans="1:9" ht="15.6" x14ac:dyDescent="0.3">
      <c r="A386" s="1" t="s">
        <v>9</v>
      </c>
      <c r="B386" s="1" t="s">
        <v>9</v>
      </c>
      <c r="C386" s="10" t="s">
        <v>9</v>
      </c>
      <c r="D386" s="5" t="s">
        <v>380</v>
      </c>
      <c r="E386" s="1" t="str">
        <f ca="1">IFERROR(__xludf.DUMMYFUNCTION("GOOGLETRANSLATE(D386, ""bn"", ""en"")"),"Some have tried to use the opportunity to create violence. They wanted to create an anarchic and fearful situation. We have proof of that, like the Union Parishad building was set on fire, some vandalism was also done in the National Bank. And even after "&amp;"the incident, several people turned violent by setting fire on the road. But these were also spread by video.")</f>
        <v>Some have tried to use the opportunity to create violence. They wanted to create an anarchic and fearful situation. We have proof of that, like the Union Parishad building was set on fire, some vandalism was also done in the National Bank. And even after the incident, several people turned violent by setting fire on the road. But these were also spread by video.</v>
      </c>
      <c r="F386" s="1"/>
      <c r="G386" s="1"/>
      <c r="H386" s="1"/>
      <c r="I386" s="1"/>
    </row>
    <row r="387" spans="1:9" ht="15.6" x14ac:dyDescent="0.3">
      <c r="A387" s="1" t="s">
        <v>9</v>
      </c>
      <c r="B387" s="1" t="s">
        <v>9</v>
      </c>
      <c r="C387" s="10" t="s">
        <v>9</v>
      </c>
      <c r="D387" s="5" t="s">
        <v>381</v>
      </c>
      <c r="E387" s="1" t="str">
        <f ca="1">IFERROR(__xludf.DUMMYFUNCTION("GOOGLETRANSLATE(D387, ""bn"", ""en"")"),"In the first week of September, Muslims looted Hindu shops in Sahapur. Hindus from Kolkata who came to their villages for the Durga Puja holiday were harassed, tortured and harassed by the local Muslims. [19] Muslims looted Hindu property, killed and tort"&amp;"ured Hindus whenever they got the chance from 2 October.[23]")</f>
        <v>In the first week of September, Muslims looted Hindu shops in Sahapur. Hindus from Kolkata who came to their villages for the Durga Puja holiday were harassed, tortured and harassed by the local Muslims. [19] Muslims looted Hindu property, killed and tortured Hindus whenever they got the chance from 2 October.[23]</v>
      </c>
      <c r="F387" s="1"/>
      <c r="G387" s="1"/>
      <c r="H387" s="1"/>
      <c r="I387" s="1"/>
    </row>
    <row r="388" spans="1:9" ht="15.6" x14ac:dyDescent="0.3">
      <c r="A388" s="1" t="s">
        <v>4</v>
      </c>
      <c r="B388" s="1" t="s">
        <v>4</v>
      </c>
      <c r="C388" s="10" t="s">
        <v>4</v>
      </c>
      <c r="D388" s="5" t="s">
        <v>382</v>
      </c>
      <c r="E388" s="1" t="str">
        <f ca="1">IFERROR(__xludf.DUMMYFUNCTION("GOOGLETRANSLATE(D388, ""bn"", ""en"")"),"The leader criticized Mamunul Haque and posted a status on Facebook. It accused Mamunul of spreading communal hatred and opposing Bangabandhu's sculpture.")</f>
        <v>The leader criticized Mamunul Haque and posted a status on Facebook. It accused Mamunul of spreading communal hatred and opposing Bangabandhu's sculpture.</v>
      </c>
      <c r="F388" s="1"/>
      <c r="G388" s="1"/>
      <c r="H388" s="1"/>
      <c r="I388" s="1"/>
    </row>
    <row r="389" spans="1:9" ht="15.6" x14ac:dyDescent="0.3">
      <c r="A389" s="1" t="s">
        <v>5</v>
      </c>
      <c r="B389" s="1" t="s">
        <v>5</v>
      </c>
      <c r="C389" s="10" t="s">
        <v>5</v>
      </c>
      <c r="D389" s="5" t="s">
        <v>383</v>
      </c>
      <c r="E389" s="1" t="str">
        <f ca="1">IFERROR(__xludf.DUMMYFUNCTION("GOOGLETRANSLATE(D389, ""bn"", ""en"")"),"Pooja is organized by Jagannath Hall and not organized by DU authorities.")</f>
        <v>Pooja is organized by Jagannath Hall and not organized by DU authorities.</v>
      </c>
      <c r="F389" s="1"/>
      <c r="G389" s="1"/>
      <c r="H389" s="1"/>
      <c r="I389" s="1"/>
    </row>
    <row r="390" spans="1:9" ht="15.6" x14ac:dyDescent="0.3">
      <c r="A390" s="1" t="s">
        <v>7</v>
      </c>
      <c r="B390" s="1" t="s">
        <v>7</v>
      </c>
      <c r="C390" s="10" t="s">
        <v>7</v>
      </c>
      <c r="D390" s="5" t="s">
        <v>384</v>
      </c>
      <c r="E390" s="1" t="str">
        <f ca="1">IFERROR(__xludf.DUMMYFUNCTION("GOOGLETRANSLATE(D390, ""bn"", ""en"")"),"The inability to accept different ideologies has led to the loss of many lives in the conflict, which has become a tragic example of violence.")</f>
        <v>The inability to accept different ideologies has led to the loss of many lives in the conflict, which has become a tragic example of violence.</v>
      </c>
      <c r="F390" s="1"/>
      <c r="G390" s="1"/>
      <c r="H390" s="1"/>
      <c r="I390" s="1"/>
    </row>
    <row r="391" spans="1:9" ht="15.6" x14ac:dyDescent="0.3">
      <c r="A391" s="1" t="s">
        <v>9</v>
      </c>
      <c r="B391" s="1" t="s">
        <v>9</v>
      </c>
      <c r="C391" s="10" t="s">
        <v>9</v>
      </c>
      <c r="D391" s="5" t="s">
        <v>385</v>
      </c>
      <c r="E391" s="1" t="str">
        <f ca="1">IFERROR(__xludf.DUMMYFUNCTION("GOOGLETRANSLATE(D391, ""bn"", ""en"")"),"Was the war between Vietnam and Cambodia also due to religion?")</f>
        <v>Was the war between Vietnam and Cambodia also due to religion?</v>
      </c>
      <c r="F391" s="1"/>
      <c r="G391" s="1"/>
      <c r="H391" s="1"/>
      <c r="I391" s="1"/>
    </row>
    <row r="392" spans="1:9" ht="15.6" x14ac:dyDescent="0.3">
      <c r="A392" s="1" t="s">
        <v>5</v>
      </c>
      <c r="B392" s="1" t="s">
        <v>4</v>
      </c>
      <c r="C392" s="10" t="s">
        <v>5</v>
      </c>
      <c r="D392" s="5" t="s">
        <v>386</v>
      </c>
      <c r="E392" s="1" t="str">
        <f ca="1">IFERROR(__xludf.DUMMYFUNCTION("GOOGLETRANSLATE(D392, ""bn"", ""en"")"),"In the midst of so many toxic things, they give new inspiration. I get hope for a beautiful life again")</f>
        <v>In the midst of so many toxic things, they give new inspiration. I get hope for a beautiful life again</v>
      </c>
      <c r="F392" s="1"/>
      <c r="G392" s="1"/>
      <c r="H392" s="1"/>
      <c r="I392" s="1"/>
    </row>
    <row r="393" spans="1:9" ht="15.6" x14ac:dyDescent="0.3">
      <c r="A393" s="1" t="s">
        <v>5</v>
      </c>
      <c r="B393" s="1" t="s">
        <v>5</v>
      </c>
      <c r="C393" s="10" t="s">
        <v>5</v>
      </c>
      <c r="D393" s="5" t="s">
        <v>387</v>
      </c>
      <c r="E393" s="1" t="str">
        <f ca="1">IFERROR(__xludf.DUMMYFUNCTION("GOOGLETRANSLATE(D393, ""bn"", ""en"")"),"All religions are based on peace and human values, which make the society more beautiful.")</f>
        <v>All religions are based on peace and human values, which make the society more beautiful.</v>
      </c>
      <c r="F393" s="1"/>
      <c r="G393" s="1"/>
      <c r="H393" s="1"/>
      <c r="I393" s="1"/>
    </row>
    <row r="394" spans="1:9" ht="15.6" x14ac:dyDescent="0.3">
      <c r="A394" s="1" t="s">
        <v>9</v>
      </c>
      <c r="B394" s="1" t="s">
        <v>9</v>
      </c>
      <c r="C394" s="10" t="s">
        <v>9</v>
      </c>
      <c r="D394" s="5" t="s">
        <v>388</v>
      </c>
      <c r="E394" s="1" t="str">
        <f ca="1">IFERROR(__xludf.DUMMYFUNCTION("GOOGLETRANSLATE(D394, ""bn"", ""en"")"),"No country protests that Pakistan mosque bombing killed so many people. ")</f>
        <v xml:space="preserve">No country protests that Pakistan mosque bombing killed so many people. </v>
      </c>
      <c r="F394" s="1"/>
      <c r="G394" s="1"/>
      <c r="H394" s="1"/>
      <c r="I394" s="1"/>
    </row>
    <row r="395" spans="1:9" ht="15.6" x14ac:dyDescent="0.3">
      <c r="A395" s="1" t="s">
        <v>5</v>
      </c>
      <c r="B395" s="1" t="s">
        <v>5</v>
      </c>
      <c r="C395" s="10" t="s">
        <v>5</v>
      </c>
      <c r="D395" s="5" t="s">
        <v>389</v>
      </c>
      <c r="E395" s="1" t="str">
        <f ca="1">IFERROR(__xludf.DUMMYFUNCTION("GOOGLETRANSLATE(D395, ""bn"", ""en"")"),"'And I sent Lut. When he said to his people: Do you do such indecent acts, which no one in the world has done before you?'")</f>
        <v>'And I sent Lut. When he said to his people: Do you do such indecent acts, which no one in the world has done before you?'</v>
      </c>
      <c r="F395" s="1"/>
      <c r="G395" s="1"/>
      <c r="H395" s="1"/>
      <c r="I395" s="1"/>
    </row>
    <row r="396" spans="1:9" ht="15.6" x14ac:dyDescent="0.3">
      <c r="A396" s="1" t="s">
        <v>5</v>
      </c>
      <c r="B396" s="1" t="s">
        <v>5</v>
      </c>
      <c r="C396" s="10" t="s">
        <v>5</v>
      </c>
      <c r="D396" s="5" t="s">
        <v>390</v>
      </c>
      <c r="E396" s="1" t="str">
        <f ca="1">IFERROR(__xludf.DUMMYFUNCTION("GOOGLETRANSLATE(D396, ""bn"", ""en"")"),"A prayer like that which Allah our Messenger (PBUH) was making about Umar RA and Abu Jahl. He said to guide any one of these two forces for Islam. Later Umar accepted him for Islam. God, I pray for such a prayer. Convert Putin to Islam. As if the enemies "&amp;"of the whole world, whose work is war-mongering America and the Western factions, can save them. May Allah accept him for Islam.")</f>
        <v>A prayer like that which Allah our Messenger (PBUH) was making about Umar RA and Abu Jahl. He said to guide any one of these two forces for Islam. Later Umar accepted him for Islam. God, I pray for such a prayer. Convert Putin to Islam. As if the enemies of the whole world, whose work is war-mongering America and the Western factions, can save them. May Allah accept him for Islam.</v>
      </c>
      <c r="F396" s="1"/>
      <c r="G396" s="1"/>
      <c r="H396" s="1"/>
      <c r="I396" s="1"/>
    </row>
    <row r="397" spans="1:9" ht="15.6" x14ac:dyDescent="0.3">
      <c r="A397" s="1" t="s">
        <v>5</v>
      </c>
      <c r="B397" s="1" t="s">
        <v>5</v>
      </c>
      <c r="C397" s="10" t="s">
        <v>5</v>
      </c>
      <c r="D397" s="5" t="s">
        <v>391</v>
      </c>
      <c r="E397" s="1" t="str">
        <f ca="1">IFERROR(__xludf.DUMMYFUNCTION("GOOGLETRANSLATE(D397, ""bn"", ""en"")"),"May Allah guide everyone. And may he grant the taufiq to understand Islam correctly. And keep away from all provocative and purposeful incidents. Islam is a religion of peace so let peace be maintained among all.")</f>
        <v>May Allah guide everyone. And may he grant the taufiq to understand Islam correctly. And keep away from all provocative and purposeful incidents. Islam is a religion of peace so let peace be maintained among all.</v>
      </c>
      <c r="F397" s="1"/>
      <c r="G397" s="1"/>
      <c r="H397" s="1"/>
      <c r="I397" s="1"/>
    </row>
    <row r="398" spans="1:9" ht="15.6" x14ac:dyDescent="0.3">
      <c r="A398" s="1" t="s">
        <v>9</v>
      </c>
      <c r="B398" s="1" t="s">
        <v>9</v>
      </c>
      <c r="C398" s="10" t="s">
        <v>9</v>
      </c>
      <c r="D398" s="5" t="s">
        <v>392</v>
      </c>
      <c r="E398" s="1" t="str">
        <f ca="1">IFERROR(__xludf.DUMMYFUNCTION("GOOGLETRANSLATE(D398, ""bn"", ""en"")"),"On the day of the incident, about two hundred Muslim assailants broke down a boundary wall of the temple and tried to occupy the land and vandalized the temple. Three people were injured while resisting the attack.")</f>
        <v>On the day of the incident, about two hundred Muslim assailants broke down a boundary wall of the temple and tried to occupy the land and vandalized the temple. Three people were injured while resisting the attack.</v>
      </c>
      <c r="F398" s="1"/>
      <c r="G398" s="1"/>
      <c r="H398" s="1"/>
      <c r="I398" s="1"/>
    </row>
    <row r="399" spans="1:9" ht="15.6" x14ac:dyDescent="0.3">
      <c r="A399" s="1" t="s">
        <v>4</v>
      </c>
      <c r="B399" s="1" t="s">
        <v>5</v>
      </c>
      <c r="C399" s="10" t="s">
        <v>4</v>
      </c>
      <c r="D399" s="5" t="s">
        <v>393</v>
      </c>
      <c r="E399" s="1" t="str">
        <f ca="1">IFERROR(__xludf.DUMMYFUNCTION("GOOGLETRANSLATE(D399, ""bn"", ""en"")"),"Those who in the name of the spirit of the liberation war call the observance of religion as the activities of Jamaat-Shibir are actually not anti-Jamaat-Shibir but anti-Islam. ")</f>
        <v xml:space="preserve">Those who in the name of the spirit of the liberation war call the observance of religion as the activities of Jamaat-Shibir are actually not anti-Jamaat-Shibir but anti-Islam. </v>
      </c>
      <c r="F399" s="1"/>
      <c r="G399" s="1"/>
      <c r="H399" s="1"/>
      <c r="I399" s="1"/>
    </row>
    <row r="400" spans="1:9" ht="15.6" x14ac:dyDescent="0.3">
      <c r="A400" s="1" t="s">
        <v>5</v>
      </c>
      <c r="B400" s="1" t="s">
        <v>5</v>
      </c>
      <c r="C400" s="10" t="s">
        <v>5</v>
      </c>
      <c r="D400" s="5" t="s">
        <v>394</v>
      </c>
      <c r="E400" s="1" t="str">
        <f ca="1">IFERROR(__xludf.DUMMYFUNCTION("GOOGLETRANSLATE(D400, ""bn"", ""en"")"),"Protest online though the rest of the matter. Raise your voice against this heinous decision. Don't dismiss these as isolated incidents today. Tomorrow you will feel these are your struggle for existence!")</f>
        <v>Protest online though the rest of the matter. Raise your voice against this heinous decision. Don't dismiss these as isolated incidents today. Tomorrow you will feel these are your struggle for existence!</v>
      </c>
      <c r="F400" s="1"/>
      <c r="G400" s="1"/>
      <c r="H400" s="1"/>
      <c r="I400" s="1"/>
    </row>
    <row r="401" spans="1:9" ht="15.6" x14ac:dyDescent="0.3">
      <c r="A401" s="1" t="s">
        <v>7</v>
      </c>
      <c r="B401" s="1" t="s">
        <v>7</v>
      </c>
      <c r="C401" s="10" t="s">
        <v>7</v>
      </c>
      <c r="D401" s="5" t="s">
        <v>395</v>
      </c>
      <c r="E401" s="1" t="str">
        <f ca="1">IFERROR(__xludf.DUMMYFUNCTION("GOOGLETRANSLATE(D401, ""bn"", ""en"")"),"Jagannath's girl who committed suicide, everyone is making her an angel.")</f>
        <v>Jagannath's girl who committed suicide, everyone is making her an angel.</v>
      </c>
      <c r="F401" s="1"/>
      <c r="G401" s="1"/>
      <c r="H401" s="1"/>
      <c r="I401" s="1"/>
    </row>
    <row r="402" spans="1:9" ht="15.6" x14ac:dyDescent="0.3">
      <c r="A402" s="1" t="s">
        <v>7</v>
      </c>
      <c r="B402" s="1" t="s">
        <v>7</v>
      </c>
      <c r="C402" s="10" t="s">
        <v>7</v>
      </c>
      <c r="D402" s="5" t="s">
        <v>396</v>
      </c>
      <c r="E402" s="1" t="str">
        <f ca="1">IFERROR(__xludf.DUMMYFUNCTION("GOOGLETRANSLATE(D402, ""bn"", ""en"")"),"In 2023, the Nuh riots in Haryana resulted in Hindu-Muslim clashes in which many shops and houses were burnt and several people were killed.")</f>
        <v>In 2023, the Nuh riots in Haryana resulted in Hindu-Muslim clashes in which many shops and houses were burnt and several people were killed.</v>
      </c>
      <c r="F402" s="1"/>
      <c r="G402" s="1"/>
      <c r="H402" s="1"/>
      <c r="I402" s="1"/>
    </row>
    <row r="403" spans="1:9" ht="15.6" x14ac:dyDescent="0.3">
      <c r="A403" s="1" t="s">
        <v>9</v>
      </c>
      <c r="B403" s="1" t="s">
        <v>9</v>
      </c>
      <c r="C403" s="10" t="s">
        <v>9</v>
      </c>
      <c r="D403" s="5" t="s">
        <v>397</v>
      </c>
      <c r="E403" s="1" t="str">
        <f ca="1">IFERROR(__xludf.DUMMYFUNCTION("GOOGLETRANSLATE(D403, ""bn"", ""en"")"),"Our religion should be the bright path of our life, not a humiliating medium. Insult in the name of religion, absolute insult to our society.")</f>
        <v>Our religion should be the bright path of our life, not a humiliating medium. Insult in the name of religion, absolute insult to our society.</v>
      </c>
      <c r="F403" s="1"/>
      <c r="G403" s="1"/>
      <c r="H403" s="1"/>
      <c r="I403" s="1"/>
    </row>
    <row r="404" spans="1:9" ht="15.6" x14ac:dyDescent="0.3">
      <c r="A404" s="1" t="s">
        <v>5</v>
      </c>
      <c r="B404" s="1" t="s">
        <v>5</v>
      </c>
      <c r="C404" s="10" t="s">
        <v>5</v>
      </c>
      <c r="D404" s="5" t="s">
        <v>398</v>
      </c>
      <c r="E404" s="1" t="str">
        <f ca="1">IFERROR(__xludf.DUMMYFUNCTION("GOOGLETRANSLATE(D404, ""bn"", ""en"")"),"Government of India emphasizes on social unity and harmony. Awareness raising initiatives are needed so that people of all religions and communities can celebrate the festival peacefully.")</f>
        <v>Government of India emphasizes on social unity and harmony. Awareness raising initiatives are needed so that people of all religions and communities can celebrate the festival peacefully.</v>
      </c>
      <c r="F404" s="1"/>
      <c r="G404" s="1"/>
      <c r="H404" s="1"/>
      <c r="I404" s="1"/>
    </row>
    <row r="405" spans="1:9" ht="15.6" x14ac:dyDescent="0.3">
      <c r="A405" s="1" t="s">
        <v>5</v>
      </c>
      <c r="B405" s="1" t="s">
        <v>5</v>
      </c>
      <c r="C405" s="10" t="s">
        <v>5</v>
      </c>
      <c r="D405" s="5" t="s">
        <v>399</v>
      </c>
      <c r="E405" s="1" t="str">
        <f ca="1">IFERROR(__xludf.DUMMYFUNCTION("GOOGLETRANSLATE(D405, ""bn"", ""en"")"),"Since I am a follower of Islam, if I explain my religion in the light of my religion, many followers of other religions in this group will not agree.")</f>
        <v>Since I am a follower of Islam, if I explain my religion in the light of my religion, many followers of other religions in this group will not agree.</v>
      </c>
      <c r="F405" s="1"/>
      <c r="G405" s="1"/>
      <c r="H405" s="1"/>
      <c r="I405" s="1"/>
    </row>
    <row r="406" spans="1:9" ht="15.6" x14ac:dyDescent="0.3">
      <c r="A406" s="1" t="s">
        <v>5</v>
      </c>
      <c r="B406" s="1" t="s">
        <v>5</v>
      </c>
      <c r="C406" s="10" t="s">
        <v>5</v>
      </c>
      <c r="D406" s="5" t="s">
        <v>400</v>
      </c>
      <c r="E406" s="1" t="str">
        <f ca="1">IFERROR(__xludf.DUMMYFUNCTION("GOOGLETRANSLATE(D406, ""bn"", ""en"")"),"The foundation of Islam is peace, which implies the importance of kindness, compassion and peaceful relations among believers.")</f>
        <v>The foundation of Islam is peace, which implies the importance of kindness, compassion and peaceful relations among believers.</v>
      </c>
      <c r="F406" s="1"/>
      <c r="G406" s="1"/>
      <c r="H406" s="1"/>
      <c r="I406" s="1"/>
    </row>
    <row r="407" spans="1:9" ht="15.6" x14ac:dyDescent="0.3">
      <c r="A407" s="1" t="s">
        <v>9</v>
      </c>
      <c r="B407" s="1" t="s">
        <v>9</v>
      </c>
      <c r="C407" s="10" t="s">
        <v>9</v>
      </c>
      <c r="D407" s="5" t="s">
        <v>401</v>
      </c>
      <c r="E407" s="1" t="str">
        <f ca="1">IFERROR(__xludf.DUMMYFUNCTION("GOOGLETRANSLATE(D407, ""bn"", ""en"")")," Houses were vandalized and set on fire. [1] Police investigation revealed that a man named Iqbal Hossain kept the Quran there. In the CCTV footage, he was seen walking out of a nearby shrine at midnight with a Quran in his hand towards the puja mandapam "&amp;"and finally roaming the streets with Hanuman's weapon in his hand. By seeing which it is possible to identify Iqbal Hossain.")</f>
        <v> Houses were vandalized and set on fire. [1] Police investigation revealed that a man named Iqbal Hossain kept the Quran there. In the CCTV footage, he was seen walking out of a nearby shrine at midnight with a Quran in his hand towards the puja mandapam and finally roaming the streets with Hanuman's weapon in his hand. By seeing which it is possible to identify Iqbal Hossain.</v>
      </c>
      <c r="F407" s="1"/>
      <c r="G407" s="1"/>
      <c r="H407" s="1"/>
      <c r="I407" s="1"/>
    </row>
    <row r="408" spans="1:9" ht="15.6" x14ac:dyDescent="0.3">
      <c r="A408" s="1" t="s">
        <v>9</v>
      </c>
      <c r="B408" s="1" t="s">
        <v>9</v>
      </c>
      <c r="C408" s="10" t="s">
        <v>9</v>
      </c>
      <c r="D408" s="5" t="s">
        <v>402</v>
      </c>
      <c r="E408" s="1" t="str">
        <f ca="1">IFERROR(__xludf.DUMMYFUNCTION("GOOGLETRANSLATE(D408, ""bn"", ""en"")"),"On the orders of Saka Chowdhury, Hindu settlements in Raujan were set on fire, businessmen were threatened")</f>
        <v>On the orders of Saka Chowdhury, Hindu settlements in Raujan were set on fire, businessmen were threatened</v>
      </c>
      <c r="F408" s="1"/>
      <c r="G408" s="1"/>
      <c r="H408" s="1"/>
      <c r="I408" s="1"/>
    </row>
    <row r="409" spans="1:9" ht="15.6" x14ac:dyDescent="0.3">
      <c r="A409" s="1" t="s">
        <v>7</v>
      </c>
      <c r="B409" s="1" t="s">
        <v>7</v>
      </c>
      <c r="C409" s="10" t="s">
        <v>7</v>
      </c>
      <c r="D409" s="5" t="s">
        <v>403</v>
      </c>
      <c r="E409" s="1" t="str">
        <f ca="1">IFERROR(__xludf.DUMMYFUNCTION("GOOGLETRANSLATE(D409, ""bn"", ""en"")"),"Ananda Jang notes that the Rigveda mentions ""imitation ceremonies"" in which ""the widow lies on her husband's funeral pyre but it is raised by a male relative of her deceased husband.""")</f>
        <v>Ananda Jang notes that the Rigveda mentions "imitation ceremonies" in which "the widow lies on her husband's funeral pyre but it is raised by a male relative of her deceased husband."</v>
      </c>
      <c r="F409" s="1"/>
      <c r="G409" s="1"/>
      <c r="H409" s="1"/>
      <c r="I409" s="1"/>
    </row>
    <row r="410" spans="1:9" ht="15.6" x14ac:dyDescent="0.3">
      <c r="A410" s="1" t="s">
        <v>5</v>
      </c>
      <c r="B410" s="1" t="s">
        <v>5</v>
      </c>
      <c r="C410" s="10" t="s">
        <v>5</v>
      </c>
      <c r="D410" s="5" t="s">
        <v>404</v>
      </c>
      <c r="E410" s="1" t="str">
        <f ca="1">IFERROR(__xludf.DUMMYFUNCTION("GOOGLETRANSLATE(D410, ""bn"", ""en"")"),"In what year were you arrested for preaching orthodox religion? And that history is the truth that you said? Because, according to your age. Such incidents are rare in the history of Bangladesh.")</f>
        <v>In what year were you arrested for preaching orthodox religion? And that history is the truth that you said? Because, according to your age. Such incidents are rare in the history of Bangladesh.</v>
      </c>
      <c r="F410" s="1"/>
      <c r="G410" s="1"/>
      <c r="H410" s="1"/>
      <c r="I410" s="1"/>
    </row>
    <row r="411" spans="1:9" ht="15.6" x14ac:dyDescent="0.3">
      <c r="A411" s="1" t="s">
        <v>7</v>
      </c>
      <c r="B411" s="1" t="s">
        <v>7</v>
      </c>
      <c r="C411" s="10" t="s">
        <v>7</v>
      </c>
      <c r="D411" s="5" t="s">
        <v>405</v>
      </c>
      <c r="E411" s="1" t="str">
        <f ca="1">IFERROR(__xludf.DUMMYFUNCTION("GOOGLETRANSLATE(D411, ""bn"", ""en"")"),"Mutual suspicion, mistrust and hatred between the Hindu and Muslim communities reached such an incredible level that on August 16, 1946, the infamous communal massacre in the history of East India - 'The Great Calcutta Killings' took place.")</f>
        <v>Mutual suspicion, mistrust and hatred between the Hindu and Muslim communities reached such an incredible level that on August 16, 1946, the infamous communal massacre in the history of East India - 'The Great Calcutta Killings' took place.</v>
      </c>
      <c r="F411" s="1"/>
      <c r="G411" s="1"/>
      <c r="H411" s="1"/>
      <c r="I411" s="1"/>
    </row>
    <row r="412" spans="1:9" ht="15.6" x14ac:dyDescent="0.3">
      <c r="A412" s="1" t="s">
        <v>9</v>
      </c>
      <c r="B412" s="1" t="s">
        <v>9</v>
      </c>
      <c r="C412" s="10" t="s">
        <v>9</v>
      </c>
      <c r="D412" s="5" t="s">
        <v>406</v>
      </c>
      <c r="E412" s="1" t="str">
        <f ca="1">IFERROR(__xludf.DUMMYFUNCTION("GOOGLETRANSLATE(D412, ""bn"", ""en"")"),"A series of attacks against Bengali Hindus in Bangladesh took place in late October and early November 1990 after rumors spread that the Babri Masjid in Ayodhya, India had been demolished.")</f>
        <v>A series of attacks against Bengali Hindus in Bangladesh took place in late October and early November 1990 after rumors spread that the Babri Masjid in Ayodhya, India had been demolished.</v>
      </c>
      <c r="F412" s="1"/>
      <c r="G412" s="1"/>
      <c r="H412" s="1"/>
      <c r="I412" s="1"/>
    </row>
    <row r="413" spans="1:9" ht="15.6" x14ac:dyDescent="0.3">
      <c r="A413" s="1" t="s">
        <v>7</v>
      </c>
      <c r="B413" s="1" t="s">
        <v>7</v>
      </c>
      <c r="C413" s="10" t="s">
        <v>7</v>
      </c>
      <c r="D413" s="5" t="s">
        <v>407</v>
      </c>
      <c r="E413" s="1" t="str">
        <f ca="1">IFERROR(__xludf.DUMMYFUNCTION("GOOGLETRANSLATE(D413, ""bn"", ""en"")"),"Hindu-owned jewelery shops were looted by Muslims in the presence of the police. In just seven hours of brutal killing, looting and arson, 50,000 Hindus were displaced.[18] According to a Press Trust of India report, the most vulnerable were the Hindu res"&amp;"idents of Bangram and Makim Lane.")</f>
        <v>Hindu-owned jewelery shops were looted by Muslims in the presence of the police. In just seven hours of brutal killing, looting and arson, 50,000 Hindus were displaced.[18] According to a Press Trust of India report, the most vulnerable were the Hindu residents of Bangram and Makim Lane.</v>
      </c>
      <c r="F413" s="1"/>
      <c r="G413" s="1"/>
      <c r="H413" s="1"/>
      <c r="I413" s="1"/>
    </row>
    <row r="414" spans="1:9" ht="15.6" x14ac:dyDescent="0.3">
      <c r="A414" s="1" t="s">
        <v>7</v>
      </c>
      <c r="B414" s="1" t="s">
        <v>7</v>
      </c>
      <c r="C414" s="10" t="s">
        <v>7</v>
      </c>
      <c r="D414" s="5" t="s">
        <v>408</v>
      </c>
      <c r="E414" s="1" t="str">
        <f ca="1">IFERROR(__xludf.DUMMYFUNCTION("GOOGLETRANSLATE(D414, ""bn"", ""en"")"),"Between August and September 2013, clashes broke out between two major religious communities, Hindus and Muslims, in the Muzaffarnagar district of Uttar Pradesh state. The riots left at least 62 dead, including 42 Muslims and 20 Hindus")</f>
        <v>Between August and September 2013, clashes broke out between two major religious communities, Hindus and Muslims, in the Muzaffarnagar district of Uttar Pradesh state. The riots left at least 62 dead, including 42 Muslims and 20 Hindus</v>
      </c>
      <c r="F414" s="1"/>
      <c r="G414" s="1"/>
      <c r="H414" s="1"/>
      <c r="I414" s="1"/>
    </row>
    <row r="415" spans="1:9" ht="15.6" x14ac:dyDescent="0.3">
      <c r="A415" s="1" t="s">
        <v>9</v>
      </c>
      <c r="B415" s="1" t="s">
        <v>9</v>
      </c>
      <c r="C415" s="10" t="s">
        <v>9</v>
      </c>
      <c r="D415" s="5" t="s">
        <v>409</v>
      </c>
      <c r="E415" s="1" t="str">
        <f ca="1">IFERROR(__xludf.DUMMYFUNCTION("GOOGLETRANSLATE(D415, ""bn"", ""en"")"),"They gave the police the information about the complaint of a college student of Dalit community in Parvatipur of Dinajpur who hacked Facebook and posted about other religions. But with that incident, the student's house was vandalized and the police arre"&amp;"sted her.")</f>
        <v>They gave the police the information about the complaint of a college student of Dalit community in Parvatipur of Dinajpur who hacked Facebook and posted about other religions. But with that incident, the student's house was vandalized and the police arrested her.</v>
      </c>
      <c r="F415" s="1"/>
      <c r="G415" s="1"/>
      <c r="H415" s="1"/>
      <c r="I415" s="1"/>
    </row>
    <row r="416" spans="1:9" ht="15.6" x14ac:dyDescent="0.3">
      <c r="A416" s="1" t="s">
        <v>7</v>
      </c>
      <c r="B416" s="1" t="s">
        <v>7</v>
      </c>
      <c r="C416" s="10" t="s">
        <v>7</v>
      </c>
      <c r="D416" s="5" t="s">
        <v>410</v>
      </c>
      <c r="E416" s="1" t="str">
        <f ca="1">IFERROR(__xludf.DUMMYFUNCTION("GOOGLETRANSLATE(D416, ""bn"", ""en"")"),"Many Hindus were brutally killed by Muslims. A group of them appeared in Khulna city in the evening to destroy the roads and railways. For the next four days, a wild horror of rampant killing, rape, abduction, looting and destruction took place on the Hin"&amp;"du community of Khulna.")</f>
        <v>Many Hindus were brutally killed by Muslims. A group of them appeared in Khulna city in the evening to destroy the roads and railways. For the next four days, a wild horror of rampant killing, rape, abduction, looting and destruction took place on the Hindu community of Khulna.</v>
      </c>
      <c r="F416" s="1"/>
      <c r="G416" s="1"/>
      <c r="H416" s="1"/>
      <c r="I416" s="1"/>
    </row>
    <row r="417" spans="1:9" ht="15.6" x14ac:dyDescent="0.3">
      <c r="A417" s="1" t="s">
        <v>9</v>
      </c>
      <c r="B417" s="1" t="s">
        <v>9</v>
      </c>
      <c r="C417" s="10" t="s">
        <v>9</v>
      </c>
      <c r="D417" s="5" t="s">
        <v>411</v>
      </c>
      <c r="E417" s="1" t="str">
        <f ca="1">IFERROR(__xludf.DUMMYFUNCTION("GOOGLETRANSLATE(D417, ""bn"", ""en"")"),"The Babri Masjid was destroyed during a political rally, which turned into a riot in December 1992. ")</f>
        <v>The Babri Masjid was destroyed during a political rally, which turned into a riot in December 1992. </v>
      </c>
      <c r="F417" s="1"/>
      <c r="G417" s="1"/>
      <c r="H417" s="1"/>
      <c r="I417" s="1"/>
    </row>
    <row r="418" spans="1:9" ht="15.6" x14ac:dyDescent="0.3">
      <c r="A418" s="1" t="s">
        <v>5</v>
      </c>
      <c r="B418" s="1" t="s">
        <v>5</v>
      </c>
      <c r="C418" s="10" t="s">
        <v>5</v>
      </c>
      <c r="D418" s="5" t="s">
        <v>412</v>
      </c>
      <c r="E418" s="1" t="str">
        <f ca="1">IFERROR(__xludf.DUMMYFUNCTION("GOOGLETRANSLATE(D418, ""bn"", ""en"")"),"It is mentioned in Surah An-Naml in the Qur'an that when the Prophet Sulaiman married Bilqis, the Queen of Sheba, he did not inherit her kingdom and vast wealth. The royal responsibility of the kingdom of Sheba and the ownership of its wealth belonged to "&amp;"Bilqis forever.")</f>
        <v>It is mentioned in Surah An-Naml in the Qur'an that when the Prophet Sulaiman married Bilqis, the Queen of Sheba, he did not inherit her kingdom and vast wealth. The royal responsibility of the kingdom of Sheba and the ownership of its wealth belonged to Bilqis forever.</v>
      </c>
      <c r="F418" s="1"/>
      <c r="G418" s="1"/>
      <c r="H418" s="1"/>
      <c r="I418" s="1"/>
    </row>
    <row r="419" spans="1:9" ht="15.6" x14ac:dyDescent="0.3">
      <c r="A419" s="1" t="s">
        <v>4</v>
      </c>
      <c r="B419" s="1" t="s">
        <v>4</v>
      </c>
      <c r="C419" s="10" t="s">
        <v>4</v>
      </c>
      <c r="D419" s="5" t="s">
        <v>413</v>
      </c>
      <c r="E419" s="1" t="str">
        <f ca="1">IFERROR(__xludf.DUMMYFUNCTION("GOOGLETRANSLATE(D419, ""bn"", ""en"")"),"These statements about religion are being spread in various ways including social media. This trend is not limited to Muslims. People of different religions express these things in their own religious interpretations. Various examples are also shown to sh"&amp;"ow the superiority of their religion and that one day all people will come under that religion. ")</f>
        <v>These statements about religion are being spread in various ways including social media. This trend is not limited to Muslims. People of different religions express these things in their own religious interpretations. Various examples are also shown to show the superiority of their religion and that one day all people will come under that religion. </v>
      </c>
      <c r="F419" s="1"/>
      <c r="G419" s="1"/>
      <c r="H419" s="1"/>
      <c r="I419" s="1"/>
    </row>
    <row r="420" spans="1:9" ht="15.6" x14ac:dyDescent="0.3">
      <c r="A420" s="1" t="s">
        <v>7</v>
      </c>
      <c r="B420" s="1" t="s">
        <v>7</v>
      </c>
      <c r="C420" s="10" t="s">
        <v>7</v>
      </c>
      <c r="D420" s="5" t="s">
        <v>414</v>
      </c>
      <c r="E420" s="1" t="str">
        <f ca="1">IFERROR(__xludf.DUMMYFUNCTION("GOOGLETRANSLATE(D420, ""bn"", ""en"")"),"Jaydev Varma and his relatives got angry and attacked two police constables and one police constable died on the spot. The other two policemen raised the alarm and neighbors came and rescued them.")</f>
        <v>Jaydev Varma and his relatives got angry and attacked two police constables and one police constable died on the spot. The other two policemen raised the alarm and neighbors came and rescued them.</v>
      </c>
      <c r="F420" s="1"/>
      <c r="G420" s="1"/>
      <c r="H420" s="1"/>
      <c r="I420" s="1"/>
    </row>
    <row r="421" spans="1:9" ht="15.6" x14ac:dyDescent="0.3">
      <c r="A421" s="1" t="s">
        <v>4</v>
      </c>
      <c r="B421" s="1" t="s">
        <v>5</v>
      </c>
      <c r="C421" s="10" t="s">
        <v>4</v>
      </c>
      <c r="D421" s="5" t="s">
        <v>415</v>
      </c>
      <c r="E421" s="1" t="str">
        <f ca="1">IFERROR(__xludf.DUMMYFUNCTION("GOOGLETRANSLATE(D421, ""bn"", ""en"")"),"Keep yourself away from pages, groups, IDs that share or post anti-religious, anti-national, false information. ")</f>
        <v xml:space="preserve">Keep yourself away from pages, groups, IDs that share or post anti-religious, anti-national, false information. </v>
      </c>
      <c r="F421" s="1"/>
      <c r="G421" s="1"/>
      <c r="H421" s="1"/>
      <c r="I421" s="1"/>
    </row>
    <row r="422" spans="1:9" ht="15.6" x14ac:dyDescent="0.3">
      <c r="A422" s="4" t="s">
        <v>7</v>
      </c>
      <c r="B422" s="4" t="s">
        <v>7</v>
      </c>
      <c r="C422" s="11" t="s">
        <v>7</v>
      </c>
      <c r="D422" s="5" t="s">
        <v>416</v>
      </c>
      <c r="E422" s="1" t="str">
        <f ca="1">IFERROR(__xludf.DUMMYFUNCTION("GOOGLETRANSLATE(D422, ""bn"", ""en"")")," In 1566, when a Catholic procession reached a Protestant neighborhood, the Protestants shouted ""Kill, kill, kill!!"" chanted and followed days of communal violence with numerous casualties. ")</f>
        <v> In 1566, when a Catholic procession reached a Protestant neighborhood, the Protestants shouted "Kill, kill, kill!!" chanted and followed days of communal violence with numerous casualties. </v>
      </c>
      <c r="F422" s="1"/>
      <c r="G422" s="1"/>
      <c r="H422" s="1"/>
      <c r="I422" s="1"/>
    </row>
    <row r="423" spans="1:9" ht="15.6" x14ac:dyDescent="0.3">
      <c r="A423" s="1" t="s">
        <v>5</v>
      </c>
      <c r="B423" s="1" t="s">
        <v>5</v>
      </c>
      <c r="C423" s="10" t="s">
        <v>5</v>
      </c>
      <c r="D423" s="5" t="s">
        <v>417</v>
      </c>
      <c r="E423" s="1" t="str">
        <f ca="1">IFERROR(__xludf.DUMMYFUNCTION("GOOGLETRANSLATE(D423, ""bn"", ""en"")"),"At the end of fasting, a strange scene can be seen in the Qoumi Madrasahs of Bangladesh. ")</f>
        <v xml:space="preserve">At the end of fasting, a strange scene can be seen in the Qoumi Madrasahs of Bangladesh. </v>
      </c>
      <c r="F423" s="1"/>
      <c r="G423" s="1"/>
      <c r="H423" s="1"/>
      <c r="I423" s="1"/>
    </row>
    <row r="424" spans="1:9" ht="15.6" x14ac:dyDescent="0.3">
      <c r="A424" s="1" t="s">
        <v>7</v>
      </c>
      <c r="B424" s="1" t="s">
        <v>7</v>
      </c>
      <c r="C424" s="10" t="s">
        <v>7</v>
      </c>
      <c r="D424" s="5" t="s">
        <v>418</v>
      </c>
      <c r="E424" s="1" t="str">
        <f ca="1">IFERROR(__xludf.DUMMYFUNCTION("GOOGLETRANSLATE(D424, ""bn"", ""en"")"),"Israel's deliberate genocide of the Palestinian people under the pretext of self-defense will not secure the country's current or future security. ")</f>
        <v>Israel's deliberate genocide of the Palestinian people under the pretext of self-defense will not secure the country's current or future security. </v>
      </c>
      <c r="F424" s="1"/>
      <c r="G424" s="1"/>
      <c r="H424" s="1"/>
      <c r="I424" s="1"/>
    </row>
    <row r="425" spans="1:9" ht="15.6" x14ac:dyDescent="0.3">
      <c r="A425" s="1" t="s">
        <v>7</v>
      </c>
      <c r="B425" s="1" t="s">
        <v>7</v>
      </c>
      <c r="C425" s="10" t="s">
        <v>7</v>
      </c>
      <c r="D425" s="5" t="s">
        <v>419</v>
      </c>
      <c r="E425" s="1" t="str">
        <f ca="1">IFERROR(__xludf.DUMMYFUNCTION("GOOGLETRANSLATE(D425, ""bn"", ""en"")"),"The rulers are responsible for the death penalty. It is imperative for rulers to identify such people and ensure their death penalty through law.")</f>
        <v>The rulers are responsible for the death penalty. It is imperative for rulers to identify such people and ensure their death penalty through law.</v>
      </c>
      <c r="F425" s="1"/>
      <c r="G425" s="1"/>
      <c r="H425" s="1"/>
      <c r="I425" s="1"/>
    </row>
    <row r="426" spans="1:9" ht="15.6" x14ac:dyDescent="0.3">
      <c r="A426" s="1" t="s">
        <v>7</v>
      </c>
      <c r="B426" s="1" t="s">
        <v>7</v>
      </c>
      <c r="C426" s="10" t="s">
        <v>7</v>
      </c>
      <c r="D426" s="5" t="s">
        <v>420</v>
      </c>
      <c r="E426" s="1" t="str">
        <f ca="1">IFERROR(__xludf.DUMMYFUNCTION("GOOGLETRANSLATE(D426, ""bn"", ""en"")"),"They started killing Hindus mercilessly and forcefully converted Hindu men and women to Islam. The sacred images of the Hindu community were broken and Hindu temples were completely destroyed.")</f>
        <v>They started killing Hindus mercilessly and forcefully converted Hindu men and women to Islam. The sacred images of the Hindu community were broken and Hindu temples were completely destroyed.</v>
      </c>
      <c r="F426" s="1"/>
      <c r="G426" s="1"/>
      <c r="H426" s="1"/>
      <c r="I426" s="1"/>
    </row>
    <row r="427" spans="1:9" ht="15.6" x14ac:dyDescent="0.3">
      <c r="A427" s="1" t="s">
        <v>9</v>
      </c>
      <c r="B427" s="1" t="s">
        <v>9</v>
      </c>
      <c r="C427" s="10" t="s">
        <v>9</v>
      </c>
      <c r="D427" s="5" t="s">
        <v>421</v>
      </c>
      <c r="E427" s="1" t="str">
        <f ca="1">IFERROR(__xludf.DUMMYFUNCTION("GOOGLETRANSLATE(D427, ""bn"", ""en"")"),"Dear Prime Minister, who can say that we also cry for Muslims, want to fight against Israel together with them.")</f>
        <v>Dear Prime Minister, who can say that we also cry for Muslims, want to fight against Israel together with them.</v>
      </c>
      <c r="F427" s="1"/>
      <c r="G427" s="1"/>
      <c r="H427" s="1"/>
      <c r="I427" s="1"/>
    </row>
    <row r="428" spans="1:9" ht="15.6" x14ac:dyDescent="0.3">
      <c r="A428" s="1" t="s">
        <v>9</v>
      </c>
      <c r="B428" s="1" t="s">
        <v>9</v>
      </c>
      <c r="C428" s="10" t="s">
        <v>9</v>
      </c>
      <c r="D428" s="5" t="s">
        <v>422</v>
      </c>
      <c r="E428" s="1" t="str">
        <f ca="1">IFERROR(__xludf.DUMMYFUNCTION("GOOGLETRANSLATE(D428, ""bn"", ""en"")"),"Chhatipara Chandramani Raksha Kali Temple was also attacked and idols were vandalized and set on fire. Outside, 15 more temples and mandapam gates were set on fire and vandalized. Due to this, worship was stopped in several temples on that day.")</f>
        <v>Chhatipara Chandramani Raksha Kali Temple was also attacked and idols were vandalized and set on fire. Outside, 15 more temples and mandapam gates were set on fire and vandalized. Due to this, worship was stopped in several temples on that day.</v>
      </c>
      <c r="F428" s="1"/>
      <c r="G428" s="1"/>
      <c r="H428" s="1"/>
      <c r="I428" s="1"/>
    </row>
    <row r="429" spans="1:9" ht="15.6" x14ac:dyDescent="0.3">
      <c r="A429" s="1" t="s">
        <v>5</v>
      </c>
      <c r="B429" s="1" t="s">
        <v>5</v>
      </c>
      <c r="C429" s="10" t="s">
        <v>5</v>
      </c>
      <c r="D429" s="5" t="s">
        <v>423</v>
      </c>
      <c r="E429" s="1" t="str">
        <f ca="1">IFERROR(__xludf.DUMMYFUNCTION("GOOGLETRANSLATE(D429, ""bn"", ""en"")")," In Islam, women are not given equal rights to inherit property, and Islam does not recognize women's leadership in political leadership.")</f>
        <v> In Islam, women are not given equal rights to inherit property, and Islam does not recognize women's leadership in political leadership.</v>
      </c>
      <c r="F429" s="1"/>
      <c r="G429" s="1"/>
      <c r="H429" s="1"/>
      <c r="I429" s="1"/>
    </row>
    <row r="430" spans="1:9" ht="15.6" x14ac:dyDescent="0.3">
      <c r="A430" s="1" t="s">
        <v>5</v>
      </c>
      <c r="B430" s="1" t="s">
        <v>5</v>
      </c>
      <c r="C430" s="10" t="s">
        <v>5</v>
      </c>
      <c r="D430" s="5" t="s">
        <v>424</v>
      </c>
      <c r="E430" s="1" t="str">
        <f ca="1">IFERROR(__xludf.DUMMYFUNCTION("GOOGLETRANSLATE(D430, ""bn"", ""en"")"),"This community became larger when 10,000 Sikhs came from India during the liberation war of Bangladesh. This Sikh community has made great progress in the country. ")</f>
        <v>This community became larger when 10,000 Sikhs came from India during the liberation war of Bangladesh. This Sikh community has made great progress in the country. </v>
      </c>
      <c r="F430" s="1"/>
      <c r="G430" s="1"/>
      <c r="H430" s="1"/>
      <c r="I430" s="1"/>
    </row>
    <row r="431" spans="1:9" ht="15.6" x14ac:dyDescent="0.3">
      <c r="A431" s="1" t="s">
        <v>4</v>
      </c>
      <c r="B431" s="1" t="s">
        <v>4</v>
      </c>
      <c r="C431" s="10" t="s">
        <v>4</v>
      </c>
      <c r="D431" s="5" t="s">
        <v>425</v>
      </c>
      <c r="E431" s="1" t="str">
        <f ca="1">IFERROR(__xludf.DUMMYFUNCTION("GOOGLETRANSLATE(D431, ""bn"", ""en"")"),"It seems to me that the Bengali Hindus of West Bengal suddenly fell into a deep crisis of self-identity. Our religion is the only tool to save us from this crisis.")</f>
        <v>It seems to me that the Bengali Hindus of West Bengal suddenly fell into a deep crisis of self-identity. Our religion is the only tool to save us from this crisis.</v>
      </c>
      <c r="F431" s="1"/>
      <c r="G431" s="1"/>
      <c r="H431" s="1"/>
      <c r="I431" s="1"/>
    </row>
    <row r="432" spans="1:9" ht="15.6" x14ac:dyDescent="0.3">
      <c r="A432" s="1" t="s">
        <v>5</v>
      </c>
      <c r="B432" s="1" t="s">
        <v>5</v>
      </c>
      <c r="C432" s="10" t="s">
        <v>5</v>
      </c>
      <c r="D432" s="5" t="s">
        <v>426</v>
      </c>
      <c r="E432" s="1" t="str">
        <f ca="1">IFERROR(__xludf.DUMMYFUNCTION("GOOGLETRANSLATE(D432, ""bn"", ""en"")"),"Such words were never heard to be uttered on any Muslim festival. And the matter of worship is completely dependent on religious beliefs. Which is done by the people of respective religions based on their own religious beliefs and principles.")</f>
        <v>Such words were never heard to be uttered on any Muslim festival. And the matter of worship is completely dependent on religious beliefs. Which is done by the people of respective religions based on their own religious beliefs and principles.</v>
      </c>
      <c r="F432" s="1"/>
      <c r="G432" s="1"/>
      <c r="H432" s="1"/>
      <c r="I432" s="1"/>
    </row>
    <row r="433" spans="1:9" ht="15.6" x14ac:dyDescent="0.3">
      <c r="A433" s="1" t="s">
        <v>7</v>
      </c>
      <c r="B433" s="1" t="s">
        <v>5</v>
      </c>
      <c r="C433" s="10" t="s">
        <v>7</v>
      </c>
      <c r="D433" s="5" t="s">
        <v>427</v>
      </c>
      <c r="E433" s="1" t="str">
        <f ca="1">IFERROR(__xludf.DUMMYFUNCTION("GOOGLETRANSLATE(D433, ""bn"", ""en"")"),"The bodies were counted and identified in front of the national and international media and then brought back to Adityapur. Burial was done in front of Adityapur Government Primary School.")</f>
        <v>The bodies were counted and identified in front of the national and international media and then brought back to Adityapur. Burial was done in front of Adityapur Government Primary School.</v>
      </c>
      <c r="F433" s="1"/>
      <c r="G433" s="1"/>
      <c r="H433" s="1"/>
      <c r="I433" s="1"/>
    </row>
    <row r="434" spans="1:9" ht="15.6" x14ac:dyDescent="0.3">
      <c r="A434" s="1" t="s">
        <v>7</v>
      </c>
      <c r="B434" s="1" t="s">
        <v>7</v>
      </c>
      <c r="C434" s="10" t="s">
        <v>7</v>
      </c>
      <c r="D434" s="5" t="s">
        <v>428</v>
      </c>
      <c r="E434" s="1" t="str">
        <f ca="1">IFERROR(__xludf.DUMMYFUNCTION("GOOGLETRANSLATE(D434, ""bn"", ""en"")"),"2013 was a festival of disappearances and murders of Awami League to disrupt the 2014 elections. We still do not know the exact information of how many people died in Hefazat rally. ")</f>
        <v>2013 was a festival of disappearances and murders of Awami League to disrupt the 2014 elections. We still do not know the exact information of how many people died in Hefazat rally. </v>
      </c>
      <c r="F434" s="1"/>
      <c r="G434" s="1"/>
      <c r="H434" s="1"/>
      <c r="I434" s="1"/>
    </row>
    <row r="435" spans="1:9" ht="15.6" x14ac:dyDescent="0.3">
      <c r="A435" s="1" t="s">
        <v>7</v>
      </c>
      <c r="B435" s="1" t="s">
        <v>7</v>
      </c>
      <c r="C435" s="10" t="s">
        <v>7</v>
      </c>
      <c r="D435" s="5" t="s">
        <v>429</v>
      </c>
      <c r="E435" s="1" t="str">
        <f ca="1">IFERROR(__xludf.DUMMYFUNCTION("GOOGLETRANSLATE(D435, ""bn"", ""en"")"),"The religious extremism of the Islamic State (IS) in the Middle East has led to massacres of many minority Yazidis, Christians and Shia Muslims.")</f>
        <v>The religious extremism of the Islamic State (IS) in the Middle East has led to massacres of many minority Yazidis, Christians and Shia Muslims.</v>
      </c>
      <c r="F435" s="1"/>
      <c r="G435" s="1"/>
      <c r="H435" s="1"/>
      <c r="I435" s="1"/>
    </row>
    <row r="436" spans="1:9" ht="15.6" x14ac:dyDescent="0.3">
      <c r="A436" s="1" t="s">
        <v>7</v>
      </c>
      <c r="B436" s="1" t="s">
        <v>7</v>
      </c>
      <c r="C436" s="10" t="s">
        <v>7</v>
      </c>
      <c r="D436" s="5" t="s">
        <v>430</v>
      </c>
      <c r="E436" s="1" t="str">
        <f ca="1">IFERROR(__xludf.DUMMYFUNCTION("GOOGLETRANSLATE(D436, ""bn"", ""en"")")," Chaitanya attacked the Kazi's house with his followers and announced to the followers - ""niryvan karo aji sakk bhuban"" means kill not only the Kazi but all the Muslims of the world.")</f>
        <v xml:space="preserve"> Chaitanya attacked the Kazi's house with his followers and announced to the followers - "niryvan karo aji sakk bhuban" means kill not only the Kazi but all the Muslims of the world.</v>
      </c>
      <c r="F436" s="1"/>
      <c r="G436" s="1"/>
      <c r="H436" s="1"/>
      <c r="I436" s="1"/>
    </row>
    <row r="437" spans="1:9" ht="15.6" x14ac:dyDescent="0.3">
      <c r="A437" s="1" t="s">
        <v>4</v>
      </c>
      <c r="B437" s="1" t="s">
        <v>5</v>
      </c>
      <c r="C437" s="10" t="s">
        <v>4</v>
      </c>
      <c r="D437" s="5" t="s">
        <v>431</v>
      </c>
      <c r="E437" s="1" t="str">
        <f ca="1">IFERROR(__xludf.DUMMYFUNCTION("GOOGLETRANSLATE(D437, ""bn"", ""en"")"),"Those who protested against the desecration of the Koran in Sweden protested that God protect them")</f>
        <v>Those who protested against the desecration of the Koran in Sweden protested that God protect them</v>
      </c>
      <c r="F437" s="1"/>
      <c r="G437" s="1"/>
      <c r="H437" s="1"/>
      <c r="I437" s="1"/>
    </row>
    <row r="438" spans="1:9" ht="15.6" x14ac:dyDescent="0.3">
      <c r="A438" s="1" t="s">
        <v>7</v>
      </c>
      <c r="B438" s="1" t="s">
        <v>7</v>
      </c>
      <c r="C438" s="10" t="s">
        <v>7</v>
      </c>
      <c r="D438" s="5" t="s">
        <v>432</v>
      </c>
      <c r="E438" s="1" t="str">
        <f ca="1">IFERROR(__xludf.DUMMYFUNCTION("GOOGLETRANSLATE(D438, ""bn"", ""en"")"),"Extremism has divided people and many lives have been lost as a result, which is extremely painful for humanity.")</f>
        <v>Extremism has divided people and many lives have been lost as a result, which is extremely painful for humanity.</v>
      </c>
      <c r="F438" s="1"/>
      <c r="G438" s="1"/>
      <c r="H438" s="1"/>
      <c r="I438" s="1"/>
    </row>
    <row r="439" spans="1:9" ht="15.6" x14ac:dyDescent="0.3">
      <c r="A439" s="1" t="s">
        <v>5</v>
      </c>
      <c r="B439" s="1" t="s">
        <v>5</v>
      </c>
      <c r="C439" s="10" t="s">
        <v>5</v>
      </c>
      <c r="D439" s="5" t="s">
        <v>433</v>
      </c>
      <c r="E439" s="1" t="str">
        <f ca="1">IFERROR(__xludf.DUMMYFUNCTION("GOOGLETRANSLATE(D439, ""bn"", ""en"")"),"Ahimsa or non-violence is given utmost importance in Hinduism, which helps to establish peace in the heart of every human being.")</f>
        <v>Ahimsa or non-violence is given utmost importance in Hinduism, which helps to establish peace in the heart of every human being.</v>
      </c>
      <c r="F439" s="1"/>
      <c r="G439" s="1"/>
      <c r="H439" s="1"/>
      <c r="I439" s="1"/>
    </row>
    <row r="440" spans="1:9" ht="15.6" x14ac:dyDescent="0.3">
      <c r="A440" s="1" t="s">
        <v>4</v>
      </c>
      <c r="B440" s="1" t="s">
        <v>4</v>
      </c>
      <c r="C440" s="10" t="s">
        <v>4</v>
      </c>
      <c r="D440" s="5" t="s">
        <v>434</v>
      </c>
      <c r="E440" s="1" t="str">
        <f ca="1">IFERROR(__xludf.DUMMYFUNCTION("GOOGLETRANSLATE(D440, ""bn"", ""en"")"),"I accept the responsibility of my religion and caste identity to you. Admittedly, today you are deprived of higher education and higher positions because I and my caste brothers have axed all opportunities with the opportunity of majority.")</f>
        <v>I accept the responsibility of my religion and caste identity to you. Admittedly, today you are deprived of higher education and higher positions because I and my caste brothers have axed all opportunities with the opportunity of majority.</v>
      </c>
      <c r="F440" s="1"/>
      <c r="G440" s="1"/>
      <c r="H440" s="1"/>
      <c r="I440" s="1"/>
    </row>
    <row r="441" spans="1:9" ht="15.6" x14ac:dyDescent="0.3">
      <c r="A441" s="1" t="s">
        <v>5</v>
      </c>
      <c r="B441" s="1" t="s">
        <v>5</v>
      </c>
      <c r="C441" s="10" t="s">
        <v>5</v>
      </c>
      <c r="D441" s="5" t="s">
        <v>435</v>
      </c>
      <c r="E441" s="1" t="str">
        <f ca="1">IFERROR(__xludf.DUMMYFUNCTION("GOOGLETRANSLATE(D441, ""bn"", ""en"")"),"A sane person can never make disrespectful comments about someone's religion or beliefs, because religion is a very important part of every person's personal beliefs and feelings. Everyone should respect each other's religion and beliefs.")</f>
        <v>A sane person can never make disrespectful comments about someone's religion or beliefs, because religion is a very important part of every person's personal beliefs and feelings. Everyone should respect each other's religion and beliefs.</v>
      </c>
      <c r="F441" s="1"/>
      <c r="G441" s="1"/>
      <c r="H441" s="1"/>
      <c r="I441" s="1"/>
    </row>
    <row r="442" spans="1:9" ht="15.6" x14ac:dyDescent="0.3">
      <c r="A442" s="1" t="s">
        <v>9</v>
      </c>
      <c r="B442" s="1" t="s">
        <v>9</v>
      </c>
      <c r="C442" s="10" t="s">
        <v>9</v>
      </c>
      <c r="D442" s="5" t="s">
        <v>436</v>
      </c>
      <c r="E442" s="1" t="str">
        <f ca="1">IFERROR(__xludf.DUMMYFUNCTION("GOOGLETRANSLATE(D442, ""bn"", ""en"")"),"A brutal attack in Bangladesh's Dinajpur on Thursday has raised many questions. Many people are concerned about the incident of a local woman entering the house of the Upazila Nirbahi Officer and stabbing him and his father.")</f>
        <v>A brutal attack in Bangladesh's Dinajpur on Thursday has raised many questions. Many people are concerned about the incident of a local woman entering the house of the Upazila Nirbahi Officer and stabbing him and his father.</v>
      </c>
      <c r="F442" s="1"/>
      <c r="G442" s="1"/>
      <c r="H442" s="1"/>
      <c r="I442" s="1"/>
    </row>
    <row r="443" spans="1:9" ht="15.6" x14ac:dyDescent="0.3">
      <c r="A443" s="1" t="s">
        <v>4</v>
      </c>
      <c r="B443" s="1" t="s">
        <v>5</v>
      </c>
      <c r="C443" s="10" t="s">
        <v>4</v>
      </c>
      <c r="D443" s="5" t="s">
        <v>437</v>
      </c>
      <c r="E443" s="1" t="str">
        <f ca="1">IFERROR(__xludf.DUMMYFUNCTION("GOOGLETRANSLATE(D443, ""bn"", ""en"")"),"If someone makes any bad comments about the Prophet, he should be punished.")</f>
        <v>If someone makes any bad comments about the Prophet, he should be punished.</v>
      </c>
      <c r="F443" s="1"/>
      <c r="G443" s="1"/>
      <c r="H443" s="1"/>
      <c r="I443" s="1"/>
    </row>
    <row r="444" spans="1:9" ht="15.6" x14ac:dyDescent="0.3">
      <c r="A444" s="1" t="s">
        <v>7</v>
      </c>
      <c r="B444" s="1" t="s">
        <v>5</v>
      </c>
      <c r="C444" s="10" t="s">
        <v>7</v>
      </c>
      <c r="D444" s="5" t="s">
        <v>438</v>
      </c>
      <c r="E444" s="1" t="str">
        <f ca="1">IFERROR(__xludf.DUMMYFUNCTION("GOOGLETRANSLATE(D444, ""bn"", ""en"")"),"If someone blasphemes the Prophet-Messenger or religious person and any holy scriptures, the Parliament can consider the provision of death penalty or life sentence by making the maximum penalty non-bailable under Section 25(1)/28(1)/29/31 of the Cyber ​​"&amp;"Security Act-2023.")</f>
        <v>If someone blasphemes the Prophet-Messenger or religious person and any holy scriptures, the Parliament can consider the provision of death penalty or life sentence by making the maximum penalty non-bailable under Section 25(1)/28(1)/29/31 of the Cyber ​​Security Act-2023.</v>
      </c>
      <c r="F444" s="1"/>
      <c r="G444" s="1"/>
      <c r="H444" s="1"/>
      <c r="I444" s="1"/>
    </row>
    <row r="445" spans="1:9" ht="15.6" x14ac:dyDescent="0.3">
      <c r="A445" s="1" t="s">
        <v>5</v>
      </c>
      <c r="B445" s="1" t="s">
        <v>5</v>
      </c>
      <c r="C445" s="10" t="s">
        <v>5</v>
      </c>
      <c r="D445" s="5" t="s">
        <v>439</v>
      </c>
      <c r="E445" s="1" t="str">
        <f ca="1">IFERROR(__xludf.DUMMYFUNCTION("GOOGLETRANSLATE(D445, ""bn"", ""en"")"),"In the Qur'an, Allah created mankind to worship Him, and by following His principles and ideals, peace and liberation can be attained.")</f>
        <v>In the Qur'an, Allah created mankind to worship Him, and by following His principles and ideals, peace and liberation can be attained.</v>
      </c>
      <c r="F445" s="1"/>
      <c r="G445" s="1"/>
      <c r="H445" s="1"/>
      <c r="I445" s="1"/>
    </row>
    <row r="446" spans="1:9" ht="15.6" x14ac:dyDescent="0.3">
      <c r="A446" s="1" t="s">
        <v>9</v>
      </c>
      <c r="B446" s="1" t="s">
        <v>4</v>
      </c>
      <c r="C446" s="10" t="s">
        <v>9</v>
      </c>
      <c r="D446" s="5" t="s">
        <v>440</v>
      </c>
      <c r="E446" s="1" t="str">
        <f ca="1">IFERROR(__xludf.DUMMYFUNCTION("GOOGLETRANSLATE(D446, ""bn"", ""en"")"),"Responding to the appeal of the Buddhists, Khilji of Bakhtiyar advanced with his forces and defeated Lakshman Sena, the last king of the Sena dynasty, in battle. As a result, Muslim rule began in Bengal in 1204.")</f>
        <v>Responding to the appeal of the Buddhists, Khilji of Bakhtiyar advanced with his forces and defeated Lakshman Sena, the last king of the Sena dynasty, in battle. As a result, Muslim rule began in Bengal in 1204.</v>
      </c>
      <c r="F446" s="1"/>
      <c r="G446" s="1"/>
      <c r="H446" s="1"/>
      <c r="I446" s="1"/>
    </row>
    <row r="447" spans="1:9" ht="15.6" x14ac:dyDescent="0.3">
      <c r="A447" s="1" t="s">
        <v>9</v>
      </c>
      <c r="B447" s="1" t="s">
        <v>9</v>
      </c>
      <c r="C447" s="10" t="s">
        <v>9</v>
      </c>
      <c r="D447" s="5" t="s">
        <v>441</v>
      </c>
      <c r="E447" s="1" t="str">
        <f ca="1">IFERROR(__xludf.DUMMYFUNCTION("GOOGLETRANSLATE(D447, ""bn"", ""en"")"),"Jagannath temple in Paschim Para, Kalibari temple in Namshudra para, Shiva temple in Mahakal para, Durga temple, Loknath temple in Shilpara, Dattabari temple in Dattapara, Kalimandir in Sutradharpara, Sri Anandamoyi Kali temple and 15 temples and more tha"&amp;"n two hundred houses were attacked and looted.")</f>
        <v>Jagannath temple in Paschim Para, Kalibari temple in Namshudra para, Shiva temple in Mahakal para, Durga temple, Loknath temple in Shilpara, Dattabari temple in Dattapara, Kalimandir in Sutradharpara, Sri Anandamoyi Kali temple and 15 temples and more than two hundred houses were attacked and looted.</v>
      </c>
      <c r="F447" s="1"/>
      <c r="G447" s="1"/>
      <c r="H447" s="1"/>
      <c r="I447" s="1"/>
    </row>
    <row r="448" spans="1:9" ht="15.6" x14ac:dyDescent="0.3">
      <c r="A448" s="1" t="s">
        <v>9</v>
      </c>
      <c r="B448" s="1" t="s">
        <v>9</v>
      </c>
      <c r="C448" s="10" t="s">
        <v>9</v>
      </c>
      <c r="D448" s="5" t="s">
        <v>442</v>
      </c>
      <c r="E448" s="1" t="str">
        <f ca="1">IFERROR(__xludf.DUMMYFUNCTION("GOOGLETRANSLATE(D448, ""bn"", ""en"")"),"Bloody clashes between Christian militias (Anti-Balaka) and Muslim armed groups (Séléka) in the Central African Republic have displaced thousands of people.")</f>
        <v>Bloody clashes between Christian militias (Anti-Balaka) and Muslim armed groups (Séléka) in the Central African Republic have displaced thousands of people.</v>
      </c>
      <c r="F448" s="1"/>
      <c r="G448" s="1"/>
      <c r="H448" s="1"/>
      <c r="I448" s="1"/>
    </row>
    <row r="449" spans="1:9" ht="15.6" x14ac:dyDescent="0.3">
      <c r="A449" s="1" t="s">
        <v>7</v>
      </c>
      <c r="B449" s="1" t="s">
        <v>7</v>
      </c>
      <c r="C449" s="10" t="s">
        <v>7</v>
      </c>
      <c r="D449" s="5" t="s">
        <v>443</v>
      </c>
      <c r="E449" s="1" t="str">
        <f ca="1">IFERROR(__xludf.DUMMYFUNCTION("GOOGLETRANSLATE(D449, ""bn"", ""en"")"),"Suicide is kabirah (major) sin in Islam.")</f>
        <v>Suicide is kabirah (major) sin in Islam.</v>
      </c>
      <c r="F449" s="1"/>
      <c r="G449" s="1"/>
      <c r="H449" s="1"/>
      <c r="I449" s="1"/>
    </row>
    <row r="450" spans="1:9" ht="15.6" x14ac:dyDescent="0.3">
      <c r="A450" s="1" t="s">
        <v>7</v>
      </c>
      <c r="B450" s="1" t="s">
        <v>7</v>
      </c>
      <c r="C450" s="10" t="s">
        <v>7</v>
      </c>
      <c r="D450" s="5" t="s">
        <v>444</v>
      </c>
      <c r="E450" s="1" t="str">
        <f ca="1">IFERROR(__xludf.DUMMYFUNCTION("GOOGLETRANSLATE(D450, ""bn"", ""en"")")," Around 97 Muslims were killed in a coordinated attack at Naroda Patiya during the Gujarat riots.")</f>
        <v xml:space="preserve"> Around 97 Muslims were killed in a coordinated attack at Naroda Patiya during the Gujarat riots.</v>
      </c>
      <c r="F450" s="1"/>
      <c r="G450" s="1"/>
      <c r="H450" s="1"/>
      <c r="I450" s="1"/>
    </row>
    <row r="451" spans="1:9" ht="15.6" x14ac:dyDescent="0.3">
      <c r="A451" s="1" t="s">
        <v>7</v>
      </c>
      <c r="B451" s="1" t="s">
        <v>7</v>
      </c>
      <c r="C451" s="10" t="s">
        <v>7</v>
      </c>
      <c r="D451" s="5" t="s">
        <v>445</v>
      </c>
      <c r="E451" s="1" t="str">
        <f ca="1">IFERROR(__xludf.DUMMYFUNCTION("GOOGLETRANSLATE(D451, ""bn"", ""en"")"),"Today, they are constantly being killed. Apart from all that, it is very well shown where a chick died. So many children, women, men were killed by Israelis, there is no news.")</f>
        <v>Today, they are constantly being killed. Apart from all that, it is very well shown where a chick died. So many children, women, men were killed by Israelis, there is no news.</v>
      </c>
      <c r="F451" s="1"/>
      <c r="G451" s="1"/>
      <c r="H451" s="1"/>
      <c r="I451" s="1"/>
    </row>
    <row r="452" spans="1:9" ht="17.399999999999999" x14ac:dyDescent="0.3">
      <c r="A452" s="1" t="s">
        <v>7</v>
      </c>
      <c r="B452" s="1" t="s">
        <v>7</v>
      </c>
      <c r="C452" s="10" t="s">
        <v>7</v>
      </c>
      <c r="D452" s="5" t="s">
        <v>3498</v>
      </c>
      <c r="E452" s="1" t="str">
        <f ca="1">IFERROR(__xludf.DUMMYFUNCTION("GOOGLETRANSLATE(D452, ""bn"", ""en"")"),"The first official British response to sati burning was in 1680 when the representative of Madras, Strensham Master, intervened and banned the burning of Hindu widows in the Madras Presidency[102][103]. ")</f>
        <v>The first official British response to sati burning was in 1680 when the representative of Madras, Strensham Master, intervened and banned the burning of Hindu widows in the Madras Presidency[102][103]. </v>
      </c>
      <c r="F452" s="1"/>
      <c r="G452" s="1"/>
      <c r="H452" s="1"/>
      <c r="I452" s="1"/>
    </row>
    <row r="453" spans="1:9" ht="15.6" x14ac:dyDescent="0.3">
      <c r="A453" s="1" t="s">
        <v>9</v>
      </c>
      <c r="B453" s="1" t="s">
        <v>5</v>
      </c>
      <c r="C453" s="10" t="s">
        <v>9</v>
      </c>
      <c r="D453" s="5" t="s">
        <v>446</v>
      </c>
      <c r="E453" s="1" t="str">
        <f ca="1">IFERROR(__xludf.DUMMYFUNCTION("GOOGLETRANSLATE(D453, ""bn"", ""en"")"),"In India's upper house of parliament, the Rajya Sabha, the main opposition Bharatiya Janata Party demanded an all-party delegation to Bangladesh to assess Jamaat-e-Islami's ""persecution of Hindus"".[49] ")</f>
        <v>In India's upper house of parliament, the Rajya Sabha, the main opposition Bharatiya Janata Party demanded an all-party delegation to Bangladesh to assess Jamaat-e-Islami's "persecution of Hindus".[49] </v>
      </c>
      <c r="F453" s="1"/>
      <c r="G453" s="1"/>
      <c r="H453" s="1"/>
      <c r="I453" s="1"/>
    </row>
    <row r="454" spans="1:9" ht="15.6" x14ac:dyDescent="0.3">
      <c r="A454" s="1" t="s">
        <v>4</v>
      </c>
      <c r="B454" s="1" t="s">
        <v>4</v>
      </c>
      <c r="C454" s="10" t="s">
        <v>4</v>
      </c>
      <c r="D454" s="5" t="s">
        <v>447</v>
      </c>
      <c r="E454" s="1" t="str">
        <f ca="1">IFERROR(__xludf.DUMMYFUNCTION("GOOGLETRANSLATE(D454, ""bn"", ""en"")"),"In Pakistan, a police station was set on fire by angry mobs for insulting religion. The incident took place in northwestern Khyber Pakhtunkhwa province on Sunday local time.")</f>
        <v>In Pakistan, a police station was set on fire by angry mobs for insulting religion. The incident took place in northwestern Khyber Pakhtunkhwa province on Sunday local time.</v>
      </c>
      <c r="F454" s="1"/>
      <c r="G454" s="1"/>
      <c r="H454" s="1"/>
      <c r="I454" s="1"/>
    </row>
    <row r="455" spans="1:9" ht="15.6" x14ac:dyDescent="0.3">
      <c r="A455" s="1" t="s">
        <v>5</v>
      </c>
      <c r="B455" s="1" t="s">
        <v>5</v>
      </c>
      <c r="C455" s="10" t="s">
        <v>5</v>
      </c>
      <c r="D455" s="5" t="s">
        <v>448</v>
      </c>
      <c r="E455" s="1" t="str">
        <f ca="1">IFERROR(__xludf.DUMMYFUNCTION("GOOGLETRANSLATE(D455, ""bn"", ""en"")"),"Islam does not teach independence from husband.")</f>
        <v>Islam does not teach independence from husband.</v>
      </c>
      <c r="F455" s="1"/>
      <c r="G455" s="1"/>
      <c r="H455" s="1"/>
      <c r="I455" s="1"/>
    </row>
    <row r="456" spans="1:9" ht="15.6" x14ac:dyDescent="0.3">
      <c r="A456" s="1" t="s">
        <v>4</v>
      </c>
      <c r="B456" s="1" t="s">
        <v>4</v>
      </c>
      <c r="C456" s="10" t="s">
        <v>4</v>
      </c>
      <c r="D456" s="5" t="s">
        <v>449</v>
      </c>
      <c r="E456" s="1" t="str">
        <f ca="1">IFERROR(__xludf.DUMMYFUNCTION("GOOGLETRANSLATE(D456, ""bn"", ""en"")"),"Not the work of the Hindu community in the country, it was done in a well-planned manner through the conspiracy of India. Because the Hindu people of this country will not take such a big risk. Even after that, the broker government!")</f>
        <v>Not the work of the Hindu community in the country, it was done in a well-planned manner through the conspiracy of India. Because the Hindu people of this country will not take such a big risk. Even after that, the broker government!</v>
      </c>
      <c r="F456" s="1"/>
      <c r="G456" s="1"/>
      <c r="H456" s="1"/>
      <c r="I456" s="1"/>
    </row>
    <row r="457" spans="1:9" ht="15.6" x14ac:dyDescent="0.3">
      <c r="A457" s="1" t="s">
        <v>4</v>
      </c>
      <c r="B457" s="1" t="s">
        <v>4</v>
      </c>
      <c r="C457" s="10" t="s">
        <v>4</v>
      </c>
      <c r="D457" s="5" t="s">
        <v>450</v>
      </c>
      <c r="E457" s="1" t="str">
        <f ca="1">IFERROR(__xludf.DUMMYFUNCTION("GOOGLETRANSLATE(D457, ""bn"", ""en"")"),"These trolls who drag religion here and there in words don't remember that it is Sunnah to marry an older woman, Sunnah to marry a divorced woman, Sunnah to marry a widowed woman. This is no laughing matter.")</f>
        <v>These trolls who drag religion here and there in words don't remember that it is Sunnah to marry an older woman, Sunnah to marry a divorced woman, Sunnah to marry a widowed woman. This is no laughing matter.</v>
      </c>
      <c r="F457" s="1"/>
      <c r="G457" s="1"/>
      <c r="H457" s="1"/>
      <c r="I457" s="1"/>
    </row>
    <row r="458" spans="1:9" ht="15.6" x14ac:dyDescent="0.3">
      <c r="A458" s="1" t="s">
        <v>4</v>
      </c>
      <c r="B458" s="1" t="s">
        <v>4</v>
      </c>
      <c r="C458" s="10" t="s">
        <v>4</v>
      </c>
      <c r="D458" s="5" t="s">
        <v>451</v>
      </c>
      <c r="E458" s="1" t="str">
        <f ca="1">IFERROR(__xludf.DUMMYFUNCTION("GOOGLETRANSLATE(D458, ""bn"", ""en"")"),"Once I was reading Quran while sitting in front of a deceased relative. The imam of the local mosque came and said that the Quran cannot be recited while sitting in front of the deceased. It was never read after that.")</f>
        <v>Once I was reading Quran while sitting in front of a deceased relative. The imam of the local mosque came and said that the Quran cannot be recited while sitting in front of the deceased. It was never read after that.</v>
      </c>
      <c r="F458" s="1"/>
      <c r="G458" s="1"/>
      <c r="H458" s="1"/>
      <c r="I458" s="1"/>
    </row>
    <row r="459" spans="1:9" ht="15.6" x14ac:dyDescent="0.3">
      <c r="A459" s="1" t="s">
        <v>7</v>
      </c>
      <c r="B459" s="1" t="s">
        <v>7</v>
      </c>
      <c r="C459" s="10" t="s">
        <v>7</v>
      </c>
      <c r="D459" s="5" t="s">
        <v>452</v>
      </c>
      <c r="E459" s="1" t="str">
        <f ca="1">IFERROR(__xludf.DUMMYFUNCTION("GOOGLETRANSLATE(D459, ""bn"", ""en"")"),"I am from the Islamic State. We love those who love us and we hate those who hate us. We live for our religion and we can die for our religion.")</f>
        <v>I am from the Islamic State. We love those who love us and we hate those who hate us. We live for our religion and we can die for our religion.</v>
      </c>
      <c r="F459" s="1"/>
      <c r="G459" s="1"/>
      <c r="H459" s="1"/>
      <c r="I459" s="1"/>
    </row>
    <row r="460" spans="1:9" ht="15.6" x14ac:dyDescent="0.3">
      <c r="A460" s="1" t="s">
        <v>9</v>
      </c>
      <c r="B460" s="1" t="s">
        <v>9</v>
      </c>
      <c r="C460" s="10" t="s">
        <v>9</v>
      </c>
      <c r="D460" s="5" t="s">
        <v>453</v>
      </c>
      <c r="E460" s="1" t="str">
        <f ca="1">IFERROR(__xludf.DUMMYFUNCTION("GOOGLETRANSLATE(D460, ""bn"", ""en"")"),"In Bangladesh in 2015, a Christian priest was stabbed to death in Dinajpur, an example of sectarian violence.")</f>
        <v>In Bangladesh in 2015, a Christian priest was stabbed to death in Dinajpur, an example of sectarian violence.</v>
      </c>
      <c r="F460" s="1"/>
      <c r="G460" s="1"/>
      <c r="H460" s="1"/>
      <c r="I460" s="1"/>
    </row>
    <row r="461" spans="1:9" ht="15.6" x14ac:dyDescent="0.3">
      <c r="A461" s="1" t="s">
        <v>4</v>
      </c>
      <c r="B461" s="1" t="s">
        <v>4</v>
      </c>
      <c r="C461" s="10" t="s">
        <v>4</v>
      </c>
      <c r="D461" s="5" t="s">
        <v>454</v>
      </c>
      <c r="E461" s="1" t="str">
        <f ca="1">IFERROR(__xludf.DUMMYFUNCTION("GOOGLETRANSLATE(D461, ""bn"", ""en"")"),"Those who try to mislead people by posting such misleading posts and spread rumors will be in the dustbin of history.")</f>
        <v>Those who try to mislead people by posting such misleading posts and spread rumors will be in the dustbin of history.</v>
      </c>
      <c r="F461" s="1"/>
      <c r="G461" s="1"/>
      <c r="H461" s="1"/>
      <c r="I461" s="1"/>
    </row>
    <row r="462" spans="1:9" ht="15.6" x14ac:dyDescent="0.3">
      <c r="A462" s="1" t="s">
        <v>4</v>
      </c>
      <c r="B462" s="1" t="s">
        <v>5</v>
      </c>
      <c r="C462" s="10" t="s">
        <v>4</v>
      </c>
      <c r="D462" s="5" t="s">
        <v>455</v>
      </c>
      <c r="E462" s="1" t="str">
        <f ca="1">IFERROR(__xludf.DUMMYFUNCTION("GOOGLETRANSLATE(D462, ""bn"", ""en"")"),"O Allah, help us, we are weak owners, Islam is being played in this country, we can't do anything, look at those who insult the Quran in Sweden. You have taken the responsibility of guarding the Quran, Allah, Allahumma Amin")</f>
        <v>O Allah, help us, we are weak owners, Islam is being played in this country, we can't do anything, look at those who insult the Quran in Sweden. You have taken the responsibility of guarding the Quran, Allah, Allahumma Amin</v>
      </c>
      <c r="F462" s="1"/>
      <c r="G462" s="1"/>
      <c r="H462" s="1"/>
      <c r="I462" s="1"/>
    </row>
    <row r="463" spans="1:9" ht="15.6" x14ac:dyDescent="0.3">
      <c r="A463" s="1" t="s">
        <v>9</v>
      </c>
      <c r="B463" s="1" t="s">
        <v>9</v>
      </c>
      <c r="C463" s="10" t="s">
        <v>9</v>
      </c>
      <c r="D463" s="5" t="s">
        <v>456</v>
      </c>
      <c r="E463" s="1" t="str">
        <f ca="1">IFERROR(__xludf.DUMMYFUNCTION("GOOGLETRANSLATE(D463, ""bn"", ""en"")"),"What happened in Comilla is part of the conspiracy to create riots in the country. All behave tolerantly so that communal harmony in the country is not destroyed.")</f>
        <v>What happened in Comilla is part of the conspiracy to create riots in the country. All behave tolerantly so that communal harmony in the country is not destroyed.</v>
      </c>
      <c r="F463" s="1"/>
      <c r="G463" s="1"/>
      <c r="H463" s="1"/>
      <c r="I463" s="1"/>
    </row>
    <row r="464" spans="1:9" ht="15.6" x14ac:dyDescent="0.3">
      <c r="A464" s="1" t="s">
        <v>7</v>
      </c>
      <c r="B464" s="1" t="s">
        <v>7</v>
      </c>
      <c r="C464" s="10" t="s">
        <v>7</v>
      </c>
      <c r="D464" s="5" t="s">
        <v>457</v>
      </c>
      <c r="E464" s="1" t="str">
        <f ca="1">IFERROR(__xludf.DUMMYFUNCTION("GOOGLETRANSLATE(D464, ""bn"", ""en"")"),"Suicide is a great sin because this life is not yours. This life has many scenes with invisible masters and their pawns.")</f>
        <v>Suicide is a great sin because this life is not yours. This life has many scenes with invisible masters and their pawns.</v>
      </c>
      <c r="F464" s="1"/>
      <c r="G464" s="1"/>
      <c r="H464" s="1"/>
      <c r="I464" s="1"/>
    </row>
    <row r="465" spans="1:9" ht="15.6" x14ac:dyDescent="0.3">
      <c r="A465" s="1" t="s">
        <v>5</v>
      </c>
      <c r="B465" s="1" t="s">
        <v>5</v>
      </c>
      <c r="C465" s="10" t="s">
        <v>5</v>
      </c>
      <c r="D465" s="5" t="s">
        <v>458</v>
      </c>
      <c r="E465" s="1" t="str">
        <f ca="1">IFERROR(__xludf.DUMMYFUNCTION("GOOGLETRANSLATE(D465, ""bn"", ""en"")"),"May Allah measure us and give us the grace to accept this blessing of Paradise")</f>
        <v>May Allah measure us and give us the grace to accept this blessing of Paradise</v>
      </c>
      <c r="F465" s="1"/>
      <c r="G465" s="1"/>
      <c r="H465" s="1"/>
      <c r="I465" s="1"/>
    </row>
    <row r="466" spans="1:9" ht="15.6" x14ac:dyDescent="0.3">
      <c r="A466" s="1" t="s">
        <v>9</v>
      </c>
      <c r="B466" s="1" t="s">
        <v>5</v>
      </c>
      <c r="C466" s="10" t="s">
        <v>9</v>
      </c>
      <c r="D466" s="5" t="s">
        <v>459</v>
      </c>
      <c r="E466" s="1" t="str">
        <f ca="1">IFERROR(__xludf.DUMMYFUNCTION("GOOGLETRANSLATE(D466, ""bn"", ""en"")"),"For the first six months of the Liberation War, the people of Krishnapur village lived a normal life. Fearing an attack by the Pakistani army, many Hindus sought refuge in the village of Krishnapur as refugees due to the remoteness of the village. Althoug"&amp;"h the Pakistani occupation army took control of Habiganj and reached as far as Lakhai, they did not advance towards Krishnapur. In August 1971, the Pakistani occupation army engaged in several war crimes, including massacres, against Hindus up to present-"&amp;"day Habiganj district. ")</f>
        <v>For the first six months of the Liberation War, the people of Krishnapur village lived a normal life. Fearing an attack by the Pakistani army, many Hindus sought refuge in the village of Krishnapur as refugees due to the remoteness of the village. Although the Pakistani occupation army took control of Habiganj and reached as far as Lakhai, they did not advance towards Krishnapur. In August 1971, the Pakistani occupation army engaged in several war crimes, including massacres, against Hindus up to present-day Habiganj district. </v>
      </c>
      <c r="F466" s="1"/>
      <c r="G466" s="1"/>
      <c r="H466" s="1"/>
      <c r="I466" s="1"/>
    </row>
    <row r="467" spans="1:9" ht="15.6" x14ac:dyDescent="0.3">
      <c r="A467" s="1" t="s">
        <v>5</v>
      </c>
      <c r="B467" s="1" t="s">
        <v>5</v>
      </c>
      <c r="C467" s="10" t="s">
        <v>5</v>
      </c>
      <c r="D467" s="5" t="s">
        <v>460</v>
      </c>
      <c r="E467" s="1" t="str">
        <f ca="1">IFERROR(__xludf.DUMMYFUNCTION("GOOGLETRANSLATE(D467, ""bn"", ""en"")"),"This study has shown that people of different religions and races have peacefully coped with events such as major natural disasters. And in some situations these people have become violent.")</f>
        <v>This study has shown that people of different religions and races have peacefully coped with events such as major natural disasters. And in some situations these people have become violent.</v>
      </c>
      <c r="F467" s="1"/>
      <c r="G467" s="1"/>
      <c r="H467" s="1"/>
      <c r="I467" s="1"/>
    </row>
    <row r="468" spans="1:9" ht="15.6" x14ac:dyDescent="0.3">
      <c r="A468" s="1" t="s">
        <v>7</v>
      </c>
      <c r="B468" s="1" t="s">
        <v>7</v>
      </c>
      <c r="C468" s="10" t="s">
        <v>7</v>
      </c>
      <c r="D468" s="5" t="s">
        <v>461</v>
      </c>
      <c r="E468" s="1" t="str">
        <f ca="1">IFERROR(__xludf.DUMMYFUNCTION("GOOGLETRANSLATE(D468, ""bn"", ""en"")"),"The Pakistani occupation army negotiated with the local chieftain Abdul Ahad Chowdhury. At the end of the discussion, the captain gave the order to shoot. The soldiers opened fire on the captured Hindus, killing 63 instantly.[1] Two of them survived by pr"&amp;"etending to be dead.[2] The Razakars then ransacked the village and Pakistani raiders pounced on the women. A woman was taken prisoner in the house of Abdul Ahad Chowdhury.")</f>
        <v>The Pakistani occupation army negotiated with the local chieftain Abdul Ahad Chowdhury. At the end of the discussion, the captain gave the order to shoot. The soldiers opened fire on the captured Hindus, killing 63 instantly.[1] Two of them survived by pretending to be dead.[2] The Razakars then ransacked the village and Pakistani raiders pounced on the women. A woman was taken prisoner in the house of Abdul Ahad Chowdhury.</v>
      </c>
      <c r="F468" s="1"/>
      <c r="G468" s="1"/>
      <c r="H468" s="1"/>
      <c r="I468" s="1"/>
    </row>
    <row r="469" spans="1:9" ht="15.6" x14ac:dyDescent="0.3">
      <c r="A469" s="1" t="s">
        <v>4</v>
      </c>
      <c r="B469" s="1" t="s">
        <v>4</v>
      </c>
      <c r="C469" s="10" t="s">
        <v>4</v>
      </c>
      <c r="D469" s="5" t="s">
        <v>462</v>
      </c>
      <c r="E469" s="1" t="str">
        <f ca="1">IFERROR(__xludf.DUMMYFUNCTION("GOOGLETRANSLATE(D469, ""bn"", ""en"")"),"Mr. Two days ago, Erdogan described the French president as an Islam and Muslim hater, commenting that “Mr Macron needs psychiatric treatment now.")</f>
        <v>Mr. Two days ago, Erdogan described the French president as an Islam and Muslim hater, commenting that “Mr Macron needs psychiatric treatment now.</v>
      </c>
      <c r="F469" s="1"/>
      <c r="G469" s="1"/>
      <c r="H469" s="1"/>
      <c r="I469" s="1"/>
    </row>
    <row r="470" spans="1:9" ht="15.6" x14ac:dyDescent="0.3">
      <c r="A470" s="1" t="s">
        <v>5</v>
      </c>
      <c r="B470" s="1" t="s">
        <v>5</v>
      </c>
      <c r="C470" s="10" t="s">
        <v>5</v>
      </c>
      <c r="D470" s="5" t="s">
        <v>463</v>
      </c>
      <c r="E470" s="1" t="str">
        <f ca="1">IFERROR(__xludf.DUMMYFUNCTION("GOOGLETRANSLATE(D470, ""bn"", ""en"")"),"You are not Muslim, so you do not understand how beautiful Islam is! How many women are just waiting for this Islamic caliphate. How many men and women dream of this Islamic caliphate! You do not have the ability to understand how much respect Islam has g"&amp;"iven to a woman.")</f>
        <v>You are not Muslim, so you do not understand how beautiful Islam is! How many women are just waiting for this Islamic caliphate. How many men and women dream of this Islamic caliphate! You do not have the ability to understand how much respect Islam has given to a woman.</v>
      </c>
      <c r="F470" s="1"/>
      <c r="G470" s="1"/>
      <c r="H470" s="1"/>
      <c r="I470" s="1"/>
    </row>
    <row r="471" spans="1:9" ht="15.6" x14ac:dyDescent="0.3">
      <c r="A471" s="1" t="s">
        <v>9</v>
      </c>
      <c r="B471" s="1" t="s">
        <v>9</v>
      </c>
      <c r="C471" s="10" t="s">
        <v>9</v>
      </c>
      <c r="D471" s="5" t="s">
        <v>464</v>
      </c>
      <c r="E471" s="1" t="str">
        <f ca="1">IFERROR(__xludf.DUMMYFUNCTION("GOOGLETRANSLATE(D471, ""bn"", ""en"")"),"In 2017, the shrines of religions of African heritage were set on fire in Brazil, injuring religious leaders and followers.")</f>
        <v>In 2017, the shrines of religions of African heritage were set on fire in Brazil, injuring religious leaders and followers.</v>
      </c>
      <c r="F471" s="1"/>
      <c r="G471" s="1"/>
      <c r="H471" s="1"/>
      <c r="I471" s="1"/>
    </row>
    <row r="472" spans="1:9" ht="15.6" x14ac:dyDescent="0.3">
      <c r="A472" s="1" t="s">
        <v>5</v>
      </c>
      <c r="B472" s="1" t="s">
        <v>5</v>
      </c>
      <c r="C472" s="10" t="s">
        <v>5</v>
      </c>
      <c r="D472" s="5" t="s">
        <v>465</v>
      </c>
      <c r="E472" s="1" t="str">
        <f ca="1">IFERROR(__xludf.DUMMYFUNCTION("GOOGLETRANSLATE(D472, ""bn"", ""en"")"),"Alhamdulillah, even before watching this video I was 100% confirmed that Quran is written by Allah. Even after watching it, I believe 100% that Quran is written by Allah. But watching the video I learned a lot that I didn't know before. Do you agree??")</f>
        <v>Alhamdulillah, even before watching this video I was 100% confirmed that Quran is written by Allah. Even after watching it, I believe 100% that Quran is written by Allah. But watching the video I learned a lot that I didn't know before. Do you agree??</v>
      </c>
      <c r="F472" s="1"/>
      <c r="G472" s="1"/>
      <c r="H472" s="1"/>
      <c r="I472" s="1"/>
    </row>
    <row r="473" spans="1:9" ht="15.6" x14ac:dyDescent="0.3">
      <c r="A473" s="1" t="s">
        <v>7</v>
      </c>
      <c r="B473" s="1" t="s">
        <v>5</v>
      </c>
      <c r="C473" s="10" t="s">
        <v>7</v>
      </c>
      <c r="D473" s="5" t="s">
        <v>466</v>
      </c>
      <c r="E473" s="1" t="str">
        <f ca="1">IFERROR(__xludf.DUMMYFUNCTION("GOOGLETRANSLATE(D473, ""bn"", ""en"")"),"On 17 June, when the stench of the corpses became unbearable, the Rajakars buried the bodies. [2] However, on 22 June, a group of freedom fighters under the orders of MAG Osmani recovered the bodies and brought them to Sylhet.")</f>
        <v>On 17 June, when the stench of the corpses became unbearable, the Rajakars buried the bodies. [2] However, on 22 June, a group of freedom fighters under the orders of MAG Osmani recovered the bodies and brought them to Sylhet.</v>
      </c>
      <c r="F473" s="1"/>
      <c r="G473" s="1"/>
      <c r="H473" s="1"/>
      <c r="I473" s="1"/>
    </row>
    <row r="474" spans="1:9" ht="15.6" x14ac:dyDescent="0.3">
      <c r="A474" s="1" t="s">
        <v>4</v>
      </c>
      <c r="B474" s="1" t="s">
        <v>9</v>
      </c>
      <c r="C474" s="10" t="s">
        <v>4</v>
      </c>
      <c r="D474" s="5" t="s">
        <v>467</v>
      </c>
      <c r="E474" s="1" t="str">
        <f ca="1">IFERROR(__xludf.DUMMYFUNCTION("GOOGLETRANSLATE(D474, ""bn"", ""en"")"),"Indian captain Virat Kohli gave a strong message to extremists. According to him, some spineless people do such despicable things. Attacking someone on religion is the saddest thing in Kohli's view.")</f>
        <v>Indian captain Virat Kohli gave a strong message to extremists. According to him, some spineless people do such despicable things. Attacking someone on religion is the saddest thing in Kohli's view.</v>
      </c>
      <c r="F474" s="1"/>
      <c r="G474" s="1"/>
      <c r="H474" s="1"/>
      <c r="I474" s="1"/>
    </row>
    <row r="475" spans="1:9" ht="15.6" x14ac:dyDescent="0.3">
      <c r="A475" s="1" t="s">
        <v>9</v>
      </c>
      <c r="B475" s="1" t="s">
        <v>9</v>
      </c>
      <c r="C475" s="10" t="s">
        <v>9</v>
      </c>
      <c r="D475" s="5" t="s">
        <v>468</v>
      </c>
      <c r="E475" s="1" t="str">
        <f ca="1">IFERROR(__xludf.DUMMYFUNCTION("GOOGLETRANSLATE(D475, ""bn"", ""en"")"),"Stopping Raspuja in Gauripur on the pretext of threatening to blow up the temple")</f>
        <v>Stopping Raspuja in Gauripur on the pretext of threatening to blow up the temple</v>
      </c>
      <c r="F475" s="1"/>
      <c r="G475" s="1"/>
      <c r="H475" s="1"/>
      <c r="I475" s="1"/>
    </row>
    <row r="476" spans="1:9" ht="15.6" x14ac:dyDescent="0.3">
      <c r="A476" s="1" t="s">
        <v>4</v>
      </c>
      <c r="B476" s="1" t="s">
        <v>9</v>
      </c>
      <c r="C476" s="10" t="s">
        <v>4</v>
      </c>
      <c r="D476" s="5" t="s">
        <v>469</v>
      </c>
      <c r="E476" s="1" t="str">
        <f ca="1">IFERROR(__xludf.DUMMYFUNCTION("GOOGLETRANSLATE(D476, ""bn"", ""en"")"),"No true Hindu or Muslim would ever insult the Holy Quran. We need to be vocal about the tactics and next steps of those who have done this.")</f>
        <v>No true Hindu or Muslim would ever insult the Holy Quran. We need to be vocal about the tactics and next steps of those who have done this.</v>
      </c>
      <c r="F476" s="1"/>
      <c r="G476" s="1"/>
      <c r="H476" s="1"/>
      <c r="I476" s="1"/>
    </row>
    <row r="477" spans="1:9" ht="15.6" x14ac:dyDescent="0.3">
      <c r="A477" s="1" t="s">
        <v>9</v>
      </c>
      <c r="B477" s="1" t="s">
        <v>9</v>
      </c>
      <c r="C477" s="10" t="s">
        <v>9</v>
      </c>
      <c r="D477" s="5" t="s">
        <v>470</v>
      </c>
      <c r="E477" s="1" t="str">
        <f ca="1">IFERROR(__xludf.DUMMYFUNCTION("GOOGLETRANSLATE(D477, ""bn"", ""en"")"),"Across the border, Bangladesh and the anti-Muslim rioters, the BJP and the RSS, who have come to power by telling stories of ""minority oppression"" in Bangladesh and seeking to justify the killing of Muslims in India by religious polarization.")</f>
        <v>Across the border, Bangladesh and the anti-Muslim rioters, the BJP and the RSS, who have come to power by telling stories of "minority oppression" in Bangladesh and seeking to justify the killing of Muslims in India by religious polarization.</v>
      </c>
      <c r="F477" s="1"/>
      <c r="G477" s="1"/>
      <c r="H477" s="1"/>
      <c r="I477" s="1"/>
    </row>
    <row r="478" spans="1:9" ht="15.6" x14ac:dyDescent="0.3">
      <c r="A478" s="1" t="s">
        <v>9</v>
      </c>
      <c r="B478" s="1" t="s">
        <v>4</v>
      </c>
      <c r="C478" s="10" t="s">
        <v>9</v>
      </c>
      <c r="D478" s="5" t="s">
        <v>471</v>
      </c>
      <c r="E478" s="1" t="str">
        <f ca="1">IFERROR(__xludf.DUMMYFUNCTION("GOOGLETRANSLATE(D478, ""bn"", ""en"")"),"Hindus were prevented from filing any complaint at the police station and Muslims who lodged complaints were threatened by Muslims to withdraw them. The Muslims used to publicly address the men and women of the Hindu family with derogatory names such as M"&amp;"alaun, Kafir etc.")</f>
        <v>Hindus were prevented from filing any complaint at the police station and Muslims who lodged complaints were threatened by Muslims to withdraw them. The Muslims used to publicly address the men and women of the Hindu family with derogatory names such as Malaun, Kafir etc.</v>
      </c>
      <c r="F478" s="1"/>
      <c r="G478" s="1"/>
      <c r="H478" s="1"/>
      <c r="I478" s="1"/>
    </row>
    <row r="479" spans="1:9" ht="15.6" x14ac:dyDescent="0.3">
      <c r="A479" s="1" t="s">
        <v>5</v>
      </c>
      <c r="B479" s="1" t="s">
        <v>5</v>
      </c>
      <c r="C479" s="10" t="s">
        <v>5</v>
      </c>
      <c r="D479" s="5" t="s">
        <v>472</v>
      </c>
      <c r="E479" s="1" t="str">
        <f ca="1">IFERROR(__xludf.DUMMYFUNCTION("GOOGLETRANSLATE(D479, ""bn"", ""en"")"),"Alhamdulillah is a good law. But if we say something dishonorable to the name of Muhammad sallallahu alayhi wa sallam, he should be punished accordingly. Who agrees with me?")</f>
        <v>Alhamdulillah is a good law. But if we say something dishonorable to the name of Muhammad sallallahu alayhi wa sallam, he should be punished accordingly. Who agrees with me?</v>
      </c>
      <c r="F479" s="1"/>
      <c r="G479" s="1"/>
      <c r="H479" s="1"/>
      <c r="I479" s="1"/>
    </row>
    <row r="480" spans="1:9" ht="15.6" x14ac:dyDescent="0.3">
      <c r="A480" s="1" t="s">
        <v>4</v>
      </c>
      <c r="B480" s="1" t="s">
        <v>5</v>
      </c>
      <c r="C480" s="10" t="s">
        <v>4</v>
      </c>
      <c r="D480" s="5" t="s">
        <v>473</v>
      </c>
      <c r="E480" s="1" t="str">
        <f ca="1">IFERROR(__xludf.DUMMYFUNCTION("GOOGLETRANSLATE(D480, ""bn"", ""en"")"),"On January 14 and 15, Hindu passengers of Dhaka-bound trains coming from Chittagong and Sirajganj were asked by Muslim thugs to get down at Tongi and Tejgaon.")</f>
        <v>On January 14 and 15, Hindu passengers of Dhaka-bound trains coming from Chittagong and Sirajganj were asked by Muslim thugs to get down at Tongi and Tejgaon.</v>
      </c>
      <c r="F480" s="1"/>
      <c r="G480" s="1"/>
      <c r="H480" s="1"/>
      <c r="I480" s="1"/>
    </row>
    <row r="481" spans="1:9" ht="15.6" x14ac:dyDescent="0.3">
      <c r="A481" s="1" t="s">
        <v>7</v>
      </c>
      <c r="B481" s="1" t="s">
        <v>7</v>
      </c>
      <c r="C481" s="10" t="s">
        <v>7</v>
      </c>
      <c r="D481" s="5" t="s">
        <v>474</v>
      </c>
      <c r="E481" s="1" t="str">
        <f ca="1">IFERROR(__xludf.DUMMYFUNCTION("GOOGLETRANSLATE(D481, ""bn"", ""en"")"),"Days after a man was beaten to death and set on fire in Lalmonirhat, a few Hindu houses were torched in Comilla.")</f>
        <v>Days after a man was beaten to death and set on fire in Lalmonirhat, a few Hindu houses were torched in Comilla.</v>
      </c>
      <c r="F481" s="1"/>
      <c r="G481" s="1"/>
      <c r="H481" s="1"/>
      <c r="I481" s="1"/>
    </row>
    <row r="482" spans="1:9" ht="15.6" x14ac:dyDescent="0.3">
      <c r="A482" s="1" t="s">
        <v>5</v>
      </c>
      <c r="B482" s="1" t="s">
        <v>4</v>
      </c>
      <c r="C482" s="10" t="s">
        <v>5</v>
      </c>
      <c r="D482" s="5" t="s">
        <v>475</v>
      </c>
      <c r="E482" s="1" t="str">
        <f ca="1">IFERROR(__xludf.DUMMYFUNCTION("GOOGLETRANSLATE(D482, ""bn"", ""en"")"),"Muslims were able to conquer Bengal so easily because they supported the local Buddhists. Muslims extended a helping hand to the Buddhists in their plight. As a result, Buddhists came in contact with Muslims and, inspired by Islam, converted to Islam. Eve"&amp;"n lower caste Hindus than Hindus converted to Islam due to caste discrimination.")</f>
        <v>Muslims were able to conquer Bengal so easily because they supported the local Buddhists. Muslims extended a helping hand to the Buddhists in their plight. As a result, Buddhists came in contact with Muslims and, inspired by Islam, converted to Islam. Even lower caste Hindus than Hindus converted to Islam due to caste discrimination.</v>
      </c>
      <c r="F482" s="1"/>
      <c r="G482" s="1"/>
      <c r="H482" s="1"/>
      <c r="I482" s="1"/>
    </row>
    <row r="483" spans="1:9" ht="15.6" x14ac:dyDescent="0.3">
      <c r="A483" s="1" t="s">
        <v>5</v>
      </c>
      <c r="B483" s="1" t="s">
        <v>5</v>
      </c>
      <c r="C483" s="10" t="s">
        <v>5</v>
      </c>
      <c r="D483" s="5" t="s">
        <v>476</v>
      </c>
      <c r="E483" s="1" t="str">
        <f ca="1">IFERROR(__xludf.DUMMYFUNCTION("GOOGLETRANSLATE(D483, ""bn"", ""en"")"),"Thousands of hapless refugees move towards neighboring India in search of new opportunities. Every day 5,000 to 6,000 Arta Hindus would gather in front of the Indian Embassy for their new life.")</f>
        <v>Thousands of hapless refugees move towards neighboring India in search of new opportunities. Every day 5,000 to 6,000 Arta Hindus would gather in front of the Indian Embassy for their new life.</v>
      </c>
      <c r="F483" s="1"/>
      <c r="G483" s="1"/>
      <c r="H483" s="1"/>
      <c r="I483" s="1"/>
    </row>
    <row r="484" spans="1:9" ht="15.6" x14ac:dyDescent="0.3">
      <c r="A484" s="1" t="s">
        <v>7</v>
      </c>
      <c r="B484" s="1" t="s">
        <v>5</v>
      </c>
      <c r="C484" s="10" t="s">
        <v>7</v>
      </c>
      <c r="D484" s="5" t="s">
        <v>477</v>
      </c>
      <c r="E484" s="1" t="str">
        <f ca="1">IFERROR(__xludf.DUMMYFUNCTION("GOOGLETRANSLATE(D484, ""bn"", ""en"")"),"In 2009, the Government of Bangladesh established a memorial at the site of the massacre.[3] In 2011, survivors and relatives of the victims held rallies and memorial services to commemorate the victims. Speakers in the meeting demanded hanging of war cri"&amp;"minals.")</f>
        <v>In 2009, the Government of Bangladesh established a memorial at the site of the massacre.[3] In 2011, survivors and relatives of the victims held rallies and memorial services to commemorate the victims. Speakers in the meeting demanded hanging of war criminals.</v>
      </c>
      <c r="F484" s="1"/>
      <c r="G484" s="1"/>
      <c r="H484" s="1"/>
      <c r="I484" s="1"/>
    </row>
    <row r="485" spans="1:9" ht="15.6" x14ac:dyDescent="0.3">
      <c r="A485" s="1" t="s">
        <v>9</v>
      </c>
      <c r="B485" s="1" t="s">
        <v>5</v>
      </c>
      <c r="C485" s="10" t="s">
        <v>9</v>
      </c>
      <c r="D485" s="5" t="s">
        <v>478</v>
      </c>
      <c r="E485" s="1" t="str">
        <f ca="1">IFERROR(__xludf.DUMMYFUNCTION("GOOGLETRANSLATE(D485, ""bn"", ""en"")"),"At least 750 Hindu families had to descend under the open sky. Santosh Chatterjee, a representative of the Press Trust of India (PTI), was arrested by the police on November 25, 1949 without charge and imprisoned for a month.")</f>
        <v>At least 750 Hindu families had to descend under the open sky. Santosh Chatterjee, a representative of the Press Trust of India (PTI), was arrested by the police on November 25, 1949 without charge and imprisoned for a month.</v>
      </c>
      <c r="F485" s="1"/>
      <c r="G485" s="1"/>
      <c r="H485" s="1"/>
      <c r="I485" s="1"/>
    </row>
    <row r="486" spans="1:9" ht="15.6" x14ac:dyDescent="0.3">
      <c r="A486" s="1" t="s">
        <v>7</v>
      </c>
      <c r="B486" s="1" t="s">
        <v>7</v>
      </c>
      <c r="C486" s="10" t="s">
        <v>7</v>
      </c>
      <c r="D486" s="5" t="s">
        <v>479</v>
      </c>
      <c r="E486" s="1" t="str">
        <f ca="1">IFERROR(__xludf.DUMMYFUNCTION("GOOGLETRANSLATE(D486, ""bn"", ""en"")"),"After the killing of ex-army officer Major Sinha Mohammad Rashed Khan in Cox's Bazar on July 31 in Bangladesh, the incidents of crossfires or gun battles have surprisingly decreased throughout Bangladesh.")</f>
        <v>After the killing of ex-army officer Major Sinha Mohammad Rashed Khan in Cox's Bazar on July 31 in Bangladesh, the incidents of crossfires or gun battles have surprisingly decreased throughout Bangladesh.</v>
      </c>
      <c r="F486" s="1"/>
      <c r="G486" s="1"/>
      <c r="H486" s="1"/>
      <c r="I486" s="1"/>
    </row>
    <row r="487" spans="1:9" ht="15.6" x14ac:dyDescent="0.3">
      <c r="A487" s="1" t="s">
        <v>7</v>
      </c>
      <c r="B487" s="1" t="s">
        <v>7</v>
      </c>
      <c r="C487" s="10" t="s">
        <v>7</v>
      </c>
      <c r="D487" s="5" t="s">
        <v>480</v>
      </c>
      <c r="E487" s="1" t="str">
        <f ca="1">IFERROR(__xludf.DUMMYFUNCTION("GOOGLETRANSLATE(D487, ""bn"", ""en"")"),"Jamaat-e-Islami leader Ali Ahsan Mohammad Mojahed led Razakar and a group of Pakistani army to the Hindu-dominated villages of Vaiddani, Majhidani and Baladangi where they killed 50-60 unarmed Bengali Hindus. The attackers set fire to 300-350 Hindu famili"&amp;"es, forcing them to flee the country.")</f>
        <v>Jamaat-e-Islami leader Ali Ahsan Mohammad Mojahed led Razakar and a group of Pakistani army to the Hindu-dominated villages of Vaiddani, Majhidani and Baladangi where they killed 50-60 unarmed Bengali Hindus. The attackers set fire to 300-350 Hindu families, forcing them to flee the country.</v>
      </c>
      <c r="F487" s="1"/>
      <c r="G487" s="1"/>
      <c r="H487" s="1"/>
      <c r="I487" s="1"/>
    </row>
    <row r="488" spans="1:9" ht="15.6" x14ac:dyDescent="0.3">
      <c r="A488" s="1" t="s">
        <v>4</v>
      </c>
      <c r="B488" s="1" t="s">
        <v>4</v>
      </c>
      <c r="C488" s="10" t="s">
        <v>4</v>
      </c>
      <c r="D488" s="5" t="s">
        <v>481</v>
      </c>
      <c r="E488" s="1" t="str">
        <f ca="1">IFERROR(__xludf.DUMMYFUNCTION("GOOGLETRANSLATE(D488, ""bn"", ""en"")"),"Only one religion has fundamentalism. Other religions do not have such a history. You are insulting all other religions. The whole world has this one terrorist religion")</f>
        <v>Only one religion has fundamentalism. Other religions do not have such a history. You are insulting all other religions. The whole world has this one terrorist religion</v>
      </c>
      <c r="F488" s="1"/>
      <c r="G488" s="1"/>
      <c r="H488" s="1"/>
      <c r="I488" s="1"/>
    </row>
    <row r="489" spans="1:9" ht="15.6" x14ac:dyDescent="0.3">
      <c r="A489" s="1" t="s">
        <v>5</v>
      </c>
      <c r="B489" s="1" t="s">
        <v>5</v>
      </c>
      <c r="C489" s="10" t="s">
        <v>5</v>
      </c>
      <c r="D489" s="5" t="s">
        <v>482</v>
      </c>
      <c r="E489" s="1" t="str">
        <f ca="1">IFERROR(__xludf.DUMMYFUNCTION("GOOGLETRANSLATE(D489, ""bn"", ""en"")"),"What the nature of God and religion will be, what regions of the world a religion might originate in, or where a religion will flourish may depend to some extent on geography and climate. The nature and behavior of the God of the plains and the God of the"&amp;" desert are not the same.")</f>
        <v>What the nature of God and religion will be, what regions of the world a religion might originate in, or where a religion will flourish may depend to some extent on geography and climate. The nature and behavior of the God of the plains and the God of the desert are not the same.</v>
      </c>
      <c r="F489" s="1"/>
      <c r="G489" s="1"/>
      <c r="H489" s="1"/>
      <c r="I489" s="1"/>
    </row>
    <row r="490" spans="1:9" ht="15.6" x14ac:dyDescent="0.3">
      <c r="A490" s="1" t="s">
        <v>5</v>
      </c>
      <c r="B490" s="1" t="s">
        <v>5</v>
      </c>
      <c r="C490" s="10" t="s">
        <v>5</v>
      </c>
      <c r="D490" s="5" t="s">
        <v>483</v>
      </c>
      <c r="E490" s="1" t="str">
        <f ca="1">IFERROR(__xludf.DUMMYFUNCTION("GOOGLETRANSLATE(D490, ""bn"", ""en"")"),"Alhamdulillah, I also feel different when I hear this, I cry too. And only it seems, only from this world what good work and what bad work I am doing. Believe me, whenever I listen to this video, a different kind of peace works in me.")</f>
        <v>Alhamdulillah, I also feel different when I hear this, I cry too. And only it seems, only from this world what good work and what bad work I am doing. Believe me, whenever I listen to this video, a different kind of peace works in me.</v>
      </c>
      <c r="F490" s="1"/>
      <c r="G490" s="1"/>
      <c r="H490" s="1"/>
      <c r="I490" s="1"/>
    </row>
    <row r="491" spans="1:9" ht="15.6" x14ac:dyDescent="0.3">
      <c r="A491" s="1" t="s">
        <v>5</v>
      </c>
      <c r="B491" s="1" t="s">
        <v>5</v>
      </c>
      <c r="C491" s="10" t="s">
        <v>5</v>
      </c>
      <c r="D491" s="5" t="s">
        <v>484</v>
      </c>
      <c r="E491" s="1" t="str">
        <f ca="1">IFERROR(__xludf.DUMMYFUNCTION("GOOGLETRANSLATE(D491, ""bn"", ""en"")"),"Don't understand, brother doesn't understand. Islam is the only logical explanation for the existence of the total universe. Besides, everything is subjective, meaning doctrine. Everyone is interpreting it as they like. However, Islam is a very serious ma"&amp;"tter.")</f>
        <v>Don't understand, brother doesn't understand. Islam is the only logical explanation for the existence of the total universe. Besides, everything is subjective, meaning doctrine. Everyone is interpreting it as they like. However, Islam is a very serious matter.</v>
      </c>
      <c r="F491" s="1"/>
      <c r="G491" s="1"/>
      <c r="H491" s="1"/>
      <c r="I491" s="1"/>
    </row>
    <row r="492" spans="1:9" ht="15.6" x14ac:dyDescent="0.3">
      <c r="A492" s="1" t="s">
        <v>5</v>
      </c>
      <c r="B492" s="1" t="s">
        <v>5</v>
      </c>
      <c r="C492" s="10" t="s">
        <v>5</v>
      </c>
      <c r="D492" s="5" t="s">
        <v>485</v>
      </c>
      <c r="E492" s="1" t="str">
        <f ca="1">IFERROR(__xludf.DUMMYFUNCTION("GOOGLETRANSLATE(D492, ""bn"", ""en"")"),"Iman increased after watching the video, God is great. May Allah create your love in my heart")</f>
        <v>Iman increased after watching the video, God is great. May Allah create your love in my heart</v>
      </c>
      <c r="F492" s="1"/>
      <c r="G492" s="1"/>
      <c r="H492" s="1"/>
      <c r="I492" s="1"/>
    </row>
    <row r="493" spans="1:9" ht="15.6" x14ac:dyDescent="0.3">
      <c r="A493" s="1" t="s">
        <v>9</v>
      </c>
      <c r="B493" s="1" t="s">
        <v>9</v>
      </c>
      <c r="C493" s="10" t="s">
        <v>9</v>
      </c>
      <c r="D493" s="5" t="s">
        <v>486</v>
      </c>
      <c r="E493" s="1" t="str">
        <f ca="1">IFERROR(__xludf.DUMMYFUNCTION("GOOGLETRANSLATE(D493, ""bn"", ""en"")"),"The Palas were overthrown by the Sen dynasty from South India. The South Indian Sena rulers came to power and started persecuting the Buddhists.")</f>
        <v>The Palas were overthrown by the Sen dynasty from South India. The South Indian Sena rulers came to power and started persecuting the Buddhists.</v>
      </c>
      <c r="F493" s="1"/>
      <c r="G493" s="1"/>
      <c r="H493" s="1"/>
      <c r="I493" s="1"/>
    </row>
    <row r="494" spans="1:9" ht="15.6" x14ac:dyDescent="0.3">
      <c r="A494" s="1" t="s">
        <v>5</v>
      </c>
      <c r="B494" s="1" t="s">
        <v>5</v>
      </c>
      <c r="C494" s="10" t="s">
        <v>5</v>
      </c>
      <c r="D494" s="5" t="s">
        <v>487</v>
      </c>
      <c r="E494" s="1" t="str">
        <f ca="1">IFERROR(__xludf.DUMMYFUNCTION("GOOGLETRANSLATE(D494, ""bn"", ""en"")"),"Allah Subhanahu Ta'ala says, ""And the life of this world is nothing but a joke, and surely the abode of the Hereafter is the real life, if only they knew."" (Surah Al Ankabut: 64)")</f>
        <v>Allah Subhanahu Ta'ala says, "And the life of this world is nothing but a joke, and surely the abode of the Hereafter is the real life, if only they knew." (Surah Al Ankabut: 64)</v>
      </c>
      <c r="F494" s="1"/>
      <c r="G494" s="1"/>
      <c r="H494" s="1"/>
      <c r="I494" s="1"/>
    </row>
    <row r="495" spans="1:9" ht="15.6" x14ac:dyDescent="0.3">
      <c r="A495" s="1" t="s">
        <v>9</v>
      </c>
      <c r="B495" s="1" t="s">
        <v>9</v>
      </c>
      <c r="C495" s="10" t="s">
        <v>9</v>
      </c>
      <c r="D495" s="5" t="s">
        <v>488</v>
      </c>
      <c r="E495" s="1" t="str">
        <f ca="1">IFERROR(__xludf.DUMMYFUNCTION("GOOGLETRANSLATE(D495, ""bn"", ""en"")"),"On the night of January 7, BNP and Jamaat Islam activists destroyed five Hindu shops and two houses in Kuptola Union of Sadar Upazila of Gaibandha in Gaibandha district. Five people were injured in the attack.")</f>
        <v>On the night of January 7, BNP and Jamaat Islam activists destroyed five Hindu shops and two houses in Kuptola Union of Sadar Upazila of Gaibandha in Gaibandha district. Five people were injured in the attack.</v>
      </c>
      <c r="F495" s="1"/>
      <c r="G495" s="1"/>
      <c r="H495" s="1"/>
      <c r="I495" s="1"/>
    </row>
    <row r="496" spans="1:9" ht="15.6" x14ac:dyDescent="0.3">
      <c r="A496" s="1" t="s">
        <v>4</v>
      </c>
      <c r="B496" s="1" t="s">
        <v>5</v>
      </c>
      <c r="C496" s="10" t="s">
        <v>4</v>
      </c>
      <c r="D496" s="5" t="s">
        <v>489</v>
      </c>
      <c r="E496" s="1" t="str">
        <f ca="1">IFERROR(__xludf.DUMMYFUNCTION("GOOGLETRANSLATE(D496, ""bn"", ""en"")"),"This infidel was seen in our month of Ramadan, may Allah guide you, Ameen")</f>
        <v>This infidel was seen in our month of Ramadan, may Allah guide you, Ameen</v>
      </c>
      <c r="F496" s="1"/>
      <c r="G496" s="1"/>
      <c r="H496" s="1"/>
      <c r="I496" s="1"/>
    </row>
    <row r="497" spans="1:9" ht="15.6" x14ac:dyDescent="0.3">
      <c r="A497" s="1" t="s">
        <v>5</v>
      </c>
      <c r="B497" s="1" t="s">
        <v>5</v>
      </c>
      <c r="C497" s="10" t="s">
        <v>5</v>
      </c>
      <c r="D497" s="5" t="s">
        <v>490</v>
      </c>
      <c r="E497" s="1" t="str">
        <f ca="1">IFERROR(__xludf.DUMMYFUNCTION("GOOGLETRANSLATE(D497, ""bn"", ""en"")"),"What Allah has ordained for man must be fulfilled. It has been said, 'Allah will fulfill His will; Allah has set certain limits for everything.")</f>
        <v>What Allah has ordained for man must be fulfilled. It has been said, 'Allah will fulfill His will; Allah has set certain limits for everything.</v>
      </c>
      <c r="F497" s="1"/>
      <c r="G497" s="1"/>
      <c r="H497" s="1"/>
      <c r="I497" s="1"/>
    </row>
    <row r="498" spans="1:9" ht="15.6" x14ac:dyDescent="0.3">
      <c r="A498" s="1" t="s">
        <v>4</v>
      </c>
      <c r="B498" s="1" t="s">
        <v>4</v>
      </c>
      <c r="C498" s="10" t="s">
        <v>4</v>
      </c>
      <c r="D498" s="5" t="s">
        <v>491</v>
      </c>
      <c r="E498" s="1" t="str">
        <f ca="1">IFERROR(__xludf.DUMMYFUNCTION("GOOGLETRANSLATE(D498, ""bn"", ""en"")"),"This time he is doing the real trick, so far he is saying bungbhang, now he is paving the way for Muslims by awakening 'Hindu love' among them.")</f>
        <v>This time he is doing the real trick, so far he is saying bungbhang, now he is paving the way for Muslims by awakening 'Hindu love' among them.</v>
      </c>
      <c r="F498" s="1"/>
      <c r="G498" s="1"/>
      <c r="H498" s="1"/>
      <c r="I498" s="1"/>
    </row>
    <row r="499" spans="1:9" ht="15.6" x14ac:dyDescent="0.3">
      <c r="A499" s="1" t="s">
        <v>5</v>
      </c>
      <c r="B499" s="1" t="s">
        <v>5</v>
      </c>
      <c r="C499" s="10" t="s">
        <v>5</v>
      </c>
      <c r="D499" s="5" t="s">
        <v>492</v>
      </c>
      <c r="E499" s="1" t="str">
        <f ca="1">IFERROR(__xludf.DUMMYFUNCTION("GOOGLETRANSLATE(D499, ""bn"", ""en"")"),"May the unhappy world be calm, may the rule of the Buddha live forever, be free from suffering, bring the mind to an empty place, be free from desire, this is the Buddha's principle.")</f>
        <v>May the unhappy world be calm, may the rule of the Buddha live forever, be free from suffering, bring the mind to an empty place, be free from desire, this is the Buddha's principle.</v>
      </c>
      <c r="F499" s="1"/>
      <c r="G499" s="1"/>
      <c r="H499" s="1"/>
      <c r="I499" s="1"/>
    </row>
    <row r="500" spans="1:9" ht="15.6" x14ac:dyDescent="0.3">
      <c r="A500" s="1" t="s">
        <v>9</v>
      </c>
      <c r="B500" s="1" t="s">
        <v>9</v>
      </c>
      <c r="C500" s="10" t="s">
        <v>9</v>
      </c>
      <c r="D500" s="5" t="s">
        <v>493</v>
      </c>
      <c r="E500" s="1" t="str">
        <f ca="1">IFERROR(__xludf.DUMMYFUNCTION("GOOGLETRANSLATE(D500, ""bn"", ""en"")"),"In 1987, Hindus of Indian origin were subjected to a series of threats and attacks by a gang called the ""Dotbusters"" in New Jersey. The gang's name derives from the tip traditionally worn by Indian Hindu women on their foreheads.[58]")</f>
        <v>In 1987, Hindus of Indian origin were subjected to a series of threats and attacks by a gang called the "Dotbusters" in New Jersey. The gang's name derives from the tip traditionally worn by Indian Hindu women on their foreheads.[58]</v>
      </c>
      <c r="F500" s="1"/>
      <c r="G500" s="1"/>
      <c r="H500" s="1"/>
      <c r="I500" s="1"/>
    </row>
    <row r="501" spans="1:9" ht="15.6" x14ac:dyDescent="0.3">
      <c r="A501" s="1" t="s">
        <v>4</v>
      </c>
      <c r="B501" s="1" t="s">
        <v>4</v>
      </c>
      <c r="C501" s="10" t="s">
        <v>4</v>
      </c>
      <c r="D501" s="5" t="s">
        <v>494</v>
      </c>
      <c r="E501" s="1" t="str">
        <f ca="1">IFERROR(__xludf.DUMMYFUNCTION("GOOGLETRANSLATE(D501, ""bn"", ""en"")"),"Accused of posting baseless extremist posts on the holy religion of Islam on social media.")</f>
        <v>Accused of posting baseless extremist posts on the holy religion of Islam on social media.</v>
      </c>
      <c r="F501" s="1"/>
      <c r="G501" s="1"/>
      <c r="H501" s="1"/>
      <c r="I501" s="1"/>
    </row>
    <row r="502" spans="1:9" ht="15.6" x14ac:dyDescent="0.3">
      <c r="A502" s="1" t="s">
        <v>9</v>
      </c>
      <c r="B502" s="1" t="s">
        <v>9</v>
      </c>
      <c r="C502" s="10" t="s">
        <v>9</v>
      </c>
      <c r="D502" s="5" t="s">
        <v>495</v>
      </c>
      <c r="E502" s="1" t="str">
        <f ca="1">IFERROR(__xludf.DUMMYFUNCTION("GOOGLETRANSLATE(D502, ""bn"", ""en"")"),"""Since the attack, women, children and youth are not staying in our houses in the village. They are staying in the houses of their relatives in other areas. The old men are now only staying in the houses,"" said former member beauty Rani Mandal.")</f>
        <v>"Since the attack, women, children and youth are not staying in our houses in the village. They are staying in the houses of their relatives in other areas. The old men are now only staying in the houses," said former member beauty Rani Mandal.</v>
      </c>
      <c r="F502" s="1"/>
      <c r="G502" s="1"/>
      <c r="H502" s="1"/>
      <c r="I502" s="1"/>
    </row>
    <row r="503" spans="1:9" ht="15.6" x14ac:dyDescent="0.3">
      <c r="A503" s="1" t="s">
        <v>9</v>
      </c>
      <c r="B503" s="1" t="s">
        <v>5</v>
      </c>
      <c r="C503" s="10" t="s">
        <v>9</v>
      </c>
      <c r="D503" s="5" t="s">
        <v>496</v>
      </c>
      <c r="E503" s="1" t="str">
        <f ca="1">IFERROR(__xludf.DUMMYFUNCTION("GOOGLETRANSLATE(D503, ""bn"", ""en"")"),"This incident of idol vandalism is really sad. We hope that the law and order forces will take necessary steps so that such incidents do not happen in the future. Apart from this, everyone should be alert.")</f>
        <v>This incident of idol vandalism is really sad. We hope that the law and order forces will take necessary steps so that such incidents do not happen in the future. Apart from this, everyone should be alert.</v>
      </c>
      <c r="F503" s="1"/>
      <c r="G503" s="1"/>
      <c r="H503" s="1"/>
      <c r="I503" s="1"/>
    </row>
    <row r="504" spans="1:9" ht="15.6" x14ac:dyDescent="0.3">
      <c r="A504" s="1" t="s">
        <v>7</v>
      </c>
      <c r="B504" s="1" t="s">
        <v>7</v>
      </c>
      <c r="C504" s="10" t="s">
        <v>7</v>
      </c>
      <c r="D504" s="5" t="s">
        <v>497</v>
      </c>
      <c r="E504" s="1" t="str">
        <f ca="1">IFERROR(__xludf.DUMMYFUNCTION("GOOGLETRANSLATE(D504, ""bn"", ""en"")"),"After the independence of Bangladesh, the slaughterhouse remained abandoned as before. In 2010, relatives of the victims of the genocide built a memorial at the site of the massacre.[2] On 2 May, the victims are remembered and the Gita is recited for the "&amp;"welfare of their departed souls.")</f>
        <v>After the independence of Bangladesh, the slaughterhouse remained abandoned as before. In 2010, relatives of the victims of the genocide built a memorial at the site of the massacre.[2] On 2 May, the victims are remembered and the Gita is recited for the welfare of their departed souls.</v>
      </c>
      <c r="F504" s="1"/>
      <c r="G504" s="1"/>
      <c r="H504" s="1"/>
      <c r="I504" s="1"/>
    </row>
    <row r="505" spans="1:9" ht="15.6" x14ac:dyDescent="0.3">
      <c r="A505" s="1" t="s">
        <v>9</v>
      </c>
      <c r="B505" s="1" t="s">
        <v>4</v>
      </c>
      <c r="C505" s="10" t="s">
        <v>9</v>
      </c>
      <c r="D505" s="5" t="s">
        <v>498</v>
      </c>
      <c r="E505" s="1" t="str">
        <f ca="1">IFERROR(__xludf.DUMMYFUNCTION("GOOGLETRANSLATE(D505, ""bn"", ""en"")"),"In Comilla, the idol of Durga was vandalized to trap the opponent in the conflict between two brothers")</f>
        <v>In Comilla, the idol of Durga was vandalized to trap the opponent in the conflict between two brothers</v>
      </c>
      <c r="F505" s="1"/>
      <c r="G505" s="1"/>
      <c r="H505" s="1"/>
      <c r="I505" s="1"/>
    </row>
    <row r="506" spans="1:9" ht="15.6" x14ac:dyDescent="0.3">
      <c r="A506" s="1" t="s">
        <v>9</v>
      </c>
      <c r="B506" s="1" t="s">
        <v>9</v>
      </c>
      <c r="C506" s="10" t="s">
        <v>9</v>
      </c>
      <c r="D506" s="5" t="s">
        <v>499</v>
      </c>
      <c r="E506" s="1" t="str">
        <f ca="1">IFERROR(__xludf.DUMMYFUNCTION("GOOGLETRANSLATE(D506, ""bn"", ""en"")"),"In the wake of the attack and vandalism of a Buddhist temple in Ramu, Cox's Bazar, on May 12, 2014, the Supreme Court ordered Tofail Ahmed, the Upazila Chairman of Naikshangchhari Upazila of Bandarban, to surrender to the lower court within four weeks. Ac"&amp;"cording to the government investigation report, Tofail Ahmed Ramur was the prime suspect in the incident.")</f>
        <v>In the wake of the attack and vandalism of a Buddhist temple in Ramu, Cox's Bazar, on May 12, 2014, the Supreme Court ordered Tofail Ahmed, the Upazila Chairman of Naikshangchhari Upazila of Bandarban, to surrender to the lower court within four weeks. According to the government investigation report, Tofail Ahmed Ramur was the prime suspect in the incident.</v>
      </c>
      <c r="F506" s="1"/>
      <c r="G506" s="1"/>
      <c r="H506" s="1"/>
      <c r="I506" s="1"/>
    </row>
    <row r="507" spans="1:9" ht="15.6" x14ac:dyDescent="0.3">
      <c r="A507" s="1" t="s">
        <v>5</v>
      </c>
      <c r="B507" s="1" t="s">
        <v>4</v>
      </c>
      <c r="C507" s="10" t="s">
        <v>5</v>
      </c>
      <c r="D507" s="5" t="s">
        <v>500</v>
      </c>
      <c r="E507" s="1" t="str">
        <f ca="1">IFERROR(__xludf.DUMMYFUNCTION("GOOGLETRANSLATE(D507, ""bn"", ""en"")"),"I haven't had a chance to speak, because I haven't taken myself to that place yet, but I always listen. The more I listen to you, the more I learn and am impressed. If Allah the Exalted ever gives me an opportunity to sit with you and have a little conver"&amp;"sation, then it will be one of the blessings of life.")</f>
        <v>I haven't had a chance to speak, because I haven't taken myself to that place yet, but I always listen. The more I listen to you, the more I learn and am impressed. If Allah the Exalted ever gives me an opportunity to sit with you and have a little conversation, then it will be one of the blessings of life.</v>
      </c>
      <c r="F507" s="1"/>
      <c r="G507" s="1"/>
      <c r="H507" s="1"/>
      <c r="I507" s="1"/>
    </row>
    <row r="508" spans="1:9" ht="15.6" x14ac:dyDescent="0.3">
      <c r="A508" s="1" t="s">
        <v>7</v>
      </c>
      <c r="B508" s="1" t="s">
        <v>7</v>
      </c>
      <c r="C508" s="10" t="s">
        <v>7</v>
      </c>
      <c r="D508" s="5" t="s">
        <v>501</v>
      </c>
      <c r="E508" s="1" t="str">
        <f ca="1">IFERROR(__xludf.DUMMYFUNCTION("GOOGLETRANSLATE(D508, ""bn"", ""en"")"),"A person who commits suicide by jumping off a mountain will continue to commit suicide in the same manner in hell and this will be his permanent abode.")</f>
        <v>A person who commits suicide by jumping off a mountain will continue to commit suicide in the same manner in hell and this will be his permanent abode.</v>
      </c>
      <c r="F508" s="1"/>
      <c r="G508" s="1"/>
      <c r="H508" s="1"/>
      <c r="I508" s="1"/>
    </row>
    <row r="509" spans="1:9" ht="15.6" x14ac:dyDescent="0.3">
      <c r="A509" s="1" t="s">
        <v>9</v>
      </c>
      <c r="B509" s="1" t="s">
        <v>5</v>
      </c>
      <c r="C509" s="10" t="s">
        <v>9</v>
      </c>
      <c r="D509" s="5" t="s">
        <v>502</v>
      </c>
      <c r="E509" s="1" t="str">
        <f ca="1">IFERROR(__xludf.DUMMYFUNCTION("GOOGLETRANSLATE(D509, ""bn"", ""en"")"),"After the two sides faced each other, they stood face to face in preparation for battle. But there was Majdi ibn Amr al-Juhani (who was a Quraysh), who was on friendly terms with both sides and intervened between them for this war. Due to which both the g"&amp;"roups separated without fighting. Hamza returned to Madinah and Abu Jahl headed towards Makkah.")</f>
        <v>After the two sides faced each other, they stood face to face in preparation for battle. But there was Majdi ibn Amr al-Juhani (who was a Quraysh), who was on friendly terms with both sides and intervened between them for this war. Due to which both the groups separated without fighting. Hamza returned to Madinah and Abu Jahl headed towards Makkah.</v>
      </c>
      <c r="F509" s="1"/>
      <c r="G509" s="1"/>
      <c r="H509" s="1"/>
      <c r="I509" s="1"/>
    </row>
    <row r="510" spans="1:9" ht="15.6" x14ac:dyDescent="0.3">
      <c r="A510" s="1" t="s">
        <v>5</v>
      </c>
      <c r="B510" s="1" t="s">
        <v>5</v>
      </c>
      <c r="C510" s="10" t="s">
        <v>5</v>
      </c>
      <c r="D510" s="5" t="s">
        <v>503</v>
      </c>
      <c r="E510" s="1" t="str">
        <f ca="1">IFERROR(__xludf.DUMMYFUNCTION("GOOGLETRANSLATE(D510, ""bn"", ""en"")"),"Masha-Allah, Ustadji has explained very well. It's easier for me now. I will try to read it cleanly, inshallah.")</f>
        <v>Masha-Allah, Ustadji has explained very well. It's easier for me now. I will try to read it cleanly, inshallah.</v>
      </c>
      <c r="F510" s="1"/>
      <c r="G510" s="1"/>
      <c r="H510" s="1"/>
      <c r="I510" s="1"/>
    </row>
    <row r="511" spans="1:9" ht="15.6" x14ac:dyDescent="0.3">
      <c r="A511" s="1" t="s">
        <v>5</v>
      </c>
      <c r="B511" s="1" t="s">
        <v>5</v>
      </c>
      <c r="C511" s="10" t="s">
        <v>5</v>
      </c>
      <c r="D511" s="5" t="s">
        <v>504</v>
      </c>
      <c r="E511" s="1" t="str">
        <f ca="1">IFERROR(__xludf.DUMMYFUNCTION("GOOGLETRANSLATE(D511, ""bn"", ""en"")"),"Barefoot Buddhists blow out lanterns after reciting religious gathas or mantras. Lanterns are blown to the tune of sadhu-dhvani through chanting.")</f>
        <v>Barefoot Buddhists blow out lanterns after reciting religious gathas or mantras. Lanterns are blown to the tune of sadhu-dhvani through chanting.</v>
      </c>
      <c r="F511" s="1"/>
      <c r="G511" s="1"/>
      <c r="H511" s="1"/>
      <c r="I511" s="1"/>
    </row>
    <row r="512" spans="1:9" ht="15.6" x14ac:dyDescent="0.3">
      <c r="A512" s="1" t="s">
        <v>9</v>
      </c>
      <c r="B512" s="1" t="s">
        <v>9</v>
      </c>
      <c r="C512" s="10" t="s">
        <v>9</v>
      </c>
      <c r="D512" s="5" t="s">
        <v>505</v>
      </c>
      <c r="E512" s="1" t="str">
        <f ca="1">IFERROR(__xludf.DUMMYFUNCTION("GOOGLETRANSLATE(D512, ""bn"", ""en"")"),"The greater Noakhali region was a very remote area with many tributaries. When the riots broke out, village canals were systematically torn down with bamboo shacks and roads dug up to make them impassable, and Muslim sailors refused to allow Hindu pilgrim"&amp;"s to cross in their boats.[19]")</f>
        <v>The greater Noakhali region was a very remote area with many tributaries. When the riots broke out, village canals were systematically torn down with bamboo shacks and roads dug up to make them impassable, and Muslim sailors refused to allow Hindu pilgrims to cross in their boats.[19]</v>
      </c>
      <c r="F512" s="1"/>
      <c r="G512" s="1"/>
      <c r="H512" s="1"/>
      <c r="I512" s="1"/>
    </row>
    <row r="513" spans="1:9" ht="15.6" x14ac:dyDescent="0.3">
      <c r="A513" s="1" t="s">
        <v>7</v>
      </c>
      <c r="B513" s="1" t="s">
        <v>7</v>
      </c>
      <c r="C513" s="10" t="s">
        <v>7</v>
      </c>
      <c r="D513" s="5" t="s">
        <v>506</v>
      </c>
      <c r="E513" s="1" t="str">
        <f ca="1">IFERROR(__xludf.DUMMYFUNCTION("GOOGLETRANSLATE(D513, ""bn"", ""en"")"),"Rana Dasgupta said in reference to the death of pilgrims in the Rath Yatra of Bogra, ""We are shocked by this incident."" He demanded a fair investigation into the incident.")</f>
        <v>Rana Dasgupta said in reference to the death of pilgrims in the Rath Yatra of Bogra, "We are shocked by this incident." He demanded a fair investigation into the incident.</v>
      </c>
      <c r="F513" s="1"/>
      <c r="G513" s="1"/>
      <c r="H513" s="1"/>
      <c r="I513" s="1"/>
    </row>
    <row r="514" spans="1:9" ht="15.6" x14ac:dyDescent="0.3">
      <c r="A514" s="1" t="s">
        <v>9</v>
      </c>
      <c r="B514" s="1" t="s">
        <v>9</v>
      </c>
      <c r="C514" s="10" t="s">
        <v>9</v>
      </c>
      <c r="D514" s="5" t="s">
        <v>507</v>
      </c>
      <c r="E514" s="1" t="str">
        <f ca="1">IFERROR(__xludf.DUMMYFUNCTION("GOOGLETRANSLATE(D514, ""bn"", ""en"")"),"On the morning of 17th February, panic-stricken Hindus and Christians started running towards Muladi police station. But O.C. Denies shelter to terrified people. Around 3 pm, a 3,000 to 4,000 strong mob attacked and looted warehouses at Muladi port.")</f>
        <v>On the morning of 17th February, panic-stricken Hindus and Christians started running towards Muladi police station. But O.C. Denies shelter to terrified people. Around 3 pm, a 3,000 to 4,000 strong mob attacked and looted warehouses at Muladi port.</v>
      </c>
      <c r="F514" s="1"/>
      <c r="G514" s="1"/>
      <c r="H514" s="1"/>
      <c r="I514" s="1"/>
    </row>
    <row r="515" spans="1:9" ht="15.6" x14ac:dyDescent="0.3">
      <c r="A515" s="1" t="s">
        <v>5</v>
      </c>
      <c r="B515" s="1" t="s">
        <v>5</v>
      </c>
      <c r="C515" s="10" t="s">
        <v>5</v>
      </c>
      <c r="D515" s="5" t="s">
        <v>508</v>
      </c>
      <c r="E515" s="1" t="str">
        <f ca="1">IFERROR(__xludf.DUMMYFUNCTION("GOOGLETRANSLATE(D515, ""bn"", ""en"")"),"Through religion people follow the path of self-purification. It helps him to be fulfilled and aware of his behavior and thoughts.")</f>
        <v>Through religion people follow the path of self-purification. It helps him to be fulfilled and aware of his behavior and thoughts.</v>
      </c>
      <c r="F515" s="1"/>
      <c r="G515" s="1"/>
      <c r="H515" s="1"/>
      <c r="I515" s="1"/>
    </row>
    <row r="516" spans="1:9" ht="15.6" x14ac:dyDescent="0.3">
      <c r="A516" s="1" t="s">
        <v>5</v>
      </c>
      <c r="B516" s="1" t="s">
        <v>5</v>
      </c>
      <c r="C516" s="10" t="s">
        <v>5</v>
      </c>
      <c r="D516" s="5" t="s">
        <v>509</v>
      </c>
      <c r="E516" s="1" t="str">
        <f ca="1">IFERROR(__xludf.DUMMYFUNCTION("GOOGLETRANSLATE(D516, ""bn"", ""en"")"),"I pray for this person from my heart. May God help him and answer the West with broken teeth. Heartfelt dua for you Kakku and love is endless")</f>
        <v>I pray for this person from my heart. May God help him and answer the West with broken teeth. Heartfelt dua for you Kakku and love is endless</v>
      </c>
      <c r="F516" s="1"/>
      <c r="G516" s="1"/>
      <c r="H516" s="1"/>
      <c r="I516" s="1"/>
    </row>
    <row r="517" spans="1:9" ht="15.6" x14ac:dyDescent="0.3">
      <c r="A517" s="1" t="s">
        <v>4</v>
      </c>
      <c r="B517" s="1" t="s">
        <v>4</v>
      </c>
      <c r="C517" s="10" t="s">
        <v>4</v>
      </c>
      <c r="D517" s="5" t="s">
        <v>510</v>
      </c>
      <c r="E517" s="1" t="str">
        <f ca="1">IFERROR(__xludf.DUMMYFUNCTION("GOOGLETRANSLATE(D517, ""bn"", ""en"")"),"In harmony with the men who are doing such injustice, their mothers, sisters, brothers and fathers have not really gone to the well-educated balcony of any family because they have rights. They are definitely heretics.")</f>
        <v>In harmony with the men who are doing such injustice, their mothers, sisters, brothers and fathers have not really gone to the well-educated balcony of any family because they have rights. They are definitely heretics.</v>
      </c>
      <c r="F517" s="1"/>
      <c r="G517" s="1"/>
      <c r="H517" s="1"/>
      <c r="I517" s="1"/>
    </row>
    <row r="518" spans="1:9" ht="15.6" x14ac:dyDescent="0.3">
      <c r="A518" s="1" t="s">
        <v>7</v>
      </c>
      <c r="B518" s="1" t="s">
        <v>7</v>
      </c>
      <c r="C518" s="10" t="s">
        <v>7</v>
      </c>
      <c r="D518" s="5" t="s">
        <v>511</v>
      </c>
      <c r="E518" s="1" t="str">
        <f ca="1">IFERROR(__xludf.DUMMYFUNCTION("GOOGLETRANSLATE(D518, ""bn"", ""en"")"),"Cremation is the ancient tradition of cremation on open pyres, in some countries including India and Nepal. In the early 19th century, cremation was introduced or reintroduced in other parts of the world. In modern times, crematoria are usually cremated w"&amp;"ith closed urns.")</f>
        <v>Cremation is the ancient tradition of cremation on open pyres, in some countries including India and Nepal. In the early 19th century, cremation was introduced or reintroduced in other parts of the world. In modern times, crematoria are usually cremated with closed urns.</v>
      </c>
      <c r="F518" s="1"/>
      <c r="G518" s="1"/>
      <c r="H518" s="1"/>
      <c r="I518" s="1"/>
    </row>
    <row r="519" spans="1:9" ht="15.6" x14ac:dyDescent="0.3">
      <c r="A519" s="1" t="s">
        <v>5</v>
      </c>
      <c r="B519" s="1" t="s">
        <v>5</v>
      </c>
      <c r="C519" s="10" t="s">
        <v>5</v>
      </c>
      <c r="D519" s="5" t="s">
        <v>512</v>
      </c>
      <c r="E519" s="1" t="str">
        <f ca="1">IFERROR(__xludf.DUMMYFUNCTION("GOOGLETRANSLATE(D519, ""bn"", ""en"")"),"No religion can be insulted. I am Muslim But I also respect the Hindu brothers. We will unite Hindus and Muslims to build a beautiful country.")</f>
        <v>No religion can be insulted. I am Muslim But I also respect the Hindu brothers. We will unite Hindus and Muslims to build a beautiful country.</v>
      </c>
      <c r="F519" s="1"/>
      <c r="G519" s="1"/>
      <c r="H519" s="1"/>
      <c r="I519" s="1"/>
    </row>
    <row r="520" spans="1:9" ht="15.6" x14ac:dyDescent="0.3">
      <c r="A520" s="1" t="s">
        <v>9</v>
      </c>
      <c r="B520" s="1" t="s">
        <v>4</v>
      </c>
      <c r="C520" s="10" t="s">
        <v>9</v>
      </c>
      <c r="D520" s="5" t="s">
        <v>513</v>
      </c>
      <c r="E520" s="1" t="str">
        <f ca="1">IFERROR(__xludf.DUMMYFUNCTION("GOOGLETRANSLATE(D520, ""bn"", ""en"")"),"The Buddhists were so oppressed that they forgot the hundred atrocities committed by the Muslims and considered the Brahmin sacrifice by the conquerors and the conquest of Bengal by the Muslims as a gift from God.")</f>
        <v>The Buddhists were so oppressed that they forgot the hundred atrocities committed by the Muslims and considered the Brahmin sacrifice by the conquerors and the conquest of Bengal by the Muslims as a gift from God.</v>
      </c>
      <c r="F520" s="1"/>
      <c r="G520" s="1"/>
      <c r="H520" s="1"/>
      <c r="I520" s="1"/>
    </row>
    <row r="521" spans="1:9" ht="15.6" x14ac:dyDescent="0.3">
      <c r="A521" s="1" t="s">
        <v>4</v>
      </c>
      <c r="B521" s="1" t="s">
        <v>5</v>
      </c>
      <c r="C521" s="10" t="s">
        <v>4</v>
      </c>
      <c r="D521" s="5" t="s">
        <v>514</v>
      </c>
      <c r="E521" s="1" t="str">
        <f ca="1">IFERROR(__xludf.DUMMYFUNCTION("GOOGLETRANSLATE(D521, ""bn"", ""en"")"),"When I enter Facebook, I only see posts about religion. And mostly about Islam. These posts will not be of much use to me. ")</f>
        <v xml:space="preserve">When I enter Facebook, I only see posts about religion. And mostly about Islam. These posts will not be of much use to me. </v>
      </c>
      <c r="F521" s="1"/>
      <c r="G521" s="1"/>
      <c r="H521" s="1"/>
      <c r="I521" s="1"/>
    </row>
    <row r="522" spans="1:9" ht="15.6" x14ac:dyDescent="0.3">
      <c r="A522" s="1" t="s">
        <v>9</v>
      </c>
      <c r="B522" s="1" t="s">
        <v>9</v>
      </c>
      <c r="C522" s="10" t="s">
        <v>9</v>
      </c>
      <c r="D522" s="5" t="s">
        <v>515</v>
      </c>
      <c r="E522" s="1" t="str">
        <f ca="1">IFERROR(__xludf.DUMMYFUNCTION("GOOGLETRANSLATE(D522, ""bn"", ""en"")"),"In 2015, a bomb exploded in front of a mosque in Thailand, injuring many people.")</f>
        <v>In 2015, a bomb exploded in front of a mosque in Thailand, injuring many people.</v>
      </c>
      <c r="F522" s="1"/>
      <c r="G522" s="1"/>
      <c r="H522" s="1"/>
      <c r="I522" s="1"/>
    </row>
    <row r="523" spans="1:9" ht="15.6" x14ac:dyDescent="0.3">
      <c r="A523" s="1" t="s">
        <v>9</v>
      </c>
      <c r="B523" s="1" t="s">
        <v>9</v>
      </c>
      <c r="C523" s="10" t="s">
        <v>9</v>
      </c>
      <c r="D523" s="5" t="s">
        <v>516</v>
      </c>
      <c r="E523" s="1" t="str">
        <f ca="1">IFERROR(__xludf.DUMMYFUNCTION("GOOGLETRANSLATE(D523, ""bn"", ""en"")"),"Calling for direct struggle, Nikhil Bharat Muslim League leader Muhammad Ali Jinnah said he wanted to see ""a divided India or a destroyed India"".")</f>
        <v>Calling for direct struggle, Nikhil Bharat Muslim League leader Muhammad Ali Jinnah said he wanted to see "a divided India or a destroyed India".</v>
      </c>
      <c r="F523" s="1"/>
      <c r="G523" s="1"/>
      <c r="H523" s="1"/>
      <c r="I523" s="1"/>
    </row>
    <row r="524" spans="1:9" ht="15.6" x14ac:dyDescent="0.3">
      <c r="A524" s="1" t="s">
        <v>9</v>
      </c>
      <c r="B524" s="1" t="s">
        <v>4</v>
      </c>
      <c r="C524" s="10" t="s">
        <v>9</v>
      </c>
      <c r="D524" s="5" t="s">
        <v>517</v>
      </c>
      <c r="E524" s="1" t="str">
        <f ca="1">IFERROR(__xludf.DUMMYFUNCTION("GOOGLETRANSLATE(D524, ""bn"", ""en"")"),"The provincial government of Bengal was actively aiding the persecution of Hindus.[72] In the report, he also noted: Muslims attacked Hindus in groups and looted Hindus' valuables.")</f>
        <v>The provincial government of Bengal was actively aiding the persecution of Hindus.[72] In the report, he also noted: Muslims attacked Hindus in groups and looted Hindus' valuables.</v>
      </c>
      <c r="F524" s="1"/>
      <c r="G524" s="1"/>
      <c r="H524" s="1"/>
      <c r="I524" s="1"/>
    </row>
    <row r="525" spans="1:9" ht="15.6" x14ac:dyDescent="0.3">
      <c r="A525" s="1" t="s">
        <v>7</v>
      </c>
      <c r="B525" s="1" t="s">
        <v>7</v>
      </c>
      <c r="C525" s="10" t="s">
        <v>7</v>
      </c>
      <c r="D525" s="5" t="s">
        <v>518</v>
      </c>
      <c r="E525" s="1" t="str">
        <f ca="1">IFERROR(__xludf.DUMMYFUNCTION("GOOGLETRANSLATE(D525, ""bn"", ""en"")"),"The number of Muslim and non-Muslim casualties in these wars led by the Prophet (PBUH) was very low. Which was very insignificant in contemporary history. On the other hand, lakhs of people survived in exchange of these few casualties.")</f>
        <v>The number of Muslim and non-Muslim casualties in these wars led by the Prophet (PBUH) was very low. Which was very insignificant in contemporary history. On the other hand, lakhs of people survived in exchange of these few casualties.</v>
      </c>
      <c r="F525" s="1"/>
      <c r="G525" s="1"/>
      <c r="H525" s="1"/>
      <c r="I525" s="1"/>
    </row>
    <row r="526" spans="1:9" ht="15.6" x14ac:dyDescent="0.3">
      <c r="A526" s="1" t="s">
        <v>9</v>
      </c>
      <c r="B526" s="1" t="s">
        <v>9</v>
      </c>
      <c r="C526" s="10" t="s">
        <v>9</v>
      </c>
      <c r="D526" s="5" t="s">
        <v>519</v>
      </c>
      <c r="E526" s="1" t="str">
        <f ca="1">IFERROR(__xludf.DUMMYFUNCTION("GOOGLETRANSLATE(D526, ""bn"", ""en"")"),"A case has been registered under the Digital Security Act against Jhumon Das Apan, a young man of Noagaon village of Shalla Upazila in Sunamganj, in connection with the attack on Hindu homes based on his Facebook status.")</f>
        <v>A case has been registered under the Digital Security Act against Jhumon Das Apan, a young man of Noagaon village of Shalla Upazila in Sunamganj, in connection with the attack on Hindu homes based on his Facebook status.</v>
      </c>
      <c r="F526" s="1"/>
      <c r="G526" s="1"/>
      <c r="H526" s="1"/>
      <c r="I526" s="1"/>
    </row>
    <row r="527" spans="1:9" ht="15.6" x14ac:dyDescent="0.3">
      <c r="A527" s="1" t="s">
        <v>9</v>
      </c>
      <c r="B527" s="1" t="s">
        <v>4</v>
      </c>
      <c r="C527" s="10" t="s">
        <v>9</v>
      </c>
      <c r="D527" s="5" t="s">
        <v>520</v>
      </c>
      <c r="E527" s="1" t="str">
        <f ca="1">IFERROR(__xludf.DUMMYFUNCTION("GOOGLETRANSLATE(D527, ""bn"", ""en"")"),"Hamas has also claimed to occupy several areas under the control of Israel by carrying out guerrilla attacks. Meanwhile, Israel has declared a state of emergency. declared full-scale war against the Palestinians.")</f>
        <v>Hamas has also claimed to occupy several areas under the control of Israel by carrying out guerrilla attacks. Meanwhile, Israel has declared a state of emergency. declared full-scale war against the Palestinians.</v>
      </c>
      <c r="F527" s="1"/>
      <c r="G527" s="1"/>
      <c r="H527" s="1"/>
      <c r="I527" s="1"/>
    </row>
    <row r="528" spans="1:9" ht="15.6" x14ac:dyDescent="0.3">
      <c r="A528" s="1" t="s">
        <v>5</v>
      </c>
      <c r="B528" s="1" t="s">
        <v>5</v>
      </c>
      <c r="C528" s="10" t="s">
        <v>5</v>
      </c>
      <c r="D528" s="5" t="s">
        <v>521</v>
      </c>
      <c r="E528" s="1" t="str">
        <f ca="1">IFERROR(__xludf.DUMMYFUNCTION("GOOGLETRANSLATE(D528, ""bn"", ""en"")"),"Religious education is compulsory and part of the curriculum in all government schools. Students attend classrooms where their own religious beliefs are taught. ")</f>
        <v>Religious education is compulsory and part of the curriculum in all government schools. Students attend classrooms where their own religious beliefs are taught. </v>
      </c>
      <c r="F528" s="1"/>
      <c r="G528" s="1"/>
      <c r="H528" s="1"/>
      <c r="I528" s="1"/>
    </row>
    <row r="529" spans="1:9" ht="15.6" x14ac:dyDescent="0.3">
      <c r="A529" s="1" t="s">
        <v>5</v>
      </c>
      <c r="B529" s="1" t="s">
        <v>5</v>
      </c>
      <c r="C529" s="10" t="s">
        <v>5</v>
      </c>
      <c r="D529" s="5" t="s">
        <v>522</v>
      </c>
      <c r="E529" s="1" t="str">
        <f ca="1">IFERROR(__xludf.DUMMYFUNCTION("GOOGLETRANSLATE(D529, ""bn"", ""en"")"),"The technology is being tested primarily to deal with tension in predominantly Christian countries such as Norway and Slovakia after Muslim immigrants settle there.")</f>
        <v>The technology is being tested primarily to deal with tension in predominantly Christian countries such as Norway and Slovakia after Muslim immigrants settle there.</v>
      </c>
      <c r="F529" s="1"/>
      <c r="G529" s="1"/>
      <c r="H529" s="1"/>
      <c r="I529" s="1"/>
    </row>
    <row r="530" spans="1:9" ht="15.6" x14ac:dyDescent="0.3">
      <c r="A530" s="1" t="s">
        <v>4</v>
      </c>
      <c r="B530" s="1" t="s">
        <v>4</v>
      </c>
      <c r="C530" s="10" t="s">
        <v>4</v>
      </c>
      <c r="D530" s="5" t="s">
        <v>523</v>
      </c>
      <c r="E530" s="1" t="str">
        <f ca="1">IFERROR(__xludf.DUMMYFUNCTION("GOOGLETRANSLATE(D530, ""bn"", ""en"")"),"Woe to their birth and woe to their name identity, the stigma of Bangladesh Chhatra League!! For Muslims!")</f>
        <v>Woe to their birth and woe to their name identity, the stigma of Bangladesh Chhatra League!! For Muslims!</v>
      </c>
      <c r="F530" s="1"/>
      <c r="G530" s="1"/>
      <c r="H530" s="1"/>
      <c r="I530" s="1"/>
    </row>
    <row r="531" spans="1:9" ht="15.6" x14ac:dyDescent="0.3">
      <c r="A531" s="1" t="s">
        <v>4</v>
      </c>
      <c r="B531" s="1" t="s">
        <v>5</v>
      </c>
      <c r="C531" s="10" t="s">
        <v>4</v>
      </c>
      <c r="D531" s="5" t="s">
        <v>524</v>
      </c>
      <c r="E531" s="1" t="str">
        <f ca="1">IFERROR(__xludf.DUMMYFUNCTION("GOOGLETRANSLATE(D531, ""bn"", ""en"")"),"The employees and officials of the Secretariat immediately took out a march calling for a strike, from which anti-Hindu slogans were raised. They marched towards Nawabpur and many others joined the procession.")</f>
        <v>The employees and officials of the Secretariat immediately took out a march calling for a strike, from which anti-Hindu slogans were raised. They marched towards Nawabpur and many others joined the procession.</v>
      </c>
      <c r="F531" s="1"/>
      <c r="G531" s="1"/>
      <c r="H531" s="1"/>
      <c r="I531" s="1"/>
    </row>
    <row r="532" spans="1:9" ht="15.6" x14ac:dyDescent="0.3">
      <c r="A532" s="1" t="s">
        <v>4</v>
      </c>
      <c r="B532" s="1" t="s">
        <v>5</v>
      </c>
      <c r="C532" s="10" t="s">
        <v>4</v>
      </c>
      <c r="D532" s="5" t="s">
        <v>525</v>
      </c>
      <c r="E532" s="1" t="str">
        <f ca="1">IFERROR(__xludf.DUMMYFUNCTION("GOOGLETRANSLATE(D532, ""bn"", ""en"")"),"A caste that learns from its parents that Hindus are called malaun, a caste that insults a Hindu as 'malaun' when they quarrel with a person. A nation that forbids Hindus to greet even their closest Hindu friend on an occasion will lose religion. A nation"&amp;" that sees a Hindu declares him as an Indian agent. What is the fear of that nation opposing you today? Here are two hadiths that mention being kind to people of other religions. What is the concern?")</f>
        <v>A caste that learns from its parents that Hindus are called malaun, a caste that insults a Hindu as 'malaun' when they quarrel with a person. A nation that forbids Hindus to greet even their closest Hindu friend on an occasion will lose religion. A nation that sees a Hindu declares him as an Indian agent. What is the fear of that nation opposing you today? Here are two hadiths that mention being kind to people of other religions. What is the concern?</v>
      </c>
      <c r="F532" s="1"/>
      <c r="G532" s="1"/>
      <c r="H532" s="1"/>
      <c r="I532" s="1"/>
    </row>
    <row r="533" spans="1:9" ht="15.6" x14ac:dyDescent="0.3">
      <c r="A533" s="1" t="s">
        <v>4</v>
      </c>
      <c r="B533" s="1" t="s">
        <v>4</v>
      </c>
      <c r="C533" s="10" t="s">
        <v>4</v>
      </c>
      <c r="D533" s="5" t="s">
        <v>526</v>
      </c>
      <c r="E533" s="1" t="str">
        <f ca="1">IFERROR(__xludf.DUMMYFUNCTION("GOOGLETRANSLATE(D533, ""bn"", ""en"")"),"Those who disbelieved among the Children of Israel were cursed by Jesus son of David and Mary, because they were disobedient and transgressive.")</f>
        <v>Those who disbelieved among the Children of Israel were cursed by Jesus son of David and Mary, because they were disobedient and transgressive.</v>
      </c>
      <c r="F533" s="1"/>
      <c r="G533" s="1"/>
      <c r="H533" s="1"/>
      <c r="I533" s="1"/>
    </row>
    <row r="534" spans="1:9" ht="15.6" x14ac:dyDescent="0.3">
      <c r="A534" s="1" t="s">
        <v>7</v>
      </c>
      <c r="B534" s="1" t="s">
        <v>7</v>
      </c>
      <c r="C534" s="10" t="s">
        <v>7</v>
      </c>
      <c r="D534" s="5" t="s">
        <v>527</v>
      </c>
      <c r="E534" s="1" t="str">
        <f ca="1">IFERROR(__xludf.DUMMYFUNCTION("GOOGLETRANSLATE(D534, ""bn"", ""en"")"),"There is some confusion about the death toll in the Golahat massacre. According to the Bangladesh News Agency and Prothom Alo, 437 Hindus were killed in the massacre.[")</f>
        <v>There is some confusion about the death toll in the Golahat massacre. According to the Bangladesh News Agency and Prothom Alo, 437 Hindus were killed in the massacre.[</v>
      </c>
      <c r="F534" s="1"/>
      <c r="G534" s="1"/>
      <c r="H534" s="1"/>
      <c r="I534" s="1"/>
    </row>
    <row r="535" spans="1:9" ht="15.6" x14ac:dyDescent="0.3">
      <c r="A535" s="1" t="s">
        <v>4</v>
      </c>
      <c r="B535" s="1" t="s">
        <v>5</v>
      </c>
      <c r="C535" s="10" t="s">
        <v>4</v>
      </c>
      <c r="D535" s="5" t="s">
        <v>528</v>
      </c>
      <c r="E535" s="1" t="str">
        <f ca="1">IFERROR(__xludf.DUMMYFUNCTION("GOOGLETRANSLATE(D535, ""bn"", ""en"")"),"For several days, some fundamentalist groups, militant groups have been spreading various kinds of propaganda against me. Some of them teach in private and public universities")</f>
        <v>For several days, some fundamentalist groups, militant groups have been spreading various kinds of propaganda against me. Some of them teach in private and public universities</v>
      </c>
      <c r="F535" s="1"/>
      <c r="G535" s="1"/>
      <c r="H535" s="1"/>
      <c r="I535" s="1"/>
    </row>
    <row r="536" spans="1:9" ht="15.6" x14ac:dyDescent="0.3">
      <c r="A536" s="1" t="s">
        <v>7</v>
      </c>
      <c r="B536" s="1" t="s">
        <v>7</v>
      </c>
      <c r="C536" s="10" t="s">
        <v>7</v>
      </c>
      <c r="D536" s="5" t="s">
        <v>529</v>
      </c>
      <c r="E536" s="1" t="str">
        <f ca="1">IFERROR(__xludf.DUMMYFUNCTION("GOOGLETRANSLATE(D536, ""bn"", ""en"")"),"A person was beaten to death in Lalmonirhat on charges of insulting religion, the body was set on fire")</f>
        <v>A person was beaten to death in Lalmonirhat on charges of insulting religion, the body was set on fire</v>
      </c>
      <c r="F536" s="1"/>
      <c r="G536" s="1"/>
      <c r="H536" s="1"/>
      <c r="I536" s="1"/>
    </row>
    <row r="537" spans="1:9" ht="15.6" x14ac:dyDescent="0.3">
      <c r="A537" s="1" t="s">
        <v>4</v>
      </c>
      <c r="B537" s="1" t="s">
        <v>5</v>
      </c>
      <c r="C537" s="10" t="s">
        <v>4</v>
      </c>
      <c r="D537" s="5" t="s">
        <v>530</v>
      </c>
      <c r="E537" s="1" t="str">
        <f ca="1">IFERROR(__xludf.DUMMYFUNCTION("GOOGLETRANSLATE(D537, ""bn"", ""en"")"),"Calling every Muslim country to wipe Sweden off the world map")</f>
        <v>Calling every Muslim country to wipe Sweden off the world map</v>
      </c>
      <c r="F537" s="1"/>
      <c r="G537" s="1"/>
      <c r="H537" s="1"/>
      <c r="I537" s="1"/>
    </row>
    <row r="538" spans="1:9" ht="15.6" x14ac:dyDescent="0.3">
      <c r="A538" s="4" t="s">
        <v>7</v>
      </c>
      <c r="B538" s="4" t="s">
        <v>7</v>
      </c>
      <c r="C538" s="11" t="s">
        <v>7</v>
      </c>
      <c r="D538" s="5" t="s">
        <v>531</v>
      </c>
      <c r="E538" s="1" t="str">
        <f ca="1">IFERROR(__xludf.DUMMYFUNCTION("GOOGLETRANSLATE(D538, ""bn"", ""en"")"),"July 8: Local VHP leaders in Kapdavanj dig up the grave of a Methodist Christian and dump his body near the church.")</f>
        <v>July 8: Local VHP leaders in Kapdavanj dig up the grave of a Methodist Christian and dump his body near the church.</v>
      </c>
      <c r="F538" s="1"/>
      <c r="G538" s="1"/>
      <c r="H538" s="1"/>
      <c r="I538" s="1"/>
    </row>
    <row r="539" spans="1:9" ht="15.6" x14ac:dyDescent="0.3">
      <c r="A539" s="1" t="s">
        <v>5</v>
      </c>
      <c r="B539" s="1" t="s">
        <v>5</v>
      </c>
      <c r="C539" s="10" t="s">
        <v>5</v>
      </c>
      <c r="D539" s="5" t="s">
        <v>532</v>
      </c>
      <c r="E539" s="1" t="str">
        <f ca="1">IFERROR(__xludf.DUMMYFUNCTION("GOOGLETRANSLATE(D539, ""bn"", ""en"")"),"If you stand for justice and equality between individuals and communities, then you are a true humanitarian")</f>
        <v>If you stand for justice and equality between individuals and communities, then you are a true humanitarian</v>
      </c>
      <c r="F539" s="1"/>
      <c r="G539" s="1"/>
      <c r="H539" s="1"/>
      <c r="I539" s="1"/>
    </row>
    <row r="540" spans="1:9" ht="15.6" x14ac:dyDescent="0.3">
      <c r="A540" s="1" t="s">
        <v>7</v>
      </c>
      <c r="B540" s="1" t="s">
        <v>7</v>
      </c>
      <c r="C540" s="10" t="s">
        <v>7</v>
      </c>
      <c r="D540" s="5" t="s">
        <v>533</v>
      </c>
      <c r="E540" s="1" t="str">
        <f ca="1">IFERROR(__xludf.DUMMYFUNCTION("GOOGLETRANSLATE(D540, ""bn"", ""en"")"),"The East Pakistan Riots of 1950 refer to the 1950s massacres by the majority Muslim community against the Hindu community in the then East Pakistan, now Bangladesh.")</f>
        <v>The East Pakistan Riots of 1950 refer to the 1950s massacres by the majority Muslim community against the Hindu community in the then East Pakistan, now Bangladesh.</v>
      </c>
      <c r="F540" s="1"/>
      <c r="G540" s="1"/>
      <c r="H540" s="1"/>
      <c r="I540" s="1"/>
    </row>
    <row r="541" spans="1:9" ht="15.6" x14ac:dyDescent="0.3">
      <c r="A541" s="1" t="s">
        <v>4</v>
      </c>
      <c r="B541" s="1" t="s">
        <v>4</v>
      </c>
      <c r="C541" s="10" t="s">
        <v>4</v>
      </c>
      <c r="D541" s="5" t="s">
        <v>534</v>
      </c>
      <c r="E541" s="1" t="str">
        <f ca="1">IFERROR(__xludf.DUMMYFUNCTION("GOOGLETRANSLATE(D541, ""bn"", ""en"")"),"The Tulkalam scandal took place on September 29, 2012 in Ramu, a beach town in Cox's Bazar district, over an incident involving the tagging of a photo on Facebook.")</f>
        <v>The Tulkalam scandal took place on September 29, 2012 in Ramu, a beach town in Cox's Bazar district, over an incident involving the tagging of a photo on Facebook.</v>
      </c>
      <c r="F541" s="1"/>
      <c r="G541" s="1"/>
      <c r="H541" s="1"/>
      <c r="I541" s="1"/>
    </row>
    <row r="542" spans="1:9" ht="15.6" x14ac:dyDescent="0.3">
      <c r="A542" s="1" t="s">
        <v>9</v>
      </c>
      <c r="B542" s="1" t="s">
        <v>9</v>
      </c>
      <c r="C542" s="10" t="s">
        <v>9</v>
      </c>
      <c r="D542" s="5" t="s">
        <v>535</v>
      </c>
      <c r="E542" s="1" t="str">
        <f ca="1">IFERROR(__xludf.DUMMYFUNCTION("GOOGLETRANSLATE(D542, ""bn"", ""en"")"),"The Hindu girls of Sunaita and Kurma villages were also brutally tortured. Their Sinthi vermilion was trampled underfoot and their conch shells were broken. [34] Muslims ransacked the houses of Neer Bhatt and Ram Chandra Bhatt of Rajganj Akhra village.")</f>
        <v>The Hindu girls of Sunaita and Kurma villages were also brutally tortured. Their Sinthi vermilion was trampled underfoot and their conch shells were broken. [34] Muslims ransacked the houses of Neer Bhatt and Ram Chandra Bhatt of Rajganj Akhra village.</v>
      </c>
      <c r="F542" s="1"/>
      <c r="G542" s="1"/>
      <c r="H542" s="1"/>
      <c r="I542" s="1"/>
    </row>
    <row r="543" spans="1:9" ht="15.6" x14ac:dyDescent="0.3">
      <c r="A543" s="1" t="s">
        <v>5</v>
      </c>
      <c r="B543" s="1" t="s">
        <v>5</v>
      </c>
      <c r="C543" s="10" t="s">
        <v>5</v>
      </c>
      <c r="D543" s="5" t="s">
        <v>536</v>
      </c>
      <c r="E543" s="1" t="str">
        <f ca="1">IFERROR(__xludf.DUMMYFUNCTION("GOOGLETRANSLATE(D543, ""bn"", ""en"")"),"We should all examine our hearts and attitudes before boasting about practicing religion, because true religious behavior should be done with humility and honesty.")</f>
        <v>We should all examine our hearts and attitudes before boasting about practicing religion, because true religious behavior should be done with humility and honesty.</v>
      </c>
      <c r="F543" s="1"/>
      <c r="G543" s="1"/>
      <c r="H543" s="1"/>
      <c r="I543" s="1"/>
    </row>
    <row r="544" spans="1:9" ht="15.6" x14ac:dyDescent="0.3">
      <c r="A544" s="1" t="s">
        <v>7</v>
      </c>
      <c r="B544" s="1" t="s">
        <v>7</v>
      </c>
      <c r="C544" s="10" t="s">
        <v>7</v>
      </c>
      <c r="D544" s="5" t="s">
        <v>537</v>
      </c>
      <c r="E544" s="1" t="str">
        <f ca="1">IFERROR(__xludf.DUMMYFUNCTION("GOOGLETRANSLATE(D544, ""bn"", ""en"")"),"The Burunga Massacre is a massacre of Hindus in Burunga and its surrounding villages in the then Balaganj Upazila (now Osmani Nagar) of Sylhet District by the Pakistani Army on 26 May 1971, which took place on the grounds of Burunga High School.")</f>
        <v>The Burunga Massacre is a massacre of Hindus in Burunga and its surrounding villages in the then Balaganj Upazila (now Osmani Nagar) of Sylhet District by the Pakistani Army on 26 May 1971, which took place on the grounds of Burunga High School.</v>
      </c>
      <c r="F544" s="1"/>
      <c r="G544" s="1"/>
      <c r="H544" s="1"/>
      <c r="I544" s="1"/>
    </row>
    <row r="545" spans="1:9" ht="15.6" x14ac:dyDescent="0.3">
      <c r="A545" s="1" t="s">
        <v>7</v>
      </c>
      <c r="B545" s="1" t="s">
        <v>7</v>
      </c>
      <c r="C545" s="10" t="s">
        <v>7</v>
      </c>
      <c r="D545" s="5" t="s">
        <v>538</v>
      </c>
      <c r="E545" s="1" t="str">
        <f ca="1">IFERROR(__xludf.DUMMYFUNCTION("GOOGLETRANSLATE(D545, ""bn"", ""en"")"),"The lowest number of attacks occurred in 2020. However, there were 67 attacks on the temple. According to the data, the highest number of Hindus were killed during this period in 2016, with a total of seven. The police later said that many of these killin"&amp;"gs were 'terrorist attacks'.")</f>
        <v>The lowest number of attacks occurred in 2020. However, there were 67 attacks on the temple. According to the data, the highest number of Hindus were killed during this period in 2016, with a total of seven. The police later said that many of these killings were 'terrorist attacks'.</v>
      </c>
      <c r="F545" s="1"/>
      <c r="G545" s="1"/>
      <c r="H545" s="1"/>
      <c r="I545" s="1"/>
    </row>
    <row r="546" spans="1:9" ht="15.6" x14ac:dyDescent="0.3">
      <c r="A546" s="1" t="s">
        <v>7</v>
      </c>
      <c r="B546" s="1" t="s">
        <v>7</v>
      </c>
      <c r="C546" s="10" t="s">
        <v>7</v>
      </c>
      <c r="D546" s="5" t="s">
        <v>539</v>
      </c>
      <c r="E546" s="1" t="str">
        <f ca="1">IFERROR(__xludf.DUMMYFUNCTION("GOOGLETRANSLATE(D546, ""bn"", ""en"")"),"The Druze have often faced persecution by various Muslim regimes such as the Shia Fatimid Caliphate, [182] the Mamluks, [183] ​​the Sunni Ottoman Empire, [184] and the Egyptian Islet. [185] [186] Persecution of Druze included massacres, destruction of Dru"&amp;"ze prayer houses and holy sites, and forced conversion to Islam. [187] In the Druze narrative these were no ordinary massacres, but were intended to exterminate the entire community, as the Druze described it.")</f>
        <v>The Druze have often faced persecution by various Muslim regimes such as the Shia Fatimid Caliphate, [182] the Mamluks, [183] ​​the Sunni Ottoman Empire, [184] and the Egyptian Islet. [185] [186] Persecution of Druze included massacres, destruction of Druze prayer houses and holy sites, and forced conversion to Islam. [187] In the Druze narrative these were no ordinary massacres, but were intended to exterminate the entire community, as the Druze described it.</v>
      </c>
      <c r="F546" s="1"/>
      <c r="G546" s="1"/>
      <c r="H546" s="1"/>
      <c r="I546" s="1"/>
    </row>
    <row r="547" spans="1:9" ht="15.6" x14ac:dyDescent="0.3">
      <c r="A547" s="1" t="s">
        <v>9</v>
      </c>
      <c r="B547" s="1" t="s">
        <v>9</v>
      </c>
      <c r="C547" s="10" t="s">
        <v>9</v>
      </c>
      <c r="D547" s="5" t="s">
        <v>540</v>
      </c>
      <c r="E547" s="1" t="str">
        <f ca="1">IFERROR(__xludf.DUMMYFUNCTION("GOOGLETRANSLATE(D547, ""bn"", ""en"")"),"Some were injured. Earlier, some people were injured in attacks on a Shia religious place in Hosni Dalan in Dhaka and a village in Bogra in the month of Muharram.")</f>
        <v>Some were injured. Earlier, some people were injured in attacks on a Shia religious place in Hosni Dalan in Dhaka and a village in Bogra in the month of Muharram.</v>
      </c>
      <c r="F547" s="1"/>
      <c r="G547" s="1"/>
      <c r="H547" s="1"/>
      <c r="I547" s="1"/>
    </row>
    <row r="548" spans="1:9" ht="15.6" x14ac:dyDescent="0.3">
      <c r="A548" s="1" t="s">
        <v>9</v>
      </c>
      <c r="B548" s="1" t="s">
        <v>9</v>
      </c>
      <c r="C548" s="10" t="s">
        <v>9</v>
      </c>
      <c r="D548" s="5" t="s">
        <v>541</v>
      </c>
      <c r="E548" s="1" t="str">
        <f ca="1">IFERROR(__xludf.DUMMYFUNCTION("GOOGLETRANSLATE(D548, ""bn"", ""en"")"),"Persecution of Muslims is going on in every country of Europe and America including China, Germany, India, France. Direct practice of religion is being prevented. But we people of all religions are bound by love. There is no way to accept such humiliation"&amp;" and I demand a fair trial immediately.")</f>
        <v>Persecution of Muslims is going on in every country of Europe and America including China, Germany, India, France. Direct practice of religion is being prevented. But we people of all religions are bound by love. There is no way to accept such humiliation and I demand a fair trial immediately.</v>
      </c>
      <c r="F548" s="1"/>
      <c r="G548" s="1"/>
      <c r="H548" s="1"/>
      <c r="I548" s="1"/>
    </row>
    <row r="549" spans="1:9" ht="15.6" x14ac:dyDescent="0.3">
      <c r="A549" s="1" t="s">
        <v>9</v>
      </c>
      <c r="B549" s="1" t="s">
        <v>9</v>
      </c>
      <c r="C549" s="10" t="s">
        <v>9</v>
      </c>
      <c r="D549" s="5" t="s">
        <v>542</v>
      </c>
      <c r="E549" s="1" t="str">
        <f ca="1">IFERROR(__xludf.DUMMYFUNCTION("GOOGLETRANSLATE(D549, ""bn"", ""en"")"),"The three temple idols vandalized in Alfadanga are all located within one kilometer of the municipal area. The temples are Kendriya Hari Mandir in Kushumadi Mohalla, Ward No. 6, Sri Vishnu Pagal Mandir and Sri Sri Damudara Akhara in Alphadanga Mohalla, Wa"&amp;"rd No. 7.")</f>
        <v>The three temple idols vandalized in Alfadanga are all located within one kilometer of the municipal area. The temples are Kendriya Hari Mandir in Kushumadi Mohalla, Ward No. 6, Sri Vishnu Pagal Mandir and Sri Sri Damudara Akhara in Alphadanga Mohalla, Ward No. 7.</v>
      </c>
      <c r="F549" s="1"/>
      <c r="G549" s="1"/>
      <c r="H549" s="1"/>
      <c r="I549" s="1"/>
    </row>
    <row r="550" spans="1:9" ht="15.6" x14ac:dyDescent="0.3">
      <c r="A550" s="1" t="s">
        <v>4</v>
      </c>
      <c r="B550" s="1" t="s">
        <v>4</v>
      </c>
      <c r="C550" s="10" t="s">
        <v>4</v>
      </c>
      <c r="D550" s="5" t="s">
        <v>543</v>
      </c>
      <c r="E550" s="1" t="str">
        <f ca="1">IFERROR(__xludf.DUMMYFUNCTION("GOOGLETRANSLATE(D550, ""bn"", ""en"")"),"What happens if you apologize??? A law should be made that no religious book can be insulted, no religion can be ridiculed. If you do, you will be punished severely. And of course the criminal must be punished. Do such a dirty thing and apologize under pr"&amp;"essure and do it again later. Faizlami or not!")</f>
        <v>What happens if you apologize??? A law should be made that no religious book can be insulted, no religion can be ridiculed. If you do, you will be punished severely. And of course the criminal must be punished. Do such a dirty thing and apologize under pressure and do it again later. Faizlami or not!</v>
      </c>
      <c r="F550" s="1"/>
      <c r="G550" s="1"/>
      <c r="H550" s="1"/>
      <c r="I550" s="1"/>
    </row>
    <row r="551" spans="1:9" ht="15.6" x14ac:dyDescent="0.3">
      <c r="A551" s="1" t="s">
        <v>7</v>
      </c>
      <c r="B551" s="1" t="s">
        <v>7</v>
      </c>
      <c r="C551" s="10" t="s">
        <v>7</v>
      </c>
      <c r="D551" s="5" t="s">
        <v>544</v>
      </c>
      <c r="E551" s="1" t="str">
        <f ca="1">IFERROR(__xludf.DUMMYFUNCTION("GOOGLETRANSLATE(D551, ""bn"", ""en"")"),"A train fire in Godhra, Gujarat, kills 59 Hindu pilgrims, sparking violent communal riots in Gujarat that kill more than a thousand people, mostly Muslims.")</f>
        <v>A train fire in Godhra, Gujarat, kills 59 Hindu pilgrims, sparking violent communal riots in Gujarat that kill more than a thousand people, mostly Muslims.</v>
      </c>
      <c r="F551" s="1"/>
      <c r="G551" s="1"/>
      <c r="H551" s="1"/>
      <c r="I551" s="1"/>
    </row>
    <row r="552" spans="1:9" ht="15.6" x14ac:dyDescent="0.3">
      <c r="A552" s="1" t="s">
        <v>4</v>
      </c>
      <c r="B552" s="1" t="s">
        <v>4</v>
      </c>
      <c r="C552" s="10" t="s">
        <v>4</v>
      </c>
      <c r="D552" s="5" t="s">
        <v>545</v>
      </c>
      <c r="E552" s="1" t="str">
        <f ca="1">IFERROR(__xludf.DUMMYFUNCTION("GOOGLETRANSLATE(D552, ""bn"", ""en"")"),"In the Netherlands, there has been another incident of desecration of the Holy Quran. Edwin Wegenswald, the leader of the anti-Islam organization Pegida, tried to burn holy books. Even though the police assisted in this despicable and despicable act, the "&amp;"local Muslims prevented it.")</f>
        <v>In the Netherlands, there has been another incident of desecration of the Holy Quran. Edwin Wegenswald, the leader of the anti-Islam organization Pegida, tried to burn holy books. Even though the police assisted in this despicable and despicable act, the local Muslims prevented it.</v>
      </c>
      <c r="F552" s="1"/>
      <c r="G552" s="1"/>
      <c r="H552" s="1"/>
      <c r="I552" s="1"/>
    </row>
    <row r="553" spans="1:9" ht="15.6" x14ac:dyDescent="0.3">
      <c r="A553" s="1" t="s">
        <v>7</v>
      </c>
      <c r="B553" s="1" t="s">
        <v>7</v>
      </c>
      <c r="C553" s="10" t="s">
        <v>7</v>
      </c>
      <c r="D553" s="5" t="s">
        <v>546</v>
      </c>
      <c r="E553" s="1" t="str">
        <f ca="1">IFERROR(__xludf.DUMMYFUNCTION("GOOGLETRANSLATE(D553, ""bn"", ""en"")"),"In 2022, a tailor named Kanhaiya Lal was killed by Muslim extremists for commenting against Hindutva leaders.")</f>
        <v>In 2022, a tailor named Kanhaiya Lal was killed by Muslim extremists for commenting against Hindutva leaders.</v>
      </c>
      <c r="F553" s="1"/>
      <c r="G553" s="1"/>
      <c r="H553" s="1"/>
      <c r="I553" s="1"/>
    </row>
    <row r="554" spans="1:9" ht="15.6" x14ac:dyDescent="0.3">
      <c r="A554" s="1" t="s">
        <v>7</v>
      </c>
      <c r="B554" s="1" t="s">
        <v>7</v>
      </c>
      <c r="C554" s="10" t="s">
        <v>7</v>
      </c>
      <c r="D554" s="5" t="s">
        <v>547</v>
      </c>
      <c r="E554" s="1" t="str">
        <f ca="1">IFERROR(__xludf.DUMMYFUNCTION("GOOGLETRANSLATE(D554, ""bn"", ""en"")"),"Around 400 Bengali Hindus lost their lives at the hands of the Pakistan Army in the Kaliganj massacre.[1][2] The massacre was reportedly planned by Convention Muslim League leader and Union Minister Kazi Abdul Quader.")</f>
        <v>Around 400 Bengali Hindus lost their lives at the hands of the Pakistan Army in the Kaliganj massacre.[1][2] The massacre was reportedly planned by Convention Muslim League leader and Union Minister Kazi Abdul Quader.</v>
      </c>
      <c r="F554" s="1"/>
      <c r="G554" s="1"/>
      <c r="H554" s="1"/>
      <c r="I554" s="1"/>
    </row>
    <row r="555" spans="1:9" ht="15.6" x14ac:dyDescent="0.3">
      <c r="A555" s="1" t="s">
        <v>7</v>
      </c>
      <c r="B555" s="1" t="s">
        <v>7</v>
      </c>
      <c r="C555" s="10" t="s">
        <v>7</v>
      </c>
      <c r="D555" s="5" t="s">
        <v>548</v>
      </c>
      <c r="E555" s="1" t="str">
        <f ca="1">IFERROR(__xludf.DUMMYFUNCTION("GOOGLETRANSLATE(D555, ""bn"", ""en"")"),"The Israeli-Palestinian conflict in the Middle East has resulted in many deaths due to religious and ethnic tensions, which are still part of the ongoing crisis.")</f>
        <v>The Israeli-Palestinian conflict in the Middle East has resulted in many deaths due to religious and ethnic tensions, which are still part of the ongoing crisis.</v>
      </c>
      <c r="F555" s="1"/>
      <c r="G555" s="1"/>
      <c r="H555" s="1"/>
      <c r="I555" s="1"/>
    </row>
    <row r="556" spans="1:9" ht="15.6" x14ac:dyDescent="0.3">
      <c r="A556" s="1" t="s">
        <v>5</v>
      </c>
      <c r="B556" s="1" t="s">
        <v>5</v>
      </c>
      <c r="C556" s="10" t="s">
        <v>5</v>
      </c>
      <c r="D556" s="5" t="s">
        <v>549</v>
      </c>
      <c r="E556" s="1" t="str">
        <f ca="1">IFERROR(__xludf.DUMMYFUNCTION("GOOGLETRANSLATE(D556, ""bn"", ""en"")"),"Donation of solid cheebur, a religious rite, and festival of Buddhism, usually held at any convenient time within a month of Prabarana Purnima (autumn full moon or full moon of Ashwin month) according to the Bengali lunar calendar. ")</f>
        <v>Donation of solid cheebur, a religious rite, and festival of Buddhism, usually held at any convenient time within a month of Prabarana Purnima (autumn full moon or full moon of Ashwin month) according to the Bengali lunar calendar. </v>
      </c>
      <c r="F556" s="1"/>
      <c r="G556" s="1"/>
      <c r="H556" s="1"/>
      <c r="I556" s="1"/>
    </row>
    <row r="557" spans="1:9" ht="15.6" x14ac:dyDescent="0.3">
      <c r="A557" s="1" t="s">
        <v>7</v>
      </c>
      <c r="B557" s="1" t="s">
        <v>7</v>
      </c>
      <c r="C557" s="10" t="s">
        <v>7</v>
      </c>
      <c r="D557" s="5" t="s">
        <v>550</v>
      </c>
      <c r="E557" s="1" t="str">
        <f ca="1">IFERROR(__xludf.DUMMYFUNCTION("GOOGLETRANSLATE(D557, ""bn"", ""en"")"),"Scholars debate whether these rare reports of sati suicide by widows are culturally related or an example of mental illness and suicide.")</f>
        <v>Scholars debate whether these rare reports of sati suicide by widows are culturally related or an example of mental illness and suicide.</v>
      </c>
      <c r="F557" s="1"/>
      <c r="G557" s="1"/>
      <c r="H557" s="1"/>
      <c r="I557" s="1"/>
    </row>
    <row r="558" spans="1:9" ht="15.6" x14ac:dyDescent="0.3">
      <c r="A558" s="1" t="s">
        <v>7</v>
      </c>
      <c r="B558" s="1" t="s">
        <v>7</v>
      </c>
      <c r="C558" s="10" t="s">
        <v>7</v>
      </c>
      <c r="D558" s="5" t="s">
        <v>551</v>
      </c>
      <c r="E558" s="1" t="str">
        <f ca="1">IFERROR(__xludf.DUMMYFUNCTION("GOOGLETRANSLATE(D558, ""bn"", ""en"")"),"In 2022, 154 people from minority communities were killed and 39 women were raped in Bangladesh In a press conference, the Bangladesh National Hindu Mahazot highlighted these facts of violence against minorities")</f>
        <v>In 2022, 154 people from minority communities were killed and 39 women were raped in Bangladesh In a press conference, the Bangladesh National Hindu Mahazot highlighted these facts of violence against minorities</v>
      </c>
      <c r="F558" s="1"/>
      <c r="G558" s="1"/>
      <c r="H558" s="1"/>
      <c r="I558" s="1"/>
    </row>
    <row r="559" spans="1:9" ht="15.6" x14ac:dyDescent="0.3">
      <c r="A559" s="1" t="s">
        <v>4</v>
      </c>
      <c r="B559" s="1" t="s">
        <v>4</v>
      </c>
      <c r="C559" s="10" t="s">
        <v>4</v>
      </c>
      <c r="D559" s="5" t="s">
        <v>552</v>
      </c>
      <c r="E559" s="1" t="str">
        <f ca="1">IFERROR(__xludf.DUMMYFUNCTION("GOOGLETRANSLATE(D559, ""bn"", ""en"")"),"Just as BJP's communal violence, controversial citizenship law and anti-Muslim activities in India have angered and alarmed the common people of this country, the silence of our government on these issues has also angered the people.")</f>
        <v>Just as BJP's communal violence, controversial citizenship law and anti-Muslim activities in India have angered and alarmed the common people of this country, the silence of our government on these issues has also angered the people.</v>
      </c>
      <c r="F559" s="1"/>
      <c r="G559" s="1"/>
      <c r="H559" s="1"/>
      <c r="I559" s="1"/>
    </row>
    <row r="560" spans="1:9" ht="15.6" x14ac:dyDescent="0.3">
      <c r="A560" s="1" t="s">
        <v>4</v>
      </c>
      <c r="B560" s="1" t="s">
        <v>4</v>
      </c>
      <c r="C560" s="10" t="s">
        <v>4</v>
      </c>
      <c r="D560" s="5" t="s">
        <v>553</v>
      </c>
      <c r="E560" s="1" t="str">
        <f ca="1">IFERROR(__xludf.DUMMYFUNCTION("GOOGLETRANSLATE(D560, ""bn"", ""en"")"),"Those who have done this act have no particular religion or birth identity. Being human, at least for the sake of humanity, people cannot do that. It is also shameful as a human being.")</f>
        <v>Those who have done this act have no particular religion or birth identity. Being human, at least for the sake of humanity, people cannot do that. It is also shameful as a human being.</v>
      </c>
      <c r="F560" s="1"/>
      <c r="G560" s="1"/>
      <c r="H560" s="1"/>
      <c r="I560" s="1"/>
    </row>
    <row r="561" spans="1:9" ht="15.6" x14ac:dyDescent="0.3">
      <c r="A561" s="1" t="s">
        <v>4</v>
      </c>
      <c r="B561" s="1" t="s">
        <v>5</v>
      </c>
      <c r="C561" s="10" t="s">
        <v>4</v>
      </c>
      <c r="D561" s="5" t="s">
        <v>554</v>
      </c>
      <c r="E561" s="1" t="str">
        <f ca="1">IFERROR(__xludf.DUMMYFUNCTION("GOOGLETRANSLATE(D561, ""bn"", ""en"")"),"There are many Hindu families living in Comilla. We have never seen such a mess. Everyone is doing their business and living their lives like everyone else.")</f>
        <v>There are many Hindu families living in Comilla. We have never seen such a mess. Everyone is doing their business and living their lives like everyone else.</v>
      </c>
      <c r="F561" s="1"/>
      <c r="G561" s="1"/>
      <c r="H561" s="1"/>
      <c r="I561" s="1"/>
    </row>
    <row r="562" spans="1:9" ht="15.6" x14ac:dyDescent="0.3">
      <c r="A562" s="1" t="s">
        <v>5</v>
      </c>
      <c r="B562" s="1" t="s">
        <v>5</v>
      </c>
      <c r="C562" s="10" t="s">
        <v>5</v>
      </c>
      <c r="D562" s="5" t="s">
        <v>555</v>
      </c>
      <c r="E562" s="1" t="str">
        <f ca="1">IFERROR(__xludf.DUMMYFUNCTION("GOOGLETRANSLATE(D562, ""bn"", ""en"")"),"Adhering to Allah's rules allows us to follow the path of social correctness and justice, which increases our dignity.")</f>
        <v>Adhering to Allah's rules allows us to follow the path of social correctness and justice, which increases our dignity.</v>
      </c>
      <c r="F562" s="1"/>
      <c r="G562" s="1"/>
      <c r="H562" s="1"/>
      <c r="I562" s="1"/>
    </row>
    <row r="563" spans="1:9" ht="15.6" x14ac:dyDescent="0.3">
      <c r="A563" s="1" t="s">
        <v>9</v>
      </c>
      <c r="B563" s="1" t="s">
        <v>9</v>
      </c>
      <c r="C563" s="10" t="s">
        <v>9</v>
      </c>
      <c r="D563" s="5" t="s">
        <v>556</v>
      </c>
      <c r="E563" s="1" t="str">
        <f ca="1">IFERROR(__xludf.DUMMYFUNCTION("GOOGLETRANSLATE(D563, ""bn"", ""en"")"),"Four Buddhists were hacked and injured in Chittagong. One of them was a police inspector. Besides, several Buddhist monasteries were destroyed by Muslims.")</f>
        <v>Four Buddhists were hacked and injured in Chittagong. One of them was a police inspector. Besides, several Buddhist monasteries were destroyed by Muslims.</v>
      </c>
      <c r="F563" s="1"/>
      <c r="G563" s="1"/>
      <c r="H563" s="1"/>
      <c r="I563" s="1"/>
    </row>
    <row r="564" spans="1:9" ht="15.6" x14ac:dyDescent="0.3">
      <c r="A564" s="1" t="s">
        <v>5</v>
      </c>
      <c r="B564" s="1" t="s">
        <v>5</v>
      </c>
      <c r="C564" s="10" t="s">
        <v>5</v>
      </c>
      <c r="D564" s="5" t="s">
        <v>557</v>
      </c>
      <c r="E564" s="1" t="str">
        <f ca="1">IFERROR(__xludf.DUMMYFUNCTION("GOOGLETRANSLATE(D564, ""bn"", ""en"")"),"The guardian of the Qur'an is Allah Almighty, who is the sole judge of all the worlds. He has provided severe punishment for such an act, but Allah can forgive, but nothing is possible except with Him. O Allah, save us, Amen.")</f>
        <v>The guardian of the Qur'an is Allah Almighty, who is the sole judge of all the worlds. He has provided severe punishment for such an act, but Allah can forgive, but nothing is possible except with Him. O Allah, save us, Amen.</v>
      </c>
      <c r="F564" s="1"/>
      <c r="G564" s="1"/>
      <c r="H564" s="1"/>
      <c r="I564" s="1"/>
    </row>
    <row r="565" spans="1:9" ht="15.6" x14ac:dyDescent="0.3">
      <c r="A565" s="1" t="s">
        <v>4</v>
      </c>
      <c r="B565" s="1" t="s">
        <v>4</v>
      </c>
      <c r="C565" s="10" t="s">
        <v>4</v>
      </c>
      <c r="D565" s="5" t="s">
        <v>558</v>
      </c>
      <c r="E565" s="1" t="str">
        <f ca="1">IFERROR(__xludf.DUMMYFUNCTION("GOOGLETRANSLATE(D565, ""bn"", ""en"")"),"My point is, this is that breaking bets on Eid, playing dhumche song on thirty fast night, singing on box in puja are not visible or just like to chew fat during waj??")</f>
        <v>My point is, this is that breaking bets on Eid, playing dhumche song on thirty fast night, singing on box in puja are not visible or just like to chew fat during waj??</v>
      </c>
      <c r="F565" s="1"/>
      <c r="G565" s="1"/>
      <c r="H565" s="1"/>
      <c r="I565" s="1"/>
    </row>
    <row r="566" spans="1:9" ht="15.6" x14ac:dyDescent="0.3">
      <c r="A566" s="1" t="s">
        <v>4</v>
      </c>
      <c r="B566" s="1" t="s">
        <v>4</v>
      </c>
      <c r="C566" s="10" t="s">
        <v>4</v>
      </c>
      <c r="D566" s="5" t="s">
        <v>559</v>
      </c>
      <c r="E566" s="1" t="str">
        <f ca="1">IFERROR(__xludf.DUMMYFUNCTION("GOOGLETRANSLATE(D566, ""bn"", ""en"")"),"Why are those who always talk about personal freedom so allergic to burqa!!")</f>
        <v>Why are those who always talk about personal freedom so allergic to burqa!!</v>
      </c>
      <c r="F566" s="1"/>
      <c r="G566" s="1"/>
      <c r="H566" s="1"/>
      <c r="I566" s="1"/>
    </row>
    <row r="567" spans="1:9" ht="15.6" x14ac:dyDescent="0.3">
      <c r="A567" s="1" t="s">
        <v>4</v>
      </c>
      <c r="B567" s="1" t="s">
        <v>5</v>
      </c>
      <c r="C567" s="10" t="s">
        <v>4</v>
      </c>
      <c r="D567" s="5" t="s">
        <v>560</v>
      </c>
      <c r="E567" s="1" t="str">
        <f ca="1">IFERROR(__xludf.DUMMYFUNCTION("GOOGLETRANSLATE(D567, ""bn"", ""en"")"),"In any anti-Islamic work, the names that will come first, will look like Muslims.")</f>
        <v>In any anti-Islamic work, the names that will come first, will look like Muslims.</v>
      </c>
      <c r="F567" s="1"/>
      <c r="G567" s="1"/>
      <c r="H567" s="1"/>
      <c r="I567" s="1"/>
    </row>
    <row r="568" spans="1:9" ht="17.399999999999999" x14ac:dyDescent="0.3">
      <c r="A568" s="1" t="s">
        <v>5</v>
      </c>
      <c r="B568" s="1" t="s">
        <v>5</v>
      </c>
      <c r="C568" s="10" t="s">
        <v>5</v>
      </c>
      <c r="D568" s="5" t="s">
        <v>3499</v>
      </c>
      <c r="E568" s="1" t="str">
        <f ca="1">IFERROR(__xludf.DUMMYFUNCTION("GOOGLETRANSLATE(D568, ""bn"", ""en"")"),"They also believed that God had a kinship-type relationship with Jinn [22] They also believed that He was the son of God [23] and they considered the regional deities Laat, Uzza, Manat to be daughters of God [24]. Most likely, the Meccan Arabs thought of "&amp;"Allah as an angel or a heavenly messenger.")</f>
        <v>They also believed that God had a kinship-type relationship with Jinn [22] They also believed that He was the son of God [23] and they considered the regional deities Laat, Uzza, Manat to be daughters of God [24]. Most likely, the Meccan Arabs thought of Allah as an angel or a heavenly messenger.</v>
      </c>
      <c r="F568" s="1"/>
      <c r="G568" s="1"/>
      <c r="H568" s="1"/>
      <c r="I568" s="1"/>
    </row>
    <row r="569" spans="1:9" ht="15.6" x14ac:dyDescent="0.3">
      <c r="A569" s="1" t="s">
        <v>7</v>
      </c>
      <c r="B569" s="1" t="s">
        <v>7</v>
      </c>
      <c r="C569" s="10" t="s">
        <v>7</v>
      </c>
      <c r="D569" s="5" t="s">
        <v>561</v>
      </c>
      <c r="E569" s="1" t="str">
        <f ca="1">IFERROR(__xludf.DUMMYFUNCTION("GOOGLETRANSLATE(D569, ""bn"", ""en"")"),"Those who are people of other religions who stand against injustice, sacrifice themselves, who do you call the followers of which religion? If he gives his life to protect God's creation, is there a possibility of getting heaven and heaven in his heavenly"&amp;" life? I think this is religion. Love for God's creation is the real religion.")</f>
        <v>Those who are people of other religions who stand against injustice, sacrifice themselves, who do you call the followers of which religion? If he gives his life to protect God's creation, is there a possibility of getting heaven and heaven in his heavenly life? I think this is religion. Love for God's creation is the real religion.</v>
      </c>
      <c r="F569" s="1"/>
      <c r="G569" s="1"/>
      <c r="H569" s="1"/>
      <c r="I569" s="1"/>
    </row>
    <row r="570" spans="1:9" ht="15.6" x14ac:dyDescent="0.3">
      <c r="A570" s="1" t="s">
        <v>4</v>
      </c>
      <c r="B570" s="1" t="s">
        <v>4</v>
      </c>
      <c r="C570" s="10" t="s">
        <v>4</v>
      </c>
      <c r="D570" s="5" t="s">
        <v>562</v>
      </c>
      <c r="E570" s="1" t="str">
        <f ca="1">IFERROR(__xludf.DUMMYFUNCTION("GOOGLETRANSLATE(D570, ""bn"", ""en"")"),"However, prayers have been suspended in all mosques in Saudi Arabia except for the two main mosques in Mecca and Medina. In the UAE, the call to prayer has also been changed to suggest praying at home.")</f>
        <v>However, prayers have been suspended in all mosques in Saudi Arabia except for the two main mosques in Mecca and Medina. In the UAE, the call to prayer has also been changed to suggest praying at home.</v>
      </c>
      <c r="F570" s="1"/>
      <c r="G570" s="1"/>
      <c r="H570" s="1"/>
      <c r="I570" s="1"/>
    </row>
    <row r="571" spans="1:9" ht="15.6" x14ac:dyDescent="0.3">
      <c r="A571" s="1" t="s">
        <v>9</v>
      </c>
      <c r="B571" s="1" t="s">
        <v>9</v>
      </c>
      <c r="C571" s="10" t="s">
        <v>9</v>
      </c>
      <c r="D571" s="5" t="s">
        <v>563</v>
      </c>
      <c r="E571" s="1" t="str">
        <f ca="1">IFERROR(__xludf.DUMMYFUNCTION("GOOGLETRANSLATE(D571, ""bn"", ""en"")"),"During the puja-archana in the temple, there was a fight between Vikas Chandra Karmakar, son of deceased Narayan Karmakar and son of Prof. Anand Babu. Later the temple committee general secretary Madan Karmakar, members Madhav Sheel, Nimai Karmakar and Pr"&amp;"of. Anand Babu threw Vikas out of the temple. At this time Madyap Vikas sits on the balcony of Majnu's house next to the temple. When everyone left around 3pm, Bikash returned to the temple. At that time, he threatened to kill Vikas if he prevented him fr"&amp;"om entering the temple. Later he vandalized the idol.")</f>
        <v>During the puja-archana in the temple, there was a fight between Vikas Chandra Karmakar, son of deceased Narayan Karmakar and son of Prof. Anand Babu. Later the temple committee general secretary Madan Karmakar, members Madhav Sheel, Nimai Karmakar and Prof. Anand Babu threw Vikas out of the temple. At this time Madyap Vikas sits on the balcony of Majnu's house next to the temple. When everyone left around 3pm, Bikash returned to the temple. At that time, he threatened to kill Vikas if he prevented him from entering the temple. Later he vandalized the idol.</v>
      </c>
      <c r="F571" s="1"/>
      <c r="G571" s="1"/>
      <c r="H571" s="1"/>
      <c r="I571" s="1"/>
    </row>
    <row r="572" spans="1:9" ht="15.6" x14ac:dyDescent="0.3">
      <c r="A572" s="1" t="s">
        <v>9</v>
      </c>
      <c r="B572" s="1" t="s">
        <v>9</v>
      </c>
      <c r="C572" s="10" t="s">
        <v>9</v>
      </c>
      <c r="D572" s="5" t="s">
        <v>564</v>
      </c>
      <c r="E572" s="1" t="str">
        <f ca="1">IFERROR(__xludf.DUMMYFUNCTION("GOOGLETRANSLATE(D572, ""bn"", ""en"")"),"Mohammad Jahangir Islam opened a fake Facebook ID named Akash Saha and made bad comments about Islam. In that incident, the houses of Hindus in Narail were destroyed ")</f>
        <v xml:space="preserve">Mohammad Jahangir Islam opened a fake Facebook ID named Akash Saha and made bad comments about Islam. In that incident, the houses of Hindus in Narail were destroyed </v>
      </c>
      <c r="F572" s="1"/>
      <c r="G572" s="1"/>
      <c r="H572" s="1"/>
      <c r="I572" s="1"/>
    </row>
    <row r="573" spans="1:9" ht="15.6" x14ac:dyDescent="0.3">
      <c r="A573" s="1" t="s">
        <v>7</v>
      </c>
      <c r="B573" s="1" t="s">
        <v>7</v>
      </c>
      <c r="C573" s="10" t="s">
        <v>7</v>
      </c>
      <c r="D573" s="5" t="s">
        <v>565</v>
      </c>
      <c r="E573" s="1" t="str">
        <f ca="1">IFERROR(__xludf.DUMMYFUNCTION("GOOGLETRANSLATE(D573, ""bn"", ""en"")"),"Family members and relatives should behave responsibly and all concerned should behave ethically to curb suicidal tendencies. Above all, social order and family ties should be strengthened.")</f>
        <v>Family members and relatives should behave responsibly and all concerned should behave ethically to curb suicidal tendencies. Above all, social order and family ties should be strengthened.</v>
      </c>
      <c r="F573" s="1"/>
      <c r="G573" s="1"/>
      <c r="H573" s="1"/>
      <c r="I573" s="1"/>
    </row>
    <row r="574" spans="1:9" ht="17.399999999999999" x14ac:dyDescent="0.3">
      <c r="A574" s="1" t="s">
        <v>7</v>
      </c>
      <c r="B574" s="1" t="s">
        <v>7</v>
      </c>
      <c r="C574" s="10" t="s">
        <v>7</v>
      </c>
      <c r="D574" s="5" t="s">
        <v>3500</v>
      </c>
      <c r="E574" s="1" t="str">
        <f ca="1">IFERROR(__xludf.DUMMYFUNCTION("GOOGLETRANSLATE(D574, ""bn"", ""en"")"),"Variant readings of the Vedas turn the symbolic practice into the practice of self-immolation by the widow with her husband. [38] Thapar also points to the ""subordination of women in patriarchal societies"", ""changing 'kinship systems'"", and ""control "&amp;"over female sexuality"" as reasons for the rise of sati-immolation.[")</f>
        <v>Variant readings of the Vedas turn the symbolic practice into the practice of self-immolation by the widow with her husband. [38] Thapar also points to the "subordination of women in patriarchal societies", "changing 'kinship systems'", and "control over female sexuality" as reasons for the rise of sati-immolation.[</v>
      </c>
      <c r="F574" s="1"/>
      <c r="G574" s="1"/>
      <c r="H574" s="1"/>
      <c r="I574" s="1"/>
    </row>
    <row r="575" spans="1:9" ht="15.6" x14ac:dyDescent="0.3">
      <c r="A575" s="1" t="s">
        <v>7</v>
      </c>
      <c r="B575" s="1" t="s">
        <v>7</v>
      </c>
      <c r="C575" s="10" t="s">
        <v>7</v>
      </c>
      <c r="D575" s="5" t="s">
        <v>566</v>
      </c>
      <c r="E575" s="1" t="str">
        <f ca="1">IFERROR(__xludf.DUMMYFUNCTION("GOOGLETRANSLATE(D575, ""bn"", ""en"")"),"Since the establishment of the state of Israel, Jews have been in conflict with Palestinian Muslims and Christians, resulting in many deaths and displacement.")</f>
        <v>Since the establishment of the state of Israel, Jews have been in conflict with Palestinian Muslims and Christians, resulting in many deaths and displacement.</v>
      </c>
      <c r="F575" s="1"/>
      <c r="G575" s="1"/>
      <c r="H575" s="1"/>
      <c r="I575" s="1"/>
    </row>
    <row r="576" spans="1:9" ht="15.6" x14ac:dyDescent="0.3">
      <c r="A576" s="1" t="s">
        <v>4</v>
      </c>
      <c r="B576" s="1" t="s">
        <v>4</v>
      </c>
      <c r="C576" s="10" t="s">
        <v>4</v>
      </c>
      <c r="D576" s="5" t="s">
        <v>567</v>
      </c>
      <c r="E576" s="1" t="str">
        <f ca="1">IFERROR(__xludf.DUMMYFUNCTION("GOOGLETRANSLATE(D576, ""bn"", ""en"")"),"The police headquarters said the two arrested responsible for the Bhola Borhanuddin incident hacked Biplab Chandra Vaidya's account and sent messages derogatory to the Prophet on Messenger which were later circulated as Biplab Chandra Vaidya's screenshots"&amp;".")</f>
        <v>The police headquarters said the two arrested responsible for the Bhola Borhanuddin incident hacked Biplab Chandra Vaidya's account and sent messages derogatory to the Prophet on Messenger which were later circulated as Biplab Chandra Vaidya's screenshots.</v>
      </c>
      <c r="F576" s="1"/>
      <c r="G576" s="1"/>
      <c r="H576" s="1"/>
      <c r="I576" s="1"/>
    </row>
    <row r="577" spans="1:9" ht="15.6" x14ac:dyDescent="0.3">
      <c r="A577" s="1" t="s">
        <v>4</v>
      </c>
      <c r="B577" s="1" t="s">
        <v>4</v>
      </c>
      <c r="C577" s="10" t="s">
        <v>4</v>
      </c>
      <c r="D577" s="5" t="s">
        <v>568</v>
      </c>
      <c r="E577" s="1" t="str">
        <f ca="1">IFERROR(__xludf.DUMMYFUNCTION("GOOGLETRANSLATE(D577, ""bn"", ""en"")"),"Al Jazeera, a Qatar-based media outlet, reported that most countries, including war-torn Ukraine, voted in favor of the proposal, but the United States, the United Kingdom, and the European Union (EU) countries voted against it. They said, this proposal i"&amp;"s against human rights and freedom of expression.")</f>
        <v>Al Jazeera, a Qatar-based media outlet, reported that most countries, including war-torn Ukraine, voted in favor of the proposal, but the United States, the United Kingdom, and the European Union (EU) countries voted against it. They said, this proposal is against human rights and freedom of expression.</v>
      </c>
      <c r="F577" s="1"/>
      <c r="G577" s="1"/>
      <c r="H577" s="1"/>
      <c r="I577" s="1"/>
    </row>
    <row r="578" spans="1:9" ht="15.6" x14ac:dyDescent="0.3">
      <c r="A578" s="1" t="s">
        <v>7</v>
      </c>
      <c r="B578" s="1" t="s">
        <v>7</v>
      </c>
      <c r="C578" s="10" t="s">
        <v>7</v>
      </c>
      <c r="D578" s="5" t="s">
        <v>569</v>
      </c>
      <c r="E578" s="1" t="str">
        <f ca="1">IFERROR(__xludf.DUMMYFUNCTION("GOOGLETRANSLATE(D578, ""bn"", ""en"")"),"A man is suffering so much in this day and age that he is sacrificing his life. And in the Hereafter he will be cast into hell. I can't take it.")</f>
        <v>A man is suffering so much in this day and age that he is sacrificing his life. And in the Hereafter he will be cast into hell. I can't take it.</v>
      </c>
      <c r="F578" s="1"/>
      <c r="G578" s="1"/>
      <c r="H578" s="1"/>
      <c r="I578" s="1"/>
    </row>
    <row r="579" spans="1:9" ht="15.6" x14ac:dyDescent="0.3">
      <c r="A579" s="1" t="s">
        <v>7</v>
      </c>
      <c r="B579" s="1" t="s">
        <v>7</v>
      </c>
      <c r="C579" s="10" t="s">
        <v>7</v>
      </c>
      <c r="D579" s="5" t="s">
        <v>570</v>
      </c>
      <c r="E579" s="1" t="str">
        <f ca="1">IFERROR(__xludf.DUMMYFUNCTION("GOOGLETRANSLATE(D579, ""bn"", ""en"")"),"Police in Lalmonirhat district of Bangladesh said that hundreds of people beat a man to death and set his body on fire in Patgram area.")</f>
        <v>Police in Lalmonirhat district of Bangladesh said that hundreds of people beat a man to death and set his body on fire in Patgram area.</v>
      </c>
      <c r="F579" s="1"/>
      <c r="G579" s="1"/>
      <c r="H579" s="1"/>
      <c r="I579" s="1"/>
    </row>
    <row r="580" spans="1:9" ht="15.6" x14ac:dyDescent="0.3">
      <c r="A580" s="1" t="s">
        <v>4</v>
      </c>
      <c r="B580" s="1" t="s">
        <v>4</v>
      </c>
      <c r="C580" s="10" t="s">
        <v>4</v>
      </c>
      <c r="D580" s="5" t="s">
        <v>571</v>
      </c>
      <c r="E580" s="1" t="str">
        <f ca="1">IFERROR(__xludf.DUMMYFUNCTION("GOOGLETRANSLATE(D580, ""bn"", ""en"")"),"When Muslims were being beaten in Myanmar, village after village was being burnt, Muslim women were being raped on a large scale, did the Buddhists of this country even see a fold on their foreheads? Did they spend a word of sympathy? If he did, wouldn't "&amp;"that help harmony?")</f>
        <v>When Muslims were being beaten in Myanmar, village after village was being burnt, Muslim women were being raped on a large scale, did the Buddhists of this country even see a fold on their foreheads? Did they spend a word of sympathy? If he did, wouldn't that help harmony?</v>
      </c>
      <c r="F580" s="1"/>
      <c r="G580" s="1"/>
      <c r="H580" s="1"/>
      <c r="I580" s="1"/>
    </row>
    <row r="581" spans="1:9" ht="15.6" x14ac:dyDescent="0.3">
      <c r="A581" s="1" t="s">
        <v>9</v>
      </c>
      <c r="B581" s="1" t="s">
        <v>9</v>
      </c>
      <c r="C581" s="10" t="s">
        <v>9</v>
      </c>
      <c r="D581" s="5" t="s">
        <v>572</v>
      </c>
      <c r="E581" s="1" t="str">
        <f ca="1">IFERROR(__xludf.DUMMYFUNCTION("GOOGLETRANSLATE(D581, ""bn"", ""en"")"),"Five people were arrested again in Pirgacha, Hindu neighborhood was attacked, beaten, set on fire")</f>
        <v>Five people were arrested again in Pirgacha, Hindu neighborhood was attacked, beaten, set on fire</v>
      </c>
      <c r="F581" s="1"/>
      <c r="G581" s="1"/>
      <c r="H581" s="1"/>
      <c r="I581" s="1"/>
    </row>
    <row r="582" spans="1:9" ht="15.6" x14ac:dyDescent="0.3">
      <c r="A582" s="1" t="s">
        <v>5</v>
      </c>
      <c r="B582" s="1" t="s">
        <v>5</v>
      </c>
      <c r="C582" s="10" t="s">
        <v>5</v>
      </c>
      <c r="D582" s="5" t="s">
        <v>573</v>
      </c>
      <c r="E582" s="1" t="str">
        <f ca="1">IFERROR(__xludf.DUMMYFUNCTION("GOOGLETRANSLATE(D582, ""bn"", ""en"")"),"In 1971, Karai and Kadipur villages were under Jaipurhat sub-division of Rajshahi district (presently included in Bombu union of Sadar upazila of Jaipurhat district of Rajshahi division) bordering India. The inhabitants of these two villages were mainly H"&amp;"indu blacksmiths.")</f>
        <v>In 1971, Karai and Kadipur villages were under Jaipurhat sub-division of Rajshahi district (presently included in Bombu union of Sadar upazila of Jaipurhat district of Rajshahi division) bordering India. The inhabitants of these two villages were mainly Hindu blacksmiths.</v>
      </c>
      <c r="F582" s="1"/>
      <c r="G582" s="1"/>
      <c r="H582" s="1"/>
      <c r="I582" s="1"/>
    </row>
    <row r="583" spans="1:9" ht="15.6" x14ac:dyDescent="0.3">
      <c r="A583" s="1" t="s">
        <v>4</v>
      </c>
      <c r="B583" s="1" t="s">
        <v>4</v>
      </c>
      <c r="C583" s="10" t="s">
        <v>4</v>
      </c>
      <c r="D583" s="5" t="s">
        <v>574</v>
      </c>
      <c r="E583" s="1" t="str">
        <f ca="1">IFERROR(__xludf.DUMMYFUNCTION("GOOGLETRANSLATE(D583, ""bn"", ""en"")"),"The Muslim constable of the police station forced all the Hindu men out of the police station. The frenzied Muslim crowd then severely beat them, took them to the local big mosque, converted them to Islam and forced them to eat beef. ")</f>
        <v>The Muslim constable of the police station forced all the Hindu men out of the police station. The frenzied Muslim crowd then severely beat them, took them to the local big mosque, converted them to Islam and forced them to eat beef. </v>
      </c>
      <c r="F583" s="1"/>
      <c r="G583" s="1"/>
      <c r="H583" s="1"/>
      <c r="I583" s="1"/>
    </row>
    <row r="584" spans="1:9" ht="15.6" x14ac:dyDescent="0.3">
      <c r="A584" s="1" t="s">
        <v>4</v>
      </c>
      <c r="B584" s="1" t="s">
        <v>5</v>
      </c>
      <c r="C584" s="10" t="s">
        <v>4</v>
      </c>
      <c r="D584" s="5" t="s">
        <v>575</v>
      </c>
      <c r="E584" s="1" t="str">
        <f ca="1">IFERROR(__xludf.DUMMYFUNCTION("GOOGLETRANSLATE(D584, ""bn"", ""en"")"),"Islam is not a laughing religion, why compare it with anything else.")</f>
        <v>Islam is not a laughing religion, why compare it with anything else.</v>
      </c>
      <c r="F584" s="1"/>
      <c r="G584" s="1"/>
      <c r="H584" s="1"/>
      <c r="I584" s="1"/>
    </row>
    <row r="585" spans="1:9" ht="15.6" x14ac:dyDescent="0.3">
      <c r="A585" s="1" t="s">
        <v>5</v>
      </c>
      <c r="B585" s="1" t="s">
        <v>5</v>
      </c>
      <c r="C585" s="10" t="s">
        <v>5</v>
      </c>
      <c r="D585" s="5" t="s">
        <v>576</v>
      </c>
      <c r="E585" s="1" t="str">
        <f ca="1">IFERROR(__xludf.DUMMYFUNCTION("GOOGLETRANSLATE(D585, ""bn"", ""en"")"),"Allah chose Ishmael from among Abraham's children and Kinanah from Ishmael's children. He chose Quraish from the clan of Kinanahr, Banu Hashim from Quraish and me from Banu Hashim.")</f>
        <v>Allah chose Ishmael from among Abraham's children and Kinanah from Ishmael's children. He chose Quraish from the clan of Kinanahr, Banu Hashim from Quraish and me from Banu Hashim.</v>
      </c>
      <c r="F585" s="1"/>
      <c r="G585" s="1"/>
      <c r="H585" s="1"/>
      <c r="I585" s="1"/>
    </row>
    <row r="586" spans="1:9" ht="15.6" x14ac:dyDescent="0.3">
      <c r="A586" s="1" t="s">
        <v>4</v>
      </c>
      <c r="B586" s="1" t="s">
        <v>5</v>
      </c>
      <c r="C586" s="10" t="s">
        <v>4</v>
      </c>
      <c r="D586" s="5" t="s">
        <v>577</v>
      </c>
      <c r="E586" s="1" t="str">
        <f ca="1">IFERROR(__xludf.DUMMYFUNCTION("GOOGLETRANSLATE(D586, ""bn"", ""en"")"),"Pakistan imposed maximum restrictions on the media, completely suppressing the voice. Taking photographs was also prohibited. [36] Daily Ittefaq and Pakistan Observer were restricted for publishing some facts.")</f>
        <v>Pakistan imposed maximum restrictions on the media, completely suppressing the voice. Taking photographs was also prohibited. [36] Daily Ittefaq and Pakistan Observer were restricted for publishing some facts.</v>
      </c>
      <c r="F586" s="1"/>
      <c r="G586" s="1"/>
      <c r="H586" s="1"/>
      <c r="I586" s="1"/>
    </row>
    <row r="587" spans="1:9" ht="15.6" x14ac:dyDescent="0.3">
      <c r="A587" s="1" t="s">
        <v>4</v>
      </c>
      <c r="B587" s="1" t="s">
        <v>5</v>
      </c>
      <c r="C587" s="10" t="s">
        <v>4</v>
      </c>
      <c r="D587" s="5" t="s">
        <v>578</v>
      </c>
      <c r="E587" s="1" t="str">
        <f ca="1">IFERROR(__xludf.DUMMYFUNCTION("GOOGLETRANSLATE(D587, ""bn"", ""en"")"),"This Act is not for any particular religion or to protect any single religion. Apart from this, the Digital Security Act, 2018 makes it a punishable offense to hurt religious sentiments in electronic format.")</f>
        <v>This Act is not for any particular religion or to protect any single religion. Apart from this, the Digital Security Act, 2018 makes it a punishable offense to hurt religious sentiments in electronic format.</v>
      </c>
      <c r="F587" s="1"/>
      <c r="G587" s="1"/>
      <c r="H587" s="1"/>
      <c r="I587" s="1"/>
    </row>
    <row r="588" spans="1:9" ht="15.6" x14ac:dyDescent="0.3">
      <c r="A588" s="1" t="s">
        <v>5</v>
      </c>
      <c r="B588" s="1" t="s">
        <v>5</v>
      </c>
      <c r="C588" s="10" t="s">
        <v>5</v>
      </c>
      <c r="D588" s="5" t="s">
        <v>579</v>
      </c>
      <c r="E588" s="1" t="str">
        <f ca="1">IFERROR(__xludf.DUMMYFUNCTION("GOOGLETRANSLATE(D588, ""bn"", ""en"")"),"Allah says in the Qur'an that one should show kindness and respect to all people, because He is the protector of all creation.")</f>
        <v>Allah says in the Qur'an that one should show kindness and respect to all people, because He is the protector of all creation.</v>
      </c>
      <c r="F588" s="1"/>
      <c r="G588" s="1"/>
      <c r="H588" s="1"/>
      <c r="I588" s="1"/>
    </row>
    <row r="589" spans="1:9" ht="15.6" x14ac:dyDescent="0.3">
      <c r="A589" s="1" t="s">
        <v>7</v>
      </c>
      <c r="B589" s="1" t="s">
        <v>7</v>
      </c>
      <c r="C589" s="10" t="s">
        <v>7</v>
      </c>
      <c r="D589" s="5" t="s">
        <v>580</v>
      </c>
      <c r="E589" s="1" t="str">
        <f ca="1">IFERROR(__xludf.DUMMYFUNCTION("GOOGLETRANSLATE(D589, ""bn"", ""en"")"),"The Bagbati Massacre refers to the cold bloodshed of over 200 unarmed Bengali Hindus in Bagbati Union of Sirajganj sub-division, the former district of Greater Pabna, by a combination of the Pakistan Army, Razakar and the Peace Committee at Al-Badr. [1] M"&amp;"ass graves or dumping of corpses after a massacre.")</f>
        <v>The Bagbati Massacre refers to the cold bloodshed of over 200 unarmed Bengali Hindus in Bagbati Union of Sirajganj sub-division, the former district of Greater Pabna, by a combination of the Pakistan Army, Razakar and the Peace Committee at Al-Badr. [1] Mass graves or dumping of corpses after a massacre.</v>
      </c>
      <c r="F589" s="1"/>
      <c r="G589" s="1"/>
      <c r="H589" s="1"/>
      <c r="I589" s="1"/>
    </row>
    <row r="590" spans="1:9" ht="15.6" x14ac:dyDescent="0.3">
      <c r="A590" s="1" t="s">
        <v>5</v>
      </c>
      <c r="B590" s="1" t="s">
        <v>5</v>
      </c>
      <c r="C590" s="10" t="s">
        <v>5</v>
      </c>
      <c r="D590" s="5" t="s">
        <v>581</v>
      </c>
      <c r="E590" s="1" t="str">
        <f ca="1">IFERROR(__xludf.DUMMYFUNCTION("GOOGLETRANSLATE(D590, ""bn"", ""en"")"),"Hinduism is a path of learning for virtuous and virtuous humanity, which emphasizes compassion for others.")</f>
        <v>Hinduism is a path of learning for virtuous and virtuous humanity, which emphasizes compassion for others.</v>
      </c>
      <c r="F590" s="1"/>
      <c r="G590" s="1"/>
      <c r="H590" s="1"/>
      <c r="I590" s="1"/>
    </row>
    <row r="591" spans="1:9" ht="15.6" x14ac:dyDescent="0.3">
      <c r="A591" s="1" t="s">
        <v>7</v>
      </c>
      <c r="B591" s="1" t="s">
        <v>7</v>
      </c>
      <c r="C591" s="10" t="s">
        <v>7</v>
      </c>
      <c r="D591" s="5" t="s">
        <v>582</v>
      </c>
      <c r="E591" s="1" t="str">
        <f ca="1">IFERROR(__xludf.DUMMYFUNCTION("GOOGLETRANSLATE(D591, ""bn"", ""en"")"),"The Saudi government hangs Shiite religious leader Sheikh Nimr al-Nimr, sparking international outrage.")</f>
        <v>The Saudi government hangs Shiite religious leader Sheikh Nimr al-Nimr, sparking international outrage.</v>
      </c>
      <c r="F591" s="1"/>
      <c r="G591" s="1"/>
      <c r="H591" s="1"/>
      <c r="I591" s="1"/>
    </row>
    <row r="592" spans="1:9" ht="15.6" x14ac:dyDescent="0.3">
      <c r="A592" s="1" t="s">
        <v>9</v>
      </c>
      <c r="B592" s="1" t="s">
        <v>9</v>
      </c>
      <c r="C592" s="10" t="s">
        <v>9</v>
      </c>
      <c r="D592" s="5" t="s">
        <v>583</v>
      </c>
      <c r="E592" s="1" t="str">
        <f ca="1">IFERROR(__xludf.DUMMYFUNCTION("GOOGLETRANSLATE(D592, ""bn"", ""en"")"),"Hindus were attacked in Bangladesh, Hindus and some Muslims protested, and Hindus in India protested.")</f>
        <v>Hindus were attacked in Bangladesh, Hindus and some Muslims protested, and Hindus in India protested.</v>
      </c>
      <c r="F592" s="1"/>
      <c r="G592" s="1"/>
      <c r="H592" s="1"/>
      <c r="I592" s="1"/>
    </row>
    <row r="593" spans="1:9" ht="15.6" x14ac:dyDescent="0.3">
      <c r="A593" s="1" t="s">
        <v>9</v>
      </c>
      <c r="B593" s="1" t="s">
        <v>4</v>
      </c>
      <c r="C593" s="10" t="s">
        <v>9</v>
      </c>
      <c r="D593" s="5" t="s">
        <v>584</v>
      </c>
      <c r="E593" s="1" t="str">
        <f ca="1">IFERROR(__xludf.DUMMYFUNCTION("GOOGLETRANSLATE(D593, ""bn"", ""en"")"),"Some kuchkri mahals have created Hindu-Muslim riots by promoting it as mosques are being built on temple land for political gain. For example, Dinajpur Rajbari has no mosque. Dinajpur Yogen Babur has no mosque. Dinajpur Roy Saheb house is there no mosque."&amp;" Everyone had questions. ")</f>
        <v xml:space="preserve">Some kuchkri mahals have created Hindu-Muslim riots by promoting it as mosques are being built on temple land for political gain. For example, Dinajpur Rajbari has no mosque. Dinajpur Yogen Babur has no mosque. Dinajpur Roy Saheb house is there no mosque. Everyone had questions. </v>
      </c>
      <c r="F593" s="1"/>
      <c r="G593" s="1"/>
      <c r="H593" s="1"/>
      <c r="I593" s="1"/>
    </row>
    <row r="594" spans="1:9" ht="15.6" x14ac:dyDescent="0.3">
      <c r="A594" s="1" t="s">
        <v>7</v>
      </c>
      <c r="B594" s="1" t="s">
        <v>7</v>
      </c>
      <c r="C594" s="10" t="s">
        <v>7</v>
      </c>
      <c r="D594" s="5" t="s">
        <v>585</v>
      </c>
      <c r="E594" s="1" t="str">
        <f ca="1">IFERROR(__xludf.DUMMYFUNCTION("GOOGLETRANSLATE(D594, ""bn"", ""en"")"),"After little resistance, Surendranath Bose was mortally wounded by a sharp weapon. The Muslim crowd tied his hands and feet and burned him alive. [26] Hearing that Surendranath Bose had been attacked by Muslims, Rajkumar Pal, a doctor from the nearby vill"&amp;"age of Panchgaria, came forward to help him. But on the way he was stabbed by Muslim miscreants.")</f>
        <v>After little resistance, Surendranath Bose was mortally wounded by a sharp weapon. The Muslim crowd tied his hands and feet and burned him alive. [26] Hearing that Surendranath Bose had been attacked by Muslims, Rajkumar Pal, a doctor from the nearby village of Panchgaria, came forward to help him. But on the way he was stabbed by Muslim miscreants.</v>
      </c>
      <c r="F594" s="1"/>
      <c r="G594" s="1"/>
      <c r="H594" s="1"/>
      <c r="I594" s="1"/>
    </row>
    <row r="595" spans="1:9" ht="15.6" x14ac:dyDescent="0.3">
      <c r="A595" s="1" t="s">
        <v>5</v>
      </c>
      <c r="B595" s="1" t="s">
        <v>5</v>
      </c>
      <c r="C595" s="10" t="s">
        <v>5</v>
      </c>
      <c r="D595" s="5" t="s">
        <v>586</v>
      </c>
      <c r="E595" s="1" t="str">
        <f ca="1">IFERROR(__xludf.DUMMYFUNCTION("GOOGLETRANSLATE(D595, ""bn"", ""en"")"),"Love all religions. If you respect other religions, your own religion is not diminished or insulted.")</f>
        <v>Love all religions. If you respect other religions, your own religion is not diminished or insulted.</v>
      </c>
      <c r="F595" s="1"/>
      <c r="G595" s="1"/>
      <c r="H595" s="1"/>
      <c r="I595" s="1"/>
    </row>
    <row r="596" spans="1:9" ht="15.6" x14ac:dyDescent="0.3">
      <c r="A596" s="1" t="s">
        <v>7</v>
      </c>
      <c r="B596" s="1" t="s">
        <v>7</v>
      </c>
      <c r="C596" s="10" t="s">
        <v>7</v>
      </c>
      <c r="D596" s="5" t="s">
        <v>587</v>
      </c>
      <c r="E596" s="1" t="str">
        <f ca="1">IFERROR(__xludf.DUMMYFUNCTION("GOOGLETRANSLATE(D596, ""bn"", ""en"")"),"Dakara Massacre Massacre On 21 May 1971, unarmed Hindu refugees were massacred in Dakara village by members of the Peace Committee and Rajakars in Bagerhat sub-division of Khulna district. The attack was carried out under the leadership of Bagerhat Sub-Di"&amp;"visional Peace Committee Chairman Rajab Ali Fakir. [1] More than 2,000 Hindu men, women and children were killed in the massacre.")</f>
        <v>Dakara Massacre Massacre On 21 May 1971, unarmed Hindu refugees were massacred in Dakara village by members of the Peace Committee and Rajakars in Bagerhat sub-division of Khulna district. The attack was carried out under the leadership of Bagerhat Sub-Divisional Peace Committee Chairman Rajab Ali Fakir. [1] More than 2,000 Hindu men, women and children were killed in the massacre.</v>
      </c>
      <c r="F596" s="1"/>
      <c r="G596" s="1"/>
      <c r="H596" s="1"/>
      <c r="I596" s="1"/>
    </row>
    <row r="597" spans="1:9" ht="15.6" x14ac:dyDescent="0.3">
      <c r="A597" s="1" t="s">
        <v>9</v>
      </c>
      <c r="B597" s="1" t="s">
        <v>9</v>
      </c>
      <c r="C597" s="10" t="s">
        <v>9</v>
      </c>
      <c r="D597" s="5" t="s">
        <v>588</v>
      </c>
      <c r="E597" s="1" t="str">
        <f ca="1">IFERROR(__xludf.DUMMYFUNCTION("GOOGLETRANSLATE(D597, ""bn"", ""en"")"),"To save their lives, women, men and children left their homes and took shelter in the nearby paddies. The miscreants then set fire to one house after another. The attackers entered the village homestead and ran rampant for at least half an hour, but the r"&amp;"ole of the police was not visible. When the police went to the village after the attackers left, the people who took shelter in Dhankhet returned home.[")</f>
        <v>To save their lives, women, men and children left their homes and took shelter in the nearby paddies. The miscreants then set fire to one house after another. The attackers entered the village homestead and ran rampant for at least half an hour, but the role of the police was not visible. When the police went to the village after the attackers left, the people who took shelter in Dhankhet returned home.[</v>
      </c>
      <c r="F597" s="1"/>
      <c r="G597" s="1"/>
      <c r="H597" s="1"/>
      <c r="I597" s="1"/>
    </row>
    <row r="598" spans="1:9" ht="15.6" x14ac:dyDescent="0.3">
      <c r="A598" s="1" t="s">
        <v>7</v>
      </c>
      <c r="B598" s="1" t="s">
        <v>7</v>
      </c>
      <c r="C598" s="10" t="s">
        <v>7</v>
      </c>
      <c r="D598" s="5" t="s">
        <v>589</v>
      </c>
      <c r="E598" s="1" t="str">
        <f ca="1">IFERROR(__xludf.DUMMYFUNCTION("GOOGLETRANSLATE(D598, ""bn"", ""en"")"),"Thousands were burned and punished. [citation needed] As in Rome, the persecuted fled to populated areas. The most terrible punishment was considered an underground hole, where rats lived. Some people were imprisoned there and chained to the walls and rel"&amp;"eased after their death.")</f>
        <v>Thousands were burned and punished. [citation needed] As in Rome, the persecuted fled to populated areas. The most terrible punishment was considered an underground hole, where rats lived. Some people were imprisoned there and chained to the walls and released after their death.</v>
      </c>
      <c r="F598" s="1"/>
      <c r="G598" s="1"/>
      <c r="H598" s="1"/>
      <c r="I598" s="1"/>
    </row>
    <row r="599" spans="1:9" ht="15.6" x14ac:dyDescent="0.3">
      <c r="A599" s="1" t="s">
        <v>5</v>
      </c>
      <c r="B599" s="1" t="s">
        <v>5</v>
      </c>
      <c r="C599" s="10" t="s">
        <v>5</v>
      </c>
      <c r="D599" s="5" t="s">
        <v>590</v>
      </c>
      <c r="E599" s="1" t="str">
        <f ca="1">IFERROR(__xludf.DUMMYFUNCTION("GOOGLETRANSLATE(D599, ""bn"", ""en"")"),"Durga Puja, the biggest festival of Hindus across the country, is being celebrated with grandeur. The administration and police administration are working day and night for the smooth completion of the puja. Besides, all leaders and activists including Ch"&amp;"hatra League, Jubo League should be alert, so that no evil forces can create any problem. Everyone can worship without interruption.")</f>
        <v>Durga Puja, the biggest festival of Hindus across the country, is being celebrated with grandeur. The administration and police administration are working day and night for the smooth completion of the puja. Besides, all leaders and activists including Chhatra League, Jubo League should be alert, so that no evil forces can create any problem. Everyone can worship without interruption.</v>
      </c>
      <c r="F599" s="1"/>
      <c r="G599" s="1"/>
      <c r="H599" s="1"/>
      <c r="I599" s="1"/>
    </row>
    <row r="600" spans="1:9" ht="15.6" x14ac:dyDescent="0.3">
      <c r="A600" s="1" t="s">
        <v>7</v>
      </c>
      <c r="B600" s="1" t="s">
        <v>7</v>
      </c>
      <c r="C600" s="10" t="s">
        <v>7</v>
      </c>
      <c r="D600" s="5" t="s">
        <v>591</v>
      </c>
      <c r="E600" s="1" t="str">
        <f ca="1">IFERROR(__xludf.DUMMYFUNCTION("GOOGLETRANSLATE(D600, ""bn"", ""en"")"),"Humanity is in danger today in the devastated Gaza, a group of bloodthirsty animals are carrying out genocide.")</f>
        <v>Humanity is in danger today in the devastated Gaza, a group of bloodthirsty animals are carrying out genocide.</v>
      </c>
      <c r="F600" s="1"/>
      <c r="G600" s="1"/>
      <c r="H600" s="1"/>
      <c r="I600" s="1"/>
    </row>
    <row r="601" spans="1:9" ht="15.6" x14ac:dyDescent="0.3">
      <c r="A601" s="1" t="s">
        <v>9</v>
      </c>
      <c r="B601" s="1" t="s">
        <v>4</v>
      </c>
      <c r="C601" s="10" t="s">
        <v>9</v>
      </c>
      <c r="D601" s="5" t="s">
        <v>592</v>
      </c>
      <c r="E601" s="1" t="str">
        <f ca="1">IFERROR(__xludf.DUMMYFUNCTION("GOOGLETRANSLATE(D601, ""bn"", ""en"")"),"Everyone chanted ""Pakistan Zindabad"" in panic, the women broke their shells and wiped off their vermilion. Some hide in different corners of temples and ashrams. Pakistani soldiers found them and lined them up in front of the temple. Men are made to sta"&amp;"nd in one line and women with children are made to stand in another line.")</f>
        <v>Everyone chanted "Pakistan Zindabad" in panic, the women broke their shells and wiped off their vermilion. Some hide in different corners of temples and ashrams. Pakistani soldiers found them and lined them up in front of the temple. Men are made to stand in one line and women with children are made to stand in another line.</v>
      </c>
      <c r="F601" s="1"/>
      <c r="G601" s="1"/>
      <c r="H601" s="1"/>
      <c r="I601" s="1"/>
    </row>
    <row r="602" spans="1:9" ht="15.6" x14ac:dyDescent="0.3">
      <c r="A602" s="1" t="s">
        <v>7</v>
      </c>
      <c r="B602" s="1" t="s">
        <v>7</v>
      </c>
      <c r="C602" s="10" t="s">
        <v>7</v>
      </c>
      <c r="D602" s="5" t="s">
        <v>593</v>
      </c>
      <c r="E602" s="1" t="str">
        <f ca="1">IFERROR(__xludf.DUMMYFUNCTION("GOOGLETRANSLATE(D602, ""bn"", ""en"")"),"At the end of life, I fall in love with you.")</f>
        <v>At the end of life, I fall in love with you.</v>
      </c>
      <c r="F602" s="1"/>
      <c r="G602" s="1"/>
      <c r="H602" s="1"/>
      <c r="I602" s="1"/>
    </row>
    <row r="603" spans="1:9" ht="15.6" x14ac:dyDescent="0.3">
      <c r="A603" s="1" t="s">
        <v>5</v>
      </c>
      <c r="B603" s="1" t="s">
        <v>5</v>
      </c>
      <c r="C603" s="10" t="s">
        <v>5</v>
      </c>
      <c r="D603" s="5" t="s">
        <v>594</v>
      </c>
      <c r="E603" s="1" t="str">
        <f ca="1">IFERROR(__xludf.DUMMYFUNCTION("GOOGLETRANSLATE(D603, ""bn"", ""en"")"),"Alhamdulillah people who were away from Quran due to burning of Holy Quran will come closer to Quran inshallah. Surely Allah is the best planner")</f>
        <v>Alhamdulillah people who were away from Quran due to burning of Holy Quran will come closer to Quran inshallah. Surely Allah is the best planner</v>
      </c>
      <c r="F603" s="1"/>
      <c r="G603" s="1"/>
      <c r="H603" s="1"/>
      <c r="I603" s="1"/>
    </row>
    <row r="604" spans="1:9" ht="15.6" x14ac:dyDescent="0.3">
      <c r="A604" s="1" t="s">
        <v>5</v>
      </c>
      <c r="B604" s="1" t="s">
        <v>5</v>
      </c>
      <c r="C604" s="10" t="s">
        <v>5</v>
      </c>
      <c r="D604" s="5" t="s">
        <v>595</v>
      </c>
      <c r="E604" s="1" t="str">
        <f ca="1">IFERROR(__xludf.DUMMYFUNCTION("GOOGLETRANSLATE(D604, ""bn"", ""en"")"),"A huge chariot in the shape of a peacock is made in a special way and a Buddha image is placed on it. The Mangal Rath is then pulled by a rope from the central Buddha Vihara and taken around the city at night. At this time, Buddhist men and women, childre"&amp;"n and teenagers, young people pay respect to the Buddha by lighting candles.")</f>
        <v>A huge chariot in the shape of a peacock is made in a special way and a Buddha image is placed on it. The Mangal Rath is then pulled by a rope from the central Buddha Vihara and taken around the city at night. At this time, Buddhist men and women, children and teenagers, young people pay respect to the Buddha by lighting candles.</v>
      </c>
      <c r="F604" s="1"/>
      <c r="G604" s="1"/>
      <c r="H604" s="1"/>
      <c r="I604" s="1"/>
    </row>
    <row r="605" spans="1:9" ht="15.6" x14ac:dyDescent="0.3">
      <c r="A605" s="1" t="s">
        <v>9</v>
      </c>
      <c r="B605" s="1" t="s">
        <v>9</v>
      </c>
      <c r="C605" s="10" t="s">
        <v>9</v>
      </c>
      <c r="D605" s="5" t="s">
        <v>596</v>
      </c>
      <c r="E605" s="1" t="str">
        <f ca="1">IFERROR(__xludf.DUMMYFUNCTION("GOOGLETRANSLATE(D605, ""bn"", ""en"")"),"The communal attack took place in Dighlia village in Narail's Lohagara upazila last Friday, a Hindu-dominated village.")</f>
        <v>The communal attack took place in Dighlia village in Narail's Lohagara upazila last Friday, a Hindu-dominated village.</v>
      </c>
      <c r="F605" s="1"/>
      <c r="G605" s="1"/>
      <c r="H605" s="1"/>
      <c r="I605" s="1"/>
    </row>
    <row r="606" spans="1:9" ht="15.6" x14ac:dyDescent="0.3">
      <c r="A606" s="1" t="s">
        <v>5</v>
      </c>
      <c r="B606" s="1" t="s">
        <v>5</v>
      </c>
      <c r="C606" s="10" t="s">
        <v>5</v>
      </c>
      <c r="D606" s="5" t="s">
        <v>597</v>
      </c>
      <c r="E606" s="1" t="str">
        <f ca="1">IFERROR(__xludf.DUMMYFUNCTION("GOOGLETRANSLATE(D606, ""bn"", ""en"")"),"If people are busy trying to prove themselves ""superior"" without knowing the inner soul and learning to respect other religions, then religious tolerance will not develop in the society.")</f>
        <v>If people are busy trying to prove themselves "superior" without knowing the inner soul and learning to respect other religions, then religious tolerance will not develop in the society.</v>
      </c>
      <c r="F606" s="1"/>
      <c r="G606" s="1"/>
      <c r="H606" s="1"/>
      <c r="I606" s="1"/>
    </row>
    <row r="607" spans="1:9" ht="15.6" x14ac:dyDescent="0.3">
      <c r="A607" s="1" t="s">
        <v>9</v>
      </c>
      <c r="B607" s="1" t="s">
        <v>4</v>
      </c>
      <c r="C607" s="10" t="s">
        <v>9</v>
      </c>
      <c r="D607" s="5" t="s">
        <v>598</v>
      </c>
      <c r="E607" s="1" t="str">
        <f ca="1">IFERROR(__xludf.DUMMYFUNCTION("GOOGLETRANSLATE(D607, ""bn"", ""en"")")," Muslim processions started gathering from all parts of Calcutta after noon prayers. A large proportion of the participants were said to be armed with iron rods and sticks (bamboo sticks). According to the report of a Central Intelligence Officer, 30,000 "&amp;"people and 500,000 people were estimated to have attended the rally, according to the information of the inspector of the Special Branch of the Calcutta Police. ")</f>
        <v> Muslim processions started gathering from all parts of Calcutta after noon prayers. A large proportion of the participants were said to be armed with iron rods and sticks (bamboo sticks). According to the report of a Central Intelligence Officer, 30,000 people and 500,000 people were estimated to have attended the rally, according to the information of the inspector of the Special Branch of the Calcutta Police. </v>
      </c>
      <c r="F607" s="1"/>
      <c r="G607" s="1"/>
      <c r="H607" s="1"/>
      <c r="I607" s="1"/>
    </row>
    <row r="608" spans="1:9" ht="15.6" x14ac:dyDescent="0.3">
      <c r="A608" s="1" t="s">
        <v>5</v>
      </c>
      <c r="B608" s="1" t="s">
        <v>5</v>
      </c>
      <c r="C608" s="10" t="s">
        <v>5</v>
      </c>
      <c r="D608" s="5" t="s">
        <v>599</v>
      </c>
      <c r="E608" s="1" t="str">
        <f ca="1">IFERROR(__xludf.DUMMYFUNCTION("GOOGLETRANSLATE(D608, ""bn"", ""en"")"),"Ghulam Hussain led a group of Sunni Muslims who claimed that the site of the mosque was actually home to a Hanuman temple in 1855. After the Hindu-Muslim conflict, the boundary wall was built to prevent the situation from worsening, dividing the mosque pr"&amp;"emises into two courtyards. Worshipers pray in the inner courtyard.")</f>
        <v>Ghulam Hussain led a group of Sunni Muslims who claimed that the site of the mosque was actually home to a Hanuman temple in 1855. After the Hindu-Muslim conflict, the boundary wall was built to prevent the situation from worsening, dividing the mosque premises into two courtyards. Worshipers pray in the inner courtyard.</v>
      </c>
      <c r="F608" s="1"/>
      <c r="G608" s="1"/>
      <c r="H608" s="1"/>
      <c r="I608" s="1"/>
    </row>
    <row r="609" spans="1:9" ht="15.6" x14ac:dyDescent="0.3">
      <c r="A609" s="1" t="s">
        <v>7</v>
      </c>
      <c r="B609" s="1" t="s">
        <v>7</v>
      </c>
      <c r="C609" s="10" t="s">
        <v>7</v>
      </c>
      <c r="D609" s="5" t="s">
        <v>600</v>
      </c>
      <c r="E609" s="1" t="str">
        <f ca="1">IFERROR(__xludf.DUMMYFUNCTION("GOOGLETRANSLATE(D609, ""bn"", ""en"")")," People of good faith will be able to give correct answers to their questions and they will live peacefully in the afterlife.")</f>
        <v> People of good faith will be able to give correct answers to their questions and they will live peacefully in the afterlife.</v>
      </c>
      <c r="F609" s="1"/>
      <c r="G609" s="1"/>
      <c r="H609" s="1"/>
      <c r="I609" s="1"/>
    </row>
    <row r="610" spans="1:9" ht="15.6" x14ac:dyDescent="0.3">
      <c r="A610" s="1" t="s">
        <v>9</v>
      </c>
      <c r="B610" s="1" t="s">
        <v>9</v>
      </c>
      <c r="C610" s="10" t="s">
        <v>9</v>
      </c>
      <c r="D610" s="5" t="s">
        <v>601</v>
      </c>
      <c r="E610" s="1" t="str">
        <f ca="1">IFERROR(__xludf.DUMMYFUNCTION("GOOGLETRANSLATE(D610, ""bn"", ""en"")"),"The competition to demolish mosques is now country to country. Far from eliminating the epidemic, there is a great possibility that it will take a more deadly form. Because, when people become careless and engage in sinful activities, nature itself takes "&amp;"severe punishment steps.")</f>
        <v>The competition to demolish mosques is now country to country. Far from eliminating the epidemic, there is a great possibility that it will take a more deadly form. Because, when people become careless and engage in sinful activities, nature itself takes severe punishment steps.</v>
      </c>
      <c r="F610" s="1"/>
      <c r="G610" s="1"/>
      <c r="H610" s="1"/>
      <c r="I610" s="1"/>
    </row>
    <row r="611" spans="1:9" ht="15.6" x14ac:dyDescent="0.3">
      <c r="A611" s="1" t="s">
        <v>4</v>
      </c>
      <c r="B611" s="1" t="s">
        <v>5</v>
      </c>
      <c r="C611" s="10" t="s">
        <v>4</v>
      </c>
      <c r="D611" s="5" t="s">
        <v>602</v>
      </c>
      <c r="E611" s="1" t="str">
        <f ca="1">IFERROR(__xludf.DUMMYFUNCTION("GOOGLETRANSLATE(D611, ""bn"", ""en"")"),"Another class of Hindus build temples, serve tilaks, do kirtans, and just want to do puja but the movement to protect Hindus does nothing to increase Hindu followers. ")</f>
        <v xml:space="preserve">Another class of Hindus build temples, serve tilaks, do kirtans, and just want to do puja but the movement to protect Hindus does nothing to increase Hindu followers. </v>
      </c>
      <c r="F611" s="1"/>
      <c r="G611" s="1"/>
      <c r="H611" s="1"/>
      <c r="I611" s="1"/>
    </row>
    <row r="612" spans="1:9" ht="15.6" x14ac:dyDescent="0.3">
      <c r="A612" s="1" t="s">
        <v>9</v>
      </c>
      <c r="B612" s="1" t="s">
        <v>9</v>
      </c>
      <c r="C612" s="10" t="s">
        <v>9</v>
      </c>
      <c r="D612" s="5" t="s">
        <v>603</v>
      </c>
      <c r="E612" s="1" t="str">
        <f ca="1">IFERROR(__xludf.DUMMYFUNCTION("GOOGLETRANSLATE(D612, ""bn"", ""en"")"),"The idol and the back part of the temple wall were completely blown away. Later, temples and ashrams were destroyed. Many were sleeping and some were awake when the executioners of the Pakistani occupation forces entered the temples and ashrams. Some fami"&amp;"ly members were still having dinner. When the Pakistani soldiers attacked, they started running here and there, fearing for their lives. ")</f>
        <v>The idol and the back part of the temple wall were completely blown away. Later, temples and ashrams were destroyed. Many were sleeping and some were awake when the executioners of the Pakistani occupation forces entered the temples and ashrams. Some family members were still having dinner. When the Pakistani soldiers attacked, they started running here and there, fearing for their lives. </v>
      </c>
      <c r="F612" s="1"/>
      <c r="G612" s="1"/>
      <c r="H612" s="1"/>
      <c r="I612" s="1"/>
    </row>
    <row r="613" spans="1:9" ht="15.6" x14ac:dyDescent="0.3">
      <c r="A613" s="1" t="s">
        <v>4</v>
      </c>
      <c r="B613" s="1" t="s">
        <v>4</v>
      </c>
      <c r="C613" s="10" t="s">
        <v>4</v>
      </c>
      <c r="D613" s="5" t="s">
        <v>604</v>
      </c>
      <c r="E613" s="1" t="str">
        <f ca="1">IFERROR(__xludf.DUMMYFUNCTION("GOOGLETRANSLATE(D613, ""bn"", ""en"")"),"In order to survive the Israeli brutality, the new generation of the Muslim world should not only be made into Maulana, Mufti, orator, Hafez, Pir, but also nuclear scientists, doctors, engineers, literature-culture and information technology experts.")</f>
        <v>In order to survive the Israeli brutality, the new generation of the Muslim world should not only be made into Maulana, Mufti, orator, Hafez, Pir, but also nuclear scientists, doctors, engineers, literature-culture and information technology experts.</v>
      </c>
      <c r="F613" s="1"/>
      <c r="G613" s="1"/>
      <c r="H613" s="1"/>
      <c r="I613" s="1"/>
    </row>
    <row r="614" spans="1:9" ht="15.6" x14ac:dyDescent="0.3">
      <c r="A614" s="1" t="s">
        <v>5</v>
      </c>
      <c r="B614" s="1" t="s">
        <v>5</v>
      </c>
      <c r="C614" s="10" t="s">
        <v>5</v>
      </c>
      <c r="D614" s="5" t="s">
        <v>605</v>
      </c>
      <c r="E614" s="1" t="str">
        <f ca="1">IFERROR(__xludf.DUMMYFUNCTION("GOOGLETRANSLATE(D614, ""bn"", ""en"")"),"Sylhet Hindus, Jews and Christians in India and Bangladesh often use the word Allah to mean God.")</f>
        <v>Sylhet Hindus, Jews and Christians in India and Bangladesh often use the word Allah to mean God.</v>
      </c>
      <c r="F614" s="1"/>
      <c r="G614" s="1"/>
      <c r="H614" s="1"/>
      <c r="I614" s="1"/>
    </row>
    <row r="615" spans="1:9" ht="15.6" x14ac:dyDescent="0.3">
      <c r="A615" s="1" t="s">
        <v>7</v>
      </c>
      <c r="B615" s="1" t="s">
        <v>7</v>
      </c>
      <c r="C615" s="10" t="s">
        <v>7</v>
      </c>
      <c r="D615" s="5" t="s">
        <v>606</v>
      </c>
      <c r="E615" s="1" t="str">
        <f ca="1">IFERROR(__xludf.DUMMYFUNCTION("GOOGLETRANSLATE(D615, ""bn"", ""en"")"),"I have noticed that while protesting against the desecration of the Holy Qur'an in Comilla, several people have been killed and many injured by the police in different parts of the country, including Chandpur, Feni, Noakhali, and these news are being broa"&amp;"dcast by BBC Bangla very unimportantly and carelessly.")</f>
        <v>I have noticed that while protesting against the desecration of the Holy Qur'an in Comilla, several people have been killed and many injured by the police in different parts of the country, including Chandpur, Feni, Noakhali, and these news are being broadcast by BBC Bangla very unimportantly and carelessly.</v>
      </c>
      <c r="F615" s="1"/>
      <c r="G615" s="1"/>
      <c r="H615" s="1"/>
      <c r="I615" s="1"/>
    </row>
    <row r="616" spans="1:9" ht="15.6" x14ac:dyDescent="0.3">
      <c r="A616" s="1" t="s">
        <v>5</v>
      </c>
      <c r="B616" s="1" t="s">
        <v>5</v>
      </c>
      <c r="C616" s="10" t="s">
        <v>5</v>
      </c>
      <c r="D616" s="5" t="s">
        <v>607</v>
      </c>
      <c r="E616" s="1" t="str">
        <f ca="1">IFERROR(__xludf.DUMMYFUNCTION("GOOGLETRANSLATE(D616, ""bn"", ""en"")"),"If Muslims were not respectful to other religions, not even a Hindu child could live happily and peacefully in Bangladesh.")</f>
        <v>If Muslims were not respectful to other religions, not even a Hindu child could live happily and peacefully in Bangladesh.</v>
      </c>
      <c r="F616" s="1"/>
      <c r="G616" s="1"/>
      <c r="H616" s="1"/>
      <c r="I616" s="1"/>
    </row>
    <row r="617" spans="1:9" ht="15.6" x14ac:dyDescent="0.3">
      <c r="A617" s="1" t="s">
        <v>5</v>
      </c>
      <c r="B617" s="1" t="s">
        <v>5</v>
      </c>
      <c r="C617" s="10" t="s">
        <v>5</v>
      </c>
      <c r="D617" s="5" t="s">
        <v>608</v>
      </c>
      <c r="E617" s="1" t="str">
        <f ca="1">IFERROR(__xludf.DUMMYFUNCTION("GOOGLETRANSLATE(D617, ""bn"", ""en"")"),"Alhamdulillah Alhamdulillah tears came to my eyes hearing the words May Allah grant us Jannatul Ferdows Amin")</f>
        <v>Alhamdulillah Alhamdulillah tears came to my eyes hearing the words May Allah grant us Jannatul Ferdows Amin</v>
      </c>
      <c r="F617" s="1"/>
      <c r="G617" s="1"/>
      <c r="H617" s="1"/>
      <c r="I617" s="1"/>
    </row>
    <row r="618" spans="1:9" ht="15.6" x14ac:dyDescent="0.3">
      <c r="A618" s="1" t="s">
        <v>4</v>
      </c>
      <c r="B618" s="1" t="s">
        <v>4</v>
      </c>
      <c r="C618" s="10" t="s">
        <v>4</v>
      </c>
      <c r="D618" s="5" t="s">
        <v>609</v>
      </c>
      <c r="E618" s="1" t="str">
        <f ca="1">IFERROR(__xludf.DUMMYFUNCTION("GOOGLETRANSLATE(D618, ""bn"", ""en"")"),"The Jinnah of the eyes is so terrible that even when a person goes to prostration, it appears in the eyes of Astaghfirullah")</f>
        <v>The Jinnah of the eyes is so terrible that even when a person goes to prostration, it appears in the eyes of Astaghfirullah</v>
      </c>
      <c r="F618" s="1"/>
      <c r="G618" s="1"/>
      <c r="H618" s="1"/>
      <c r="I618" s="1"/>
    </row>
    <row r="619" spans="1:9" ht="15.6" x14ac:dyDescent="0.3">
      <c r="A619" s="1" t="s">
        <v>5</v>
      </c>
      <c r="B619" s="1" t="s">
        <v>5</v>
      </c>
      <c r="C619" s="10" t="s">
        <v>5</v>
      </c>
      <c r="D619" s="5" t="s">
        <v>610</v>
      </c>
      <c r="E619" s="1" t="str">
        <f ca="1">IFERROR(__xludf.DUMMYFUNCTION("GOOGLETRANSLATE(D619, ""bn"", ""en"")"),"By sharing iftar pictures we can share our joy. It helps others appreciate the beauty of Iftar, and can develop an attitude of compassion and help towards those who are less able.")</f>
        <v>By sharing iftar pictures we can share our joy. It helps others appreciate the beauty of Iftar, and can develop an attitude of compassion and help towards those who are less able.</v>
      </c>
      <c r="F619" s="1"/>
      <c r="G619" s="1"/>
      <c r="H619" s="1"/>
      <c r="I619" s="1"/>
    </row>
    <row r="620" spans="1:9" ht="15.6" x14ac:dyDescent="0.3">
      <c r="A620" s="1" t="s">
        <v>4</v>
      </c>
      <c r="B620" s="1" t="s">
        <v>4</v>
      </c>
      <c r="C620" s="10" t="s">
        <v>4</v>
      </c>
      <c r="D620" s="5" t="s">
        <v>611</v>
      </c>
      <c r="E620" s="1" t="str">
        <f ca="1">IFERROR(__xludf.DUMMYFUNCTION("GOOGLETRANSLATE(D620, ""bn"", ""en"")"),"If Islam is a political party like BNP National Party then it must be criticized. Turn on secularism. Don't bring religion into politics. Turn on secularism.")</f>
        <v>If Islam is a political party like BNP National Party then it must be criticized. Turn on secularism. Don't bring religion into politics. Turn on secularism.</v>
      </c>
      <c r="F620" s="1"/>
      <c r="G620" s="1"/>
      <c r="H620" s="1"/>
      <c r="I620" s="1"/>
    </row>
    <row r="621" spans="1:9" ht="15.6" x14ac:dyDescent="0.3">
      <c r="A621" s="1" t="s">
        <v>4</v>
      </c>
      <c r="B621" s="1" t="s">
        <v>4</v>
      </c>
      <c r="C621" s="10" t="s">
        <v>4</v>
      </c>
      <c r="D621" s="5" t="s">
        <v>612</v>
      </c>
      <c r="E621" s="1" t="str">
        <f ca="1">IFERROR(__xludf.DUMMYFUNCTION("GOOGLETRANSLATE(D621, ""bn"", ""en"")"),"Wild boy, 1400 years ago there were Jews, there was Jerusalem, there was Shia, there was Torah, were you? Don't exaggerate, thousands of devotees.")</f>
        <v>Wild boy, 1400 years ago there were Jews, there was Jerusalem, there was Shia, there was Torah, were you? Don't exaggerate, thousands of devotees.</v>
      </c>
      <c r="F621" s="1"/>
      <c r="G621" s="1"/>
      <c r="H621" s="1"/>
      <c r="I621" s="1"/>
    </row>
    <row r="622" spans="1:9" ht="15.6" x14ac:dyDescent="0.3">
      <c r="A622" s="1" t="s">
        <v>4</v>
      </c>
      <c r="B622" s="1" t="s">
        <v>5</v>
      </c>
      <c r="C622" s="10" t="s">
        <v>4</v>
      </c>
      <c r="D622" s="5" t="s">
        <v>613</v>
      </c>
      <c r="E622" s="1" t="str">
        <f ca="1">IFERROR(__xludf.DUMMYFUNCTION("GOOGLETRANSLATE(D622, ""bn"", ""en"")"),"I find it difficult to say that all those who said these provocative words have Muslim names in their paternal grandfather identity.")</f>
        <v>I find it difficult to say that all those who said these provocative words have Muslim names in their paternal grandfather identity.</v>
      </c>
      <c r="F622" s="1"/>
      <c r="G622" s="1"/>
      <c r="H622" s="1"/>
      <c r="I622" s="1"/>
    </row>
    <row r="623" spans="1:9" ht="15.6" x14ac:dyDescent="0.3">
      <c r="A623" s="1" t="s">
        <v>5</v>
      </c>
      <c r="B623" s="1" t="s">
        <v>5</v>
      </c>
      <c r="C623" s="10" t="s">
        <v>5</v>
      </c>
      <c r="D623" s="5" t="s">
        <v>614</v>
      </c>
      <c r="E623" s="1" t="str">
        <f ca="1">IFERROR(__xludf.DUMMYFUNCTION("GOOGLETRANSLATE(D623, ""bn"", ""en"")"),"Regional forms of the word 'Allah' are found in pre-Islamic inscriptions, both pagan and Christian.[4] Various theories about Allah have been proposed in pre-Islamic polytheistic religions. ")</f>
        <v>Regional forms of the word 'Allah' are found in pre-Islamic inscriptions, both pagan and Christian.[4] Various theories about Allah have been proposed in pre-Islamic polytheistic religions. </v>
      </c>
      <c r="F623" s="1"/>
      <c r="G623" s="1"/>
      <c r="H623" s="1"/>
      <c r="I623" s="1"/>
    </row>
    <row r="624" spans="1:9" ht="15.6" x14ac:dyDescent="0.3">
      <c r="A624" s="1" t="s">
        <v>9</v>
      </c>
      <c r="B624" s="1" t="s">
        <v>9</v>
      </c>
      <c r="C624" s="10" t="s">
        <v>9</v>
      </c>
      <c r="D624" s="5" t="s">
        <v>615</v>
      </c>
      <c r="E624" s="1" t="str">
        <f ca="1">IFERROR(__xludf.DUMMYFUNCTION("GOOGLETRANSLATE(D624, ""bn"", ""en"")"),"If they can destroy the mosque and build a temple, why can't we? There is nothing to argue, we are learning from them")</f>
        <v>If they can destroy the mosque and build a temple, why can't we? There is nothing to argue, we are learning from them</v>
      </c>
      <c r="F624" s="1"/>
      <c r="G624" s="1"/>
      <c r="H624" s="1"/>
      <c r="I624" s="1"/>
    </row>
    <row r="625" spans="1:9" ht="15.6" x14ac:dyDescent="0.3">
      <c r="A625" s="1" t="s">
        <v>4</v>
      </c>
      <c r="B625" s="1" t="s">
        <v>5</v>
      </c>
      <c r="C625" s="10" t="s">
        <v>4</v>
      </c>
      <c r="D625" s="5" t="s">
        <v>616</v>
      </c>
      <c r="E625" s="1" t="str">
        <f ca="1">IFERROR(__xludf.DUMMYFUNCTION("GOOGLETRANSLATE(D625, ""bn"", ""en"")"),"I don't want to write anything in the month of Ramadan, because of the situation that has started all around, with religion, daily essential products, it is becoming difficult to keep one's faith and conduct well day by day.")</f>
        <v>I don't want to write anything in the month of Ramadan, because of the situation that has started all around, with religion, daily essential products, it is becoming difficult to keep one's faith and conduct well day by day.</v>
      </c>
      <c r="F625" s="1"/>
      <c r="G625" s="1"/>
      <c r="H625" s="1"/>
      <c r="I625" s="1"/>
    </row>
    <row r="626" spans="1:9" ht="15.6" x14ac:dyDescent="0.3">
      <c r="A626" s="1" t="s">
        <v>5</v>
      </c>
      <c r="B626" s="1" t="s">
        <v>5</v>
      </c>
      <c r="C626" s="10" t="s">
        <v>5</v>
      </c>
      <c r="D626" s="5" t="s">
        <v>617</v>
      </c>
      <c r="E626" s="1" t="str">
        <f ca="1">IFERROR(__xludf.DUMMYFUNCTION("GOOGLETRANSLATE(D626, ""bn"", ""en"")")," The statuses given by Tanjim Saqib are all right from the religious point of view. no mistake")</f>
        <v xml:space="preserve"> The statuses given by Tanjim Saqib are all right from the religious point of view. no mistake</v>
      </c>
      <c r="F626" s="1"/>
      <c r="G626" s="1"/>
      <c r="H626" s="1"/>
      <c r="I626" s="1"/>
    </row>
    <row r="627" spans="1:9" ht="15.6" x14ac:dyDescent="0.3">
      <c r="A627" s="1" t="s">
        <v>4</v>
      </c>
      <c r="B627" s="1" t="s">
        <v>4</v>
      </c>
      <c r="C627" s="10" t="s">
        <v>4</v>
      </c>
      <c r="D627" s="5" t="s">
        <v>618</v>
      </c>
      <c r="E627" s="1" t="str">
        <f ca="1">IFERROR(__xludf.DUMMYFUNCTION("GOOGLETRANSLATE(D627, ""bn"", ""en"")"),"So unite with Muslim students and protest against it, send a good message about you to your Muslim neighbours. Say you don't like these communal provocations either.")</f>
        <v>So unite with Muslim students and protest against it, send a good message about you to your Muslim neighbours. Say you don't like these communal provocations either.</v>
      </c>
      <c r="F627" s="1"/>
      <c r="G627" s="1"/>
      <c r="H627" s="1"/>
      <c r="I627" s="1"/>
    </row>
    <row r="628" spans="1:9" ht="15.6" x14ac:dyDescent="0.3">
      <c r="A628" s="1" t="s">
        <v>7</v>
      </c>
      <c r="B628" s="1" t="s">
        <v>7</v>
      </c>
      <c r="C628" s="10" t="s">
        <v>7</v>
      </c>
      <c r="D628" s="5" t="s">
        <v>619</v>
      </c>
      <c r="E628" s="1" t="str">
        <f ca="1">IFERROR(__xludf.DUMMYFUNCTION("GOOGLETRANSLATE(D628, ""bn"", ""en"")"),"He said, ""Covering the Hefazat rally and the killings at Shapla Chattar was a terrible experience in my journalistic life."" That night, bodies of many shot dead were found in Barakah, Islami Hospital and Siddhirganj hospitals, but the government did not"&amp;" admit it.")</f>
        <v>He said, "Covering the Hefazat rally and the killings at Shapla Chattar was a terrible experience in my journalistic life." That night, bodies of many shot dead were found in Barakah, Islami Hospital and Siddhirganj hospitals, but the government did not admit it.</v>
      </c>
      <c r="F628" s="1"/>
      <c r="G628" s="1"/>
      <c r="H628" s="1"/>
      <c r="I628" s="1"/>
    </row>
    <row r="629" spans="1:9" ht="15.6" x14ac:dyDescent="0.3">
      <c r="A629" s="1" t="s">
        <v>4</v>
      </c>
      <c r="B629" s="1" t="s">
        <v>4</v>
      </c>
      <c r="C629" s="10" t="s">
        <v>4</v>
      </c>
      <c r="D629" s="5" t="s">
        <v>620</v>
      </c>
      <c r="E629" s="1" t="str">
        <f ca="1">IFERROR(__xludf.DUMMYFUNCTION("GOOGLETRANSLATE(D629, ""bn"", ""en"")"),"If you want paradise in the afterlife, then come to the path of Islam, these speculations are useless")</f>
        <v>If you want paradise in the afterlife, then come to the path of Islam, these speculations are useless</v>
      </c>
      <c r="F629" s="1"/>
      <c r="G629" s="1"/>
      <c r="H629" s="1"/>
      <c r="I629" s="1"/>
    </row>
    <row r="630" spans="1:9" ht="15.6" x14ac:dyDescent="0.3">
      <c r="A630" s="1" t="s">
        <v>7</v>
      </c>
      <c r="B630" s="1" t="s">
        <v>7</v>
      </c>
      <c r="C630" s="10" t="s">
        <v>7</v>
      </c>
      <c r="D630" s="5" t="s">
        <v>621</v>
      </c>
      <c r="E630" s="1" t="str">
        <f ca="1">IFERROR(__xludf.DUMMYFUNCTION("GOOGLETRANSLATE(D630, ""bn"", ""en"")"),"The Bangladesh Hindu Buddhist Christian Unity Council released a much-discussed report on September 19 that nine Hindus were killed in ""communal atrocities"" across the country after the fall of Sheikh Hasina's government.")</f>
        <v>The Bangladesh Hindu Buddhist Christian Unity Council released a much-discussed report on September 19 that nine Hindus were killed in "communal atrocities" across the country after the fall of Sheikh Hasina's government.</v>
      </c>
      <c r="F630" s="1"/>
      <c r="G630" s="1"/>
      <c r="H630" s="1"/>
      <c r="I630" s="1"/>
    </row>
    <row r="631" spans="1:9" ht="15.6" x14ac:dyDescent="0.3">
      <c r="A631" s="1" t="s">
        <v>5</v>
      </c>
      <c r="B631" s="1" t="s">
        <v>5</v>
      </c>
      <c r="C631" s="10" t="s">
        <v>5</v>
      </c>
      <c r="D631" s="5" t="s">
        <v>622</v>
      </c>
      <c r="E631" s="1" t="str">
        <f ca="1">IFERROR(__xludf.DUMMYFUNCTION("GOOGLETRANSLATE(D631, ""bn"", ""en"")"),"This year's Mahakumbh Mela was a rare gathering in 123 years, where thousands of devotees gathered, but some unfortunate mishaps took place due to some safety measures, resulting in the loss of lives.")</f>
        <v>This year's Mahakumbh Mela was a rare gathering in 123 years, where thousands of devotees gathered, but some unfortunate mishaps took place due to some safety measures, resulting in the loss of lives.</v>
      </c>
      <c r="F631" s="1"/>
      <c r="G631" s="1"/>
      <c r="H631" s="1"/>
      <c r="I631" s="1"/>
    </row>
    <row r="632" spans="1:9" ht="15.6" x14ac:dyDescent="0.3">
      <c r="A632" s="1" t="s">
        <v>9</v>
      </c>
      <c r="B632" s="1" t="s">
        <v>9</v>
      </c>
      <c r="C632" s="10" t="s">
        <v>9</v>
      </c>
      <c r="D632" s="5" t="s">
        <v>623</v>
      </c>
      <c r="E632" s="1" t="str">
        <f ca="1">IFERROR(__xludf.DUMMYFUNCTION("GOOGLETRANSLATE(D632, ""bn"", ""en"")"),"In August, innocent Hindu communities in Sylhet district's Biyanibazar and Barlekha police station areas were attacked by local Muslim residents with the help of police and Ansar forces.")</f>
        <v>In August, innocent Hindu communities in Sylhet district's Biyanibazar and Barlekha police station areas were attacked by local Muslim residents with the help of police and Ansar forces.</v>
      </c>
      <c r="F632" s="1"/>
      <c r="G632" s="1"/>
      <c r="H632" s="1"/>
      <c r="I632" s="1"/>
    </row>
    <row r="633" spans="1:9" ht="15.6" x14ac:dyDescent="0.3">
      <c r="A633" s="1" t="s">
        <v>7</v>
      </c>
      <c r="B633" s="1" t="s">
        <v>7</v>
      </c>
      <c r="C633" s="10" t="s">
        <v>7</v>
      </c>
      <c r="D633" s="5" t="s">
        <v>624</v>
      </c>
      <c r="E633" s="1" t="str">
        <f ca="1">IFERROR(__xludf.DUMMYFUNCTION("GOOGLETRANSLATE(D633, ""bn"", ""en"")"),"Nazi forces in Germany killed millions of Jews in what is known in history as the Holocaust.")</f>
        <v>Nazi forces in Germany killed millions of Jews in what is known in history as the Holocaust.</v>
      </c>
      <c r="F633" s="1"/>
      <c r="G633" s="1"/>
      <c r="H633" s="1"/>
      <c r="I633" s="1"/>
    </row>
    <row r="634" spans="1:9" ht="15.6" x14ac:dyDescent="0.3">
      <c r="A634" s="1" t="s">
        <v>4</v>
      </c>
      <c r="B634" s="1" t="s">
        <v>5</v>
      </c>
      <c r="C634" s="10" t="s">
        <v>4</v>
      </c>
      <c r="D634" s="5" t="s">
        <v>625</v>
      </c>
      <c r="E634" s="1" t="str">
        <f ca="1">IFERROR(__xludf.DUMMYFUNCTION("GOOGLETRANSLATE(D634, ""bn"", ""en"")"),"Recently, in Nasirnagar of Brahmanbaria, many minority people are afraid to share their thoughts even though they know the extreme danger of fanatics. Suffering from the subjugation of expression!")</f>
        <v>Recently, in Nasirnagar of Brahmanbaria, many minority people are afraid to share their thoughts even though they know the extreme danger of fanatics. Suffering from the subjugation of expression!</v>
      </c>
      <c r="F634" s="1"/>
      <c r="G634" s="1"/>
      <c r="H634" s="1"/>
      <c r="I634" s="1"/>
    </row>
    <row r="635" spans="1:9" ht="15.6" x14ac:dyDescent="0.3">
      <c r="A635" s="1" t="s">
        <v>4</v>
      </c>
      <c r="B635" s="1" t="s">
        <v>4</v>
      </c>
      <c r="C635" s="10" t="s">
        <v>4</v>
      </c>
      <c r="D635" s="5" t="s">
        <v>626</v>
      </c>
      <c r="E635" s="1" t="str">
        <f ca="1">IFERROR(__xludf.DUMMYFUNCTION("GOOGLETRANSLATE(D635, ""bn"", ""en"")"),"There is a class of Muslims.. They will say they are made in the country. not them On the other hand, the large consumer class who do not eat without foreign brands will continue to eat foreign brands made in the country.")</f>
        <v>There is a class of Muslims.. They will say they are made in the country. not them On the other hand, the large consumer class who do not eat without foreign brands will continue to eat foreign brands made in the country.</v>
      </c>
      <c r="F635" s="1"/>
      <c r="G635" s="1"/>
      <c r="H635" s="1"/>
      <c r="I635" s="1"/>
    </row>
    <row r="636" spans="1:9" ht="15.6" x14ac:dyDescent="0.3">
      <c r="A636" s="1" t="s">
        <v>5</v>
      </c>
      <c r="B636" s="1" t="s">
        <v>5</v>
      </c>
      <c r="C636" s="10" t="s">
        <v>5</v>
      </c>
      <c r="D636" s="5" t="s">
        <v>627</v>
      </c>
      <c r="E636" s="1" t="str">
        <f ca="1">IFERROR(__xludf.DUMMYFUNCTION("GOOGLETRANSLATE(D636, ""bn"", ""en"")"),"It aims to inculcate kindness and sympathy in all men, to reject tyrannical authority, to work for practical common sense and justice, and to be guided by the human conscience to pursue the noblest pursuits of the human mind.")</f>
        <v>It aims to inculcate kindness and sympathy in all men, to reject tyrannical authority, to work for practical common sense and justice, and to be guided by the human conscience to pursue the noblest pursuits of the human mind.</v>
      </c>
      <c r="F636" s="1"/>
      <c r="G636" s="1"/>
      <c r="H636" s="1"/>
      <c r="I636" s="1"/>
    </row>
    <row r="637" spans="1:9" ht="15.6" x14ac:dyDescent="0.3">
      <c r="A637" s="1" t="s">
        <v>5</v>
      </c>
      <c r="B637" s="1" t="s">
        <v>5</v>
      </c>
      <c r="C637" s="10" t="s">
        <v>5</v>
      </c>
      <c r="D637" s="5" t="s">
        <v>628</v>
      </c>
      <c r="E637" s="1" t="str">
        <f ca="1">IFERROR(__xludf.DUMMYFUNCTION("GOOGLETRANSLATE(D637, ""bn"", ""en"")"),"The first Catholic church was built in 1599 AD at Chandikan or Ishwaripur in present-day Satkhira district of Bangladesh, which was named 'Holy Name of Jesus'. On 24th June 1600 AD, the second church was built in Chittagong - named 'St. John the Baptist C"&amp;"hurch'.")</f>
        <v>The first Catholic church was built in 1599 AD at Chandikan or Ishwaripur in present-day Satkhira district of Bangladesh, which was named 'Holy Name of Jesus'. On 24th June 1600 AD, the second church was built in Chittagong - named 'St. John the Baptist Church'.</v>
      </c>
      <c r="F637" s="1"/>
      <c r="G637" s="1"/>
      <c r="H637" s="1"/>
      <c r="I637" s="1"/>
    </row>
    <row r="638" spans="1:9" ht="15.6" x14ac:dyDescent="0.3">
      <c r="A638" s="1" t="s">
        <v>7</v>
      </c>
      <c r="B638" s="1" t="s">
        <v>7</v>
      </c>
      <c r="C638" s="10" t="s">
        <v>7</v>
      </c>
      <c r="D638" s="5" t="s">
        <v>629</v>
      </c>
      <c r="E638" s="1" t="str">
        <f ca="1">IFERROR(__xludf.DUMMYFUNCTION("GOOGLETRANSLATE(D638, ""bn"", ""en"")"),"After the assassination of Indira Gandhi, violence broke out against the Sikh community, in which many Sikh citizens were killed and their property destroyed.")</f>
        <v>After the assassination of Indira Gandhi, violence broke out against the Sikh community, in which many Sikh citizens were killed and their property destroyed.</v>
      </c>
      <c r="F638" s="1"/>
      <c r="G638" s="1"/>
      <c r="H638" s="1"/>
      <c r="I638" s="1"/>
    </row>
    <row r="639" spans="1:9" ht="15.6" x14ac:dyDescent="0.3">
      <c r="A639" s="1" t="s">
        <v>5</v>
      </c>
      <c r="B639" s="1" t="s">
        <v>5</v>
      </c>
      <c r="C639" s="10" t="s">
        <v>5</v>
      </c>
      <c r="D639" s="5" t="s">
        <v>630</v>
      </c>
      <c r="E639" s="1" t="str">
        <f ca="1">IFERROR(__xludf.DUMMYFUNCTION("GOOGLETRANSLATE(D639, ""bn"", ""en"")"),"The second letter lam (ل) of the word 'Allah' is pronounced in several ways. If the preceding letter of this word is stressed or prefaced, 'lam' is pronounced with an emphatic tone.")</f>
        <v>The second letter lam (ل) of the word 'Allah' is pronounced in several ways. If the preceding letter of this word is stressed or prefaced, 'lam' is pronounced with an emphatic tone.</v>
      </c>
      <c r="F639" s="1"/>
      <c r="G639" s="1"/>
      <c r="H639" s="1"/>
      <c r="I639" s="1"/>
    </row>
    <row r="640" spans="1:9" ht="15.6" x14ac:dyDescent="0.3">
      <c r="A640" s="1" t="s">
        <v>5</v>
      </c>
      <c r="B640" s="1" t="s">
        <v>5</v>
      </c>
      <c r="C640" s="10" t="s">
        <v>5</v>
      </c>
      <c r="D640" s="5" t="s">
        <v>631</v>
      </c>
      <c r="E640" s="1" t="str">
        <f ca="1">IFERROR(__xludf.DUMMYFUNCTION("GOOGLETRANSLATE(D640, ""bn"", ""en"")"),"The agreement is based on the order of the Ministry of Lands. Therefore, the mosque was legally built on the land of the mosque. Inshallah it will happen again.")</f>
        <v>The agreement is based on the order of the Ministry of Lands. Therefore, the mosque was legally built on the land of the mosque. Inshallah it will happen again.</v>
      </c>
      <c r="F640" s="1"/>
      <c r="G640" s="1"/>
      <c r="H640" s="1"/>
      <c r="I640" s="1"/>
    </row>
    <row r="641" spans="1:9" ht="15.6" x14ac:dyDescent="0.3">
      <c r="A641" s="1" t="s">
        <v>4</v>
      </c>
      <c r="B641" s="1" t="s">
        <v>4</v>
      </c>
      <c r="C641" s="10" t="s">
        <v>4</v>
      </c>
      <c r="D641" s="5" t="s">
        <v>632</v>
      </c>
      <c r="E641" s="1" t="str">
        <f ca="1">IFERROR(__xludf.DUMMYFUNCTION("GOOGLETRANSLATE(D641, ""bn"", ""en"")"),"Teaching people the new definition of Halal and Haram by insulting Hadith. We must raise our voice against the spread of atheism by clearly denying the hadith. We must protest to the utmost; However, the language of protest should not be indecent abuse")</f>
        <v>Teaching people the new definition of Halal and Haram by insulting Hadith. We must raise our voice against the spread of atheism by clearly denying the hadith. We must protest to the utmost; However, the language of protest should not be indecent abuse</v>
      </c>
      <c r="F641" s="1"/>
      <c r="G641" s="1"/>
      <c r="H641" s="1"/>
      <c r="I641" s="1"/>
    </row>
    <row r="642" spans="1:9" ht="15.6" x14ac:dyDescent="0.3">
      <c r="A642" s="1" t="s">
        <v>4</v>
      </c>
      <c r="B642" s="1" t="s">
        <v>4</v>
      </c>
      <c r="C642" s="10" t="s">
        <v>4</v>
      </c>
      <c r="D642" s="5" t="s">
        <v>633</v>
      </c>
      <c r="E642" s="1" t="str">
        <f ca="1">IFERROR(__xludf.DUMMYFUNCTION("GOOGLETRANSLATE(D642, ""bn"", ""en"")"),"Where do they get the courage to take the initiative to issue show cause notices or expel students for reciting the Quran in a 90% Muslim country to please leftists, atheists and grandfathers?")</f>
        <v>Where do they get the courage to take the initiative to issue show cause notices or expel students for reciting the Quran in a 90% Muslim country to please leftists, atheists and grandfathers?</v>
      </c>
      <c r="F642" s="1"/>
      <c r="G642" s="1"/>
      <c r="H642" s="1"/>
      <c r="I642" s="1"/>
    </row>
    <row r="643" spans="1:9" ht="15.6" x14ac:dyDescent="0.3">
      <c r="A643" s="1" t="s">
        <v>4</v>
      </c>
      <c r="B643" s="1" t="s">
        <v>4</v>
      </c>
      <c r="C643" s="10" t="s">
        <v>4</v>
      </c>
      <c r="D643" s="5" t="s">
        <v>634</v>
      </c>
      <c r="E643" s="1" t="str">
        <f ca="1">IFERROR(__xludf.DUMMYFUNCTION("GOOGLETRANSLATE(D643, ""bn"", ""en"")"),"They are the threat to the non-communal society.")</f>
        <v>They are the threat to the non-communal society.</v>
      </c>
      <c r="F643" s="1"/>
      <c r="G643" s="1"/>
      <c r="H643" s="1"/>
      <c r="I643" s="1"/>
    </row>
    <row r="644" spans="1:9" ht="15.6" x14ac:dyDescent="0.3">
      <c r="A644" s="1" t="s">
        <v>9</v>
      </c>
      <c r="B644" s="1" t="s">
        <v>9</v>
      </c>
      <c r="C644" s="10" t="s">
        <v>9</v>
      </c>
      <c r="D644" s="5" t="s">
        <v>635</v>
      </c>
      <c r="E644" s="1" t="str">
        <f ca="1">IFERROR(__xludf.DUMMYFUNCTION("GOOGLETRANSLATE(D644, ""bn"", ""en"")"),"Calling it a religious incitement, the people of four neighboring villages staged a protest march against Jhumon on the night of March 16. To bring the situation under control, the people of Noagaon village arrested the young man at night. [6] On the morn"&amp;"ing of March 17, an attack was announced from the microphone of the Kashipur village mosque [7] in Noagaon village. ")</f>
        <v>Calling it a religious incitement, the people of four neighboring villages staged a protest march against Jhumon on the night of March 16. To bring the situation under control, the people of Noagaon village arrested the young man at night. [6] On the morning of March 17, an attack was announced from the microphone of the Kashipur village mosque [7] in Noagaon village. </v>
      </c>
      <c r="F644" s="1"/>
      <c r="G644" s="1"/>
      <c r="H644" s="1"/>
      <c r="I644" s="1"/>
    </row>
    <row r="645" spans="1:9" ht="15.6" x14ac:dyDescent="0.3">
      <c r="A645" s="1" t="s">
        <v>7</v>
      </c>
      <c r="B645" s="1" t="s">
        <v>7</v>
      </c>
      <c r="C645" s="10" t="s">
        <v>7</v>
      </c>
      <c r="D645" s="5" t="s">
        <v>636</v>
      </c>
      <c r="E645" s="1" t="str">
        <f ca="1">IFERROR(__xludf.DUMMYFUNCTION("GOOGLETRANSLATE(D645, ""bn"", ""en"")"),"The Kaliganj Massacre was a massacre of unarmed Bengali Hindus fleeing to India on 27 June 1971 in Kaliganj Bazar, Jaldhaka, Nilphamari.")</f>
        <v>The Kaliganj Massacre was a massacre of unarmed Bengali Hindus fleeing to India on 27 June 1971 in Kaliganj Bazar, Jaldhaka, Nilphamari.</v>
      </c>
      <c r="F645" s="1"/>
      <c r="G645" s="1"/>
      <c r="H645" s="1"/>
      <c r="I645" s="1"/>
    </row>
    <row r="646" spans="1:9" ht="15.6" x14ac:dyDescent="0.3">
      <c r="A646" s="1" t="s">
        <v>5</v>
      </c>
      <c r="B646" s="1" t="s">
        <v>5</v>
      </c>
      <c r="C646" s="10" t="s">
        <v>5</v>
      </c>
      <c r="D646" s="5" t="s">
        <v>637</v>
      </c>
      <c r="E646" s="1" t="str">
        <f ca="1">IFERROR(__xludf.DUMMYFUNCTION("GOOGLETRANSLATE(D646, ""bn"", ""en"")"),"Qur'anic verses say that treating animals kindly is a sign of faith and a means of attaining God's pleasure.")</f>
        <v>Qur'anic verses say that treating animals kindly is a sign of faith and a means of attaining God's pleasure.</v>
      </c>
      <c r="F646" s="1"/>
      <c r="G646" s="1"/>
      <c r="H646" s="1"/>
      <c r="I646" s="1"/>
    </row>
    <row r="647" spans="1:9" ht="15.6" x14ac:dyDescent="0.3">
      <c r="A647" s="1" t="s">
        <v>9</v>
      </c>
      <c r="B647" s="1" t="s">
        <v>7</v>
      </c>
      <c r="C647" s="10" t="s">
        <v>9</v>
      </c>
      <c r="D647" s="5" t="s">
        <v>638</v>
      </c>
      <c r="E647" s="1" t="str">
        <f ca="1">IFERROR(__xludf.DUMMYFUNCTION("GOOGLETRANSLATE(D647, ""bn"", ""en"")"),"Most of the idols belong to roadside temples. Those temples had idols of Kali, Saraswati, Lakshmi and Mansa. Various parts of those idols including head, hands, legs have been broken. This morning local people found the idols in broken condition and infor"&amp;"med the administration and police. He claimed that such incidents were done to destroy the communal harmony of the country.")</f>
        <v>Most of the idols belong to roadside temples. Those temples had idols of Kali, Saraswati, Lakshmi and Mansa. Various parts of those idols including head, hands, legs have been broken. This morning local people found the idols in broken condition and informed the administration and police. He claimed that such incidents were done to destroy the communal harmony of the country.</v>
      </c>
      <c r="F647" s="1"/>
      <c r="G647" s="1"/>
      <c r="H647" s="1"/>
      <c r="I647" s="1"/>
    </row>
    <row r="648" spans="1:9" ht="15.6" x14ac:dyDescent="0.3">
      <c r="A648" s="1" t="s">
        <v>5</v>
      </c>
      <c r="B648" s="1" t="s">
        <v>5</v>
      </c>
      <c r="C648" s="10" t="s">
        <v>5</v>
      </c>
      <c r="D648" s="5" t="s">
        <v>639</v>
      </c>
      <c r="E648" s="1" t="str">
        <f ca="1">IFERROR(__xludf.DUMMYFUNCTION("GOOGLETRANSLATE(D648, ""bn"", ""en"")")," Located in Krishnaganj Bazar of Banshtali Union, opposite Dana on the north bank of Mongla river. Dhaka was a predominantly Hindu village, with a famous Kali temple. Bakbak Chakraborty, also known as Nakra Tagore, was a spiritual person revered by all.")</f>
        <v> Located in Krishnaganj Bazar of Banshtali Union, opposite Dana on the north bank of Mongla river. Dhaka was a predominantly Hindu village, with a famous Kali temple. Bakbak Chakraborty, also known as Nakra Tagore, was a spiritual person revered by all.</v>
      </c>
      <c r="F648" s="1"/>
      <c r="G648" s="1"/>
      <c r="H648" s="1"/>
      <c r="I648" s="1"/>
    </row>
    <row r="649" spans="1:9" ht="15.6" x14ac:dyDescent="0.3">
      <c r="A649" s="1" t="s">
        <v>9</v>
      </c>
      <c r="B649" s="1" t="s">
        <v>9</v>
      </c>
      <c r="C649" s="10" t="s">
        <v>9</v>
      </c>
      <c r="D649" s="5" t="s">
        <v>640</v>
      </c>
      <c r="E649" s="1" t="str">
        <f ca="1">IFERROR(__xludf.DUMMYFUNCTION("GOOGLETRANSLATE(D649, ""bn"", ""en"")"),"On March 17, 2021 AD, hundreds of houses of the Hindu community were attacked in Habibpur Noagaon village of Shalla Upazila of Sunamganj on charges of insulting popular Islamic scholar Mamunul Haque by a Hindu youth on social media.")</f>
        <v>On March 17, 2021 AD, hundreds of houses of the Hindu community were attacked in Habibpur Noagaon village of Shalla Upazila of Sunamganj on charges of insulting popular Islamic scholar Mamunul Haque by a Hindu youth on social media.</v>
      </c>
      <c r="F649" s="1"/>
      <c r="G649" s="1"/>
      <c r="H649" s="1"/>
      <c r="I649" s="1"/>
    </row>
    <row r="650" spans="1:9" ht="15.6" x14ac:dyDescent="0.3">
      <c r="A650" s="1" t="s">
        <v>9</v>
      </c>
      <c r="B650" s="1" t="s">
        <v>9</v>
      </c>
      <c r="C650" s="10" t="s">
        <v>9</v>
      </c>
      <c r="D650" s="5" t="s">
        <v>641</v>
      </c>
      <c r="E650" s="1" t="str">
        <f ca="1">IFERROR(__xludf.DUMMYFUNCTION("GOOGLETRANSLATE(D650, ""bn"", ""en"")"),"Anxiety also began to rise in Bangladesh's second-largest city, Chittagong, where about 30% Hindus lived.")</f>
        <v>Anxiety also began to rise in Bangladesh's second-largest city, Chittagong, where about 30% Hindus lived.</v>
      </c>
      <c r="F650" s="1"/>
      <c r="G650" s="1"/>
      <c r="H650" s="1"/>
      <c r="I650" s="1"/>
    </row>
    <row r="651" spans="1:9" ht="15.6" x14ac:dyDescent="0.3">
      <c r="A651" s="1" t="s">
        <v>9</v>
      </c>
      <c r="B651" s="1" t="s">
        <v>9</v>
      </c>
      <c r="C651" s="10" t="s">
        <v>9</v>
      </c>
      <c r="D651" s="5" t="s">
        <v>642</v>
      </c>
      <c r="E651" s="1" t="str">
        <f ca="1">IFERROR(__xludf.DUMMYFUNCTION("GOOGLETRANSLATE(D651, ""bn"", ""en"")"),"The 10th general election was held in Bangladesh on January 5, 2014. The opposition Bangladesh Nationalist Party and its ally Jamaat-e-Islami boycotted the election. The election was held amid a series of strikes and violence by opposition parties. After "&amp;"the polls, opposition activists and supporters started attacking minority Bengali Hindus.")</f>
        <v>The 10th general election was held in Bangladesh on January 5, 2014. The opposition Bangladesh Nationalist Party and its ally Jamaat-e-Islami boycotted the election. The election was held amid a series of strikes and violence by opposition parties. After the polls, opposition activists and supporters started attacking minority Bengali Hindus.</v>
      </c>
      <c r="F651" s="1"/>
      <c r="G651" s="1"/>
      <c r="H651" s="1"/>
      <c r="I651" s="1"/>
    </row>
    <row r="652" spans="1:9" ht="15.6" x14ac:dyDescent="0.3">
      <c r="A652" s="1" t="s">
        <v>7</v>
      </c>
      <c r="B652" s="1" t="s">
        <v>7</v>
      </c>
      <c r="C652" s="10" t="s">
        <v>7</v>
      </c>
      <c r="D652" s="5" t="s">
        <v>643</v>
      </c>
      <c r="E652" s="1" t="str">
        <f ca="1">IFERROR(__xludf.DUMMYFUNCTION("GOOGLETRANSLATE(D652, ""bn"", ""en"")"),"The Hasamdia massacre was a massacre committed by the Pakistani army against Bengali Hindus, including a Muslim, in Hasamdia and nearby villages on May 16, 1971. [1][2] 33 people lost their lives in the massacre. [3] On January 21, 2013, the International"&amp;" Criminal Tribunal sentenced Abul Kalam Azad to death for his involvement in the massacre.[")</f>
        <v>The Hasamdia massacre was a massacre committed by the Pakistani army against Bengali Hindus, including a Muslim, in Hasamdia and nearby villages on May 16, 1971. [1][2] 33 people lost their lives in the massacre. [3] On January 21, 2013, the International Criminal Tribunal sentenced Abul Kalam Azad to death for his involvement in the massacre.[</v>
      </c>
      <c r="F652" s="1"/>
      <c r="G652" s="1"/>
      <c r="H652" s="1"/>
      <c r="I652" s="1"/>
    </row>
    <row r="653" spans="1:9" ht="15.6" x14ac:dyDescent="0.3">
      <c r="A653" s="1" t="s">
        <v>9</v>
      </c>
      <c r="B653" s="1" t="s">
        <v>9</v>
      </c>
      <c r="C653" s="10" t="s">
        <v>9</v>
      </c>
      <c r="D653" s="5" t="s">
        <v>644</v>
      </c>
      <c r="E653" s="1" t="str">
        <f ca="1">IFERROR(__xludf.DUMMYFUNCTION("GOOGLETRANSLATE(D653, ""bn"", ""en"")")," And listen to the way in Bangladesh the persecution of minority traditional people is the sign of your mentality. You call Maqbool Fida Hussain an artist, but an artist was killed in France.")</f>
        <v xml:space="preserve"> And listen to the way in Bangladesh the persecution of minority traditional people is the sign of your mentality. You call Maqbool Fida Hussain an artist, but an artist was killed in France.</v>
      </c>
      <c r="F653" s="1"/>
      <c r="G653" s="1"/>
      <c r="H653" s="1"/>
      <c r="I653" s="1"/>
    </row>
    <row r="654" spans="1:9" ht="15.6" x14ac:dyDescent="0.3">
      <c r="A654" s="4" t="s">
        <v>7</v>
      </c>
      <c r="B654" s="4" t="s">
        <v>7</v>
      </c>
      <c r="C654" s="11" t="s">
        <v>7</v>
      </c>
      <c r="D654" s="5" t="s">
        <v>645</v>
      </c>
      <c r="E654" s="1" t="str">
        <f ca="1">IFERROR(__xludf.DUMMYFUNCTION("GOOGLETRANSLATE(D654, ""bn"", ""en"")"),"It is in this situation that 'The Great Calcutta Killing' took place from August 16 to August 20. About four thousand people of both religions were killed and ten thousand were injured. Even in these dire times, some risked their lives to prevent communal"&amp;" unrest. ")</f>
        <v xml:space="preserve">It is in this situation that 'The Great Calcutta Killing' took place from August 16 to August 20. About four thousand people of both religions were killed and ten thousand were injured. Even in these dire times, some risked their lives to prevent communal unrest. </v>
      </c>
      <c r="F654" s="1"/>
      <c r="G654" s="1"/>
      <c r="H654" s="1"/>
      <c r="I654" s="1"/>
    </row>
    <row r="655" spans="1:9" ht="15.6" x14ac:dyDescent="0.3">
      <c r="A655" s="1" t="s">
        <v>4</v>
      </c>
      <c r="B655" s="1" t="s">
        <v>4</v>
      </c>
      <c r="C655" s="10" t="s">
        <v>4</v>
      </c>
      <c r="D655" s="5" t="s">
        <v>646</v>
      </c>
      <c r="E655" s="1" t="str">
        <f ca="1">IFERROR(__xludf.DUMMYFUNCTION("GOOGLETRANSLATE(D655, ""bn"", ""en"")"),"Are all teachers/scholars insulting the Qur'an? Scholars say only read the Koran or become an atheist! Re-telling the Qur'an in short. Saying this is not an insult to the Qur'an!")</f>
        <v>Are all teachers/scholars insulting the Qur'an? Scholars say only read the Koran or become an atheist! Re-telling the Qur'an in short. Saying this is not an insult to the Qur'an!</v>
      </c>
      <c r="F655" s="1"/>
      <c r="G655" s="1"/>
      <c r="H655" s="1"/>
      <c r="I655" s="1"/>
    </row>
    <row r="656" spans="1:9" ht="15.6" x14ac:dyDescent="0.3">
      <c r="A656" s="1" t="s">
        <v>7</v>
      </c>
      <c r="B656" s="1" t="s">
        <v>7</v>
      </c>
      <c r="C656" s="10" t="s">
        <v>7</v>
      </c>
      <c r="D656" s="5" t="s">
        <v>647</v>
      </c>
      <c r="E656" s="1" t="str">
        <f ca="1">IFERROR(__xludf.DUMMYFUNCTION("GOOGLETRANSLATE(D656, ""bn"", ""en"")"),"When I leave the world, I go to your doorstep.")</f>
        <v>When I leave the world, I go to your doorstep.</v>
      </c>
      <c r="F656" s="1"/>
      <c r="G656" s="1"/>
      <c r="H656" s="1"/>
      <c r="I656" s="1"/>
    </row>
    <row r="657" spans="1:9" ht="15.6" x14ac:dyDescent="0.3">
      <c r="A657" s="1" t="s">
        <v>5</v>
      </c>
      <c r="B657" s="1" t="s">
        <v>5</v>
      </c>
      <c r="C657" s="10" t="s">
        <v>5</v>
      </c>
      <c r="D657" s="5" t="s">
        <v>648</v>
      </c>
      <c r="E657" s="1" t="str">
        <f ca="1">IFERROR(__xludf.DUMMYFUNCTION("GOOGLETRANSLATE(D657, ""bn"", ""en"")"),"Alhamdulillah, I got rid of many troubles. By the infinite mercy of Almighty Allah, I was fortunate to hear the words. I get peace of mind by getting correct answers to all questions.")</f>
        <v>Alhamdulillah, I got rid of many troubles. By the infinite mercy of Almighty Allah, I was fortunate to hear the words. I get peace of mind by getting correct answers to all questions.</v>
      </c>
      <c r="F657" s="1"/>
      <c r="G657" s="1"/>
      <c r="H657" s="1"/>
      <c r="I657" s="1"/>
    </row>
    <row r="658" spans="1:9" ht="15.6" x14ac:dyDescent="0.3">
      <c r="A658" s="1" t="s">
        <v>5</v>
      </c>
      <c r="B658" s="1" t="s">
        <v>5</v>
      </c>
      <c r="C658" s="10" t="s">
        <v>5</v>
      </c>
      <c r="D658" s="5" t="s">
        <v>649</v>
      </c>
      <c r="E658" s="1" t="str">
        <f ca="1">IFERROR(__xludf.DUMMYFUNCTION("GOOGLETRANSLATE(D658, ""bn"", ""en"")"),"Despite the Mahakumbh Mela being part of a peaceful religious event, some security lapses have seen people's lives end prematurely, which is painful for all.")</f>
        <v>Despite the Mahakumbh Mela being part of a peaceful religious event, some security lapses have seen people's lives end prematurely, which is painful for all.</v>
      </c>
      <c r="F658" s="1"/>
      <c r="G658" s="1"/>
      <c r="H658" s="1"/>
      <c r="I658" s="1"/>
    </row>
    <row r="659" spans="1:9" ht="15.6" x14ac:dyDescent="0.3">
      <c r="A659" s="1" t="s">
        <v>9</v>
      </c>
      <c r="B659" s="1" t="s">
        <v>9</v>
      </c>
      <c r="C659" s="10" t="s">
        <v>9</v>
      </c>
      <c r="D659" s="5" t="s">
        <v>650</v>
      </c>
      <c r="E659" s="1" t="str">
        <f ca="1">IFERROR(__xludf.DUMMYFUNCTION("GOOGLETRANSLATE(D659, ""bn"", ""en"")"),"Many of the villagers left the village and went to neighboring villages. More than 5000 or about 20000 extremists attacked the Hindus with sticks. Hindu houses and businesses were looted. Their houses were demolished.")</f>
        <v>Many of the villagers left the village and went to neighboring villages. More than 5000 or about 20000 extremists attacked the Hindus with sticks. Hindu houses and businesses were looted. Their houses were demolished.</v>
      </c>
      <c r="F659" s="1"/>
      <c r="G659" s="1"/>
      <c r="H659" s="1"/>
      <c r="I659" s="1"/>
    </row>
    <row r="660" spans="1:9" ht="15.6" x14ac:dyDescent="0.3">
      <c r="A660" s="1" t="s">
        <v>9</v>
      </c>
      <c r="B660" s="1" t="s">
        <v>9</v>
      </c>
      <c r="C660" s="10" t="s">
        <v>9</v>
      </c>
      <c r="D660" s="5" t="s">
        <v>651</v>
      </c>
      <c r="E660" s="1" t="str">
        <f ca="1">IFERROR(__xludf.DUMMYFUNCTION("GOOGLETRANSLATE(D660, ""bn"", ""en"")"),"An accomplice named Asad took the Pakistani soldiers to the village in a carriage. At night the men were dragged from their homes and made to stand in a line, and the women were raped in front of them by Pakistani soldiers with the help of accomplices.")</f>
        <v>An accomplice named Asad took the Pakistani soldiers to the village in a carriage. At night the men were dragged from their homes and made to stand in a line, and the women were raped in front of them by Pakistani soldiers with the help of accomplices.</v>
      </c>
      <c r="F660" s="1"/>
      <c r="G660" s="1"/>
      <c r="H660" s="1"/>
      <c r="I660" s="1"/>
    </row>
    <row r="661" spans="1:9" ht="15.6" x14ac:dyDescent="0.3">
      <c r="A661" s="1" t="s">
        <v>4</v>
      </c>
      <c r="B661" s="1" t="s">
        <v>4</v>
      </c>
      <c r="C661" s="10" t="s">
        <v>4</v>
      </c>
      <c r="D661" s="5" t="s">
        <v>652</v>
      </c>
      <c r="E661" s="1" t="str">
        <f ca="1">IFERROR(__xludf.DUMMYFUNCTION("GOOGLETRANSLATE(D661, ""bn"", ""en"")"),"You don't need to be very old to take this insult. Do you hate it when someone insults your father? Do you hate it when someone throws mud at your mother? If not, do you understand that it is unusual?")</f>
        <v>You don't need to be very old to take this insult. Do you hate it when someone insults your father? Do you hate it when someone throws mud at your mother? If not, do you understand that it is unusual?</v>
      </c>
      <c r="F661" s="1"/>
      <c r="G661" s="1"/>
      <c r="H661" s="1"/>
      <c r="I661" s="1"/>
    </row>
    <row r="662" spans="1:9" ht="15.6" x14ac:dyDescent="0.3">
      <c r="A662" s="1" t="s">
        <v>7</v>
      </c>
      <c r="B662" s="1" t="s">
        <v>7</v>
      </c>
      <c r="C662" s="10" t="s">
        <v>7</v>
      </c>
      <c r="D662" s="5" t="s">
        <v>653</v>
      </c>
      <c r="E662" s="1" t="str">
        <f ca="1">IFERROR(__xludf.DUMMYFUNCTION("GOOGLETRANSLATE(D662, ""bn"", ""en"")"),"A white supremacist gunman opened fire at a black church, killing 9, an example of racial and religious hatred.")</f>
        <v>A white supremacist gunman opened fire at a black church, killing 9, an example of racial and religious hatred.</v>
      </c>
      <c r="F662" s="1"/>
      <c r="G662" s="1"/>
      <c r="H662" s="1"/>
      <c r="I662" s="1"/>
    </row>
    <row r="663" spans="1:9" ht="15.6" x14ac:dyDescent="0.3">
      <c r="A663" s="1" t="s">
        <v>5</v>
      </c>
      <c r="B663" s="1" t="s">
        <v>5</v>
      </c>
      <c r="C663" s="10" t="s">
        <v>5</v>
      </c>
      <c r="D663" s="5" t="s">
        <v>654</v>
      </c>
      <c r="E663" s="1" t="str">
        <f ca="1">IFERROR(__xludf.DUMMYFUNCTION("GOOGLETRANSLATE(D663, ""bn"", ""en"")"),"In fact, I do not understand where our country is going day by day. But society needs people like Tanjim Shakib")</f>
        <v>In fact, I do not understand where our country is going day by day. But society needs people like Tanjim Shakib</v>
      </c>
      <c r="F663" s="1"/>
      <c r="G663" s="1"/>
      <c r="H663" s="1"/>
      <c r="I663" s="1"/>
    </row>
    <row r="664" spans="1:9" ht="15.6" x14ac:dyDescent="0.3">
      <c r="A664" s="1" t="s">
        <v>4</v>
      </c>
      <c r="B664" s="1" t="s">
        <v>4</v>
      </c>
      <c r="C664" s="10" t="s">
        <v>4</v>
      </c>
      <c r="D664" s="5" t="s">
        <v>655</v>
      </c>
      <c r="E664" s="1" t="str">
        <f ca="1">IFERROR(__xludf.DUMMYFUNCTION("GOOGLETRANSLATE(D664, ""bn"", ""en"")"),"They do not fall in the queue of people, the worms of hell.")</f>
        <v>They do not fall in the queue of people, the worms of hell.</v>
      </c>
      <c r="F664" s="1"/>
      <c r="G664" s="1"/>
      <c r="H664" s="1"/>
      <c r="I664" s="1"/>
    </row>
    <row r="665" spans="1:9" ht="15.6" x14ac:dyDescent="0.3">
      <c r="A665" s="1" t="s">
        <v>7</v>
      </c>
      <c r="B665" s="1" t="s">
        <v>7</v>
      </c>
      <c r="C665" s="10" t="s">
        <v>7</v>
      </c>
      <c r="D665" s="5" t="s">
        <v>656</v>
      </c>
      <c r="E665" s="1" t="str">
        <f ca="1">IFERROR(__xludf.DUMMYFUNCTION("GOOGLETRANSLATE(D665, ""bn"", ""en"")")," After the death of Major Sinha, I said in a letter of this BBC Bangla that such killings should stop only through Sinha's death. I am saying the same again, if someone is guilty, he must be punished, but not like this. It cannot be the language of any de"&amp;"mocracy.")</f>
        <v> After the death of Major Sinha, I said in a letter of this BBC Bangla that such killings should stop only through Sinha's death. I am saying the same again, if someone is guilty, he must be punished, but not like this. It cannot be the language of any democracy.</v>
      </c>
      <c r="F665" s="1"/>
      <c r="G665" s="1"/>
      <c r="H665" s="1"/>
      <c r="I665" s="1"/>
    </row>
    <row r="666" spans="1:9" ht="15.6" x14ac:dyDescent="0.3">
      <c r="A666" s="1" t="s">
        <v>4</v>
      </c>
      <c r="B666" s="1" t="s">
        <v>4</v>
      </c>
      <c r="C666" s="10" t="s">
        <v>4</v>
      </c>
      <c r="D666" s="5" t="s">
        <v>657</v>
      </c>
      <c r="E666" s="1" t="str">
        <f ca="1">IFERROR(__xludf.DUMMYFUNCTION("GOOGLETRANSLATE(D666, ""bn"", ""en"")"),"The court gave this verdict in a case filed in Longadu police station of Rangamati in the year 2017 due to a Facebook post insulting the Prophet of Islam and the religion of Islam.")</f>
        <v>The court gave this verdict in a case filed in Longadu police station of Rangamati in the year 2017 due to a Facebook post insulting the Prophet of Islam and the religion of Islam.</v>
      </c>
      <c r="F666" s="1"/>
      <c r="G666" s="1"/>
      <c r="H666" s="1"/>
      <c r="I666" s="1"/>
    </row>
    <row r="667" spans="1:9" ht="15.6" x14ac:dyDescent="0.3">
      <c r="A667" s="4" t="s">
        <v>7</v>
      </c>
      <c r="B667" s="4" t="s">
        <v>7</v>
      </c>
      <c r="C667" s="11" t="s">
        <v>7</v>
      </c>
      <c r="D667" s="5" t="s">
        <v>658</v>
      </c>
      <c r="E667" s="1" t="str">
        <f ca="1">IFERROR(__xludf.DUMMYFUNCTION("GOOGLETRANSLATE(D667, ""bn"", ""en"")"),"The 2020 Delhi riots, which left 53 dead and more than 200 seriously injured, sparked protests against a citizenship law seen by critics as anti-Muslim and partly Hindu by Prime Minister Narendra Modi. Nationalist agenda.")</f>
        <v>The 2020 Delhi riots, which left 53 dead and more than 200 seriously injured, sparked protests against a citizenship law seen by critics as anti-Muslim and partly Hindu by Prime Minister Narendra Modi. Nationalist agenda.</v>
      </c>
      <c r="F667" s="1"/>
      <c r="G667" s="1"/>
      <c r="H667" s="1"/>
      <c r="I667" s="1"/>
    </row>
    <row r="668" spans="1:9" ht="15.6" x14ac:dyDescent="0.3">
      <c r="A668" s="1" t="s">
        <v>7</v>
      </c>
      <c r="B668" s="1" t="s">
        <v>5</v>
      </c>
      <c r="C668" s="10" t="s">
        <v>7</v>
      </c>
      <c r="D668" s="5" t="s">
        <v>659</v>
      </c>
      <c r="E668" s="1" t="str">
        <f ca="1">IFERROR(__xludf.DUMMYFUNCTION("GOOGLETRANSLATE(D668, ""bn"", ""en"")"),"The BBC's Lucy Williamson in Paris says the brutal murder of teacher Samuel Patty has intensified the debate over the secular identity of the French state.")</f>
        <v>The BBC's Lucy Williamson in Paris says the brutal murder of teacher Samuel Patty has intensified the debate over the secular identity of the French state.</v>
      </c>
      <c r="F668" s="1"/>
      <c r="G668" s="1"/>
      <c r="H668" s="1"/>
      <c r="I668" s="1"/>
    </row>
    <row r="669" spans="1:9" ht="15.6" x14ac:dyDescent="0.3">
      <c r="A669" s="1" t="s">
        <v>9</v>
      </c>
      <c r="B669" s="1" t="s">
        <v>9</v>
      </c>
      <c r="C669" s="10" t="s">
        <v>9</v>
      </c>
      <c r="D669" s="5" t="s">
        <v>660</v>
      </c>
      <c r="E669" s="1" t="str">
        <f ca="1">IFERROR(__xludf.DUMMYFUNCTION("GOOGLETRANSLATE(D669, ""bn"", ""en"")")," Especially compared to the way Muslims are tortured and oppressed in India, there is no need to say that the Hindus of Bangladesh have a lot of dignity.")</f>
        <v> Especially compared to the way Muslims are tortured and oppressed in India, there is no need to say that the Hindus of Bangladesh have a lot of dignity.</v>
      </c>
      <c r="F669" s="1"/>
      <c r="G669" s="1"/>
      <c r="H669" s="1"/>
      <c r="I669" s="1"/>
    </row>
    <row r="670" spans="1:9" ht="15.6" x14ac:dyDescent="0.3">
      <c r="A670" s="1" t="s">
        <v>9</v>
      </c>
      <c r="B670" s="1" t="s">
        <v>9</v>
      </c>
      <c r="C670" s="10" t="s">
        <v>9</v>
      </c>
      <c r="D670" s="5" t="s">
        <v>661</v>
      </c>
      <c r="E670" s="1" t="str">
        <f ca="1">IFERROR(__xludf.DUMMYFUNCTION("GOOGLETRANSLATE(D670, ""bn"", ""en"")"),"Some atheists carried out this attack with the name of Muslims, for which no one from Hinduism was ever responsible.")</f>
        <v>Some atheists carried out this attack with the name of Muslims, for which no one from Hinduism was ever responsible.</v>
      </c>
      <c r="F670" s="1"/>
      <c r="G670" s="1"/>
      <c r="H670" s="1"/>
      <c r="I670" s="1"/>
    </row>
    <row r="671" spans="1:9" ht="15.6" x14ac:dyDescent="0.3">
      <c r="A671" s="1" t="s">
        <v>5</v>
      </c>
      <c r="B671" s="1" t="s">
        <v>5</v>
      </c>
      <c r="C671" s="10" t="s">
        <v>5</v>
      </c>
      <c r="D671" s="5" t="s">
        <v>662</v>
      </c>
      <c r="E671" s="1" t="str">
        <f ca="1">IFERROR(__xludf.DUMMYFUNCTION("GOOGLETRANSLATE(D671, ""bn"", ""en"")"),"Islam is a religion of peace and no act of violence will be allowed here, I can't stand still for a second after seeing this scene.")</f>
        <v>Islam is a religion of peace and no act of violence will be allowed here, I can't stand still for a second after seeing this scene.</v>
      </c>
      <c r="F671" s="1"/>
      <c r="G671" s="1"/>
      <c r="H671" s="1"/>
      <c r="I671" s="1"/>
    </row>
    <row r="672" spans="1:9" ht="15.6" x14ac:dyDescent="0.3">
      <c r="A672" s="1" t="s">
        <v>4</v>
      </c>
      <c r="B672" s="1" t="s">
        <v>4</v>
      </c>
      <c r="C672" s="10" t="s">
        <v>4</v>
      </c>
      <c r="D672" s="5" t="s">
        <v>663</v>
      </c>
      <c r="E672" s="1" t="str">
        <f ca="1">IFERROR(__xludf.DUMMYFUNCTION("GOOGLETRANSLATE(D672, ""bn"", ""en"")"),"Don't attack the Gentiles with harsh words, please explain, or they will have more opportunities to bring us down.")</f>
        <v>Don't attack the Gentiles with harsh words, please explain, or they will have more opportunities to bring us down.</v>
      </c>
      <c r="F672" s="1"/>
      <c r="G672" s="1"/>
      <c r="H672" s="1"/>
      <c r="I672" s="1"/>
    </row>
    <row r="673" spans="1:9" ht="15.6" x14ac:dyDescent="0.3">
      <c r="A673" s="1" t="s">
        <v>7</v>
      </c>
      <c r="B673" s="1" t="s">
        <v>7</v>
      </c>
      <c r="C673" s="10" t="s">
        <v>7</v>
      </c>
      <c r="D673" s="5" t="s">
        <v>664</v>
      </c>
      <c r="E673" s="1" t="str">
        <f ca="1">IFERROR(__xludf.DUMMYFUNCTION("GOOGLETRANSLATE(D673, ""bn"", ""en"")"),"God has no birth, no death, He is eternal, eternal, birthless, deathless and omnipresent.")</f>
        <v>God has no birth, no death, He is eternal, eternal, birthless, deathless and omnipresent.</v>
      </c>
      <c r="F673" s="1"/>
      <c r="G673" s="1"/>
      <c r="H673" s="1"/>
      <c r="I673" s="1"/>
    </row>
    <row r="674" spans="1:9" ht="15.6" x14ac:dyDescent="0.3">
      <c r="A674" s="1" t="s">
        <v>4</v>
      </c>
      <c r="B674" s="1" t="s">
        <v>4</v>
      </c>
      <c r="C674" s="10" t="s">
        <v>4</v>
      </c>
      <c r="D674" s="5" t="s">
        <v>665</v>
      </c>
      <c r="E674" s="1" t="str">
        <f ca="1">IFERROR(__xludf.DUMMYFUNCTION("GOOGLETRANSLATE(D674, ""bn"", ""en"")"),"I myself am a Muslim, I do not dare to insult Islam. The film shows how militancy is being suppressed by the government"".")</f>
        <v>I myself am a Muslim, I do not dare to insult Islam. The film shows how militancy is being suppressed by the government".</v>
      </c>
      <c r="F674" s="1"/>
      <c r="G674" s="1"/>
      <c r="H674" s="1"/>
      <c r="I674" s="1"/>
    </row>
    <row r="675" spans="1:9" ht="15.6" x14ac:dyDescent="0.3">
      <c r="A675" s="1" t="s">
        <v>9</v>
      </c>
      <c r="B675" s="1" t="s">
        <v>9</v>
      </c>
      <c r="C675" s="10" t="s">
        <v>9</v>
      </c>
      <c r="D675" s="5" t="s">
        <v>666</v>
      </c>
      <c r="E675" s="1" t="str">
        <f ca="1">IFERROR(__xludf.DUMMYFUNCTION("GOOGLETRANSLATE(D675, ""bn"", ""en"")"),"Imam Maulana Azizul Haq of Lama Court Jame Masjid presided over the meeting. Mayor of Lama Municipality Md Zahirul Islam, Imam Maulana Md Ibrahim of Lama Bazar Central Jame Masjid and many others spoke. Then they took out a protest march and crossed the L"&amp;"ama Bazar to the fish market junction. Thousands of people attacked the Lama Bazar central Hari temple at 10 o'clock and broke the temple goods, iron gate, boundary wall, pandal, decoration gate.")</f>
        <v>Imam Maulana Azizul Haq of Lama Court Jame Masjid presided over the meeting. Mayor of Lama Municipality Md Zahirul Islam, Imam Maulana Md Ibrahim of Lama Bazar Central Jame Masjid and many others spoke. Then they took out a protest march and crossed the Lama Bazar to the fish market junction. Thousands of people attacked the Lama Bazar central Hari temple at 10 o'clock and broke the temple goods, iron gate, boundary wall, pandal, decoration gate.</v>
      </c>
      <c r="F675" s="1"/>
      <c r="G675" s="1"/>
      <c r="H675" s="1"/>
      <c r="I675" s="1"/>
    </row>
    <row r="676" spans="1:9" ht="15.6" x14ac:dyDescent="0.3">
      <c r="A676" s="1" t="s">
        <v>5</v>
      </c>
      <c r="B676" s="1" t="s">
        <v>5</v>
      </c>
      <c r="C676" s="10" t="s">
        <v>5</v>
      </c>
      <c r="D676" s="5" t="s">
        <v>667</v>
      </c>
      <c r="E676" s="1" t="str">
        <f ca="1">IFERROR(__xludf.DUMMYFUNCTION("GOOGLETRANSLATE(D676, ""bn"", ""en"")"),"It is said that on this date, Gautama Buddha sent 60 trained disciples to various places to preach the Dharma and told them, ""Charattha vikkhabe charikang, bahujan hithaye bahujan sukhaye"" - that is, you spread far and wide for the benefit of the many, "&amp;"for the happiness of the many.")</f>
        <v>It is said that on this date, Gautama Buddha sent 60 trained disciples to various places to preach the Dharma and told them, "Charattha vikkhabe charikang, bahujan hithaye bahujan sukhaye" - that is, you spread far and wide for the benefit of the many, for the happiness of the many.</v>
      </c>
      <c r="F676" s="1"/>
      <c r="G676" s="1"/>
      <c r="H676" s="1"/>
      <c r="I676" s="1"/>
    </row>
    <row r="677" spans="1:9" ht="15.6" x14ac:dyDescent="0.3">
      <c r="A677" s="1" t="s">
        <v>5</v>
      </c>
      <c r="B677" s="1" t="s">
        <v>5</v>
      </c>
      <c r="C677" s="10" t="s">
        <v>5</v>
      </c>
      <c r="D677" s="5" t="s">
        <v>668</v>
      </c>
      <c r="E677" s="1" t="str">
        <f ca="1">IFERROR(__xludf.DUMMYFUNCTION("GOOGLETRANSLATE(D677, ""bn"", ""en"")"),"The then government did not give any importance to the displacement and thousands of families migrated to India. After Bangladesh's independence, Manvendra Narayan Larma, a Buddhist Chakma politician in the Chittagong Hill Tracts, raised demands for auton"&amp;"omy and recognition of the rights of the people of the region.")</f>
        <v>The then government did not give any importance to the displacement and thousands of families migrated to India. After Bangladesh's independence, Manvendra Narayan Larma, a Buddhist Chakma politician in the Chittagong Hill Tracts, raised demands for autonomy and recognition of the rights of the people of the region.</v>
      </c>
      <c r="F677" s="1"/>
      <c r="G677" s="1"/>
      <c r="H677" s="1"/>
      <c r="I677" s="1"/>
    </row>
    <row r="678" spans="1:9" ht="15.6" x14ac:dyDescent="0.3">
      <c r="A678" s="1" t="s">
        <v>7</v>
      </c>
      <c r="B678" s="1" t="s">
        <v>7</v>
      </c>
      <c r="C678" s="10" t="s">
        <v>7</v>
      </c>
      <c r="D678" s="5" t="s">
        <v>669</v>
      </c>
      <c r="E678" s="1" t="str">
        <f ca="1">IFERROR(__xludf.DUMMYFUNCTION("GOOGLETRANSLATE(D678, ""bn"", ""en"")"),"Notices were put up in the homes of all Hindus, asking them to leave within 24 hours or die. [215] Since March 1990, 300,000 to 500,000 Pandits have been displaced out of Kashmir due to persecution by Islamic fundamentalists in the largest case of ethnic "&amp;"cleansing since the partition of India.")</f>
        <v>Notices were put up in the homes of all Hindus, asking them to leave within 24 hours or die. [215] Since March 1990, 300,000 to 500,000 Pandits have been displaced out of Kashmir due to persecution by Islamic fundamentalists in the largest case of ethnic cleansing since the partition of India.</v>
      </c>
      <c r="F678" s="1"/>
      <c r="G678" s="1"/>
      <c r="H678" s="1"/>
      <c r="I678" s="1"/>
    </row>
    <row r="679" spans="1:9" ht="15.6" x14ac:dyDescent="0.3">
      <c r="A679" s="1" t="s">
        <v>9</v>
      </c>
      <c r="B679" s="1" t="s">
        <v>9</v>
      </c>
      <c r="C679" s="10" t="s">
        <v>9</v>
      </c>
      <c r="D679" s="5" t="s">
        <v>670</v>
      </c>
      <c r="E679" s="1" t="str">
        <f ca="1">IFERROR(__xludf.DUMMYFUNCTION("GOOGLETRANSLATE(D679, ""bn"", ""en"")"),"Hindus who tried to escape to India's Tripura were looted by Muslims on the road. Many Hindu girls and children took refuge in Chandpur, Akhaura railway station. The police, Ansar and Tawhidi Jamaat rejected the offer to take them to Agartala or Kolkata. "&amp;"According to Amritbazar newspaper report, about 5,000 refugees saved their lives by fleeing to Belonia in Tripura state of India.")</f>
        <v>Hindus who tried to escape to India's Tripura were looted by Muslims on the road. Many Hindu girls and children took refuge in Chandpur, Akhaura railway station. The police, Ansar and Tawhidi Jamaat rejected the offer to take them to Agartala or Kolkata. According to Amritbazar newspaper report, about 5,000 refugees saved their lives by fleeing to Belonia in Tripura state of India.</v>
      </c>
      <c r="F679" s="1"/>
      <c r="G679" s="1"/>
      <c r="H679" s="1"/>
      <c r="I679" s="1"/>
    </row>
    <row r="680" spans="1:9" ht="15.6" x14ac:dyDescent="0.3">
      <c r="A680" s="1" t="s">
        <v>7</v>
      </c>
      <c r="B680" s="1" t="s">
        <v>7</v>
      </c>
      <c r="C680" s="10" t="s">
        <v>7</v>
      </c>
      <c r="D680" s="5" t="s">
        <v>671</v>
      </c>
      <c r="E680" s="1" t="str">
        <f ca="1">IFERROR(__xludf.DUMMYFUNCTION("GOOGLETRANSLATE(D680, ""bn"", ""en"")"),"Sativrata, an unusual and rarely used term,[27] refers to a woman who takes a vow to protect her husband while he is alive and then dies with her husband.")</f>
        <v>Sativrata, an unusual and rarely used term,[27] refers to a woman who takes a vow to protect her husband while he is alive and then dies with her husband.</v>
      </c>
      <c r="F680" s="1"/>
      <c r="G680" s="1"/>
      <c r="H680" s="1"/>
      <c r="I680" s="1"/>
    </row>
    <row r="681" spans="1:9" ht="15.6" x14ac:dyDescent="0.3">
      <c r="A681" s="1" t="s">
        <v>7</v>
      </c>
      <c r="B681" s="1" t="s">
        <v>7</v>
      </c>
      <c r="C681" s="10" t="s">
        <v>7</v>
      </c>
      <c r="D681" s="5" t="s">
        <v>672</v>
      </c>
      <c r="E681" s="1" t="str">
        <f ca="1">IFERROR(__xludf.DUMMYFUNCTION("GOOGLETRANSLATE(D681, ""bn"", ""en"")"),"Some wealthy Hindus killed Madan Nandi and his brother. Dr. Prafulla Gayen and Dr. Kallol Banerjee were also attacked. When the Hindu villagers went to the Muladi police station to lodge a complaint, the officer-in-charge asked the villagers to cremate th"&amp;"e dead and told their families that they had died of disease. The OC's callous and nonchalant attitude instilled fear among the villagers.")</f>
        <v>Some wealthy Hindus killed Madan Nandi and his brother. Dr. Prafulla Gayen and Dr. Kallol Banerjee were also attacked. When the Hindu villagers went to the Muladi police station to lodge a complaint, the officer-in-charge asked the villagers to cremate the dead and told their families that they had died of disease. The OC's callous and nonchalant attitude instilled fear among the villagers.</v>
      </c>
      <c r="F681" s="1"/>
      <c r="G681" s="1"/>
      <c r="H681" s="1"/>
      <c r="I681" s="1"/>
    </row>
    <row r="682" spans="1:9" ht="15.6" x14ac:dyDescent="0.3">
      <c r="A682" s="1" t="s">
        <v>9</v>
      </c>
      <c r="B682" s="1" t="s">
        <v>4</v>
      </c>
      <c r="C682" s="10" t="s">
        <v>9</v>
      </c>
      <c r="D682" s="5" t="s">
        <v>673</v>
      </c>
      <c r="E682" s="1" t="str">
        <f ca="1">IFERROR(__xludf.DUMMYFUNCTION("GOOGLETRANSLATE(D682, ""bn"", ""en"")"),"From the day of Ashtami till today, you have given the death of almost every place where the houses, houses, monasteries, temples and businesses of Sanatan religious people have been affected. I got the only correct news through you I hope you will publis"&amp;"h all such news in the future.")</f>
        <v>From the day of Ashtami till today, you have given the death of almost every place where the houses, houses, monasteries, temples and businesses of Sanatan religious people have been affected. I got the only correct news through you I hope you will publish all such news in the future.</v>
      </c>
      <c r="F682" s="1"/>
      <c r="G682" s="1"/>
      <c r="H682" s="1"/>
      <c r="I682" s="1"/>
    </row>
    <row r="683" spans="1:9" ht="15.6" x14ac:dyDescent="0.3">
      <c r="A683" s="1" t="s">
        <v>5</v>
      </c>
      <c r="B683" s="1" t="s">
        <v>5</v>
      </c>
      <c r="C683" s="10" t="s">
        <v>5</v>
      </c>
      <c r="D683" s="5" t="s">
        <v>674</v>
      </c>
      <c r="E683" s="1" t="str">
        <f ca="1">IFERROR(__xludf.DUMMYFUNCTION("GOOGLETRANSLATE(D683, ""bn"", ""en"")"),"Purnima overcomes her mental and physical trauma and returns to her normal life a thousand times stronger. ")</f>
        <v xml:space="preserve">Purnima overcomes her mental and physical trauma and returns to her normal life a thousand times stronger. </v>
      </c>
      <c r="F683" s="1"/>
      <c r="G683" s="1"/>
      <c r="H683" s="1"/>
      <c r="I683" s="1"/>
    </row>
    <row r="684" spans="1:9" ht="15.6" x14ac:dyDescent="0.3">
      <c r="A684" s="1" t="s">
        <v>9</v>
      </c>
      <c r="B684" s="1" t="s">
        <v>9</v>
      </c>
      <c r="C684" s="10" t="s">
        <v>9</v>
      </c>
      <c r="D684" s="5" t="s">
        <v>675</v>
      </c>
      <c r="E684" s="1" t="str">
        <f ca="1">IFERROR(__xludf.DUMMYFUNCTION("GOOGLETRANSLATE(D684, ""bn"", ""en"")"),"The Malaysian government's excuse for demolishing the temples was that the temples were built ""illegally"". But several of the demolished temples were centuries old.[44] According to a lawyer from the Hindu Rights Action Task Force, a Hindu temple is dem"&amp;"olished in Malaysia once every three weeks. [45]")</f>
        <v>The Malaysian government's excuse for demolishing the temples was that the temples were built "illegally". But several of the demolished temples were centuries old.[44] According to a lawyer from the Hindu Rights Action Task Force, a Hindu temple is demolished in Malaysia once every three weeks. [45]</v>
      </c>
      <c r="F684" s="1"/>
      <c r="G684" s="1"/>
      <c r="H684" s="1"/>
      <c r="I684" s="1"/>
    </row>
    <row r="685" spans="1:9" ht="15.6" x14ac:dyDescent="0.3">
      <c r="A685" s="1" t="s">
        <v>9</v>
      </c>
      <c r="B685" s="1" t="s">
        <v>9</v>
      </c>
      <c r="C685" s="10" t="s">
        <v>9</v>
      </c>
      <c r="D685" s="5" t="s">
        <v>676</v>
      </c>
      <c r="E685" s="1" t="str">
        <f ca="1">IFERROR(__xludf.DUMMYFUNCTION("GOOGLETRANSLATE(D685, ""bn"", ""en"")"),"In a letter to Yogendranath Mandal on October 14, Muslims tortured thousands of low caste Hindus in the area under the control of Ramganj Police Station in Noakhali. They ransacked their houses, set fire to their dwellings and forced them to convert to Is"&amp;"lam.")</f>
        <v>In a letter to Yogendranath Mandal on October 14, Muslims tortured thousands of low caste Hindus in the area under the control of Ramganj Police Station in Noakhali. They ransacked their houses, set fire to their dwellings and forced them to convert to Islam.</v>
      </c>
      <c r="F685" s="1"/>
      <c r="G685" s="1"/>
      <c r="H685" s="1"/>
      <c r="I685" s="1"/>
    </row>
    <row r="686" spans="1:9" ht="15.6" x14ac:dyDescent="0.3">
      <c r="A686" s="1" t="s">
        <v>5</v>
      </c>
      <c r="B686" s="1" t="s">
        <v>5</v>
      </c>
      <c r="C686" s="10" t="s">
        <v>5</v>
      </c>
      <c r="D686" s="5" t="s">
        <v>677</v>
      </c>
      <c r="E686" s="1" t="str">
        <f ca="1">IFERROR(__xludf.DUMMYFUNCTION("GOOGLETRANSLATE(D686, ""bn"", ""en"")"),"Congratulations to Putin, Islam exists, Islam will remain, Islam will be victorious one day. Keep the Quran true.")</f>
        <v>Congratulations to Putin, Islam exists, Islam will remain, Islam will be victorious one day. Keep the Quran true.</v>
      </c>
      <c r="F686" s="1"/>
      <c r="G686" s="1"/>
      <c r="H686" s="1"/>
      <c r="I686" s="1"/>
    </row>
    <row r="687" spans="1:9" ht="15.6" x14ac:dyDescent="0.3">
      <c r="A687" s="1" t="s">
        <v>9</v>
      </c>
      <c r="B687" s="1" t="s">
        <v>9</v>
      </c>
      <c r="C687" s="10" t="s">
        <v>9</v>
      </c>
      <c r="D687" s="5" t="s">
        <v>678</v>
      </c>
      <c r="E687" s="1" t="str">
        <f ca="1">IFERROR(__xludf.DUMMYFUNCTION("GOOGLETRANSLATE(D687, ""bn"", ""en"")"),"If a Muslim is a believer, the persecution will stop from them, they do not follow the Sunnah of the Prophet (PBUH), some parts of the Qur'an and Hadith have been chosen by Muslims.")</f>
        <v>If a Muslim is a believer, the persecution will stop from them, they do not follow the Sunnah of the Prophet (PBUH), some parts of the Qur'an and Hadith have been chosen by Muslims.</v>
      </c>
      <c r="F687" s="1"/>
      <c r="G687" s="1"/>
      <c r="H687" s="1"/>
      <c r="I687" s="1"/>
    </row>
    <row r="688" spans="1:9" ht="15.6" x14ac:dyDescent="0.3">
      <c r="A688" s="1" t="s">
        <v>5</v>
      </c>
      <c r="B688" s="1" t="s">
        <v>5</v>
      </c>
      <c r="C688" s="10" t="s">
        <v>5</v>
      </c>
      <c r="D688" s="5" t="s">
        <v>679</v>
      </c>
      <c r="E688" s="1" t="str">
        <f ca="1">IFERROR(__xludf.DUMMYFUNCTION("GOOGLETRANSLATE(D688, ""bn"", ""en"")"),"By placing full trust in Allah, Muslims are able to gain self-confidence and peace.")</f>
        <v>By placing full trust in Allah, Muslims are able to gain self-confidence and peace.</v>
      </c>
      <c r="F688" s="1"/>
      <c r="G688" s="1"/>
      <c r="H688" s="1"/>
      <c r="I688" s="1"/>
    </row>
    <row r="689" spans="1:9" ht="15.6" x14ac:dyDescent="0.3">
      <c r="A689" s="1" t="s">
        <v>9</v>
      </c>
      <c r="B689" s="1" t="s">
        <v>9</v>
      </c>
      <c r="C689" s="10" t="s">
        <v>9</v>
      </c>
      <c r="D689" s="5" t="s">
        <v>680</v>
      </c>
      <c r="E689" s="1" t="str">
        <f ca="1">IFERROR(__xludf.DUMMYFUNCTION("GOOGLETRANSLATE(D689, ""bn"", ""en"")"),"On Friday, October 15, 2021, several hundred people started a protest march with the banner of 'Malibagh Muslim Samaj' after Friday prayers from Baitul Mukarram in Dhaka, alleging 'desecration of Quran' in Comilla. Police blocked the protesters near Night"&amp;"ingale Junction in Cockrail. The marchers then split into two A section of them entered different oligli and started pelting stones at the police The police then took positions at the mouths of various streets and fired tear shells and shotguns The police"&amp;" arrested one of the protestors from there and took them to Ramana police station")</f>
        <v>On Friday, October 15, 2021, several hundred people started a protest march with the banner of 'Malibagh Muslim Samaj' after Friday prayers from Baitul Mukarram in Dhaka, alleging 'desecration of Quran' in Comilla. Police blocked the protesters near Nightingale Junction in Cockrail. The marchers then split into two A section of them entered different oligli and started pelting stones at the police The police then took positions at the mouths of various streets and fired tear shells and shotguns The police arrested one of the protestors from there and took them to Ramana police station</v>
      </c>
      <c r="F689" s="1"/>
      <c r="G689" s="1"/>
      <c r="H689" s="1"/>
      <c r="I689" s="1"/>
    </row>
    <row r="690" spans="1:9" ht="15.6" x14ac:dyDescent="0.3">
      <c r="A690" s="1" t="s">
        <v>9</v>
      </c>
      <c r="B690" s="1" t="s">
        <v>9</v>
      </c>
      <c r="C690" s="10" t="s">
        <v>9</v>
      </c>
      <c r="D690" s="5" t="s">
        <v>681</v>
      </c>
      <c r="E690" s="1" t="str">
        <f ca="1">IFERROR(__xludf.DUMMYFUNCTION("GOOGLETRANSLATE(D690, ""bn"", ""en"")")," A clash broke out between some Hindu fishermen and Muslims while fishing in Feni river. One died and two others were seriously injured. Muslims attacked nine Hindu fishermen at Char Oriya with deadly weapons. Most of them are seriously injured. Seven peo"&amp;"ple were hospitalized.")</f>
        <v> A clash broke out between some Hindu fishermen and Muslims while fishing in Feni river. One died and two others were seriously injured. Muslims attacked nine Hindu fishermen at Char Oriya with deadly weapons. Most of them are seriously injured. Seven people were hospitalized.</v>
      </c>
      <c r="F690" s="1"/>
      <c r="G690" s="1"/>
      <c r="H690" s="1"/>
      <c r="I690" s="1"/>
    </row>
    <row r="691" spans="1:9" ht="15.6" x14ac:dyDescent="0.3">
      <c r="A691" s="1" t="s">
        <v>9</v>
      </c>
      <c r="B691" s="1" t="s">
        <v>7</v>
      </c>
      <c r="C691" s="10" t="s">
        <v>9</v>
      </c>
      <c r="D691" s="5" t="s">
        <v>682</v>
      </c>
      <c r="E691" s="1" t="str">
        <f ca="1">IFERROR(__xludf.DUMMYFUNCTION("GOOGLETRANSLATE(D691, ""bn"", ""en"")"),"Hundreds of thousands of people attacked the houses of Hindus in Noagaon in Shalla on the morning of March 17 due to a status on Facebook against the joint secretary general of the religious organization Hefazte Islam Mamunul Haque.")</f>
        <v>Hundreds of thousands of people attacked the houses of Hindus in Noagaon in Shalla on the morning of March 17 due to a status on Facebook against the joint secretary general of the religious organization Hefazte Islam Mamunul Haque.</v>
      </c>
      <c r="F691" s="1"/>
      <c r="G691" s="1"/>
      <c r="H691" s="1"/>
      <c r="I691" s="1"/>
    </row>
    <row r="692" spans="1:9" ht="15.6" x14ac:dyDescent="0.3">
      <c r="A692" s="1" t="s">
        <v>4</v>
      </c>
      <c r="B692" s="1" t="s">
        <v>4</v>
      </c>
      <c r="C692" s="10" t="s">
        <v>4</v>
      </c>
      <c r="D692" s="5" t="s">
        <v>683</v>
      </c>
      <c r="E692" s="1" t="str">
        <f ca="1">IFERROR(__xludf.DUMMYFUNCTION("GOOGLETRANSLATE(D692, ""bn"", ""en"")"),"A Facebook ID named 'Love Proposal' had a picture of Kaaba Sharif in its profile photo. In that picture, a teenager named Paritosh Sarkar of Majhipara village of Ramnathpur union allegedly made offensive comments and created tension in the surrounding vil"&amp;"lages.")</f>
        <v>A Facebook ID named 'Love Proposal' had a picture of Kaaba Sharif in its profile photo. In that picture, a teenager named Paritosh Sarkar of Majhipara village of Ramnathpur union allegedly made offensive comments and created tension in the surrounding villages.</v>
      </c>
      <c r="F692" s="1"/>
      <c r="G692" s="1"/>
      <c r="H692" s="1"/>
      <c r="I692" s="1"/>
    </row>
    <row r="693" spans="1:9" ht="15.6" x14ac:dyDescent="0.3">
      <c r="A693" s="1" t="s">
        <v>5</v>
      </c>
      <c r="B693" s="1" t="s">
        <v>5</v>
      </c>
      <c r="C693" s="10" t="s">
        <v>5</v>
      </c>
      <c r="D693" s="5" t="s">
        <v>684</v>
      </c>
      <c r="E693" s="1" t="str">
        <f ca="1">IFERROR(__xludf.DUMMYFUNCTION("GOOGLETRANSLATE(D693, ""bn"", ""en"")"),"According to Islamic teachings, cruelty to animals is forbidden, and harming them is not acceptable to Allah.")</f>
        <v>According to Islamic teachings, cruelty to animals is forbidden, and harming them is not acceptable to Allah.</v>
      </c>
      <c r="F693" s="1"/>
      <c r="G693" s="1"/>
      <c r="H693" s="1"/>
      <c r="I693" s="1"/>
    </row>
    <row r="694" spans="1:9" ht="15.6" x14ac:dyDescent="0.3">
      <c r="A694" s="1" t="s">
        <v>9</v>
      </c>
      <c r="B694" s="1" t="s">
        <v>9</v>
      </c>
      <c r="C694" s="10" t="s">
        <v>9</v>
      </c>
      <c r="D694" s="5" t="s">
        <v>685</v>
      </c>
      <c r="E694" s="1" t="str">
        <f ca="1">IFERROR(__xludf.DUMMYFUNCTION("GOOGLETRANSLATE(D694, ""bn"", ""en"")"),"Over five months of Israeli attacks, Gaza has been reduced to rubble.")</f>
        <v>Over five months of Israeli attacks, Gaza has been reduced to rubble.</v>
      </c>
      <c r="F694" s="1"/>
      <c r="G694" s="1"/>
      <c r="H694" s="1"/>
      <c r="I694" s="1"/>
    </row>
    <row r="695" spans="1:9" ht="15.6" x14ac:dyDescent="0.3">
      <c r="A695" s="1" t="s">
        <v>7</v>
      </c>
      <c r="B695" s="1" t="s">
        <v>7</v>
      </c>
      <c r="C695" s="10" t="s">
        <v>7</v>
      </c>
      <c r="D695" s="5" t="s">
        <v>686</v>
      </c>
      <c r="E695" s="1" t="str">
        <f ca="1">IFERROR(__xludf.DUMMYFUNCTION("GOOGLETRANSLATE(D695, ""bn"", ""en"")"),"""The purpose of all missionaries to the heathen is to replace these systems with the gospel of Christ"", then lists satires for each year for the period 1815-1924, totaling 5,369, followed by the statement that a total of 5,997 women were burnt or buried"&amp;" alive in the Bengal Presidency during the 10-year period, an average of 600 per year.")</f>
        <v>"The purpose of all missionaries to the heathen is to replace these systems with the gospel of Christ", then lists satires for each year for the period 1815-1924, totaling 5,369, followed by the statement that a total of 5,997 women were burnt or buried alive in the Bengal Presidency during the 10-year period, an average of 600 per year.</v>
      </c>
      <c r="F695" s="1"/>
      <c r="G695" s="1"/>
      <c r="H695" s="1"/>
      <c r="I695" s="1"/>
    </row>
    <row r="696" spans="1:9" ht="15.6" x14ac:dyDescent="0.3">
      <c r="A696" s="1" t="s">
        <v>9</v>
      </c>
      <c r="B696" s="1" t="s">
        <v>9</v>
      </c>
      <c r="C696" s="10" t="s">
        <v>9</v>
      </c>
      <c r="D696" s="5" t="s">
        <v>687</v>
      </c>
      <c r="E696" s="1" t="str">
        <f ca="1">IFERROR(__xludf.DUMMYFUNCTION("GOOGLETRANSLATE(D696, ""bn"", ""en"")")," He was responsible for the security of Puja. He interrogated the four suspects and at one point got into an argument with them. Later 10 to 12 people came to the temple with native weapons and beat him up.")</f>
        <v> He was responsible for the security of Puja. He interrogated the four suspects and at one point got into an argument with them. Later 10 to 12 people came to the temple with native weapons and beat him up.</v>
      </c>
      <c r="F696" s="1"/>
      <c r="G696" s="1"/>
      <c r="H696" s="1"/>
      <c r="I696" s="1"/>
    </row>
    <row r="697" spans="1:9" ht="15.6" x14ac:dyDescent="0.3">
      <c r="A697" s="1" t="s">
        <v>9</v>
      </c>
      <c r="B697" s="1" t="s">
        <v>9</v>
      </c>
      <c r="C697" s="10" t="s">
        <v>9</v>
      </c>
      <c r="D697" s="5" t="s">
        <v>688</v>
      </c>
      <c r="E697" s="1" t="str">
        <f ca="1">IFERROR(__xludf.DUMMYFUNCTION("GOOGLETRANSLATE(D697, ""bn"", ""en"")"),"Precious stone Shiva linga stolen from temple in Ishwarganj")</f>
        <v>Precious stone Shiva linga stolen from temple in Ishwarganj</v>
      </c>
      <c r="F697" s="1"/>
      <c r="G697" s="1"/>
      <c r="H697" s="1"/>
      <c r="I697" s="1"/>
    </row>
    <row r="698" spans="1:9" ht="15.6" x14ac:dyDescent="0.3">
      <c r="A698" s="1" t="s">
        <v>4</v>
      </c>
      <c r="B698" s="1" t="s">
        <v>5</v>
      </c>
      <c r="C698" s="10" t="s">
        <v>4</v>
      </c>
      <c r="D698" s="5" t="s">
        <v>689</v>
      </c>
      <c r="E698" s="1" t="str">
        <f ca="1">IFERROR(__xludf.DUMMYFUNCTION("GOOGLETRANSLATE(D698, ""bn"", ""en"")"),"There is no compromise on the question of insulting the Prophet. Rather, if you compromise on this matter, there is no right to remain a Muslim")</f>
        <v>There is no compromise on the question of insulting the Prophet. Rather, if you compromise on this matter, there is no right to remain a Muslim</v>
      </c>
      <c r="F698" s="1"/>
      <c r="G698" s="1"/>
      <c r="H698" s="1"/>
      <c r="I698" s="1"/>
    </row>
    <row r="699" spans="1:9" ht="15.6" x14ac:dyDescent="0.3">
      <c r="A699" s="1" t="s">
        <v>5</v>
      </c>
      <c r="B699" s="1" t="s">
        <v>5</v>
      </c>
      <c r="C699" s="10" t="s">
        <v>5</v>
      </c>
      <c r="D699" s="5" t="s">
        <v>690</v>
      </c>
      <c r="E699" s="1" t="str">
        <f ca="1">IFERROR(__xludf.DUMMYFUNCTION("GOOGLETRANSLATE(D699, ""bn"", ""en"")"),"They have a deep respect for the ancient traditions and core elements of Judaism. But today, Jewish dress, education, and the Hebrew language have adapted to modernity, reimagining their culture.")</f>
        <v>They have a deep respect for the ancient traditions and core elements of Judaism. But today, Jewish dress, education, and the Hebrew language have adapted to modernity, reimagining their culture.</v>
      </c>
      <c r="F699" s="1"/>
      <c r="G699" s="1"/>
      <c r="H699" s="1"/>
      <c r="I699" s="1"/>
    </row>
    <row r="700" spans="1:9" ht="15.6" x14ac:dyDescent="0.3">
      <c r="A700" s="1" t="s">
        <v>5</v>
      </c>
      <c r="B700" s="1" t="s">
        <v>5</v>
      </c>
      <c r="C700" s="10" t="s">
        <v>5</v>
      </c>
      <c r="D700" s="5" t="s">
        <v>691</v>
      </c>
      <c r="E700" s="1" t="str">
        <f ca="1">IFERROR(__xludf.DUMMYFUNCTION("GOOGLETRANSLATE(D700, ""bn"", ""en"")"),"Those who obey Allah's guidance, an environment of truth, justice, peace and love is created in their lives.")</f>
        <v>Those who obey Allah's guidance, an environment of truth, justice, peace and love is created in their lives.</v>
      </c>
      <c r="F700" s="1"/>
      <c r="G700" s="1"/>
      <c r="H700" s="1"/>
      <c r="I700" s="1"/>
    </row>
    <row r="701" spans="1:9" ht="15.6" x14ac:dyDescent="0.3">
      <c r="A701" s="1" t="s">
        <v>5</v>
      </c>
      <c r="B701" s="1" t="s">
        <v>5</v>
      </c>
      <c r="C701" s="10" t="s">
        <v>5</v>
      </c>
      <c r="D701" s="5" t="s">
        <v>692</v>
      </c>
      <c r="E701" s="1" t="str">
        <f ca="1">IFERROR(__xludf.DUMMYFUNCTION("GOOGLETRANSLATE(D701, ""bn"", ""en"")"),"Actually, the problem is not anywhere, no one is stopping Hindus from practicing their religion, not even Muslims. There are more than half a hundred iftar parties in DU every day. No one is stopping anywhere.")</f>
        <v>Actually, the problem is not anywhere, no one is stopping Hindus from practicing their religion, not even Muslims. There are more than half a hundred iftar parties in DU every day. No one is stopping anywhere.</v>
      </c>
      <c r="F701" s="1"/>
      <c r="G701" s="1"/>
      <c r="H701" s="1"/>
      <c r="I701" s="1"/>
    </row>
    <row r="702" spans="1:9" ht="15.6" x14ac:dyDescent="0.3">
      <c r="A702" s="1" t="s">
        <v>5</v>
      </c>
      <c r="B702" s="1" t="s">
        <v>5</v>
      </c>
      <c r="C702" s="10" t="s">
        <v>5</v>
      </c>
      <c r="D702" s="5" t="s">
        <v>693</v>
      </c>
      <c r="E702" s="1" t="str">
        <f ca="1">IFERROR(__xludf.DUMMYFUNCTION("GOOGLETRANSLATE(D702, ""bn"", ""en"")"),"Allah commands mankind in the Qur'an to show honesty, purity, and compassion towards each other, which helps to establish peace in the society.")</f>
        <v>Allah commands mankind in the Qur'an to show honesty, purity, and compassion towards each other, which helps to establish peace in the society.</v>
      </c>
      <c r="F702" s="1"/>
      <c r="G702" s="1"/>
      <c r="H702" s="1"/>
      <c r="I702" s="1"/>
    </row>
    <row r="703" spans="1:9" ht="15.6" x14ac:dyDescent="0.3">
      <c r="A703" s="1" t="s">
        <v>4</v>
      </c>
      <c r="B703" s="1" t="s">
        <v>4</v>
      </c>
      <c r="C703" s="10" t="s">
        <v>4</v>
      </c>
      <c r="D703" s="5" t="s">
        <v>694</v>
      </c>
      <c r="E703" s="1" t="str">
        <f ca="1">IFERROR(__xludf.DUMMYFUNCTION("GOOGLETRANSLATE(D703, ""bn"", ""en"")"),"Isn't it time for the Muslim world to unite? Will they just give warnings and condemnations? Where are the powerful Muslim countries today? They will have to answer one day or another. May Allah help the Palestinian Muslims. ")</f>
        <v xml:space="preserve">Isn't it time for the Muslim world to unite? Will they just give warnings and condemnations? Where are the powerful Muslim countries today? They will have to answer one day or another. May Allah help the Palestinian Muslims. </v>
      </c>
      <c r="F703" s="1"/>
      <c r="G703" s="1"/>
      <c r="H703" s="1"/>
      <c r="I703" s="1"/>
    </row>
    <row r="704" spans="1:9" ht="15.6" x14ac:dyDescent="0.3">
      <c r="A704" s="1" t="s">
        <v>9</v>
      </c>
      <c r="B704" s="1" t="s">
        <v>9</v>
      </c>
      <c r="C704" s="10" t="s">
        <v>9</v>
      </c>
      <c r="D704" s="5" t="s">
        <v>695</v>
      </c>
      <c r="E704" s="1" t="str">
        <f ca="1">IFERROR(__xludf.DUMMYFUNCTION("GOOGLETRANSLATE(D704, ""bn"", ""en"")"),"Those who vandalized temples or attacked their Hindu brothers and burnt their houses - these are, in a word, riots.")</f>
        <v>Those who vandalized temples or attacked their Hindu brothers and burnt their houses - these are, in a word, riots.</v>
      </c>
      <c r="F704" s="1"/>
      <c r="G704" s="1"/>
      <c r="H704" s="1"/>
      <c r="I704" s="1"/>
    </row>
    <row r="705" spans="1:9" ht="15.6" x14ac:dyDescent="0.3">
      <c r="A705" s="1" t="s">
        <v>9</v>
      </c>
      <c r="B705" s="1" t="s">
        <v>9</v>
      </c>
      <c r="C705" s="10" t="s">
        <v>9</v>
      </c>
      <c r="D705" s="5" t="s">
        <v>696</v>
      </c>
      <c r="E705" s="1" t="str">
        <f ca="1">IFERROR(__xludf.DUMMYFUNCTION("GOOGLETRANSLATE(D705, ""bn"", ""en"")"),"Destructive terrorist ideology like the so-called Islamic State has become familiar to the children of Bengal!")</f>
        <v>Destructive terrorist ideology like the so-called Islamic State has become familiar to the children of Bengal!</v>
      </c>
      <c r="F705" s="1"/>
      <c r="G705" s="1"/>
      <c r="H705" s="1"/>
      <c r="I705" s="1"/>
    </row>
    <row r="706" spans="1:9" ht="15.6" x14ac:dyDescent="0.3">
      <c r="A706" s="1" t="s">
        <v>4</v>
      </c>
      <c r="B706" s="1" t="s">
        <v>4</v>
      </c>
      <c r="C706" s="10" t="s">
        <v>4</v>
      </c>
      <c r="D706" s="5" t="s">
        <v>697</v>
      </c>
      <c r="E706" s="1" t="str">
        <f ca="1">IFERROR(__xludf.DUMMYFUNCTION("GOOGLETRANSLATE(D706, ""bn"", ""en"")"),"At present, our country is plagued with various problems, people's breathlessness is at the peak due to the continuous increase in the price of goods. Bypass it and identify those who are trying to mislead people by hurting/inciting religious sentiments i"&amp;"n universities, educational institutions or different parts of the country. ")</f>
        <v xml:space="preserve">At present, our country is plagued with various problems, people's breathlessness is at the peak due to the continuous increase in the price of goods. Bypass it and identify those who are trying to mislead people by hurting/inciting religious sentiments in universities, educational institutions or different parts of the country. </v>
      </c>
      <c r="F706" s="1"/>
      <c r="G706" s="1"/>
      <c r="H706" s="1"/>
      <c r="I706" s="1"/>
    </row>
    <row r="707" spans="1:9" ht="15.6" x14ac:dyDescent="0.3">
      <c r="A707" s="1" t="s">
        <v>7</v>
      </c>
      <c r="B707" s="1" t="s">
        <v>7</v>
      </c>
      <c r="C707" s="10" t="s">
        <v>7</v>
      </c>
      <c r="D707" s="5" t="s">
        <v>698</v>
      </c>
      <c r="E707" s="1" t="str">
        <f ca="1">IFERROR(__xludf.DUMMYFUNCTION("GOOGLETRANSLATE(D707, ""bn"", ""en"")"),"People killed in the way of Allah, they are called martyrs. Their death is forbidden to be equated with the death of others.")</f>
        <v>People killed in the way of Allah, they are called martyrs. Their death is forbidden to be equated with the death of others.</v>
      </c>
      <c r="F707" s="1"/>
      <c r="G707" s="1"/>
      <c r="H707" s="1"/>
      <c r="I707" s="1"/>
    </row>
    <row r="708" spans="1:9" ht="15.6" x14ac:dyDescent="0.3">
      <c r="A708" s="1" t="s">
        <v>7</v>
      </c>
      <c r="B708" s="1" t="s">
        <v>7</v>
      </c>
      <c r="C708" s="10" t="s">
        <v>7</v>
      </c>
      <c r="D708" s="5" t="s">
        <v>699</v>
      </c>
      <c r="E708" s="1" t="str">
        <f ca="1">IFERROR(__xludf.DUMMYFUNCTION("GOOGLETRANSLATE(D708, ""bn"", ""en"")"),"Diodorus wrote of the wives of Cetius, the Indian captain of Eumenes, competing to burn themselves after his death at the Battle of Paraitacene (317 BC).")</f>
        <v>Diodorus wrote of the wives of Cetius, the Indian captain of Eumenes, competing to burn themselves after his death at the Battle of Paraitacene (317 BC).</v>
      </c>
      <c r="F708" s="1"/>
      <c r="G708" s="1"/>
      <c r="H708" s="1"/>
      <c r="I708" s="1"/>
    </row>
    <row r="709" spans="1:9" ht="15.6" x14ac:dyDescent="0.3">
      <c r="A709" s="1" t="s">
        <v>5</v>
      </c>
      <c r="B709" s="1" t="s">
        <v>5</v>
      </c>
      <c r="C709" s="10" t="s">
        <v>5</v>
      </c>
      <c r="D709" s="5" t="s">
        <v>700</v>
      </c>
      <c r="E709" s="1" t="str">
        <f ca="1">IFERROR(__xludf.DUMMYFUNCTION("GOOGLETRANSLATE(D709, ""bn"", ""en"")"),"Alhamdulillah is a very good initiative. Calling on behalf of all the Muslims of Bangladesh to implement this law, and thank the honorable judges and lawyers.")</f>
        <v>Alhamdulillah is a very good initiative. Calling on behalf of all the Muslims of Bangladesh to implement this law, and thank the honorable judges and lawyers.</v>
      </c>
      <c r="F709" s="1"/>
      <c r="G709" s="1"/>
      <c r="H709" s="1"/>
      <c r="I709" s="1"/>
    </row>
    <row r="710" spans="1:9" ht="15.6" x14ac:dyDescent="0.3">
      <c r="A710" s="1" t="s">
        <v>5</v>
      </c>
      <c r="B710" s="1" t="s">
        <v>5</v>
      </c>
      <c r="C710" s="10" t="s">
        <v>5</v>
      </c>
      <c r="D710" s="5" t="s">
        <v>701</v>
      </c>
      <c r="E710" s="1" t="str">
        <f ca="1">IFERROR(__xludf.DUMMYFUNCTION("GOOGLETRANSLATE(D710, ""bn"", ""en"")"),"Doctors may become God's God. God bless my brother")</f>
        <v>Doctors may become God's God. God bless my brother</v>
      </c>
      <c r="F710" s="1"/>
      <c r="G710" s="1"/>
      <c r="H710" s="1"/>
      <c r="I710" s="1"/>
    </row>
    <row r="711" spans="1:9" ht="15.6" x14ac:dyDescent="0.3">
      <c r="A711" s="1" t="s">
        <v>7</v>
      </c>
      <c r="B711" s="1" t="s">
        <v>7</v>
      </c>
      <c r="C711" s="10" t="s">
        <v>7</v>
      </c>
      <c r="D711" s="5" t="s">
        <v>702</v>
      </c>
      <c r="E711" s="1" t="str">
        <f ca="1">IFERROR(__xludf.DUMMYFUNCTION("GOOGLETRANSLATE(D711, ""bn"", ""en"")"),"After the Gulshan attack, on the morning of Eid on July 7, a bomb attack was carried out on the policemen who were in charge of security near the country's largest Eid Jamaat ground in Sholakia, Kishoreganj. Two constables were killed in the first blow of"&amp;" the attack.")</f>
        <v>After the Gulshan attack, on the morning of Eid on July 7, a bomb attack was carried out on the policemen who were in charge of security near the country's largest Eid Jamaat ground in Sholakia, Kishoreganj. Two constables were killed in the first blow of the attack.</v>
      </c>
      <c r="F711" s="1"/>
      <c r="G711" s="1"/>
      <c r="H711" s="1"/>
      <c r="I711" s="1"/>
    </row>
    <row r="712" spans="1:9" ht="15.6" x14ac:dyDescent="0.3">
      <c r="A712" s="1" t="s">
        <v>9</v>
      </c>
      <c r="B712" s="1" t="s">
        <v>9</v>
      </c>
      <c r="C712" s="10" t="s">
        <v>9</v>
      </c>
      <c r="D712" s="5" t="s">
        <v>703</v>
      </c>
      <c r="E712" s="1" t="str">
        <f ca="1">IFERROR(__xludf.DUMMYFUNCTION("GOOGLETRANSLATE(D712, ""bn"", ""en"")"),"Idols vandalized in five temples in Tangail")</f>
        <v>Idols vandalized in five temples in Tangail</v>
      </c>
      <c r="F712" s="1"/>
      <c r="G712" s="1"/>
      <c r="H712" s="1"/>
      <c r="I712" s="1"/>
    </row>
    <row r="713" spans="1:9" ht="15.6" x14ac:dyDescent="0.3">
      <c r="A713" s="1" t="s">
        <v>9</v>
      </c>
      <c r="B713" s="1" t="s">
        <v>5</v>
      </c>
      <c r="C713" s="10" t="s">
        <v>9</v>
      </c>
      <c r="D713" s="5" t="s">
        <v>704</v>
      </c>
      <c r="E713" s="1" t="str">
        <f ca="1">IFERROR(__xludf.DUMMYFUNCTION("GOOGLETRANSLATE(D713, ""bn"", ""en"")"),"Section 295 of the Penal Code states that destroying, damaging or dishonoring any religious place or any object purchased there shall be considered as religious insult. In this case, imprisonment up to two years, fine or both.")</f>
        <v>Section 295 of the Penal Code states that destroying, damaging or dishonoring any religious place or any object purchased there shall be considered as religious insult. In this case, imprisonment up to two years, fine or both.</v>
      </c>
      <c r="F713" s="1"/>
      <c r="G713" s="1"/>
      <c r="H713" s="1"/>
      <c r="I713" s="1"/>
    </row>
    <row r="714" spans="1:9" ht="15.6" x14ac:dyDescent="0.3">
      <c r="A714" s="1" t="s">
        <v>9</v>
      </c>
      <c r="B714" s="1" t="s">
        <v>9</v>
      </c>
      <c r="C714" s="10" t="s">
        <v>9</v>
      </c>
      <c r="D714" s="5" t="s">
        <v>705</v>
      </c>
      <c r="E714" s="1" t="str">
        <f ca="1">IFERROR(__xludf.DUMMYFUNCTION("GOOGLETRANSLATE(D714, ""bn"", ""en"")"),"In 1992, after the destruction of the Babri Masjid, communal riots broke out in India.")</f>
        <v>In 1992, after the destruction of the Babri Masjid, communal riots broke out in India.</v>
      </c>
      <c r="F714" s="1"/>
      <c r="G714" s="1"/>
      <c r="H714" s="1"/>
      <c r="I714" s="1"/>
    </row>
    <row r="715" spans="1:9" ht="17.399999999999999" x14ac:dyDescent="0.3">
      <c r="A715" s="1" t="s">
        <v>7</v>
      </c>
      <c r="B715" s="1" t="s">
        <v>7</v>
      </c>
      <c r="C715" s="10" t="s">
        <v>7</v>
      </c>
      <c r="D715" s="5" t="s">
        <v>3501</v>
      </c>
      <c r="E715" s="1" t="str">
        <f ca="1">IFERROR(__xludf.DUMMYFUNCTION("GOOGLETRANSLATE(D715, ""bn"", ""en"")"),"Although Prabhakarvardhan's death is expected, Arvind Sharma considers it another form of sati-immolation. [64] The same work mentions that Harshavardhan's sister Rajyashri attempted to commit sati-immolation after her husband's death.")</f>
        <v>Although Prabhakarvardhan's death is expected, Arvind Sharma considers it another form of sati-immolation. [64] The same work mentions that Harshavardhan's sister Rajyashri attempted to commit sati-immolation after her husband's death.</v>
      </c>
      <c r="F715" s="1"/>
      <c r="G715" s="1"/>
      <c r="H715" s="1"/>
      <c r="I715" s="1"/>
    </row>
    <row r="716" spans="1:9" ht="15.6" x14ac:dyDescent="0.3">
      <c r="A716" s="1" t="s">
        <v>9</v>
      </c>
      <c r="B716" s="1" t="s">
        <v>9</v>
      </c>
      <c r="C716" s="10" t="s">
        <v>9</v>
      </c>
      <c r="D716" s="5" t="s">
        <v>706</v>
      </c>
      <c r="E716" s="1" t="str">
        <f ca="1">IFERROR(__xludf.DUMMYFUNCTION("GOOGLETRANSLATE(D716, ""bn"", ""en"")"),"Hate attacks against Muslims increased in the United States after 9/11.")</f>
        <v>Hate attacks against Muslims increased in the United States after 9/11.</v>
      </c>
      <c r="F716" s="1"/>
      <c r="G716" s="1"/>
      <c r="H716" s="1"/>
      <c r="I716" s="1"/>
    </row>
    <row r="717" spans="1:9" ht="15.6" x14ac:dyDescent="0.3">
      <c r="A717" s="1" t="s">
        <v>5</v>
      </c>
      <c r="B717" s="1" t="s">
        <v>5</v>
      </c>
      <c r="C717" s="10" t="s">
        <v>5</v>
      </c>
      <c r="D717" s="5" t="s">
        <v>707</v>
      </c>
      <c r="E717" s="1" t="str">
        <f ca="1">IFERROR(__xludf.DUMMYFUNCTION("GOOGLETRANSLATE(D717, ""bn"", ""en"")"),"Religion gives people a deeper understanding of life. It helps him find introspection and self-identity, which establishes inner peace in his life.")</f>
        <v>Religion gives people a deeper understanding of life. It helps him find introspection and self-identity, which establishes inner peace in his life.</v>
      </c>
      <c r="F717" s="1"/>
      <c r="G717" s="1"/>
      <c r="H717" s="1"/>
      <c r="I717" s="1"/>
    </row>
    <row r="718" spans="1:9" ht="15.6" x14ac:dyDescent="0.3">
      <c r="A718" s="1" t="s">
        <v>4</v>
      </c>
      <c r="B718" s="1" t="s">
        <v>4</v>
      </c>
      <c r="C718" s="10" t="s">
        <v>4</v>
      </c>
      <c r="D718" s="5" t="s">
        <v>708</v>
      </c>
      <c r="E718" s="1" t="str">
        <f ca="1">IFERROR(__xludf.DUMMYFUNCTION("GOOGLETRANSLATE(D718, ""bn"", ""en"")"),"Shankheribazar was deserted. Army, Ansar, Razakars looted all the gold, utensils and furniture. Bihari Muslims occupied the entire area. They started living in every house.")</f>
        <v>Shankheribazar was deserted. Army, Ansar, Razakars looted all the gold, utensils and furniture. Bihari Muslims occupied the entire area. They started living in every house.</v>
      </c>
      <c r="F718" s="1"/>
      <c r="G718" s="1"/>
      <c r="H718" s="1"/>
      <c r="I718" s="1"/>
    </row>
    <row r="719" spans="1:9" ht="15.6" x14ac:dyDescent="0.3">
      <c r="A719" s="1" t="s">
        <v>5</v>
      </c>
      <c r="B719" s="1" t="s">
        <v>5</v>
      </c>
      <c r="C719" s="10" t="s">
        <v>5</v>
      </c>
      <c r="D719" s="5" t="s">
        <v>709</v>
      </c>
      <c r="E719" s="1" t="str">
        <f ca="1">IFERROR(__xludf.DUMMYFUNCTION("GOOGLETRANSLATE(D719, ""bn"", ""en"")"),"We Muslims don't talk bad about other religions, why do they do that, it is forbidden to talk about other religions in our religion. ")</f>
        <v xml:space="preserve">We Muslims don't talk bad about other religions, why do they do that, it is forbidden to talk about other religions in our religion. </v>
      </c>
      <c r="F719" s="1"/>
      <c r="G719" s="1"/>
      <c r="H719" s="1"/>
      <c r="I719" s="1"/>
    </row>
    <row r="720" spans="1:9" ht="15.6" x14ac:dyDescent="0.3">
      <c r="A720" s="1" t="s">
        <v>9</v>
      </c>
      <c r="B720" s="1" t="s">
        <v>9</v>
      </c>
      <c r="C720" s="10" t="s">
        <v>9</v>
      </c>
      <c r="D720" s="5" t="s">
        <v>710</v>
      </c>
      <c r="E720" s="1" t="str">
        <f ca="1">IFERROR(__xludf.DUMMYFUNCTION("GOOGLETRANSLATE(D720, ""bn"", ""en"")")," During his visit to Noakhali, Mahatma Gandhi visited the looted and destroyed Rajendralal's house. On January 11, 1947, Rajendralal's cremated body was lifted from Azimpur's Jala and brought to Gandhiji's prayer meeting at Lamchar High School. After the "&amp;"prayers, Rajendralal's headless body was cremated in Hindu rites.")</f>
        <v> During his visit to Noakhali, Mahatma Gandhi visited the looted and destroyed Rajendralal's house. On January 11, 1947, Rajendralal's cremated body was lifted from Azimpur's Jala and brought to Gandhiji's prayer meeting at Lamchar High School. After the prayers, Rajendralal's headless body was cremated in Hindu rites.</v>
      </c>
      <c r="F720" s="1"/>
      <c r="G720" s="1"/>
      <c r="H720" s="1"/>
      <c r="I720" s="1"/>
    </row>
    <row r="721" spans="1:9" ht="15.6" x14ac:dyDescent="0.3">
      <c r="A721" s="1" t="s">
        <v>7</v>
      </c>
      <c r="B721" s="1" t="s">
        <v>4</v>
      </c>
      <c r="C721" s="10" t="s">
        <v>7</v>
      </c>
      <c r="D721" s="5" t="s">
        <v>711</v>
      </c>
      <c r="E721" s="1" t="str">
        <f ca="1">IFERROR(__xludf.DUMMYFUNCTION("GOOGLETRANSLATE(D721, ""bn"", ""en"")"),"Referring to the alleged incident of 'Quran insult', he said, it is normal to hurt the sentiments of Muslims. As at least seven people were killed in police firing, tension spread across the country, with puja festival pandals attacked. He says, but this "&amp;"look is not the real look of Bengal - he asks, then how did this happen?")</f>
        <v>Referring to the alleged incident of 'Quran insult', he said, it is normal to hurt the sentiments of Muslims. As at least seven people were killed in police firing, tension spread across the country, with puja festival pandals attacked. He says, but this look is not the real look of Bengal - he asks, then how did this happen?</v>
      </c>
      <c r="F721" s="1"/>
      <c r="G721" s="1"/>
      <c r="H721" s="1"/>
      <c r="I721" s="1"/>
    </row>
    <row r="722" spans="1:9" ht="15.6" x14ac:dyDescent="0.3">
      <c r="A722" s="1" t="s">
        <v>7</v>
      </c>
      <c r="B722" s="1" t="s">
        <v>7</v>
      </c>
      <c r="C722" s="10" t="s">
        <v>7</v>
      </c>
      <c r="D722" s="5" t="s">
        <v>712</v>
      </c>
      <c r="E722" s="1" t="str">
        <f ca="1">IFERROR(__xludf.DUMMYFUNCTION("GOOGLETRANSLATE(D722, ""bn"", ""en"")"),"Angels are very kind and gentle to the righteous Mu'min (believer) and his death is less painful, on the other hand, the angels are very harsh to the false or disbelieving people and their death is infinitely painful. ")</f>
        <v>Angels are very kind and gentle to the righteous Mu'min (believer) and his death is less painful, on the other hand, the angels are very harsh to the false or disbelieving people and their death is infinitely painful. </v>
      </c>
      <c r="F722" s="1"/>
      <c r="G722" s="1"/>
      <c r="H722" s="1"/>
      <c r="I722" s="1"/>
    </row>
    <row r="723" spans="1:9" ht="15.6" x14ac:dyDescent="0.3">
      <c r="A723" s="1" t="s">
        <v>4</v>
      </c>
      <c r="B723" s="1" t="s">
        <v>5</v>
      </c>
      <c r="C723" s="10" t="s">
        <v>4</v>
      </c>
      <c r="D723" s="5" t="s">
        <v>713</v>
      </c>
      <c r="E723" s="1" t="str">
        <f ca="1">IFERROR(__xludf.DUMMYFUNCTION("GOOGLETRANSLATE(D723, ""bn"", ""en"")"),"Can you ever create a movement in your life?? Hinduism and Hinduism are not the same thing.")</f>
        <v>Can you ever create a movement in your life?? Hinduism and Hinduism are not the same thing.</v>
      </c>
      <c r="F723" s="1"/>
      <c r="G723" s="1"/>
      <c r="H723" s="1"/>
      <c r="I723" s="1"/>
    </row>
    <row r="724" spans="1:9" ht="15.6" x14ac:dyDescent="0.3">
      <c r="A724" s="1" t="s">
        <v>5</v>
      </c>
      <c r="B724" s="1" t="s">
        <v>5</v>
      </c>
      <c r="C724" s="10" t="s">
        <v>5</v>
      </c>
      <c r="D724" s="5" t="s">
        <v>714</v>
      </c>
      <c r="E724" s="1" t="str">
        <f ca="1">IFERROR(__xludf.DUMMYFUNCTION("GOOGLETRANSLATE(D724, ""bn"", ""en"")"),"That Bangladesh is a non-communal country is no longer true for all times, but sometimes true The practice of secularism is decreasing here The practice of communalism is increasing So now is the time to stop all these sectarianism For this reason, the st"&amp;"ate should take initiative, as well as social movement should be developed, he thinks")</f>
        <v>That Bangladesh is a non-communal country is no longer true for all times, but sometimes true The practice of secularism is decreasing here The practice of communalism is increasing So now is the time to stop all these sectarianism For this reason, the state should take initiative, as well as social movement should be developed, he thinks</v>
      </c>
      <c r="F724" s="1"/>
      <c r="G724" s="1"/>
      <c r="H724" s="1"/>
      <c r="I724" s="1"/>
    </row>
    <row r="725" spans="1:9" ht="15.6" x14ac:dyDescent="0.3">
      <c r="A725" s="1" t="s">
        <v>9</v>
      </c>
      <c r="B725" s="1" t="s">
        <v>9</v>
      </c>
      <c r="C725" s="10" t="s">
        <v>9</v>
      </c>
      <c r="D725" s="5" t="s">
        <v>715</v>
      </c>
      <c r="E725" s="1" t="str">
        <f ca="1">IFERROR(__xludf.DUMMYFUNCTION("GOOGLETRANSLATE(D725, ""bn"", ""en"")"),"It is said that the Bangladesh Hindu Buddhist Christian Unity Council has complained that after August 4, a total of 1,769 communal attacks, vandalism and looting incidents have occurred on minorities in the country.")</f>
        <v>It is said that the Bangladesh Hindu Buddhist Christian Unity Council has complained that after August 4, a total of 1,769 communal attacks, vandalism and looting incidents have occurred on minorities in the country.</v>
      </c>
      <c r="F725" s="1"/>
      <c r="G725" s="1"/>
      <c r="H725" s="1"/>
      <c r="I725" s="1"/>
    </row>
    <row r="726" spans="1:9" ht="15.6" x14ac:dyDescent="0.3">
      <c r="A726" s="1" t="s">
        <v>9</v>
      </c>
      <c r="B726" s="1" t="s">
        <v>5</v>
      </c>
      <c r="C726" s="10" t="s">
        <v>9</v>
      </c>
      <c r="D726" s="5" t="s">
        <v>716</v>
      </c>
      <c r="E726" s="1" t="str">
        <f ca="1">IFERROR(__xludf.DUMMYFUNCTION("GOOGLETRANSLATE(D726, ""bn"", ""en"")"),"A man is confused about his gender for a large part of his life. With him, whatever else, great struggles, wars, conflicts for the welfare of humanity, keeping the civilization under his control, holding on to his ideals are not possible at all.")</f>
        <v>A man is confused about his gender for a large part of his life. With him, whatever else, great struggles, wars, conflicts for the welfare of humanity, keeping the civilization under his control, holding on to his ideals are not possible at all.</v>
      </c>
      <c r="F726" s="1"/>
      <c r="G726" s="1"/>
      <c r="H726" s="1"/>
      <c r="I726" s="1"/>
    </row>
    <row r="727" spans="1:9" ht="15.6" x14ac:dyDescent="0.3">
      <c r="A727" s="1" t="s">
        <v>4</v>
      </c>
      <c r="B727" s="1" t="s">
        <v>4</v>
      </c>
      <c r="C727" s="10" t="s">
        <v>4</v>
      </c>
      <c r="D727" s="5" t="s">
        <v>717</v>
      </c>
      <c r="E727" s="1" t="str">
        <f ca="1">IFERROR(__xludf.DUMMYFUNCTION("GOOGLETRANSLATE(D727, ""bn"", ""en"")"),"In April 1971, Kenan Uddin Sarkar of Ramchandrapur village of Parvatipur, a member of the local Rajakar Bahini, brought about 50 Hindu families from the nearby villages of Badarganj, Kholahati, Birampur, Aftabganj and Sherpur with the assurance of their s"&amp;"afe arrival in India. These Hindu families were detained at a place called Barihat in the present Phulbari Upazila. At this time, after the money and valuable ornaments were seized from the Hindus by the Razakar and Al Badr forces, news was sent to the Pa"&amp;"kistani forces.")</f>
        <v>In April 1971, Kenan Uddin Sarkar of Ramchandrapur village of Parvatipur, a member of the local Rajakar Bahini, brought about 50 Hindu families from the nearby villages of Badarganj, Kholahati, Birampur, Aftabganj and Sherpur with the assurance of their safe arrival in India. These Hindu families were detained at a place called Barihat in the present Phulbari Upazila. At this time, after the money and valuable ornaments were seized from the Hindus by the Razakar and Al Badr forces, news was sent to the Pakistani forces.</v>
      </c>
      <c r="F727" s="1"/>
      <c r="G727" s="1"/>
      <c r="H727" s="1"/>
      <c r="I727" s="1"/>
    </row>
    <row r="728" spans="1:9" ht="15.6" x14ac:dyDescent="0.3">
      <c r="A728" s="1" t="s">
        <v>4</v>
      </c>
      <c r="B728" s="1" t="s">
        <v>5</v>
      </c>
      <c r="C728" s="10" t="s">
        <v>4</v>
      </c>
      <c r="D728" s="5" t="s">
        <v>718</v>
      </c>
      <c r="E728" s="1" t="str">
        <f ca="1">IFERROR(__xludf.DUMMYFUNCTION("GOOGLETRANSLATE(D728, ""bn"", ""en"")"),"Kalema checkered flag, AK-47 symbol at the bottom of the flag. Alleged terrorists are coming out from behind the flag with weapons. See the 2nd image. Arabic writing on four sides. This part of the teaser shows the alleged terrorists wearing Sunnati dress"&amp;" and chanting ""Naraye Takbir"" ""Allahu Akbar"".")</f>
        <v>Kalema checkered flag, AK-47 symbol at the bottom of the flag. Alleged terrorists are coming out from behind the flag with weapons. See the 2nd image. Arabic writing on four sides. This part of the teaser shows the alleged terrorists wearing Sunnati dress and chanting "Naraye Takbir" "Allahu Akbar".</v>
      </c>
      <c r="F728" s="1"/>
      <c r="G728" s="1"/>
      <c r="H728" s="1"/>
      <c r="I728" s="1"/>
    </row>
    <row r="729" spans="1:9" ht="15.6" x14ac:dyDescent="0.3">
      <c r="A729" s="1" t="s">
        <v>5</v>
      </c>
      <c r="B729" s="1" t="s">
        <v>4</v>
      </c>
      <c r="C729" s="10" t="s">
        <v>5</v>
      </c>
      <c r="D729" s="5" t="s">
        <v>719</v>
      </c>
      <c r="E729" s="1" t="str">
        <f ca="1">IFERROR(__xludf.DUMMYFUNCTION("GOOGLETRANSLATE(D729, ""bn"", ""en"")"),"My son's name is Muntashir Ahmed, 7 years old. I pray for him to be a person chosen by Allah Ta'ala, to follow the path shown by Nabiji.")</f>
        <v>My son's name is Muntashir Ahmed, 7 years old. I pray for him to be a person chosen by Allah Ta'ala, to follow the path shown by Nabiji.</v>
      </c>
      <c r="F729" s="1"/>
      <c r="G729" s="1"/>
      <c r="H729" s="1"/>
      <c r="I729" s="1"/>
    </row>
    <row r="730" spans="1:9" ht="15.6" x14ac:dyDescent="0.3">
      <c r="A730" s="1" t="s">
        <v>5</v>
      </c>
      <c r="B730" s="1" t="s">
        <v>5</v>
      </c>
      <c r="C730" s="10" t="s">
        <v>5</v>
      </c>
      <c r="D730" s="5" t="s">
        <v>720</v>
      </c>
      <c r="E730" s="1" t="str">
        <f ca="1">IFERROR(__xludf.DUMMYFUNCTION("GOOGLETRANSLATE(D730, ""bn"", ""en"")"),"This event is held among Buddhists across the country for a month from Ashwini Purnima to Karthik Purnima. It is undeniable that the Tri-Cheebars are prepared and distributed in accordance with strict religious rituals and regulations in the Buddhist Viha"&amp;"ra of Bandarban.")</f>
        <v>This event is held among Buddhists across the country for a month from Ashwini Purnima to Karthik Purnima. It is undeniable that the Tri-Cheebars are prepared and distributed in accordance with strict religious rituals and regulations in the Buddhist Vihara of Bandarban.</v>
      </c>
      <c r="F730" s="1"/>
      <c r="G730" s="1"/>
      <c r="H730" s="1"/>
      <c r="I730" s="1"/>
    </row>
    <row r="731" spans="1:9" ht="15.6" x14ac:dyDescent="0.3">
      <c r="A731" s="1" t="s">
        <v>4</v>
      </c>
      <c r="B731" s="1" t="s">
        <v>4</v>
      </c>
      <c r="C731" s="10" t="s">
        <v>4</v>
      </c>
      <c r="D731" s="5" t="s">
        <v>721</v>
      </c>
      <c r="E731" s="1" t="str">
        <f ca="1">IFERROR(__xludf.DUMMYFUNCTION("GOOGLETRANSLATE(D731, ""bn"", ""en"")"),"For nearly 1,000 years, the Dogon people, an ancient tribe in Mali [170] faced religious and ethnic persecution through jihad from the dominant Muslim community. These jihadist campaigns were conducted to force the Dogon to abandon their traditional relig"&amp;"ious beliefs and convert to Islam.")</f>
        <v>For nearly 1,000 years, the Dogon people, an ancient tribe in Mali [170] faced religious and ethnic persecution through jihad from the dominant Muslim community. These jihadist campaigns were conducted to force the Dogon to abandon their traditional religious beliefs and convert to Islam.</v>
      </c>
      <c r="F731" s="1"/>
      <c r="G731" s="1"/>
      <c r="H731" s="1"/>
      <c r="I731" s="1"/>
    </row>
    <row r="732" spans="1:9" ht="15.6" x14ac:dyDescent="0.3">
      <c r="A732" s="1" t="s">
        <v>5</v>
      </c>
      <c r="B732" s="1" t="s">
        <v>5</v>
      </c>
      <c r="C732" s="10" t="s">
        <v>5</v>
      </c>
      <c r="D732" s="5" t="s">
        <v>722</v>
      </c>
      <c r="E732" s="1" t="str">
        <f ca="1">IFERROR(__xludf.DUMMYFUNCTION("GOOGLETRANSLATE(D732, ""bn"", ""en"")"),"According to ancient theory, the present Bangladesh region was the main center of Buddhism propagation in Asia. Buddhism, including philosophy and architecture, traveled from Bengal to Tibet, Southeast Asia, and Indonesia.")</f>
        <v>According to ancient theory, the present Bangladesh region was the main center of Buddhism propagation in Asia. Buddhism, including philosophy and architecture, traveled from Bengal to Tibet, Southeast Asia, and Indonesia.</v>
      </c>
      <c r="F732" s="1"/>
      <c r="G732" s="1"/>
      <c r="H732" s="1"/>
      <c r="I732" s="1"/>
    </row>
    <row r="733" spans="1:9" ht="15.6" x14ac:dyDescent="0.3">
      <c r="A733" s="1" t="s">
        <v>4</v>
      </c>
      <c r="B733" s="1" t="s">
        <v>4</v>
      </c>
      <c r="C733" s="10" t="s">
        <v>4</v>
      </c>
      <c r="D733" s="5" t="s">
        <v>723</v>
      </c>
      <c r="E733" s="1" t="str">
        <f ca="1">IFERROR(__xludf.DUMMYFUNCTION("GOOGLETRANSLATE(D733, ""bn"", ""en"")"),"You will see the Quran Sharif of Islam and read it in Bengali. And don't talk nonsense about Islam from Muslim countries. ")</f>
        <v xml:space="preserve">You will see the Quran Sharif of Islam and read it in Bengali. And don't talk nonsense about Islam from Muslim countries. </v>
      </c>
      <c r="F733" s="1"/>
      <c r="G733" s="1"/>
      <c r="H733" s="1"/>
      <c r="I733" s="1"/>
    </row>
    <row r="734" spans="1:9" ht="15.6" x14ac:dyDescent="0.3">
      <c r="A734" s="1" t="s">
        <v>4</v>
      </c>
      <c r="B734" s="1" t="s">
        <v>5</v>
      </c>
      <c r="C734" s="10" t="s">
        <v>4</v>
      </c>
      <c r="D734" s="5" t="s">
        <v>724</v>
      </c>
      <c r="E734" s="1" t="str">
        <f ca="1">IFERROR(__xludf.DUMMYFUNCTION("GOOGLETRANSLATE(D734, ""bn"", ""en"")"),"Can it ever be wise to invoke the severe punishment of Hell as opposed to the lesser suffering?")</f>
        <v>Can it ever be wise to invoke the severe punishment of Hell as opposed to the lesser suffering?</v>
      </c>
      <c r="F734" s="1"/>
      <c r="G734" s="1"/>
      <c r="H734" s="1"/>
      <c r="I734" s="1"/>
    </row>
    <row r="735" spans="1:9" ht="15.6" x14ac:dyDescent="0.3">
      <c r="A735" s="1" t="s">
        <v>5</v>
      </c>
      <c r="B735" s="1" t="s">
        <v>5</v>
      </c>
      <c r="C735" s="10" t="s">
        <v>5</v>
      </c>
      <c r="D735" s="5" t="s">
        <v>725</v>
      </c>
      <c r="E735" s="1" t="str">
        <f ca="1">IFERROR(__xludf.DUMMYFUNCTION("GOOGLETRANSLATE(D735, ""bn"", ""en"")"),"Obedience to Allah's commands reduces anxiety in life and gives us peace of mind, which helps us in all our activities.")</f>
        <v>Obedience to Allah's commands reduces anxiety in life and gives us peace of mind, which helps us in all our activities.</v>
      </c>
      <c r="F735" s="1"/>
      <c r="G735" s="1"/>
      <c r="H735" s="1"/>
      <c r="I735" s="1"/>
    </row>
    <row r="736" spans="1:9" ht="15.6" x14ac:dyDescent="0.3">
      <c r="A736" s="1" t="s">
        <v>7</v>
      </c>
      <c r="B736" s="1" t="s">
        <v>7</v>
      </c>
      <c r="C736" s="10" t="s">
        <v>7</v>
      </c>
      <c r="D736" s="5" t="s">
        <v>726</v>
      </c>
      <c r="E736" s="1" t="str">
        <f ca="1">IFERROR(__xludf.DUMMYFUNCTION("GOOGLETRANSLATE(D736, ""bn"", ""en"")"),"The report titled 'Sampradayik Chalchitra' for the seven months of March to September of this year said that during this period, 17 people of the minority religious community were killed, 10 people were attempted to be killed, 11 were threatened to be kil"&amp;"led, 30 were raped and tortured, six were attempted to be raped, and three committed suicide due to molestation.")</f>
        <v>The report titled 'Sampradayik Chalchitra' for the seven months of March to September of this year said that during this period, 17 people of the minority religious community were killed, 10 people were attempted to be killed, 11 were threatened to be killed, 30 were raped and tortured, six were attempted to be raped, and three committed suicide due to molestation.</v>
      </c>
      <c r="F736" s="1"/>
      <c r="G736" s="1"/>
      <c r="H736" s="1"/>
      <c r="I736" s="1"/>
    </row>
    <row r="737" spans="1:9" ht="15.6" x14ac:dyDescent="0.3">
      <c r="A737" s="1" t="s">
        <v>5</v>
      </c>
      <c r="B737" s="1" t="s">
        <v>5</v>
      </c>
      <c r="C737" s="10" t="s">
        <v>5</v>
      </c>
      <c r="D737" s="5" t="s">
        <v>727</v>
      </c>
      <c r="E737" s="1" t="str">
        <f ca="1">IFERROR(__xludf.DUMMYFUNCTION("GOOGLETRANSLATE(D737, ""bn"", ""en"")"),"Praying for the dead and seeking God's forgiveness for the dead is a common practice in all cities during the Barat ceremony. According to a hadith narration, the Prophet Muhammad visited the Baki' cemetery on this night, where he prayed for the Muslims b"&amp;"uried there and never repeated this night.")</f>
        <v>Praying for the dead and seeking God's forgiveness for the dead is a common practice in all cities during the Barat ceremony. According to a hadith narration, the Prophet Muhammad visited the Baki' cemetery on this night, where he prayed for the Muslims buried there and never repeated this night.</v>
      </c>
      <c r="F737" s="1"/>
      <c r="G737" s="1"/>
      <c r="H737" s="1"/>
      <c r="I737" s="1"/>
    </row>
    <row r="738" spans="1:9" ht="15.6" x14ac:dyDescent="0.3">
      <c r="A738" s="1" t="s">
        <v>4</v>
      </c>
      <c r="B738" s="1" t="s">
        <v>4</v>
      </c>
      <c r="C738" s="10" t="s">
        <v>4</v>
      </c>
      <c r="D738" s="5" t="s">
        <v>728</v>
      </c>
      <c r="E738" s="1" t="str">
        <f ca="1">IFERROR(__xludf.DUMMYFUNCTION("GOOGLETRANSLATE(D738, ""bn"", ""en"")"),"Insulting Islam in the name of expression is not desirable, I condemn it, (((Allahu Akbar)))")</f>
        <v>Insulting Islam in the name of expression is not desirable, I condemn it, (((Allahu Akbar)))</v>
      </c>
      <c r="F738" s="1"/>
      <c r="G738" s="1"/>
      <c r="H738" s="1"/>
      <c r="I738" s="1"/>
    </row>
    <row r="739" spans="1:9" ht="15.6" x14ac:dyDescent="0.3">
      <c r="A739" s="1" t="s">
        <v>4</v>
      </c>
      <c r="B739" s="1" t="s">
        <v>5</v>
      </c>
      <c r="C739" s="10" t="s">
        <v>4</v>
      </c>
      <c r="D739" s="5" t="s">
        <v>729</v>
      </c>
      <c r="E739" s="1" t="str">
        <f ca="1">IFERROR(__xludf.DUMMYFUNCTION("GOOGLETRANSLATE(D739, ""bn"", ""en"")"),"Buddhism is a very well-known and well-known religion. Buddhism is generally not an overtly theistic religion, far from being an Abrahamic religion.")</f>
        <v>Buddhism is a very well-known and well-known religion. Buddhism is generally not an overtly theistic religion, far from being an Abrahamic religion.</v>
      </c>
      <c r="F739" s="1"/>
      <c r="G739" s="1"/>
      <c r="H739" s="1"/>
      <c r="I739" s="1"/>
    </row>
    <row r="740" spans="1:9" ht="15.6" x14ac:dyDescent="0.3">
      <c r="A740" s="1" t="s">
        <v>4</v>
      </c>
      <c r="B740" s="1" t="s">
        <v>4</v>
      </c>
      <c r="C740" s="10" t="s">
        <v>4</v>
      </c>
      <c r="D740" s="5" t="s">
        <v>730</v>
      </c>
      <c r="E740" s="1" t="str">
        <f ca="1">IFERROR(__xludf.DUMMYFUNCTION("GOOGLETRANSLATE(D740, ""bn"", ""en"")"),"Udhayanidhi's words alone show how much he hates Sanatan Dharma. He is a MLA and Minister. He has sworn to work according to the country's constitution. So he should respect all religions. But, he deliberately made provocative and insulting comments about"&amp;" Sanatan Dharma. For the purpose of creating enmity between different religious groups.")</f>
        <v>Udhayanidhi's words alone show how much he hates Sanatan Dharma. He is a MLA and Minister. He has sworn to work according to the country's constitution. So he should respect all religions. But, he deliberately made provocative and insulting comments about Sanatan Dharma. For the purpose of creating enmity between different religious groups.</v>
      </c>
      <c r="F740" s="1"/>
      <c r="G740" s="1"/>
      <c r="H740" s="1"/>
      <c r="I740" s="1"/>
    </row>
    <row r="741" spans="1:9" ht="15.6" x14ac:dyDescent="0.3">
      <c r="A741" s="1" t="s">
        <v>7</v>
      </c>
      <c r="B741" s="1" t="s">
        <v>7</v>
      </c>
      <c r="C741" s="10" t="s">
        <v>7</v>
      </c>
      <c r="D741" s="5" t="s">
        <v>731</v>
      </c>
      <c r="E741" s="1" t="str">
        <f ca="1">IFERROR(__xludf.DUMMYFUNCTION("GOOGLETRANSLATE(D741, ""bn"", ""en"")"),"About 10,000 people commit suicide every year. This is a few years ago. That number must have increased by now. Who cares if it increases! ")</f>
        <v xml:space="preserve">About 10,000 people commit suicide every year. This is a few years ago. That number must have increased by now. Who cares if it increases! </v>
      </c>
      <c r="F741" s="1"/>
      <c r="G741" s="1"/>
      <c r="H741" s="1"/>
      <c r="I741" s="1"/>
    </row>
    <row r="742" spans="1:9" ht="15.6" x14ac:dyDescent="0.3">
      <c r="A742" s="1" t="s">
        <v>4</v>
      </c>
      <c r="B742" s="1" t="s">
        <v>4</v>
      </c>
      <c r="C742" s="10" t="s">
        <v>4</v>
      </c>
      <c r="D742" s="5" t="s">
        <v>732</v>
      </c>
      <c r="E742" s="1" t="str">
        <f ca="1">IFERROR(__xludf.DUMMYFUNCTION("GOOGLETRANSLATE(D742, ""bn"", ""en"")"),"By hanging signboards in Kushtia, the property owners of Hindu families have been encroached upon")</f>
        <v>By hanging signboards in Kushtia, the property owners of Hindu families have been encroached upon</v>
      </c>
      <c r="F742" s="1"/>
      <c r="G742" s="1"/>
      <c r="H742" s="1"/>
      <c r="I742" s="1"/>
    </row>
    <row r="743" spans="1:9" ht="15.6" x14ac:dyDescent="0.3">
      <c r="A743" s="1" t="s">
        <v>5</v>
      </c>
      <c r="B743" s="1" t="s">
        <v>5</v>
      </c>
      <c r="C743" s="10" t="s">
        <v>5</v>
      </c>
      <c r="D743" s="5" t="s">
        <v>733</v>
      </c>
      <c r="E743" s="1" t="str">
        <f ca="1">IFERROR(__xludf.DUMMYFUNCTION("GOOGLETRANSLATE(D743, ""bn"", ""en"")"),"If the beard is short, make it longer. The stubble beard is also worn by other religions to show off the ruff. ")</f>
        <v xml:space="preserve">If the beard is short, make it longer. The stubble beard is also worn by other religions to show off the ruff. </v>
      </c>
      <c r="F743" s="1"/>
      <c r="G743" s="1"/>
      <c r="H743" s="1"/>
      <c r="I743" s="1"/>
    </row>
    <row r="744" spans="1:9" ht="15.6" x14ac:dyDescent="0.3">
      <c r="A744" s="1" t="s">
        <v>9</v>
      </c>
      <c r="B744" s="1" t="s">
        <v>9</v>
      </c>
      <c r="C744" s="10" t="s">
        <v>9</v>
      </c>
      <c r="D744" s="5" t="s">
        <v>734</v>
      </c>
      <c r="E744" s="1" t="str">
        <f ca="1">IFERROR(__xludf.DUMMYFUNCTION("GOOGLETRANSLATE(D744, ""bn"", ""en"")"),"The way Islamic events are being harassed in Dubai, one would think a hundred times before such harassment is done in Zabi.")</f>
        <v>The way Islamic events are being harassed in Dubai, one would think a hundred times before such harassment is done in Zabi.</v>
      </c>
      <c r="F744" s="1"/>
      <c r="G744" s="1"/>
      <c r="H744" s="1"/>
      <c r="I744" s="1"/>
    </row>
    <row r="745" spans="1:9" ht="15.6" x14ac:dyDescent="0.3">
      <c r="A745" s="1" t="s">
        <v>5</v>
      </c>
      <c r="B745" s="1" t="s">
        <v>4</v>
      </c>
      <c r="C745" s="10" t="s">
        <v>5</v>
      </c>
      <c r="D745" s="5" t="s">
        <v>735</v>
      </c>
      <c r="E745" s="1" t="str">
        <f ca="1">IFERROR(__xludf.DUMMYFUNCTION("GOOGLETRANSLATE(D745, ""bn"", ""en"")"),"These thoughts and ideas of beards, caps, burqas have been carefully inculcated in us through dramas and movies—it is very important to get out of them. Thanks for discussing these matters.")</f>
        <v>These thoughts and ideas of beards, caps, burqas have been carefully inculcated in us through dramas and movies—it is very important to get out of them. Thanks for discussing these matters.</v>
      </c>
      <c r="F745" s="1"/>
      <c r="G745" s="1"/>
      <c r="H745" s="1"/>
      <c r="I745" s="1"/>
    </row>
    <row r="746" spans="1:9" ht="15.6" x14ac:dyDescent="0.3">
      <c r="A746" s="1" t="s">
        <v>4</v>
      </c>
      <c r="B746" s="1" t="s">
        <v>4</v>
      </c>
      <c r="C746" s="10" t="s">
        <v>4</v>
      </c>
      <c r="D746" s="5" t="s">
        <v>736</v>
      </c>
      <c r="E746" s="1" t="str">
        <f ca="1">IFERROR(__xludf.DUMMYFUNCTION("GOOGLETRANSLATE(D746, ""bn"", ""en"")"),"Anti-fundamentalist movement, a fundamentalist group is using this communalism to destroy the movement against the anti-freedom evil forces and is creating division in the minds of the common people.")</f>
        <v>Anti-fundamentalist movement, a fundamentalist group is using this communalism to destroy the movement against the anti-freedom evil forces and is creating division in the minds of the common people.</v>
      </c>
      <c r="F746" s="1"/>
      <c r="G746" s="1"/>
      <c r="H746" s="1"/>
      <c r="I746" s="1"/>
    </row>
    <row r="747" spans="1:9" ht="15.6" x14ac:dyDescent="0.3">
      <c r="A747" s="1" t="s">
        <v>9</v>
      </c>
      <c r="B747" s="1" t="s">
        <v>9</v>
      </c>
      <c r="C747" s="10" t="s">
        <v>9</v>
      </c>
      <c r="D747" s="5" t="s">
        <v>737</v>
      </c>
      <c r="E747" s="1" t="str">
        <f ca="1">IFERROR(__xludf.DUMMYFUNCTION("GOOGLETRANSLATE(D747, ""bn"", ""en"")"),"News that RSS members have attacked any iftar in India has not yet been seen, but Chhatra League has started attacking Bangladesh!")</f>
        <v>News that RSS members have attacked any iftar in India has not yet been seen, but Chhatra League has started attacking Bangladesh!</v>
      </c>
      <c r="F747" s="1"/>
      <c r="G747" s="1"/>
      <c r="H747" s="1"/>
      <c r="I747" s="1"/>
    </row>
    <row r="748" spans="1:9" ht="15.6" x14ac:dyDescent="0.3">
      <c r="A748" s="1" t="s">
        <v>4</v>
      </c>
      <c r="B748" s="1" t="s">
        <v>4</v>
      </c>
      <c r="C748" s="10" t="s">
        <v>4</v>
      </c>
      <c r="D748" s="5" t="s">
        <v>738</v>
      </c>
      <c r="E748" s="1" t="str">
        <f ca="1">IFERROR(__xludf.DUMMYFUNCTION("GOOGLETRANSLATE(D748, ""bn"", ""en"")"),"We should all boycott the BBC. Lately, they have fallen for Muslims. It has been occupied by Muslims since the 14th/15th century.")</f>
        <v>We should all boycott the BBC. Lately, they have fallen for Muslims. It has been occupied by Muslims since the 14th/15th century.</v>
      </c>
      <c r="F748" s="1"/>
      <c r="G748" s="1"/>
      <c r="H748" s="1"/>
      <c r="I748" s="1"/>
    </row>
    <row r="749" spans="1:9" ht="15.6" x14ac:dyDescent="0.3">
      <c r="A749" s="1" t="s">
        <v>7</v>
      </c>
      <c r="B749" s="1" t="s">
        <v>7</v>
      </c>
      <c r="C749" s="10" t="s">
        <v>7</v>
      </c>
      <c r="D749" s="5" t="s">
        <v>739</v>
      </c>
      <c r="E749" s="1" t="str">
        <f ca="1">IFERROR(__xludf.DUMMYFUNCTION("GOOGLETRANSLATE(D749, ""bn"", ""en"")"),"The Muslim League side's view, partially upheld in Bangladesh, the successor state of East Pakistan, is that the Congress and Hindus actually used the opportunity offered by the Day of Struggle to teach Muslims in Calcutta an education and killed them in "&amp;"large numbers.[")</f>
        <v>The Muslim League side's view, partially upheld in Bangladesh, the successor state of East Pakistan, is that the Congress and Hindus actually used the opportunity offered by the Day of Struggle to teach Muslims in Calcutta an education and killed them in large numbers.[</v>
      </c>
      <c r="F749" s="1"/>
      <c r="G749" s="1"/>
      <c r="H749" s="1"/>
      <c r="I749" s="1"/>
    </row>
    <row r="750" spans="1:9" ht="15.6" x14ac:dyDescent="0.3">
      <c r="A750" s="1" t="s">
        <v>7</v>
      </c>
      <c r="B750" s="1" t="s">
        <v>7</v>
      </c>
      <c r="C750" s="10" t="s">
        <v>7</v>
      </c>
      <c r="D750" s="5" t="s">
        <v>740</v>
      </c>
      <c r="E750" s="1" t="str">
        <f ca="1">IFERROR(__xludf.DUMMYFUNCTION("GOOGLETRANSLATE(D750, ""bn"", ""en"")"),"I do not see any effective protest against those who kill people in the name of religion, who loot the houses of people of different religions. Our administration is very responsible. Politicians are burning symbols of intolerance.")</f>
        <v>I do not see any effective protest against those who kill people in the name of religion, who loot the houses of people of different religions. Our administration is very responsible. Politicians are burning symbols of intolerance.</v>
      </c>
      <c r="F750" s="1"/>
      <c r="G750" s="1"/>
      <c r="H750" s="1"/>
      <c r="I750" s="1"/>
    </row>
    <row r="751" spans="1:9" ht="15.6" x14ac:dyDescent="0.3">
      <c r="A751" s="4" t="s">
        <v>7</v>
      </c>
      <c r="B751" s="4" t="s">
        <v>7</v>
      </c>
      <c r="C751" s="11" t="s">
        <v>7</v>
      </c>
      <c r="D751" s="5" t="s">
        <v>741</v>
      </c>
      <c r="E751" s="1" t="str">
        <f ca="1">IFERROR(__xludf.DUMMYFUNCTION("GOOGLETRANSLATE(D751, ""bn"", ""en"")"),"An estimated 30 people lost their lives during the 1969 Gujarat riots. [61] The Bhawandi riots of 1970 were an example of anti-Muslim violence")</f>
        <v>An estimated 30 people lost their lives during the 1969 Gujarat riots. [61] The Bhawandi riots of 1970 were an example of anti-Muslim violence</v>
      </c>
      <c r="F751" s="1"/>
      <c r="G751" s="1"/>
      <c r="H751" s="1"/>
      <c r="I751" s="1"/>
    </row>
    <row r="752" spans="1:9" ht="15.6" x14ac:dyDescent="0.3">
      <c r="A752" s="1" t="s">
        <v>9</v>
      </c>
      <c r="B752" s="1" t="s">
        <v>4</v>
      </c>
      <c r="C752" s="10" t="s">
        <v>9</v>
      </c>
      <c r="D752" s="5" t="s">
        <v>742</v>
      </c>
      <c r="E752" s="1" t="str">
        <f ca="1">IFERROR(__xludf.DUMMYFUNCTION("GOOGLETRANSLATE(D752, ""bn"", ""en"")")," A Quran Sharif is seen on the lap of the Hanuman idol at the site of the Ram-Sita-Lakshmana-Hanuman idols outside the pujamandap at Nanua Dighi Uttarpaderar in Comilla. After the recovery of the Quran, its picture spread in various ways on social media. "&amp;"A person named Faiz Ahmed went live on Facebook about insulting the Quran. [5] On hearing the news, local radical Muslims attacked the mandap and vandalized the idol.")</f>
        <v> A Quran Sharif is seen on the lap of the Hanuman idol at the site of the Ram-Sita-Lakshmana-Hanuman idols outside the pujamandap at Nanua Dighi Uttarpaderar in Comilla. After the recovery of the Quran, its picture spread in various ways on social media. A person named Faiz Ahmed went live on Facebook about insulting the Quran. [5] On hearing the news, local radical Muslims attacked the mandap and vandalized the idol.</v>
      </c>
      <c r="F752" s="1"/>
      <c r="G752" s="1"/>
      <c r="H752" s="1"/>
      <c r="I752" s="1"/>
    </row>
    <row r="753" spans="1:9" ht="15.6" x14ac:dyDescent="0.3">
      <c r="A753" s="1" t="s">
        <v>5</v>
      </c>
      <c r="B753" s="1" t="s">
        <v>5</v>
      </c>
      <c r="C753" s="10" t="s">
        <v>5</v>
      </c>
      <c r="D753" s="5" t="s">
        <v>743</v>
      </c>
      <c r="E753" s="1" t="str">
        <f ca="1">IFERROR(__xludf.DUMMYFUNCTION("GOOGLETRANSLATE(D753, ""bn"", ""en"")"),"How the Satanic Temple is working to reduce the control Christianity has allegedly established over American life through political influence.")</f>
        <v>How the Satanic Temple is working to reduce the control Christianity has allegedly established over American life through political influence.</v>
      </c>
      <c r="F753" s="1"/>
      <c r="G753" s="1"/>
      <c r="H753" s="1"/>
      <c r="I753" s="1"/>
    </row>
    <row r="754" spans="1:9" ht="15.6" x14ac:dyDescent="0.3">
      <c r="A754" s="1" t="s">
        <v>9</v>
      </c>
      <c r="B754" s="1" t="s">
        <v>9</v>
      </c>
      <c r="C754" s="10" t="s">
        <v>9</v>
      </c>
      <c r="D754" s="5" t="s">
        <v>744</v>
      </c>
      <c r="E754" s="1" t="str">
        <f ca="1">IFERROR(__xludf.DUMMYFUNCTION("GOOGLETRANSLATE(D754, ""bn"", ""en"")"),"The magazine Charlie Hebdo deliberately created controversy and became the target of many attacks. Such activities of theirs are extremely deplorable and reprehensible. But it is also true, as it is very sad and painful for Muslims, killing someone in ret"&amp;"urn, burning cars, houses etc., rioting and looting is never the act of a true peace loving Muslim.")</f>
        <v>The magazine Charlie Hebdo deliberately created controversy and became the target of many attacks. Such activities of theirs are extremely deplorable and reprehensible. But it is also true, as it is very sad and painful for Muslims, killing someone in return, burning cars, houses etc., rioting and looting is never the act of a true peace loving Muslim.</v>
      </c>
      <c r="F754" s="1"/>
      <c r="G754" s="1"/>
      <c r="H754" s="1"/>
      <c r="I754" s="1"/>
    </row>
    <row r="755" spans="1:9" ht="15.6" x14ac:dyDescent="0.3">
      <c r="A755" s="1" t="s">
        <v>7</v>
      </c>
      <c r="B755" s="1" t="s">
        <v>7</v>
      </c>
      <c r="C755" s="10" t="s">
        <v>7</v>
      </c>
      <c r="D755" s="5" t="s">
        <v>745</v>
      </c>
      <c r="E755" s="1" t="str">
        <f ca="1">IFERROR(__xludf.DUMMYFUNCTION("GOOGLETRANSLATE(D755, ""bn"", ""en"")"),"There were only 16 families in Chandipur. All the residents of the village stand in a line and fire a burst. 45 Hindus died in it. Only two people survived the massacre.")</f>
        <v>There were only 16 families in Chandipur. All the residents of the village stand in a line and fire a burst. 45 Hindus died in it. Only two people survived the massacre.</v>
      </c>
      <c r="F755" s="1"/>
      <c r="G755" s="1"/>
      <c r="H755" s="1"/>
      <c r="I755" s="1"/>
    </row>
    <row r="756" spans="1:9" ht="15.6" x14ac:dyDescent="0.3">
      <c r="A756" s="1" t="s">
        <v>4</v>
      </c>
      <c r="B756" s="1" t="s">
        <v>4</v>
      </c>
      <c r="C756" s="10" t="s">
        <v>4</v>
      </c>
      <c r="D756" s="5" t="s">
        <v>746</v>
      </c>
      <c r="E756" s="1" t="str">
        <f ca="1">IFERROR(__xludf.DUMMYFUNCTION("GOOGLETRANSLATE(D756, ""bn"", ""en"")"),"I am so angry with Muslims. It is really sad to see such a mother's condition. If I had been there, I would have done something alone.")</f>
        <v>I am so angry with Muslims. It is really sad to see such a mother's condition. If I had been there, I would have done something alone.</v>
      </c>
      <c r="F756" s="1"/>
      <c r="G756" s="1"/>
      <c r="H756" s="1"/>
      <c r="I756" s="1"/>
    </row>
    <row r="757" spans="1:9" ht="15.6" x14ac:dyDescent="0.3">
      <c r="A757" s="1" t="s">
        <v>4</v>
      </c>
      <c r="B757" s="1" t="s">
        <v>4</v>
      </c>
      <c r="C757" s="10" t="s">
        <v>4</v>
      </c>
      <c r="D757" s="5" t="s">
        <v>747</v>
      </c>
      <c r="E757" s="1" t="str">
        <f ca="1">IFERROR(__xludf.DUMMYFUNCTION("GOOGLETRANSLATE(D757, ""bn"", ""en"")")," Tell me not of those who have transgressed, they shall be drowned. He began to build boats and whenever the chiefs of his community passed by him, they mocked him. ...as you scoff and you will soon know, on whom will come the humiliating punishment and o"&amp;"n him will fall the eternal punishment.")</f>
        <v xml:space="preserve"> Tell me not of those who have transgressed, they shall be drowned. He began to build boats and whenever the chiefs of his community passed by him, they mocked him. ...as you scoff and you will soon know, on whom will come the humiliating punishment and on him will fall the eternal punishment.</v>
      </c>
      <c r="F757" s="1"/>
      <c r="G757" s="1"/>
      <c r="H757" s="1"/>
      <c r="I757" s="1"/>
    </row>
    <row r="758" spans="1:9" ht="15.6" x14ac:dyDescent="0.3">
      <c r="A758" s="1" t="s">
        <v>9</v>
      </c>
      <c r="B758" s="1" t="s">
        <v>9</v>
      </c>
      <c r="C758" s="10" t="s">
        <v>9</v>
      </c>
      <c r="D758" s="5" t="s">
        <v>748</v>
      </c>
      <c r="E758" s="1" t="str">
        <f ca="1">IFERROR(__xludf.DUMMYFUNCTION("GOOGLETRANSLATE(D758, ""bn"", ""en"")"),"I don't think this is biased behavior by the BBC. Here people of a religious community have been subjected to indiscriminate violence, their houses and temples have been set ablaze. They are victims. And those who committed violence, or lost their lives i"&amp;"n the process of being prevented by the police, are attackers.")</f>
        <v>I don't think this is biased behavior by the BBC. Here people of a religious community have been subjected to indiscriminate violence, their houses and temples have been set ablaze. They are victims. And those who committed violence, or lost their lives in the process of being prevented by the police, are attackers.</v>
      </c>
      <c r="F758" s="1"/>
      <c r="G758" s="1"/>
      <c r="H758" s="1"/>
      <c r="I758" s="1"/>
    </row>
    <row r="759" spans="1:9" ht="15.6" x14ac:dyDescent="0.3">
      <c r="A759" s="1" t="s">
        <v>5</v>
      </c>
      <c r="B759" s="1" t="s">
        <v>5</v>
      </c>
      <c r="C759" s="10" t="s">
        <v>5</v>
      </c>
      <c r="D759" s="5" t="s">
        <v>749</v>
      </c>
      <c r="E759" s="1" t="str">
        <f ca="1">IFERROR(__xludf.DUMMYFUNCTION("GOOGLETRANSLATE(D759, ""bn"", ""en"")"),"Several other philosophical schools emerged in ancient and medieval India that rejected the Vedas and propagated somewhat similar philosophical ideas. ")</f>
        <v>Several other philosophical schools emerged in ancient and medieval India that rejected the Vedas and propagated somewhat similar philosophical ideas. </v>
      </c>
      <c r="F759" s="1"/>
      <c r="G759" s="1"/>
      <c r="H759" s="1"/>
      <c r="I759" s="1"/>
    </row>
    <row r="760" spans="1:9" ht="15.6" x14ac:dyDescent="0.3">
      <c r="A760" s="1" t="s">
        <v>9</v>
      </c>
      <c r="B760" s="1" t="s">
        <v>4</v>
      </c>
      <c r="C760" s="10" t="s">
        <v>9</v>
      </c>
      <c r="D760" s="5" t="s">
        <v>750</v>
      </c>
      <c r="E760" s="1" t="str">
        <f ca="1">IFERROR(__xludf.DUMMYFUNCTION("GOOGLETRANSLATE(D760, ""bn"", ""en"")"),"In contemporary society, Christians are persecuted in Iran and other parts of the Middle East, for example, for proselytizing, which is illegal there. [96] [97] [98] An estimated 100–200 million Christians have been attacked, the majority persecuted in Mu"&amp;"slim-majority countries. ")</f>
        <v>In contemporary society, Christians are persecuted in Iran and other parts of the Middle East, for example, for proselytizing, which is illegal there. [96] [97] [98] An estimated 100–200 million Christians have been attacked, the majority persecuted in Muslim-majority countries. </v>
      </c>
      <c r="F760" s="1"/>
      <c r="G760" s="1"/>
      <c r="H760" s="1"/>
      <c r="I760" s="1"/>
    </row>
    <row r="761" spans="1:9" ht="15.6" x14ac:dyDescent="0.3">
      <c r="A761" s="1" t="s">
        <v>9</v>
      </c>
      <c r="B761" s="1" t="s">
        <v>9</v>
      </c>
      <c r="C761" s="10" t="s">
        <v>9</v>
      </c>
      <c r="D761" s="5" t="s">
        <v>751</v>
      </c>
      <c r="E761" s="1" t="str">
        <f ca="1">IFERROR(__xludf.DUMMYFUNCTION("GOOGLETRANSLATE(D761, ""bn"", ""en"")"),"On June 20, a 11th class student (18) of Chardakatiya area of ​​Chitalmari Upazila of Bagerhat posted and shared a video insulting Islam and Hazrat Mohammad from her Facebook ID. Police arrested him on Sunday (June 19) night when there was tension in the "&amp;"area after this incident.")</f>
        <v>On June 20, a 11th class student (18) of Chardakatiya area of ​​Chitalmari Upazila of Bagerhat posted and shared a video insulting Islam and Hazrat Mohammad from her Facebook ID. Police arrested him on Sunday (June 19) night when there was tension in the area after this incident.</v>
      </c>
      <c r="F761" s="1"/>
      <c r="G761" s="1"/>
      <c r="H761" s="1"/>
      <c r="I761" s="1"/>
    </row>
    <row r="762" spans="1:9" ht="15.6" x14ac:dyDescent="0.3">
      <c r="A762" s="1" t="s">
        <v>4</v>
      </c>
      <c r="B762" s="1" t="s">
        <v>4</v>
      </c>
      <c r="C762" s="10" t="s">
        <v>4</v>
      </c>
      <c r="D762" s="5" t="s">
        <v>752</v>
      </c>
      <c r="E762" s="1" t="str">
        <f ca="1">IFERROR(__xludf.DUMMYFUNCTION("GOOGLETRANSLATE(D762, ""bn"", ""en"")"),"When Taskin's wife veiled, the so-called progressivists left Taskin in a frenzy.")</f>
        <v>When Taskin's wife veiled, the so-called progressivists left Taskin in a frenzy.</v>
      </c>
      <c r="F762" s="1"/>
      <c r="G762" s="1"/>
      <c r="H762" s="1"/>
      <c r="I762" s="1"/>
    </row>
    <row r="763" spans="1:9" ht="15.6" x14ac:dyDescent="0.3">
      <c r="A763" s="1" t="s">
        <v>9</v>
      </c>
      <c r="B763" s="1" t="s">
        <v>4</v>
      </c>
      <c r="C763" s="10" t="s">
        <v>9</v>
      </c>
      <c r="D763" s="5" t="s">
        <v>753</v>
      </c>
      <c r="E763" s="1" t="str">
        <f ca="1">IFERROR(__xludf.DUMMYFUNCTION("GOOGLETRANSLATE(D763, ""bn"", ""en"")"),"A particular cabal is conspiring to destroy religious harmony in Bangladesh. They want a Hindu Muslim riot. ")</f>
        <v xml:space="preserve">A particular cabal is conspiring to destroy religious harmony in Bangladesh. They want a Hindu Muslim riot. </v>
      </c>
      <c r="F763" s="1"/>
      <c r="G763" s="1"/>
      <c r="H763" s="1"/>
      <c r="I763" s="1"/>
    </row>
    <row r="764" spans="1:9" ht="15.6" x14ac:dyDescent="0.3">
      <c r="A764" s="1" t="s">
        <v>9</v>
      </c>
      <c r="B764" s="1" t="s">
        <v>5</v>
      </c>
      <c r="C764" s="10" t="s">
        <v>9</v>
      </c>
      <c r="D764" s="5" t="s">
        <v>754</v>
      </c>
      <c r="E764" s="1" t="str">
        <f ca="1">IFERROR(__xludf.DUMMYFUNCTION("GOOGLETRANSLATE(D764, ""bn"", ""en"")"),"During the First World War in 1912-13, 13,000 Muslims in the region were forcibly converted to Christianity.")</f>
        <v>During the First World War in 1912-13, 13,000 Muslims in the region were forcibly converted to Christianity.</v>
      </c>
      <c r="F764" s="1"/>
      <c r="G764" s="1"/>
      <c r="H764" s="1"/>
      <c r="I764" s="1"/>
    </row>
    <row r="765" spans="1:9" ht="15.6" x14ac:dyDescent="0.3">
      <c r="A765" s="1" t="s">
        <v>4</v>
      </c>
      <c r="B765" s="1" t="s">
        <v>4</v>
      </c>
      <c r="C765" s="10" t="s">
        <v>4</v>
      </c>
      <c r="D765" s="5" t="s">
        <v>755</v>
      </c>
      <c r="E765" s="1" t="str">
        <f ca="1">IFERROR(__xludf.DUMMYFUNCTION("GOOGLETRANSLATE(D765, ""bn"", ""en"")"),"Hindus place the Koran at the feet of their idols, and none of their hairs are shaved. The Muslims protested and were beaten. ")</f>
        <v>Hindus place the Koran at the feet of their idols, and none of their hairs are shaved. The Muslims protested and were beaten. </v>
      </c>
      <c r="F765" s="1"/>
      <c r="G765" s="1"/>
      <c r="H765" s="1"/>
      <c r="I765" s="1"/>
    </row>
    <row r="766" spans="1:9" ht="15.6" x14ac:dyDescent="0.3">
      <c r="A766" s="1" t="s">
        <v>7</v>
      </c>
      <c r="B766" s="1" t="s">
        <v>7</v>
      </c>
      <c r="C766" s="10" t="s">
        <v>7</v>
      </c>
      <c r="D766" s="5" t="s">
        <v>756</v>
      </c>
      <c r="E766" s="1" t="str">
        <f ca="1">IFERROR(__xludf.DUMMYFUNCTION("GOOGLETRANSLATE(D766, ""bn"", ""en"")"),"Research shows that there is no religious education among those who commit suicide. Even if it is insufficient. ")</f>
        <v>Research shows that there is no religious education among those who commit suicide. Even if it is insufficient. </v>
      </c>
      <c r="F766" s="1"/>
      <c r="G766" s="1"/>
      <c r="H766" s="1"/>
      <c r="I766" s="1"/>
    </row>
    <row r="767" spans="1:9" ht="15.6" x14ac:dyDescent="0.3">
      <c r="A767" s="1" t="s">
        <v>7</v>
      </c>
      <c r="B767" s="1" t="s">
        <v>7</v>
      </c>
      <c r="C767" s="10" t="s">
        <v>7</v>
      </c>
      <c r="D767" s="5" t="s">
        <v>757</v>
      </c>
      <c r="E767" s="1" t="str">
        <f ca="1">IFERROR(__xludf.DUMMYFUNCTION("GOOGLETRANSLATE(D767, ""bn"", ""en"")"),"A woman with the body of any of her relatives, whether such cremation or burial is claimed to be voluntary on the part of the widow or women or otherwise.")</f>
        <v>A woman with the body of any of her relatives, whether such cremation or burial is claimed to be voluntary on the part of the widow or women or otherwise.</v>
      </c>
      <c r="F767" s="1"/>
      <c r="G767" s="1"/>
      <c r="H767" s="1"/>
      <c r="I767" s="1"/>
    </row>
    <row r="768" spans="1:9" ht="15.6" x14ac:dyDescent="0.3">
      <c r="A768" s="1" t="s">
        <v>9</v>
      </c>
      <c r="B768" s="1" t="s">
        <v>9</v>
      </c>
      <c r="C768" s="10" t="s">
        <v>9</v>
      </c>
      <c r="D768" s="5" t="s">
        <v>758</v>
      </c>
      <c r="E768" s="1" t="str">
        <f ca="1">IFERROR(__xludf.DUMMYFUNCTION("GOOGLETRANSLATE(D768, ""bn"", ""en"")"),"Soon after the procession and speeches were over at around 1 pm, the Muslims started looting Hindu houses and shops and set them on fire.")</f>
        <v>Soon after the procession and speeches were over at around 1 pm, the Muslims started looting Hindu houses and shops and set them on fire.</v>
      </c>
      <c r="F768" s="1"/>
      <c r="G768" s="1"/>
      <c r="H768" s="1"/>
      <c r="I768" s="1"/>
    </row>
    <row r="769" spans="1:9" ht="15.6" x14ac:dyDescent="0.3">
      <c r="A769" s="1" t="s">
        <v>9</v>
      </c>
      <c r="B769" s="1" t="s">
        <v>9</v>
      </c>
      <c r="C769" s="10" t="s">
        <v>9</v>
      </c>
      <c r="D769" s="5" t="s">
        <v>759</v>
      </c>
      <c r="E769" s="1" t="str">
        <f ca="1">IFERROR(__xludf.DUMMYFUNCTION("GOOGLETRANSLATE(D769, ""bn"", ""en"")"),"Houses of 200 Hindu families were vandalized in Kalia. 3 Awami League workers were hacked and injured in Patharghata")</f>
        <v>Houses of 200 Hindu families were vandalized in Kalia. 3 Awami League workers were hacked and injured in Patharghata</v>
      </c>
      <c r="F769" s="1"/>
      <c r="G769" s="1"/>
      <c r="H769" s="1"/>
      <c r="I769" s="1"/>
    </row>
    <row r="770" spans="1:9" ht="15.6" x14ac:dyDescent="0.3">
      <c r="A770" s="1" t="s">
        <v>9</v>
      </c>
      <c r="B770" s="1" t="s">
        <v>4</v>
      </c>
      <c r="C770" s="10" t="s">
        <v>9</v>
      </c>
      <c r="D770" s="5" t="s">
        <v>760</v>
      </c>
      <c r="E770" s="1" t="str">
        <f ca="1">IFERROR(__xludf.DUMMYFUNCTION("GOOGLETRANSLATE(D770, ""bn"", ""en"")"),"Ujjal Hasan (21) of neighboring Bara Majidpur village had an argument with Paritosh Sarkar of Majhipara village in Ramnathpur union 40 days before the attack in Pirganj for making objectionable comments. Ujjwal sends screenshots of the offending post to v"&amp;"arious people to discipline Paritosh. People around it get organized and excited.")</f>
        <v>Ujjal Hasan (21) of neighboring Bara Majidpur village had an argument with Paritosh Sarkar of Majhipara village in Ramnathpur union 40 days before the attack in Pirganj for making objectionable comments. Ujjwal sends screenshots of the offending post to various people to discipline Paritosh. People around it get organized and excited.</v>
      </c>
      <c r="F770" s="1"/>
      <c r="G770" s="1"/>
      <c r="H770" s="1"/>
      <c r="I770" s="1"/>
    </row>
    <row r="771" spans="1:9" ht="15.6" x14ac:dyDescent="0.3">
      <c r="A771" s="1" t="s">
        <v>7</v>
      </c>
      <c r="B771" s="1" t="s">
        <v>7</v>
      </c>
      <c r="C771" s="10" t="s">
        <v>7</v>
      </c>
      <c r="D771" s="5" t="s">
        <v>761</v>
      </c>
      <c r="E771" s="1" t="str">
        <f ca="1">IFERROR(__xludf.DUMMYFUNCTION("GOOGLETRANSLATE(D771, ""bn"", ""en"")")," Many have already died of malnutrition and dehydration, including children. Desperate with hunger, people are crying out for relief. Relief trucks are jumping at the sight, rushing for relief.")</f>
        <v> Many have already died of malnutrition and dehydration, including children. Desperate with hunger, people are crying out for relief. Relief trucks are jumping at the sight, rushing for relief.</v>
      </c>
      <c r="F771" s="1"/>
      <c r="G771" s="1"/>
      <c r="H771" s="1"/>
      <c r="I771" s="1"/>
    </row>
    <row r="772" spans="1:9" ht="15.6" x14ac:dyDescent="0.3">
      <c r="A772" s="1" t="s">
        <v>7</v>
      </c>
      <c r="B772" s="1" t="s">
        <v>7</v>
      </c>
      <c r="C772" s="10" t="s">
        <v>7</v>
      </c>
      <c r="D772" s="5" t="s">
        <v>762</v>
      </c>
      <c r="E772" s="1" t="str">
        <f ca="1">IFERROR(__xludf.DUMMYFUNCTION("GOOGLETRANSLATE(D772, ""bn"", ""en"")"),"During the liberation war of Bangladesh in 1971, many people of the minority Hindu community were massacred because of their religious identity.")</f>
        <v>During the liberation war of Bangladesh in 1971, many people of the minority Hindu community were massacred because of their religious identity.</v>
      </c>
      <c r="F772" s="1"/>
      <c r="G772" s="1"/>
      <c r="H772" s="1"/>
      <c r="I772" s="1"/>
    </row>
    <row r="773" spans="1:9" ht="15.6" x14ac:dyDescent="0.3">
      <c r="A773" s="4" t="s">
        <v>7</v>
      </c>
      <c r="B773" s="4" t="s">
        <v>7</v>
      </c>
      <c r="C773" s="11" t="s">
        <v>7</v>
      </c>
      <c r="D773" s="5" t="s">
        <v>763</v>
      </c>
      <c r="E773" s="1" t="str">
        <f ca="1">IFERROR(__xludf.DUMMYFUNCTION("GOOGLETRANSLATE(D773, ""bn"", ""en"")"),"In 1990, LTTE rebels killed Muslims in northern and eastern Sri Lanka.")</f>
        <v>In 1990, LTTE rebels killed Muslims in northern and eastern Sri Lanka.</v>
      </c>
      <c r="F773" s="1"/>
      <c r="G773" s="1"/>
      <c r="H773" s="1"/>
      <c r="I773" s="1"/>
    </row>
    <row r="774" spans="1:9" ht="15.6" x14ac:dyDescent="0.3">
      <c r="A774" s="1" t="s">
        <v>5</v>
      </c>
      <c r="B774" s="1" t="s">
        <v>5</v>
      </c>
      <c r="C774" s="10" t="s">
        <v>5</v>
      </c>
      <c r="D774" s="5" t="s">
        <v>764</v>
      </c>
      <c r="E774" s="1" t="str">
        <f ca="1">IFERROR(__xludf.DUMMYFUNCTION("GOOGLETRANSLATE(D774, ""bn"", ""en"")"),"Hindu Muslims sit and eat together and people of all religions live side by side in this country. So, don't question the tolerant and cordial relationship between the Hindu Muslims of this country by slapping sesame seeds. ")</f>
        <v xml:space="preserve">Hindu Muslims sit and eat together and people of all religions live side by side in this country. So, don't question the tolerant and cordial relationship between the Hindu Muslims of this country by slapping sesame seeds. </v>
      </c>
      <c r="F774" s="1"/>
      <c r="G774" s="1"/>
      <c r="H774" s="1"/>
      <c r="I774" s="1"/>
    </row>
    <row r="775" spans="1:9" ht="15.6" x14ac:dyDescent="0.3">
      <c r="A775" s="1" t="s">
        <v>4</v>
      </c>
      <c r="B775" s="1" t="s">
        <v>4</v>
      </c>
      <c r="C775" s="10" t="s">
        <v>4</v>
      </c>
      <c r="D775" s="5" t="s">
        <v>765</v>
      </c>
      <c r="E775" s="1" t="str">
        <f ca="1">IFERROR(__xludf.DUMMYFUNCTION("GOOGLETRANSLATE(D775, ""bn"", ""en"")"),"The Rajakars or their descendants never sought independence.")</f>
        <v>The Rajakars or their descendants never sought independence.</v>
      </c>
      <c r="F775" s="1"/>
      <c r="G775" s="1"/>
      <c r="H775" s="1"/>
      <c r="I775" s="1"/>
    </row>
    <row r="776" spans="1:9" ht="15.6" x14ac:dyDescent="0.3">
      <c r="A776" s="1" t="s">
        <v>7</v>
      </c>
      <c r="B776" s="1" t="s">
        <v>7</v>
      </c>
      <c r="C776" s="10" t="s">
        <v>7</v>
      </c>
      <c r="D776" s="5" t="s">
        <v>766</v>
      </c>
      <c r="E776" s="1" t="str">
        <f ca="1">IFERROR(__xludf.DUMMYFUNCTION("GOOGLETRANSLATE(D776, ""bn"", ""en"")"),"There is no peace. The board of people is running on whether to pray or not to rain, to be buried or to be burned. The body is not given to the medical college. ")</f>
        <v xml:space="preserve">There is no peace. The board of people is running on whether to pray or not to rain, to be buried or to be burned. The body is not given to the medical college. </v>
      </c>
      <c r="F776" s="1"/>
      <c r="G776" s="1"/>
      <c r="H776" s="1"/>
      <c r="I776" s="1"/>
    </row>
    <row r="777" spans="1:9" ht="15.6" x14ac:dyDescent="0.3">
      <c r="A777" s="1" t="s">
        <v>4</v>
      </c>
      <c r="B777" s="1" t="s">
        <v>4</v>
      </c>
      <c r="C777" s="10" t="s">
        <v>4</v>
      </c>
      <c r="D777" s="5" t="s">
        <v>767</v>
      </c>
      <c r="E777" s="1" t="str">
        <f ca="1">IFERROR(__xludf.DUMMYFUNCTION("GOOGLETRANSLATE(D777, ""bn"", ""en"")"),"A heartbreaking incident like being fired for talking about the Islamic creed as a Muslim happened in a ninety percent Muslim country! ")</f>
        <v xml:space="preserve">A heartbreaking incident like being fired for talking about the Islamic creed as a Muslim happened in a ninety percent Muslim country! </v>
      </c>
      <c r="F777" s="1"/>
      <c r="G777" s="1"/>
      <c r="H777" s="1"/>
      <c r="I777" s="1"/>
    </row>
    <row r="778" spans="1:9" ht="15.6" x14ac:dyDescent="0.3">
      <c r="A778" s="1" t="s">
        <v>4</v>
      </c>
      <c r="B778" s="1" t="s">
        <v>4</v>
      </c>
      <c r="C778" s="10" t="s">
        <v>4</v>
      </c>
      <c r="D778" s="5" t="s">
        <v>768</v>
      </c>
      <c r="E778" s="1" t="str">
        <f ca="1">IFERROR(__xludf.DUMMYFUNCTION("GOOGLETRANSLATE(D778, ""bn"", ""en"")"),"Misleading people about us, distorting videos, publishing our writings out of context, creating fake screenshots, discrediting our professional skills, giving false reviews on our client/patient sites - there is nothing they don't do! ")</f>
        <v xml:space="preserve">Misleading people about us, distorting videos, publishing our writings out of context, creating fake screenshots, discrediting our professional skills, giving false reviews on our client/patient sites - there is nothing they don't do! </v>
      </c>
      <c r="F778" s="1"/>
      <c r="G778" s="1"/>
      <c r="H778" s="1"/>
      <c r="I778" s="1"/>
    </row>
    <row r="779" spans="1:9" ht="15.6" x14ac:dyDescent="0.3">
      <c r="A779" s="1" t="s">
        <v>9</v>
      </c>
      <c r="B779" s="1" t="s">
        <v>9</v>
      </c>
      <c r="C779" s="10" t="s">
        <v>9</v>
      </c>
      <c r="D779" s="5" t="s">
        <v>769</v>
      </c>
      <c r="E779" s="1" t="str">
        <f ca="1">IFERROR(__xludf.DUMMYFUNCTION("GOOGLETRANSLATE(D779, ""bn"", ""en"")"),"A bombing at a mosque in Minnesota has sparked panic in the Muslim community and has been labeled a hate crime.")</f>
        <v>A bombing at a mosque in Minnesota has sparked panic in the Muslim community and has been labeled a hate crime.</v>
      </c>
      <c r="F779" s="1"/>
      <c r="G779" s="1"/>
      <c r="H779" s="1"/>
      <c r="I779" s="1"/>
    </row>
    <row r="780" spans="1:9" ht="15.6" x14ac:dyDescent="0.3">
      <c r="A780" s="4" t="s">
        <v>7</v>
      </c>
      <c r="B780" s="4" t="s">
        <v>7</v>
      </c>
      <c r="C780" s="11" t="s">
        <v>7</v>
      </c>
      <c r="D780" s="5" t="s">
        <v>770</v>
      </c>
      <c r="E780" s="1" t="str">
        <f ca="1">IFERROR(__xludf.DUMMYFUNCTION("GOOGLETRANSLATE(D780, ""bn"", ""en"")"),"In another incident, several Cham Muslims were killed by government troops in June 1975 for attending prayers instead of attending CPK meetings. Things started to take a turn for the worse from mid-1975 onwards. Minorities were then forced to express thei"&amp;"r allegiance only to Khmer nationality and religion: it was said that there would be no identity other than Khmer.")</f>
        <v>In another incident, several Cham Muslims were killed by government troops in June 1975 for attending prayers instead of attending CPK meetings. Things started to take a turn for the worse from mid-1975 onwards. Minorities were then forced to express their allegiance only to Khmer nationality and religion: it was said that there would be no identity other than Khmer.</v>
      </c>
      <c r="F780" s="1"/>
      <c r="G780" s="1"/>
      <c r="H780" s="1"/>
      <c r="I780" s="1"/>
    </row>
    <row r="781" spans="1:9" ht="15.6" x14ac:dyDescent="0.3">
      <c r="A781" s="1" t="s">
        <v>4</v>
      </c>
      <c r="B781" s="1" t="s">
        <v>4</v>
      </c>
      <c r="C781" s="10" t="s">
        <v>4</v>
      </c>
      <c r="D781" s="5" t="s">
        <v>771</v>
      </c>
      <c r="E781" s="1" t="str">
        <f ca="1">IFERROR(__xludf.DUMMYFUNCTION("GOOGLETRANSLATE(D781, ""bn"", ""en"")"),"You recognize them, as if they all look like human beings, but they are basically savage beasts....and yes, the escape of people from the so-called kingdom of peace is not noticed by them....may be peace will be established now, whether the sons of the re"&amp;"ligion of peace will rule with guns or not...")</f>
        <v>You recognize them, as if they all look like human beings, but they are basically savage beasts....and yes, the escape of people from the so-called kingdom of peace is not noticed by them....may be peace will be established now, whether the sons of the religion of peace will rule with guns or not...</v>
      </c>
      <c r="F781" s="1"/>
      <c r="G781" s="1"/>
      <c r="H781" s="1"/>
      <c r="I781" s="1"/>
    </row>
    <row r="782" spans="1:9" ht="15.6" x14ac:dyDescent="0.3">
      <c r="A782" s="1" t="s">
        <v>9</v>
      </c>
      <c r="B782" s="1" t="s">
        <v>9</v>
      </c>
      <c r="C782" s="10" t="s">
        <v>9</v>
      </c>
      <c r="D782" s="5" t="s">
        <v>772</v>
      </c>
      <c r="E782" s="1" t="str">
        <f ca="1">IFERROR(__xludf.DUMMYFUNCTION("GOOGLETRANSLATE(D782, ""bn"", ""en"")"),"Shortly after midnight on March 2, around 30-40 miscreants attacked Hindus at their house in Uttarganj Maheshpur village of Dinajpur Sadar Upazila in Dinajpur district, abusing and threatening them.")</f>
        <v>Shortly after midnight on March 2, around 30-40 miscreants attacked Hindus at their house in Uttarganj Maheshpur village of Dinajpur Sadar Upazila in Dinajpur district, abusing and threatening them.</v>
      </c>
      <c r="F782" s="1"/>
      <c r="G782" s="1"/>
      <c r="H782" s="1"/>
      <c r="I782" s="1"/>
    </row>
    <row r="783" spans="1:9" ht="15.6" x14ac:dyDescent="0.3">
      <c r="A783" s="4" t="s">
        <v>7</v>
      </c>
      <c r="B783" s="4" t="s">
        <v>7</v>
      </c>
      <c r="C783" s="11" t="s">
        <v>7</v>
      </c>
      <c r="D783" s="5" t="s">
        <v>773</v>
      </c>
      <c r="E783" s="1" t="str">
        <f ca="1">IFERROR(__xludf.DUMMYFUNCTION("GOOGLETRANSLATE(D783, ""bn"", ""en"")"),"Lunavada village is on the banks of the Panam River in Gujarat Pandharwala village, near Lunavada village, was horribly affected by the riots during the 2002 Godhra massacre, a horrific communal riot in Gujarat. ")</f>
        <v>Lunavada village is on the banks of the Panam River in Gujarat Pandharwala village, near Lunavada village, was horribly affected by the riots during the 2002 Godhra massacre, a horrific communal riot in Gujarat. </v>
      </c>
      <c r="F783" s="1"/>
      <c r="G783" s="1"/>
      <c r="H783" s="1"/>
      <c r="I783" s="1"/>
    </row>
    <row r="784" spans="1:9" ht="15.6" x14ac:dyDescent="0.3">
      <c r="A784" s="1" t="s">
        <v>5</v>
      </c>
      <c r="B784" s="1" t="s">
        <v>5</v>
      </c>
      <c r="C784" s="10" t="s">
        <v>5</v>
      </c>
      <c r="D784" s="5" t="s">
        <v>774</v>
      </c>
      <c r="E784" s="1" t="str">
        <f ca="1">IFERROR(__xludf.DUMMYFUNCTION("GOOGLETRANSLATE(D784, ""bn"", ""en"")")," The festival is celebrated at North Mithachhari Prajnamitra Ban Vihar and Vimukti Vidharshan Bhavna Kendra in Ramu, Cox's Bazar. Festivals are celebrated with Sanghadan, Ashtapariskara donation, Dharamsabha, Cheebar and Kalpataru processions, and skyligh"&amp;"ting of lanterns.")</f>
        <v> The festival is celebrated at North Mithachhari Prajnamitra Ban Vihar and Vimukti Vidharshan Bhavna Kendra in Ramu, Cox's Bazar. Festivals are celebrated with Sanghadan, Ashtapariskara donation, Dharamsabha, Cheebar and Kalpataru processions, and skylighting of lanterns.</v>
      </c>
      <c r="F784" s="1"/>
      <c r="G784" s="1"/>
      <c r="H784" s="1"/>
      <c r="I784" s="1"/>
    </row>
    <row r="785" spans="1:9" ht="15.6" x14ac:dyDescent="0.3">
      <c r="A785" s="1" t="s">
        <v>4</v>
      </c>
      <c r="B785" s="1" t="s">
        <v>5</v>
      </c>
      <c r="C785" s="10" t="s">
        <v>4</v>
      </c>
      <c r="D785" s="5" t="s">
        <v>775</v>
      </c>
      <c r="E785" s="1" t="str">
        <f ca="1">IFERROR(__xludf.DUMMYFUNCTION("GOOGLETRANSLATE(D785, ""bn"", ""en"")"),"The distance from the mosque to the temple is about 1 km, in which there is another mosque called Shyamgarh Jame Masjid. Hindutva IDs online are boasting that a mosque is being built on the 'land' of the temple and they will not allow any mosque to be bui"&amp;"lt near the temple to facilitate noise pollution and idolatry.")</f>
        <v>The distance from the mosque to the temple is about 1 km, in which there is another mosque called Shyamgarh Jame Masjid. Hindutva IDs online are boasting that a mosque is being built on the 'land' of the temple and they will not allow any mosque to be built near the temple to facilitate noise pollution and idolatry.</v>
      </c>
      <c r="F785" s="1"/>
      <c r="G785" s="1"/>
      <c r="H785" s="1"/>
      <c r="I785" s="1"/>
    </row>
    <row r="786" spans="1:9" ht="15.6" x14ac:dyDescent="0.3">
      <c r="A786" s="1" t="s">
        <v>7</v>
      </c>
      <c r="B786" s="1" t="s">
        <v>7</v>
      </c>
      <c r="C786" s="10" t="s">
        <v>7</v>
      </c>
      <c r="D786" s="5" t="s">
        <v>776</v>
      </c>
      <c r="E786" s="1" t="str">
        <f ca="1">IFERROR(__xludf.DUMMYFUNCTION("GOOGLETRANSLATE(D786, ""bn"", ""en"")"),"He was buried by his associates in the Sri Angan courtyard near the pond of the Shiva temple. [5] According to the testimony of freedom fighter Prabodh Kumar Sarkar, Captain Jamshed had gone mad before his death. [5] After the independence of Bangladesh, "&amp;"the monks returned. They re-interred the holy remains of Lord Jagatbandhu and rebuilt the damaged temple. Gradually new monks started forming here.")</f>
        <v>He was buried by his associates in the Sri Angan courtyard near the pond of the Shiva temple. [5] According to the testimony of freedom fighter Prabodh Kumar Sarkar, Captain Jamshed had gone mad before his death. [5] After the independence of Bangladesh, the monks returned. They re-interred the holy remains of Lord Jagatbandhu and rebuilt the damaged temple. Gradually new monks started forming here.</v>
      </c>
      <c r="F786" s="1"/>
      <c r="G786" s="1"/>
      <c r="H786" s="1"/>
      <c r="I786" s="1"/>
    </row>
    <row r="787" spans="1:9" ht="15.6" x14ac:dyDescent="0.3">
      <c r="A787" s="1" t="s">
        <v>4</v>
      </c>
      <c r="B787" s="1" t="s">
        <v>4</v>
      </c>
      <c r="C787" s="10" t="s">
        <v>4</v>
      </c>
      <c r="D787" s="5" t="s">
        <v>777</v>
      </c>
      <c r="E787" s="1" t="str">
        <f ca="1">IFERROR(__xludf.DUMMYFUNCTION("GOOGLETRANSLATE(D787, ""bn"", ""en"")"),"Hindus don't have time to understand what you are thinking or not thinking. They just think they are Hindus so Muslims are killing them. And when the Hindus went to protest on Facebook about this, some Muslims caught them saying some hadith saying that Is"&amp;"lam is a religion of peace. Even then, when Hindus speak, they are again declaring those Hindus as insulting Islam. You will continue this essay until you realize that if the number is ever low in your life")</f>
        <v>Hindus don't have time to understand what you are thinking or not thinking. They just think they are Hindus so Muslims are killing them. And when the Hindus went to protest on Facebook about this, some Muslims caught them saying some hadith saying that Islam is a religion of peace. Even then, when Hindus speak, they are again declaring those Hindus as insulting Islam. You will continue this essay until you realize that if the number is ever low in your life</v>
      </c>
      <c r="F787" s="1"/>
      <c r="G787" s="1"/>
      <c r="H787" s="1"/>
      <c r="I787" s="1"/>
    </row>
    <row r="788" spans="1:9" ht="15.6" x14ac:dyDescent="0.3">
      <c r="A788" s="1" t="s">
        <v>5</v>
      </c>
      <c r="B788" s="1" t="s">
        <v>5</v>
      </c>
      <c r="C788" s="10" t="s">
        <v>5</v>
      </c>
      <c r="D788" s="5" t="s">
        <v>778</v>
      </c>
      <c r="E788" s="1" t="str">
        <f ca="1">IFERROR(__xludf.DUMMYFUNCTION("GOOGLETRANSLATE(D788, ""bn"", ""en"")"),"Navakumar Bhattacharya, head of the West Bengal Vedic Academy, was explaining that the Vaishnava sect is one of the five sects of Hinduism. Other sects are Shaiva, Shakta, Saura, and Ganapatya.")</f>
        <v>Navakumar Bhattacharya, head of the West Bengal Vedic Academy, was explaining that the Vaishnava sect is one of the five sects of Hinduism. Other sects are Shaiva, Shakta, Saura, and Ganapatya.</v>
      </c>
      <c r="F788" s="1"/>
      <c r="G788" s="1"/>
      <c r="H788" s="1"/>
      <c r="I788" s="1"/>
    </row>
    <row r="789" spans="1:9" ht="15.6" x14ac:dyDescent="0.3">
      <c r="A789" s="1" t="s">
        <v>7</v>
      </c>
      <c r="B789" s="1" t="s">
        <v>7</v>
      </c>
      <c r="C789" s="10" t="s">
        <v>7</v>
      </c>
      <c r="D789" s="5" t="s">
        <v>779</v>
      </c>
      <c r="E789" s="1" t="str">
        <f ca="1">IFERROR(__xludf.DUMMYFUNCTION("GOOGLETRANSLATE(D789, ""bn"", ""en"")"),"A Muslim teenager was beaten to death while returning from a fasting mosque, believed to be motivated by Islamophobia.")</f>
        <v>A Muslim teenager was beaten to death while returning from a fasting mosque, believed to be motivated by Islamophobia.</v>
      </c>
      <c r="F789" s="1"/>
      <c r="G789" s="1"/>
      <c r="H789" s="1"/>
      <c r="I789" s="1"/>
    </row>
    <row r="790" spans="1:9" ht="15.6" x14ac:dyDescent="0.3">
      <c r="A790" s="1" t="s">
        <v>4</v>
      </c>
      <c r="B790" s="1" t="s">
        <v>4</v>
      </c>
      <c r="C790" s="10" t="s">
        <v>4</v>
      </c>
      <c r="D790" s="5" t="s">
        <v>780</v>
      </c>
      <c r="E790" s="1" t="str">
        <f ca="1">IFERROR(__xludf.DUMMYFUNCTION("GOOGLETRANSLATE(D790, ""bn"", ""en"")"),"The United States submits an annual report to Congress on religious freedom and persecution. The report contains information that the United States collects from U.S. embassies around the world in cooperation with the Office of International Religious Fre"&amp;"edom and other relevant U.S. government and non-governmental organizations. Information is available to the public. [52] A 2018 study reports that, by country, religious freedom violations occur in about 75% of the world's 195 countries.")</f>
        <v>The United States submits an annual report to Congress on religious freedom and persecution. The report contains information that the United States collects from U.S. embassies around the world in cooperation with the Office of International Religious Freedom and other relevant U.S. government and non-governmental organizations. Information is available to the public. [52] A 2018 study reports that, by country, religious freedom violations occur in about 75% of the world's 195 countries.</v>
      </c>
      <c r="F790" s="1"/>
      <c r="G790" s="1"/>
      <c r="H790" s="1"/>
      <c r="I790" s="1"/>
    </row>
    <row r="791" spans="1:9" ht="15.6" x14ac:dyDescent="0.3">
      <c r="A791" s="1" t="s">
        <v>7</v>
      </c>
      <c r="B791" s="1" t="s">
        <v>7</v>
      </c>
      <c r="C791" s="10" t="s">
        <v>7</v>
      </c>
      <c r="D791" s="5" t="s">
        <v>781</v>
      </c>
      <c r="E791" s="1" t="str">
        <f ca="1">IFERROR(__xludf.DUMMYFUNCTION("GOOGLETRANSLATE(D791, ""bn"", ""en"")")," 13 people of Hindu community were raped, 10 gang rape victims, three people were killed after rape, 19 people were tried to rape, 95 people were converted, 21 people were tried to convert, 63 religious sentiments were hurt in the country.")</f>
        <v> 13 people of Hindu community were raped, 10 gang rape victims, three people were killed after rape, 19 people were tried to rape, 95 people were converted, 21 people were tried to convert, 63 religious sentiments were hurt in the country.</v>
      </c>
      <c r="F791" s="1"/>
      <c r="G791" s="1"/>
      <c r="H791" s="1"/>
      <c r="I791" s="1"/>
    </row>
    <row r="792" spans="1:9" ht="15.6" x14ac:dyDescent="0.3">
      <c r="A792" s="1" t="s">
        <v>9</v>
      </c>
      <c r="B792" s="1" t="s">
        <v>9</v>
      </c>
      <c r="C792" s="10" t="s">
        <v>9</v>
      </c>
      <c r="D792" s="5" t="s">
        <v>782</v>
      </c>
      <c r="E792" s="1" t="str">
        <f ca="1">IFERROR(__xludf.DUMMYFUNCTION("GOOGLETRANSLATE(D792, ""bn"", ""en"")"),"In the last five years, there have been several terrorist attacks in France, large and small. After each incident, the frustration and division between people is intensifying. Students' reaction to the killing of a teacher will be gauged when schools reop"&amp;"en in early November after a two-week vacation.")</f>
        <v>In the last five years, there have been several terrorist attacks in France, large and small. After each incident, the frustration and division between people is intensifying. Students' reaction to the killing of a teacher will be gauged when schools reopen in early November after a two-week vacation.</v>
      </c>
      <c r="F792" s="1"/>
      <c r="G792" s="1"/>
      <c r="H792" s="1"/>
      <c r="I792" s="1"/>
    </row>
    <row r="793" spans="1:9" ht="15.6" x14ac:dyDescent="0.3">
      <c r="A793" s="1" t="s">
        <v>4</v>
      </c>
      <c r="B793" s="1" t="s">
        <v>5</v>
      </c>
      <c r="C793" s="10" t="s">
        <v>4</v>
      </c>
      <c r="D793" s="5" t="s">
        <v>783</v>
      </c>
      <c r="E793" s="1" t="str">
        <f ca="1">IFERROR(__xludf.DUMMYFUNCTION("GOOGLETRANSLATE(D793, ""bn"", ""en"")"),"About 7,000 to 10,000 Hindus left their homes and took shelter in Jagannath College premises. However, the authorities could not arrange toilets there, which made the shelter somewhat unsanitary within days.")</f>
        <v>About 7,000 to 10,000 Hindus left their homes and took shelter in Jagannath College premises. However, the authorities could not arrange toilets there, which made the shelter somewhat unsanitary within days.</v>
      </c>
      <c r="F793" s="1"/>
      <c r="G793" s="1"/>
      <c r="H793" s="1"/>
      <c r="I793" s="1"/>
    </row>
    <row r="794" spans="1:9" ht="15.6" x14ac:dyDescent="0.3">
      <c r="A794" s="1" t="s">
        <v>4</v>
      </c>
      <c r="B794" s="1" t="s">
        <v>4</v>
      </c>
      <c r="C794" s="10" t="s">
        <v>4</v>
      </c>
      <c r="D794" s="5" t="s">
        <v>784</v>
      </c>
      <c r="E794" s="1" t="str">
        <f ca="1">IFERROR(__xludf.DUMMYFUNCTION("GOOGLETRANSLATE(D794, ""bn"", ""en"")"),"200,000 Palestinians, one-tenth of Gaza's total population, have been displaced since hostilities began. Fears of a humanitarian crisis have increased after Israel cut off food, water, electricity and fuel supplies to the already besieged Gaza Strip.")</f>
        <v>200,000 Palestinians, one-tenth of Gaza's total population, have been displaced since hostilities began. Fears of a humanitarian crisis have increased after Israel cut off food, water, electricity and fuel supplies to the already besieged Gaza Strip.</v>
      </c>
      <c r="F794" s="1"/>
      <c r="G794" s="1"/>
      <c r="H794" s="1"/>
      <c r="I794" s="1"/>
    </row>
    <row r="795" spans="1:9" ht="15.6" x14ac:dyDescent="0.3">
      <c r="A795" s="1" t="s">
        <v>4</v>
      </c>
      <c r="B795" s="1" t="s">
        <v>5</v>
      </c>
      <c r="C795" s="10" t="s">
        <v>4</v>
      </c>
      <c r="D795" s="5" t="s">
        <v>785</v>
      </c>
      <c r="E795" s="1" t="str">
        <f ca="1">IFERROR(__xludf.DUMMYFUNCTION("GOOGLETRANSLATE(D795, ""bn"", ""en"")"),"Many things of traditional religion have been lost from our Bengal. First the Muslim rulers, then the British rulers erased many of our traditional Hindu traditions.")</f>
        <v>Many things of traditional religion have been lost from our Bengal. First the Muslim rulers, then the British rulers erased many of our traditional Hindu traditions.</v>
      </c>
      <c r="F795" s="1"/>
      <c r="G795" s="1"/>
      <c r="H795" s="1"/>
      <c r="I795" s="1"/>
    </row>
    <row r="796" spans="1:9" ht="15.6" x14ac:dyDescent="0.3">
      <c r="A796" s="1" t="s">
        <v>5</v>
      </c>
      <c r="B796" s="1" t="s">
        <v>5</v>
      </c>
      <c r="C796" s="10" t="s">
        <v>5</v>
      </c>
      <c r="D796" s="5" t="s">
        <v>786</v>
      </c>
      <c r="E796" s="1" t="str">
        <f ca="1">IFERROR(__xludf.DUMMYFUNCTION("GOOGLETRANSLATE(D796, ""bn"", ""en"")"),"The Qur'an is very precious to the lives of Muslims, so all Muslim brothers protect the Qur'an even with their lives")</f>
        <v>The Qur'an is very precious to the lives of Muslims, so all Muslim brothers protect the Qur'an even with their lives</v>
      </c>
      <c r="F796" s="1"/>
      <c r="G796" s="1"/>
      <c r="H796" s="1"/>
      <c r="I796" s="1"/>
    </row>
    <row r="797" spans="1:9" ht="15.6" x14ac:dyDescent="0.3">
      <c r="A797" s="1" t="s">
        <v>5</v>
      </c>
      <c r="B797" s="1" t="s">
        <v>5</v>
      </c>
      <c r="C797" s="10" t="s">
        <v>5</v>
      </c>
      <c r="D797" s="5" t="s">
        <v>787</v>
      </c>
      <c r="E797" s="1" t="str">
        <f ca="1">IFERROR(__xludf.DUMMYFUNCTION("GOOGLETRANSLATE(D797, ""bn"", ""en"")"),"Shabbat in Japan is an important event for Muslims in Japan. In Islam, there are several Islamic ceremonies that have their own significance. ")</f>
        <v>Shabbat in Japan is an important event for Muslims in Japan. In Islam, there are several Islamic ceremonies that have their own significance. </v>
      </c>
      <c r="F797" s="1"/>
      <c r="G797" s="1"/>
      <c r="H797" s="1"/>
      <c r="I797" s="1"/>
    </row>
    <row r="798" spans="1:9" ht="15.6" x14ac:dyDescent="0.3">
      <c r="A798" s="1" t="s">
        <v>7</v>
      </c>
      <c r="B798" s="1" t="s">
        <v>7</v>
      </c>
      <c r="C798" s="10" t="s">
        <v>7</v>
      </c>
      <c r="D798" s="5" t="s">
        <v>788</v>
      </c>
      <c r="E798" s="1" t="str">
        <f ca="1">IFERROR(__xludf.DUMMYFUNCTION("GOOGLETRANSLATE(D798, ""bn"", ""en"")"),"In 1967, Hindu-Muslim riots in Ranchi and Hatia, Jharkhand killed 184 people and destroyed a lot of property.")</f>
        <v>In 1967, Hindu-Muslim riots in Ranchi and Hatia, Jharkhand killed 184 people and destroyed a lot of property.</v>
      </c>
      <c r="F798" s="1"/>
      <c r="G798" s="1"/>
      <c r="H798" s="1"/>
      <c r="I798" s="1"/>
    </row>
    <row r="799" spans="1:9" ht="15.6" x14ac:dyDescent="0.3">
      <c r="A799" s="1" t="s">
        <v>7</v>
      </c>
      <c r="B799" s="1" t="s">
        <v>7</v>
      </c>
      <c r="C799" s="10" t="s">
        <v>7</v>
      </c>
      <c r="D799" s="5" t="s">
        <v>789</v>
      </c>
      <c r="E799" s="1" t="str">
        <f ca="1">IFERROR(__xludf.DUMMYFUNCTION("GOOGLETRANSLATE(D799, ""bn"", ""en"")"),"Five people from the Hindu community were killed in the six months from January to June this year. An attempt has been made to kill one person. The Law and Arbitration Center's ""Numerical Report on Human Rights Violations"" has said this. The report was "&amp;"sent to the media on Thursday. ")</f>
        <v xml:space="preserve">Five people from the Hindu community were killed in the six months from January to June this year. An attempt has been made to kill one person. The Law and Arbitration Center's "Numerical Report on Human Rights Violations" has said this. The report was sent to the media on Thursday. </v>
      </c>
      <c r="F799" s="1"/>
      <c r="G799" s="1"/>
      <c r="H799" s="1"/>
      <c r="I799" s="1"/>
    </row>
    <row r="800" spans="1:9" ht="15.6" x14ac:dyDescent="0.3">
      <c r="A800" s="1" t="s">
        <v>9</v>
      </c>
      <c r="B800" s="1" t="s">
        <v>9</v>
      </c>
      <c r="C800" s="10" t="s">
        <v>9</v>
      </c>
      <c r="D800" s="5" t="s">
        <v>790</v>
      </c>
      <c r="E800" s="1" t="str">
        <f ca="1">IFERROR(__xludf.DUMMYFUNCTION("GOOGLETRANSLATE(D800, ""bn"", ""en"")"),"Instead of fighting against people of other religions, respect and compassion should be shown to them.")</f>
        <v>Instead of fighting against people of other religions, respect and compassion should be shown to them.</v>
      </c>
      <c r="F800" s="1"/>
      <c r="G800" s="1"/>
      <c r="H800" s="1"/>
      <c r="I800" s="1"/>
    </row>
    <row r="801" spans="1:9" ht="15.6" x14ac:dyDescent="0.3">
      <c r="A801" s="1" t="s">
        <v>4</v>
      </c>
      <c r="B801" s="1" t="s">
        <v>5</v>
      </c>
      <c r="C801" s="10" t="s">
        <v>4</v>
      </c>
      <c r="D801" s="5" t="s">
        <v>791</v>
      </c>
      <c r="E801" s="1" t="str">
        <f ca="1">IFERROR(__xludf.DUMMYFUNCTION("GOOGLETRANSLATE(D801, ""bn"", ""en"")"),"Haram things have to be accepted outside of religion. Those who accept and comment on them (celebrities) are all their non-religious personal matters. ")</f>
        <v xml:space="preserve">Haram things have to be accepted outside of religion. Those who accept and comment on them (celebrities) are all their non-religious personal matters. </v>
      </c>
      <c r="F801" s="1"/>
      <c r="G801" s="1"/>
      <c r="H801" s="1"/>
      <c r="I801" s="1"/>
    </row>
    <row r="802" spans="1:9" ht="15.6" x14ac:dyDescent="0.3">
      <c r="A802" s="1" t="s">
        <v>9</v>
      </c>
      <c r="B802" s="1" t="s">
        <v>9</v>
      </c>
      <c r="C802" s="10" t="s">
        <v>9</v>
      </c>
      <c r="D802" s="5" t="s">
        <v>792</v>
      </c>
      <c r="E802" s="1" t="str">
        <f ca="1">IFERROR(__xludf.DUMMYFUNCTION("GOOGLETRANSLATE(D802, ""bn"", ""en"")"),"Unspeakable atrocities were committed against the remaining Hindus there. Temples were demolished. Women were kidnapped and raped.")</f>
        <v>Unspeakable atrocities were committed against the remaining Hindus there. Temples were demolished. Women were kidnapped and raped.</v>
      </c>
      <c r="F802" s="1"/>
      <c r="G802" s="1"/>
      <c r="H802" s="1"/>
      <c r="I802" s="1"/>
    </row>
    <row r="803" spans="1:9" ht="15.6" x14ac:dyDescent="0.3">
      <c r="A803" s="1" t="s">
        <v>7</v>
      </c>
      <c r="B803" s="1" t="s">
        <v>7</v>
      </c>
      <c r="C803" s="10" t="s">
        <v>7</v>
      </c>
      <c r="D803" s="5" t="s">
        <v>793</v>
      </c>
      <c r="E803" s="1" t="str">
        <f ca="1">IFERROR(__xludf.DUMMYFUNCTION("GOOGLETRANSLATE(D803, ""bn"", ""en"")"),"According to European travellers, in the fifteenth century in Mergui, in present-day extreme southern Myanmar, widow burning was practiced.")</f>
        <v>According to European travellers, in the fifteenth century in Mergui, in present-day extreme southern Myanmar, widow burning was practiced.</v>
      </c>
      <c r="F803" s="1"/>
      <c r="G803" s="1"/>
      <c r="H803" s="1"/>
      <c r="I803" s="1"/>
    </row>
    <row r="804" spans="1:9" ht="15.6" x14ac:dyDescent="0.3">
      <c r="A804" s="1" t="s">
        <v>5</v>
      </c>
      <c r="B804" s="1" t="s">
        <v>5</v>
      </c>
      <c r="C804" s="10" t="s">
        <v>5</v>
      </c>
      <c r="D804" s="5" t="s">
        <v>794</v>
      </c>
      <c r="E804" s="1" t="str">
        <f ca="1">IFERROR(__xludf.DUMMYFUNCTION("GOOGLETRANSLATE(D804, ""bn"", ""en"")"),"Allah commands kindness to animals, because they bring benefits to mankind and maintain the balance of creation.")</f>
        <v>Allah commands kindness to animals, because they bring benefits to mankind and maintain the balance of creation.</v>
      </c>
      <c r="F804" s="1"/>
      <c r="G804" s="1"/>
      <c r="H804" s="1"/>
      <c r="I804" s="1"/>
    </row>
    <row r="805" spans="1:9" ht="15.6" x14ac:dyDescent="0.3">
      <c r="A805" s="1" t="s">
        <v>7</v>
      </c>
      <c r="B805" s="1" t="s">
        <v>7</v>
      </c>
      <c r="C805" s="10" t="s">
        <v>7</v>
      </c>
      <c r="D805" s="5" t="s">
        <v>795</v>
      </c>
      <c r="E805" s="1" t="str">
        <f ca="1">IFERROR(__xludf.DUMMYFUNCTION("GOOGLETRANSLATE(D805, ""bn"", ""en"")"),"Since Mr. Roy Chowdhury was associated with the Congress, so mr. Hussaini wrote to various Congress leaders and even to Mohandas Karamchand Gandhi about the zamindar's atrocities and requested action against him. It is believed that more than five thousan"&amp;"d Hindus lost their lives in that area.")</f>
        <v>Since Mr. Roy Chowdhury was associated with the Congress, so mr. Hussaini wrote to various Congress leaders and even to Mohandas Karamchand Gandhi about the zamindar's atrocities and requested action against him. It is believed that more than five thousand Hindus lost their lives in that area.</v>
      </c>
      <c r="F805" s="1"/>
      <c r="G805" s="1"/>
      <c r="H805" s="1"/>
      <c r="I805" s="1"/>
    </row>
    <row r="806" spans="1:9" ht="15.6" x14ac:dyDescent="0.3">
      <c r="A806" s="1" t="s">
        <v>5</v>
      </c>
      <c r="B806" s="1" t="s">
        <v>5</v>
      </c>
      <c r="C806" s="10" t="s">
        <v>5</v>
      </c>
      <c r="D806" s="5" t="s">
        <v>796</v>
      </c>
      <c r="E806" s="1" t="str">
        <f ca="1">IFERROR(__xludf.DUMMYFUNCTION("GOOGLETRANSLATE(D806, ""bn"", ""en"")"),"Shabbat is one of the holiest events in Islam. Every year, Muslims in Japan make special arrangements for this occasion. They eagerly wait for the sighting of the moon to be aware of the exact date of Shabbat in Japan and plan their activities accordingly"&amp;".")</f>
        <v>Shabbat is one of the holiest events in Islam. Every year, Muslims in Japan make special arrangements for this occasion. They eagerly wait for the sighting of the moon to be aware of the exact date of Shabbat in Japan and plan their activities accordingly.</v>
      </c>
      <c r="F806" s="1"/>
      <c r="G806" s="1"/>
      <c r="H806" s="1"/>
      <c r="I806" s="1"/>
    </row>
    <row r="807" spans="1:9" ht="15.6" x14ac:dyDescent="0.3">
      <c r="A807" s="1" t="s">
        <v>4</v>
      </c>
      <c r="B807" s="1" t="s">
        <v>5</v>
      </c>
      <c r="C807" s="10" t="s">
        <v>4</v>
      </c>
      <c r="D807" s="5" t="s">
        <v>797</v>
      </c>
      <c r="E807" s="1" t="str">
        <f ca="1">IFERROR(__xludf.DUMMYFUNCTION("GOOGLETRANSLATE(D807, ""bn"", ""en"")"),"During the referendum in Sylhet communal hatred was spread that Hindus were enemies of Pakistan because they voted against Pakistan.")</f>
        <v>During the referendum in Sylhet communal hatred was spread that Hindus were enemies of Pakistan because they voted against Pakistan.</v>
      </c>
      <c r="F807" s="1"/>
      <c r="G807" s="1"/>
      <c r="H807" s="1"/>
      <c r="I807" s="1"/>
    </row>
    <row r="808" spans="1:9" ht="15.6" x14ac:dyDescent="0.3">
      <c r="A808" s="1" t="s">
        <v>9</v>
      </c>
      <c r="B808" s="1" t="s">
        <v>9</v>
      </c>
      <c r="C808" s="10" t="s">
        <v>9</v>
      </c>
      <c r="D808" s="5" t="s">
        <v>798</v>
      </c>
      <c r="E808" s="1" t="str">
        <f ca="1">IFERROR(__xludf.DUMMYFUNCTION("GOOGLETRANSLATE(D808, ""bn"", ""en"")"),"According to Oikya Parishad, 2,000 incidents of attacks, vandalism and looting have taken place against the lives, property and places of worship of the minority community.")</f>
        <v>According to Oikya Parishad, 2,000 incidents of attacks, vandalism and looting have taken place against the lives, property and places of worship of the minority community.</v>
      </c>
      <c r="F808" s="1"/>
      <c r="G808" s="1"/>
      <c r="H808" s="1"/>
      <c r="I808" s="1"/>
    </row>
    <row r="809" spans="1:9" ht="15.6" x14ac:dyDescent="0.3">
      <c r="A809" s="1" t="s">
        <v>5</v>
      </c>
      <c r="B809" s="1" t="s">
        <v>5</v>
      </c>
      <c r="C809" s="10" t="s">
        <v>5</v>
      </c>
      <c r="D809" s="5" t="s">
        <v>799</v>
      </c>
      <c r="E809" s="1" t="str">
        <f ca="1">IFERROR(__xludf.DUMMYFUNCTION("GOOGLETRANSLATE(D809, ""bn"", ""en"")"),"The Quran is the main and main religious book of Islam. Muslims believe that it is the Word of God that was gradually revealed to Muhammad over 23 years through the archangel Gabriel.")</f>
        <v>The Quran is the main and main religious book of Islam. Muslims believe that it is the Word of God that was gradually revealed to Muhammad over 23 years through the archangel Gabriel.</v>
      </c>
      <c r="F809" s="1"/>
      <c r="G809" s="1"/>
      <c r="H809" s="1"/>
      <c r="I809" s="1"/>
    </row>
    <row r="810" spans="1:9" ht="15.6" x14ac:dyDescent="0.3">
      <c r="A810" s="1" t="s">
        <v>9</v>
      </c>
      <c r="B810" s="1" t="s">
        <v>4</v>
      </c>
      <c r="C810" s="10" t="s">
        <v>9</v>
      </c>
      <c r="D810" s="5" t="s">
        <v>800</v>
      </c>
      <c r="E810" s="1" t="str">
        <f ca="1">IFERROR(__xludf.DUMMYFUNCTION("GOOGLETRANSLATE(D810, ""bn"", ""en"")"),"Massacres and attacks on Hindu-owned factories and businesses in certain areas where Hindus live in Dhaka and other urban areas of East-Bengal.")</f>
        <v>Massacres and attacks on Hindu-owned factories and businesses in certain areas where Hindus live in Dhaka and other urban areas of East-Bengal.</v>
      </c>
      <c r="F810" s="1"/>
      <c r="G810" s="1"/>
      <c r="H810" s="1"/>
      <c r="I810" s="1"/>
    </row>
    <row r="811" spans="1:9" ht="15.6" x14ac:dyDescent="0.3">
      <c r="A811" s="1" t="s">
        <v>4</v>
      </c>
      <c r="B811" s="1" t="s">
        <v>4</v>
      </c>
      <c r="C811" s="10" t="s">
        <v>4</v>
      </c>
      <c r="D811" s="5" t="s">
        <v>801</v>
      </c>
      <c r="E811" s="1" t="str">
        <f ca="1">IFERROR(__xludf.DUMMYFUNCTION("GOOGLETRANSLATE(D811, ""bn"", ""en"")"),"You are spreading pearls in Uluban, they will not understand it now, this stage has not come. O wise one, bow down.")</f>
        <v>You are spreading pearls in Uluban, they will not understand it now, this stage has not come. O wise one, bow down.</v>
      </c>
      <c r="F811" s="1"/>
      <c r="G811" s="1"/>
      <c r="H811" s="1"/>
      <c r="I811" s="1"/>
    </row>
    <row r="812" spans="1:9" ht="15.6" x14ac:dyDescent="0.3">
      <c r="A812" s="1" t="s">
        <v>9</v>
      </c>
      <c r="B812" s="1" t="s">
        <v>9</v>
      </c>
      <c r="C812" s="10" t="s">
        <v>9</v>
      </c>
      <c r="D812" s="5" t="s">
        <v>802</v>
      </c>
      <c r="E812" s="1" t="str">
        <f ca="1">IFERROR(__xludf.DUMMYFUNCTION("GOOGLETRANSLATE(D812, ""bn"", ""en"")"),"Also accused of insulting Islam, the rioters pelted bricks at the Akhrabari Sarvajanin Temple [18] and set it on fire around 9 pm.")</f>
        <v>Also accused of insulting Islam, the rioters pelted bricks at the Akhrabari Sarvajanin Temple [18] and set it on fire around 9 pm.</v>
      </c>
      <c r="F812" s="1"/>
      <c r="G812" s="1"/>
      <c r="H812" s="1"/>
      <c r="I812" s="1"/>
    </row>
    <row r="813" spans="1:9" ht="15.6" x14ac:dyDescent="0.3">
      <c r="A813" s="1" t="s">
        <v>9</v>
      </c>
      <c r="B813" s="1" t="s">
        <v>9</v>
      </c>
      <c r="C813" s="10" t="s">
        <v>9</v>
      </c>
      <c r="D813" s="5" t="s">
        <v>803</v>
      </c>
      <c r="E813" s="1" t="str">
        <f ca="1">IFERROR(__xludf.DUMMYFUNCTION("GOOGLETRANSLATE(D813, ""bn"", ""en"")"),"In 2022, several mosques were stoned and set on fire in France, injuring worshippers.")</f>
        <v>In 2022, several mosques were stoned and set on fire in France, injuring worshippers.</v>
      </c>
      <c r="F813" s="1"/>
      <c r="G813" s="1"/>
      <c r="H813" s="1"/>
      <c r="I813" s="1"/>
    </row>
    <row r="814" spans="1:9" ht="15.6" x14ac:dyDescent="0.3">
      <c r="A814" s="1" t="s">
        <v>9</v>
      </c>
      <c r="B814" s="1" t="s">
        <v>9</v>
      </c>
      <c r="C814" s="10" t="s">
        <v>9</v>
      </c>
      <c r="D814" s="5" t="s">
        <v>804</v>
      </c>
      <c r="E814" s="1" t="str">
        <f ca="1">IFERROR(__xludf.DUMMYFUNCTION("GOOGLETRANSLATE(D814, ""bn"", ""en"")"),"On August 6, idols were vandalized during a football match in front of a temple in Mongla.")</f>
        <v>On August 6, idols were vandalized during a football match in front of a temple in Mongla.</v>
      </c>
      <c r="F814" s="1"/>
      <c r="G814" s="1"/>
      <c r="H814" s="1"/>
      <c r="I814" s="1"/>
    </row>
    <row r="815" spans="1:9" ht="15.6" x14ac:dyDescent="0.3">
      <c r="A815" s="1" t="s">
        <v>9</v>
      </c>
      <c r="B815" s="1" t="s">
        <v>4</v>
      </c>
      <c r="C815" s="10" t="s">
        <v>9</v>
      </c>
      <c r="D815" s="5" t="s">
        <v>805</v>
      </c>
      <c r="E815" s="1" t="str">
        <f ca="1">IFERROR(__xludf.DUMMYFUNCTION("GOOGLETRANSLATE(D815, ""bn"", ""en"")"),"who destroyed the Buddhist Stupa-temples of Bengal and announced a reward of one hundred gold coins for the head of each Buddhist saint in his kingdom. Many Buddhist sources, including the Hiuen Tsang, attribute Shashanka to the assassination of the Buddh"&amp;"ist king Rajyavardhan of Thanesar. Hiuen Tsang writes that, apart from cutting down the Bodhi tree in Bodh Goa, he also replaced the Buddhist statues there with Shiva Lingas.")</f>
        <v>who destroyed the Buddhist Stupa-temples of Bengal and announced a reward of one hundred gold coins for the head of each Buddhist saint in his kingdom. Many Buddhist sources, including the Hiuen Tsang, attribute Shashanka to the assassination of the Buddhist king Rajyavardhan of Thanesar. Hiuen Tsang writes that, apart from cutting down the Bodhi tree in Bodh Goa, he also replaced the Buddhist statues there with Shiva Lingas.</v>
      </c>
      <c r="F815" s="1"/>
      <c r="G815" s="1"/>
      <c r="H815" s="1"/>
      <c r="I815" s="1"/>
    </row>
    <row r="816" spans="1:9" ht="15.6" x14ac:dyDescent="0.3">
      <c r="A816" s="1" t="s">
        <v>9</v>
      </c>
      <c r="B816" s="1" t="s">
        <v>4</v>
      </c>
      <c r="C816" s="10" t="s">
        <v>9</v>
      </c>
      <c r="D816" s="5" t="s">
        <v>806</v>
      </c>
      <c r="E816" s="1" t="str">
        <f ca="1">IFERROR(__xludf.DUMMYFUNCTION("GOOGLETRANSLATE(D816, ""bn"", ""en"")"),"The Hindu Buddhist Christian Unity Parishad has alleged that there have been incidents of attacks and arson on Hindu houses in the country due to rumors of blasphemy. But none were prosecuted. ")</f>
        <v>The Hindu Buddhist Christian Unity Parishad has alleged that there have been incidents of attacks and arson on Hindu houses in the country due to rumors of blasphemy. But none were prosecuted. </v>
      </c>
      <c r="F816" s="1"/>
      <c r="G816" s="1"/>
      <c r="H816" s="1"/>
      <c r="I816" s="1"/>
    </row>
    <row r="817" spans="1:9" ht="15.6" x14ac:dyDescent="0.3">
      <c r="A817" s="1" t="s">
        <v>4</v>
      </c>
      <c r="B817" s="1" t="s">
        <v>4</v>
      </c>
      <c r="C817" s="10" t="s">
        <v>4</v>
      </c>
      <c r="D817" s="5" t="s">
        <v>807</v>
      </c>
      <c r="E817" s="1" t="str">
        <f ca="1">IFERROR(__xludf.DUMMYFUNCTION("GOOGLETRANSLATE(D817, ""bn"", ""en"")"),"Why? Even with 20 years of American support, this is right for those whose daughters have failed to give birth to brave, heroic children in their country to stop the brutal fundamentalists. 300,000 trained soldiers failed to fight 80,000 barbarians and di"&amp;"ed an undignified death at the hands of barbarians.")</f>
        <v>Why? Even with 20 years of American support, this is right for those whose daughters have failed to give birth to brave, heroic children in their country to stop the brutal fundamentalists. 300,000 trained soldiers failed to fight 80,000 barbarians and died an undignified death at the hands of barbarians.</v>
      </c>
      <c r="F817" s="1"/>
      <c r="G817" s="1"/>
      <c r="H817" s="1"/>
      <c r="I817" s="1"/>
    </row>
    <row r="818" spans="1:9" ht="15.6" x14ac:dyDescent="0.3">
      <c r="A818" s="4" t="s">
        <v>7</v>
      </c>
      <c r="B818" s="4" t="s">
        <v>7</v>
      </c>
      <c r="C818" s="11" t="s">
        <v>7</v>
      </c>
      <c r="D818" s="5" t="s">
        <v>808</v>
      </c>
      <c r="E818" s="1" t="str">
        <f ca="1">IFERROR(__xludf.DUMMYFUNCTION("GOOGLETRANSLATE(D818, ""bn"", ""en"")"),"The 2008 Kandhamal violence refers to widespread violence against Christians instigated by Hindutva organizations following the killing of Hindu monk Laxmanananda Saraswati in Kandhamal district of Odisha, India, in August 2008.")</f>
        <v>The 2008 Kandhamal violence refers to widespread violence against Christians instigated by Hindutva organizations following the killing of Hindu monk Laxmanananda Saraswati in Kandhamal district of Odisha, India, in August 2008.</v>
      </c>
      <c r="F818" s="1"/>
      <c r="G818" s="1"/>
      <c r="H818" s="1"/>
      <c r="I818" s="1"/>
    </row>
    <row r="819" spans="1:9" ht="15.6" x14ac:dyDescent="0.3">
      <c r="A819" s="1" t="s">
        <v>4</v>
      </c>
      <c r="B819" s="1" t="s">
        <v>4</v>
      </c>
      <c r="C819" s="10" t="s">
        <v>4</v>
      </c>
      <c r="D819" s="5" t="s">
        <v>809</v>
      </c>
      <c r="E819" s="1" t="str">
        <f ca="1">IFERROR(__xludf.DUMMYFUNCTION("GOOGLETRANSLATE(D819, ""bn"", ""en"")"),"Jews consider Jesus Christ to be the child born of Mary's illegitimate relationship. Mary was not considered a chaste woman by the Jews. Mary's family preached that Jesus was the child of Yahweh (God), not a human male, to cover up Mary's illicit relation"&amp;"ship. The Jews consider Jesus Christ to be a false messiah and they think that Jesus misled a section of the Jews into Christianity and wrote the Gospel or New Testament himself.")</f>
        <v>Jews consider Jesus Christ to be the child born of Mary's illegitimate relationship. Mary was not considered a chaste woman by the Jews. Mary's family preached that Jesus was the child of Yahweh (God), not a human male, to cover up Mary's illicit relationship. The Jews consider Jesus Christ to be a false messiah and they think that Jesus misled a section of the Jews into Christianity and wrote the Gospel or New Testament himself.</v>
      </c>
      <c r="F819" s="1"/>
      <c r="G819" s="1"/>
      <c r="H819" s="1"/>
      <c r="I819" s="1"/>
    </row>
    <row r="820" spans="1:9" ht="15.6" x14ac:dyDescent="0.3">
      <c r="A820" s="1" t="s">
        <v>7</v>
      </c>
      <c r="B820" s="1" t="s">
        <v>7</v>
      </c>
      <c r="C820" s="10" t="s">
        <v>7</v>
      </c>
      <c r="D820" s="5" t="s">
        <v>810</v>
      </c>
      <c r="E820" s="1" t="str">
        <f ca="1">IFERROR(__xludf.DUMMYFUNCTION("GOOGLETRANSLATE(D820, ""bn"", ""en"")"),"At least 20 people, including children, were injured in police firing on the agitated mob. Incidents of attack and vandalism have also taken place in Patiya.")</f>
        <v>At least 20 people, including children, were injured in police firing on the agitated mob. Incidents of attack and vandalism have also taken place in Patiya.</v>
      </c>
      <c r="F820" s="1"/>
      <c r="G820" s="1"/>
      <c r="H820" s="1"/>
      <c r="I820" s="1"/>
    </row>
    <row r="821" spans="1:9" ht="15.6" x14ac:dyDescent="0.3">
      <c r="A821" s="1" t="s">
        <v>7</v>
      </c>
      <c r="B821" s="1" t="s">
        <v>7</v>
      </c>
      <c r="C821" s="10" t="s">
        <v>7</v>
      </c>
      <c r="D821" s="5" t="s">
        <v>811</v>
      </c>
      <c r="E821" s="1" t="str">
        <f ca="1">IFERROR(__xludf.DUMMYFUNCTION("GOOGLETRANSLATE(D821, ""bn"", ""en"")"),"Officials say tensions rose after the body of a young Muslim man was found next to a house that had been gutted by fire on Tuesday. Authorities have declared a state of emergency amid fears that Muslims may also retaliate.")</f>
        <v>Officials say tensions rose after the body of a young Muslim man was found next to a house that had been gutted by fire on Tuesday. Authorities have declared a state of emergency amid fears that Muslims may also retaliate.</v>
      </c>
      <c r="F821" s="1"/>
      <c r="G821" s="1"/>
      <c r="H821" s="1"/>
      <c r="I821" s="1"/>
    </row>
    <row r="822" spans="1:9" ht="15.6" x14ac:dyDescent="0.3">
      <c r="A822" s="1" t="s">
        <v>7</v>
      </c>
      <c r="B822" s="1" t="s">
        <v>7</v>
      </c>
      <c r="C822" s="10" t="s">
        <v>7</v>
      </c>
      <c r="D822" s="5" t="s">
        <v>812</v>
      </c>
      <c r="E822" s="1" t="str">
        <f ca="1">IFERROR(__xludf.DUMMYFUNCTION("GOOGLETRANSLATE(D822, ""bn"", ""en"")"),"Chandpur's Hajiganj is terrible, at this moment 4 brothers have been martyred, the condition of many is alarming due to the insult of the Quran, the Hajiganj police of Chandpur are chasing the Tawhidi crowd.")</f>
        <v>Chandpur's Hajiganj is terrible, at this moment 4 brothers have been martyred, the condition of many is alarming due to the insult of the Quran, the Hajiganj police of Chandpur are chasing the Tawhidi crowd.</v>
      </c>
      <c r="F822" s="1"/>
      <c r="G822" s="1"/>
      <c r="H822" s="1"/>
      <c r="I822" s="1"/>
    </row>
    <row r="823" spans="1:9" ht="15.6" x14ac:dyDescent="0.3">
      <c r="A823" s="1" t="s">
        <v>7</v>
      </c>
      <c r="B823" s="1" t="s">
        <v>7</v>
      </c>
      <c r="C823" s="10" t="s">
        <v>7</v>
      </c>
      <c r="D823" s="5" t="s">
        <v>813</v>
      </c>
      <c r="E823" s="1" t="str">
        <f ca="1">IFERROR(__xludf.DUMMYFUNCTION("GOOGLETRANSLATE(D823, ""bn"", ""en"")"),"It is natural that those who believe in Islamic teachings and lead their lives in that light, never want to commit suicide and ensure their afterlife in hell.")</f>
        <v>It is natural that those who believe in Islamic teachings and lead their lives in that light, never want to commit suicide and ensure their afterlife in hell.</v>
      </c>
      <c r="F823" s="1"/>
      <c r="G823" s="1"/>
      <c r="H823" s="1"/>
      <c r="I823" s="1"/>
    </row>
    <row r="824" spans="1:9" ht="15.6" x14ac:dyDescent="0.3">
      <c r="A824" s="4" t="s">
        <v>7</v>
      </c>
      <c r="B824" s="4" t="s">
        <v>7</v>
      </c>
      <c r="C824" s="11" t="s">
        <v>7</v>
      </c>
      <c r="D824" s="5" t="s">
        <v>814</v>
      </c>
      <c r="E824" s="1" t="str">
        <f ca="1">IFERROR(__xludf.DUMMYFUNCTION("GOOGLETRANSLATE(D824, ""bn"", ""en"")"),"On the occasion, the Home Minister said, 'Militism cannot be the ideology of any religion. Militants have selectively killed minorities and foreign nationals to destabilize the country. We have arrested many militants.")</f>
        <v>On the occasion, the Home Minister said, 'Militism cannot be the ideology of any religion. Militants have selectively killed minorities and foreign nationals to destabilize the country. We have arrested many militants.</v>
      </c>
      <c r="F824" s="1"/>
      <c r="G824" s="1"/>
      <c r="H824" s="1"/>
      <c r="I824" s="1"/>
    </row>
    <row r="825" spans="1:9" ht="15.6" x14ac:dyDescent="0.3">
      <c r="A825" s="1" t="s">
        <v>5</v>
      </c>
      <c r="B825" s="1" t="s">
        <v>5</v>
      </c>
      <c r="C825" s="10" t="s">
        <v>5</v>
      </c>
      <c r="D825" s="5" t="s">
        <v>815</v>
      </c>
      <c r="E825" s="1" t="str">
        <f ca="1">IFERROR(__xludf.DUMMYFUNCTION("GOOGLETRANSLATE(D825, ""bn"", ""en"")"),"The Gita, Upanishads and Bhagavad Gita are important scriptures of Hinduism, which teach about spiritual growth and peace.")</f>
        <v>The Gita, Upanishads and Bhagavad Gita are important scriptures of Hinduism, which teach about spiritual growth and peace.</v>
      </c>
      <c r="F825" s="1"/>
      <c r="G825" s="1"/>
      <c r="H825" s="1"/>
      <c r="I825" s="1"/>
    </row>
    <row r="826" spans="1:9" ht="15.6" x14ac:dyDescent="0.3">
      <c r="A826" s="1" t="s">
        <v>7</v>
      </c>
      <c r="B826" s="1" t="s">
        <v>7</v>
      </c>
      <c r="C826" s="10" t="s">
        <v>7</v>
      </c>
      <c r="D826" s="5" t="s">
        <v>816</v>
      </c>
      <c r="E826" s="1" t="str">
        <f ca="1">IFERROR(__xludf.DUMMYFUNCTION("GOOGLETRANSLATE(D826, ""bn"", ""en"")"),"Kurram is a district in the Khyber Pakhtunkhwa province of Pakistan. On November 21, gunmen ambushed a convoy in Kurram district, killing 52 people. Most of them were Shia Muslims. Riots broke out after this attack.")</f>
        <v>Kurram is a district in the Khyber Pakhtunkhwa province of Pakistan. On November 21, gunmen ambushed a convoy in Kurram district, killing 52 people. Most of them were Shia Muslims. Riots broke out after this attack.</v>
      </c>
      <c r="F826" s="1"/>
      <c r="G826" s="1"/>
      <c r="H826" s="1"/>
      <c r="I826" s="1"/>
    </row>
    <row r="827" spans="1:9" ht="15.6" x14ac:dyDescent="0.3">
      <c r="A827" s="4" t="s">
        <v>7</v>
      </c>
      <c r="B827" s="4" t="s">
        <v>7</v>
      </c>
      <c r="C827" s="11" t="s">
        <v>7</v>
      </c>
      <c r="D827" s="5" t="s">
        <v>817</v>
      </c>
      <c r="E827" s="1" t="str">
        <f ca="1">IFERROR(__xludf.DUMMYFUNCTION("GOOGLETRANSLATE(D827, ""bn"", ""en"")"),"At least 39 people were killed, more than 365 churches vandalized or destroyed, more than 5,600 houses looted or burned, 600 villages ransacked and more than 54,000 people displaced, government reports said.")</f>
        <v>At least 39 people were killed, more than 365 churches vandalized or destroyed, more than 5,600 houses looted or burned, 600 villages ransacked and more than 54,000 people displaced, government reports said.</v>
      </c>
      <c r="F827" s="1"/>
      <c r="G827" s="1"/>
      <c r="H827" s="1"/>
      <c r="I827" s="1"/>
    </row>
    <row r="828" spans="1:9" ht="15.6" x14ac:dyDescent="0.3">
      <c r="A828" s="1" t="s">
        <v>5</v>
      </c>
      <c r="B828" s="1" t="s">
        <v>5</v>
      </c>
      <c r="C828" s="10" t="s">
        <v>5</v>
      </c>
      <c r="D828" s="5" t="s">
        <v>818</v>
      </c>
      <c r="E828" s="1" t="str">
        <f ca="1">IFERROR(__xludf.DUMMYFUNCTION("GOOGLETRANSLATE(D828, ""bn"", ""en"")"),"According to tradition, when the idols were being removed from the Kaaba after the conquest of Mecca, the idols of Ibrahim and his son Ishmael holding the prophetic arrow were recovered from inside the Kaaba.")</f>
        <v>According to tradition, when the idols were being removed from the Kaaba after the conquest of Mecca, the idols of Ibrahim and his son Ishmael holding the prophetic arrow were recovered from inside the Kaaba.</v>
      </c>
      <c r="F828" s="1"/>
      <c r="G828" s="1"/>
      <c r="H828" s="1"/>
      <c r="I828" s="1"/>
    </row>
    <row r="829" spans="1:9" ht="15.6" x14ac:dyDescent="0.3">
      <c r="A829" s="1" t="s">
        <v>9</v>
      </c>
      <c r="B829" s="1" t="s">
        <v>9</v>
      </c>
      <c r="C829" s="10" t="s">
        <v>9</v>
      </c>
      <c r="D829" s="5" t="s">
        <v>819</v>
      </c>
      <c r="E829" s="1" t="str">
        <f ca="1">IFERROR(__xludf.DUMMYFUNCTION("GOOGLETRANSLATE(D829, ""bn"", ""en"")"),"Muslims tried to throw out all the Hindu traders and shop owners from the bazaars. Hindus who were trying to rebuild their looted and destroyed houses were threatened to leave the area.")</f>
        <v>Muslims tried to throw out all the Hindu traders and shop owners from the bazaars. Hindus who were trying to rebuild their looted and destroyed houses were threatened to leave the area.</v>
      </c>
      <c r="F829" s="1"/>
      <c r="G829" s="1"/>
      <c r="H829" s="1"/>
      <c r="I829" s="1"/>
    </row>
    <row r="830" spans="1:9" ht="15.6" x14ac:dyDescent="0.3">
      <c r="A830" s="1" t="s">
        <v>4</v>
      </c>
      <c r="B830" s="1" t="s">
        <v>5</v>
      </c>
      <c r="C830" s="10" t="s">
        <v>4</v>
      </c>
      <c r="D830" s="5" t="s">
        <v>820</v>
      </c>
      <c r="E830" s="1" t="str">
        <f ca="1">IFERROR(__xludf.DUMMYFUNCTION("GOOGLETRANSLATE(D830, ""bn"", ""en"")"),"I don't want to go into the argument whether singing is halal or haram. But staying on the path of religion, worshiping the Lord - is definitely better than any worldly work.")</f>
        <v>I don't want to go into the argument whether singing is halal or haram. But staying on the path of religion, worshiping the Lord - is definitely better than any worldly work.</v>
      </c>
      <c r="F830" s="1"/>
      <c r="G830" s="1"/>
      <c r="H830" s="1"/>
      <c r="I830" s="1"/>
    </row>
    <row r="831" spans="1:9" ht="15.6" x14ac:dyDescent="0.3">
      <c r="A831" s="1" t="s">
        <v>5</v>
      </c>
      <c r="B831" s="1" t="s">
        <v>5</v>
      </c>
      <c r="C831" s="10" t="s">
        <v>5</v>
      </c>
      <c r="D831" s="5" t="s">
        <v>821</v>
      </c>
      <c r="E831" s="1" t="str">
        <f ca="1">IFERROR(__xludf.DUMMYFUNCTION("GOOGLETRANSLATE(D831, ""bn"", ""en"")"),"O my great Lord, I am the ummah of Prophet Muhammad sallallahu alaihi wasallam, inshallah, I am hopeful, I want to go to paradise together with my parents, my wife, my brothers, and my closest relatives, grandmothers, aunts, uncles, aunts, uncles, and in-"&amp;"laws.")</f>
        <v>O my great Lord, I am the ummah of Prophet Muhammad sallallahu alaihi wasallam, inshallah, I am hopeful, I want to go to paradise together with my parents, my wife, my brothers, and my closest relatives, grandmothers, aunts, uncles, aunts, uncles, and in-laws.</v>
      </c>
      <c r="F831" s="1"/>
      <c r="G831" s="1"/>
      <c r="H831" s="1"/>
      <c r="I831" s="1"/>
    </row>
    <row r="832" spans="1:9" ht="15.6" x14ac:dyDescent="0.3">
      <c r="A832" s="1" t="s">
        <v>4</v>
      </c>
      <c r="B832" s="1" t="s">
        <v>4</v>
      </c>
      <c r="C832" s="10" t="s">
        <v>4</v>
      </c>
      <c r="D832" s="5" t="s">
        <v>822</v>
      </c>
      <c r="E832" s="1" t="str">
        <f ca="1">IFERROR(__xludf.DUMMYFUNCTION("GOOGLETRANSLATE(D832, ""bn"", ""en"")"),"The protest rally also demanded that the government bring a censure motion to the National Assembly. At the same time, the ambassador of Sweden was summoned and the government was demanded to apologize in this regard. All the speakers strongly condemned t"&amp;"he desecration of Quran and urged the government to be stricter in this regard.")</f>
        <v>The protest rally also demanded that the government bring a censure motion to the National Assembly. At the same time, the ambassador of Sweden was summoned and the government was demanded to apologize in this regard. All the speakers strongly condemned the desecration of Quran and urged the government to be stricter in this regard.</v>
      </c>
      <c r="F832" s="1"/>
      <c r="G832" s="1"/>
      <c r="H832" s="1"/>
      <c r="I832" s="1"/>
    </row>
    <row r="833" spans="1:9" ht="15.6" x14ac:dyDescent="0.3">
      <c r="A833" s="1" t="s">
        <v>5</v>
      </c>
      <c r="B833" s="1" t="s">
        <v>5</v>
      </c>
      <c r="C833" s="10" t="s">
        <v>5</v>
      </c>
      <c r="D833" s="5" t="s">
        <v>823</v>
      </c>
      <c r="E833" s="1" t="str">
        <f ca="1">IFERROR(__xludf.DUMMYFUNCTION("GOOGLETRANSLATE(D833, ""bn"", ""en"")"),"Allah says in the Qur'an that it is essential for Muslims to show love, kindness, and affection to each other, which makes the world peaceful.")</f>
        <v>Allah says in the Qur'an that it is essential for Muslims to show love, kindness, and affection to each other, which makes the world peaceful.</v>
      </c>
      <c r="F833" s="1"/>
      <c r="G833" s="1"/>
      <c r="H833" s="1"/>
      <c r="I833" s="1"/>
    </row>
    <row r="834" spans="1:9" ht="15.6" x14ac:dyDescent="0.3">
      <c r="A834" s="1" t="s">
        <v>5</v>
      </c>
      <c r="B834" s="1" t="s">
        <v>5</v>
      </c>
      <c r="C834" s="10" t="s">
        <v>5</v>
      </c>
      <c r="D834" s="5" t="s">
        <v>824</v>
      </c>
      <c r="E834" s="1" t="str">
        <f ca="1">IFERROR(__xludf.DUMMYFUNCTION("GOOGLETRANSLATE(D834, ""bn"", ""en"")"),"Allah says that animals are also His creations, and if they are wronged, they must be repaid, for He is the judge of all.")</f>
        <v>Allah says that animals are also His creations, and if they are wronged, they must be repaid, for He is the judge of all.</v>
      </c>
      <c r="F834" s="1"/>
      <c r="G834" s="1"/>
      <c r="H834" s="1"/>
      <c r="I834" s="1"/>
    </row>
    <row r="835" spans="1:9" ht="15.6" x14ac:dyDescent="0.3">
      <c r="A835" s="1" t="s">
        <v>9</v>
      </c>
      <c r="B835" s="1" t="s">
        <v>9</v>
      </c>
      <c r="C835" s="10" t="s">
        <v>9</v>
      </c>
      <c r="D835" s="5" t="s">
        <v>825</v>
      </c>
      <c r="E835" s="1" t="str">
        <f ca="1">IFERROR(__xludf.DUMMYFUNCTION("GOOGLETRANSLATE(D835, ""bn"", ""en"")"),"On November 4, Hindus in Nasirnagar were again attacked. Haripur Union Chairman of Awami League Dewan Atiqur Rahman Ankhi was the 'mastermind' of this incident.")</f>
        <v>On November 4, Hindus in Nasirnagar were again attacked. Haripur Union Chairman of Awami League Dewan Atiqur Rahman Ankhi was the 'mastermind' of this incident.</v>
      </c>
      <c r="F835" s="1"/>
      <c r="G835" s="1"/>
      <c r="H835" s="1"/>
      <c r="I835" s="1"/>
    </row>
    <row r="836" spans="1:9" ht="15.6" x14ac:dyDescent="0.3">
      <c r="A836" s="1" t="s">
        <v>7</v>
      </c>
      <c r="B836" s="1" t="s">
        <v>4</v>
      </c>
      <c r="C836" s="10" t="s">
        <v>7</v>
      </c>
      <c r="D836" s="5" t="s">
        <v>826</v>
      </c>
      <c r="E836" s="1" t="str">
        <f ca="1">IFERROR(__xludf.DUMMYFUNCTION("GOOGLETRANSLATE(D836, ""bn"", ""en"")"),"Although their short-term consequences, the exact sequence of disputed events, the responsibilities of various officials and a consensus about the scale of the killings, including the long-term political consequences, are certainly comparable (although no"&amp;" precise figures for killings or deaths are available).")</f>
        <v>Although their short-term consequences, the exact sequence of disputed events, the responsibilities of various officials and a consensus about the scale of the killings, including the long-term political consequences, are certainly comparable (although no precise figures for killings or deaths are available).</v>
      </c>
      <c r="F836" s="1"/>
      <c r="G836" s="1"/>
      <c r="H836" s="1"/>
      <c r="I836" s="1"/>
    </row>
    <row r="837" spans="1:9" ht="15.6" x14ac:dyDescent="0.3">
      <c r="A837" s="1" t="s">
        <v>7</v>
      </c>
      <c r="B837" s="1" t="s">
        <v>7</v>
      </c>
      <c r="C837" s="10" t="s">
        <v>7</v>
      </c>
      <c r="D837" s="5" t="s">
        <v>827</v>
      </c>
      <c r="E837" s="1" t="str">
        <f ca="1">IFERROR(__xludf.DUMMYFUNCTION("GOOGLETRANSLATE(D837, ""bn"", ""en"")"),"A person was burnt to death in Lalmonirhat on the charge of blasphemy. When attention was drawn to this matter, Hasan Mahmud said, ""The government has taken strict action in this regard."" Such heinous incidents are not condoned in any way. The governmen"&amp;"t is determined to give an exemplary punishment to those who have committed the demonic incident.")</f>
        <v>A person was burnt to death in Lalmonirhat on the charge of blasphemy. When attention was drawn to this matter, Hasan Mahmud said, "The government has taken strict action in this regard." Such heinous incidents are not condoned in any way. The government is determined to give an exemplary punishment to those who have committed the demonic incident.</v>
      </c>
      <c r="F837" s="1"/>
      <c r="G837" s="1"/>
      <c r="H837" s="1"/>
      <c r="I837" s="1"/>
    </row>
    <row r="838" spans="1:9" ht="15.6" x14ac:dyDescent="0.3">
      <c r="A838" s="1" t="s">
        <v>4</v>
      </c>
      <c r="B838" s="1" t="s">
        <v>4</v>
      </c>
      <c r="C838" s="10" t="s">
        <v>4</v>
      </c>
      <c r="D838" s="5" t="s">
        <v>828</v>
      </c>
      <c r="E838" s="1" t="str">
        <f ca="1">IFERROR(__xludf.DUMMYFUNCTION("GOOGLETRANSLATE(D838, ""bn"", ""en"")"),"A large backup group of aggressive brokers has developed. The Suddanirpholas will continue to incite the 90% majority of Muslims with culture, religious restrictions, and question the Hindu Muslim brotherhood.")</f>
        <v>A large backup group of aggressive brokers has developed. The Suddanirpholas will continue to incite the 90% majority of Muslims with culture, religious restrictions, and question the Hindu Muslim brotherhood.</v>
      </c>
      <c r="F838" s="1"/>
      <c r="G838" s="1"/>
      <c r="H838" s="1"/>
      <c r="I838" s="1"/>
    </row>
    <row r="839" spans="1:9" ht="15.6" x14ac:dyDescent="0.3">
      <c r="A839" s="1" t="s">
        <v>4</v>
      </c>
      <c r="B839" s="1" t="s">
        <v>4</v>
      </c>
      <c r="C839" s="10" t="s">
        <v>4</v>
      </c>
      <c r="D839" s="5" t="s">
        <v>829</v>
      </c>
      <c r="E839" s="1" t="str">
        <f ca="1">IFERROR(__xludf.DUMMYFUNCTION("GOOGLETRANSLATE(D839, ""bn"", ""en"")")," Islam's sacred symbols are being targeted for desecration. It is essentially part of the growing hatred and hatred towards Muslims that Europe's hard-right is fueling.")</f>
        <v> Islam's sacred symbols are being targeted for desecration. It is essentially part of the growing hatred and hatred towards Muslims that Europe's hard-right is fueling.</v>
      </c>
      <c r="F839" s="1"/>
      <c r="G839" s="1"/>
      <c r="H839" s="1"/>
      <c r="I839" s="1"/>
    </row>
    <row r="840" spans="1:9" ht="15.6" x14ac:dyDescent="0.3">
      <c r="A840" s="1" t="s">
        <v>7</v>
      </c>
      <c r="B840" s="1" t="s">
        <v>4</v>
      </c>
      <c r="C840" s="10" t="s">
        <v>7</v>
      </c>
      <c r="D840" s="5" t="s">
        <v>830</v>
      </c>
      <c r="E840" s="1" t="str">
        <f ca="1">IFERROR(__xludf.DUMMYFUNCTION("GOOGLETRANSLATE(D840, ""bn"", ""en"")"),"Envious of the glitter of the famous city, the Brahmins mutter that if one dies in this city one will go straight to hell or be reborn as a donkey – but if one dies in a Brahminical holy city cough, one will go straight to heaven. ")</f>
        <v>Envious of the glitter of the famous city, the Brahmins mutter that if one dies in this city one will go straight to hell or be reborn as a donkey – but if one dies in a Brahminical holy city cough, one will go straight to heaven. </v>
      </c>
      <c r="F840" s="1"/>
      <c r="G840" s="1"/>
      <c r="H840" s="1"/>
      <c r="I840" s="1"/>
    </row>
    <row r="841" spans="1:9" ht="15.6" x14ac:dyDescent="0.3">
      <c r="A841" s="1" t="s">
        <v>7</v>
      </c>
      <c r="B841" s="1" t="s">
        <v>7</v>
      </c>
      <c r="C841" s="10" t="s">
        <v>7</v>
      </c>
      <c r="D841" s="5" t="s">
        <v>831</v>
      </c>
      <c r="E841" s="1" t="str">
        <f ca="1">IFERROR(__xludf.DUMMYFUNCTION("GOOGLETRANSLATE(D841, ""bn"", ""en"")"),"In Bangladesh, on 28 February 2013, the International Criminal Tribunal sentenced Jamaat-e-Islami vice-president Delwar Hussain Sayeedi to death for war crimes committed during the 1971 Bangladesh War of Independence. ")</f>
        <v>In Bangladesh, on 28 February 2013, the International Criminal Tribunal sentenced Jamaat-e-Islami vice-president Delwar Hussain Sayeedi to death for war crimes committed during the 1971 Bangladesh War of Independence. </v>
      </c>
      <c r="F841" s="1"/>
      <c r="G841" s="1"/>
      <c r="H841" s="1"/>
      <c r="I841" s="1"/>
    </row>
    <row r="842" spans="1:9" ht="15.6" x14ac:dyDescent="0.3">
      <c r="A842" s="4" t="s">
        <v>7</v>
      </c>
      <c r="B842" s="4" t="s">
        <v>7</v>
      </c>
      <c r="C842" s="11" t="s">
        <v>7</v>
      </c>
      <c r="D842" s="5" t="s">
        <v>832</v>
      </c>
      <c r="E842" s="1" t="str">
        <f ca="1">IFERROR(__xludf.DUMMYFUNCTION("GOOGLETRANSLATE(D842, ""bn"", ""en"")"),"According to the details of the incident, the tragic incident of the Chinese government's repression of the freedom-seeking Muslims in the city of Gulja, Xinjiang Province, China, from the end of January 1997 to February 5, is known as the Gulja Genocide."&amp;" At this time 200 people were killed.")</f>
        <v>According to the details of the incident, the tragic incident of the Chinese government's repression of the freedom-seeking Muslims in the city of Gulja, Xinjiang Province, China, from the end of January 1997 to February 5, is known as the Gulja Genocide. At this time 200 people were killed.</v>
      </c>
      <c r="F842" s="1"/>
      <c r="G842" s="1"/>
      <c r="H842" s="1"/>
      <c r="I842" s="1"/>
    </row>
    <row r="843" spans="1:9" ht="15.6" x14ac:dyDescent="0.3">
      <c r="A843" s="1" t="s">
        <v>9</v>
      </c>
      <c r="B843" s="1" t="s">
        <v>9</v>
      </c>
      <c r="C843" s="10" t="s">
        <v>9</v>
      </c>
      <c r="D843" s="5" t="s">
        <v>833</v>
      </c>
      <c r="E843" s="1" t="str">
        <f ca="1">IFERROR(__xludf.DUMMYFUNCTION("GOOGLETRANSLATE(D843, ""bn"", ""en"")"),"Most of Fiji's territory is reserved for the ethnically Fijian community. [71] As Hindu practitioners are predominantly Indian, extremist Fijian Christian fundamentalists also frequently attack Hindu institutions. ")</f>
        <v>Most of Fiji's territory is reserved for the ethnically Fijian community. [71] As Hindu practitioners are predominantly Indian, extremist Fijian Christian fundamentalists also frequently attack Hindu institutions. </v>
      </c>
      <c r="F843" s="1"/>
      <c r="G843" s="1"/>
      <c r="H843" s="1"/>
      <c r="I843" s="1"/>
    </row>
    <row r="844" spans="1:9" ht="15.6" x14ac:dyDescent="0.3">
      <c r="A844" s="1" t="s">
        <v>7</v>
      </c>
      <c r="B844" s="1" t="s">
        <v>7</v>
      </c>
      <c r="C844" s="10" t="s">
        <v>7</v>
      </c>
      <c r="D844" s="5" t="s">
        <v>834</v>
      </c>
      <c r="E844" s="1" t="str">
        <f ca="1">IFERROR(__xludf.DUMMYFUNCTION("GOOGLETRANSLATE(D844, ""bn"", ""en"")"),"On October 13, Muslim fanatics attacked the worship hall of Ashutosh Doctor's house at Shankar Market, Hatia municipality and vandalized 4-5 houses of Hindus. Police arrested three persons (on 15 October) for their involvement in the attack.[44] According"&amp;" to police reports, one person, Jatan Kumar Saha, died as a result of the attack.")</f>
        <v>On October 13, Muslim fanatics attacked the worship hall of Ashutosh Doctor's house at Shankar Market, Hatia municipality and vandalized 4-5 houses of Hindus. Police arrested three persons (on 15 October) for their involvement in the attack.[44] According to police reports, one person, Jatan Kumar Saha, died as a result of the attack.</v>
      </c>
      <c r="F844" s="1"/>
      <c r="G844" s="1"/>
      <c r="H844" s="1"/>
      <c r="I844" s="1"/>
    </row>
    <row r="845" spans="1:9" ht="15.6" x14ac:dyDescent="0.3">
      <c r="A845" s="1" t="s">
        <v>5</v>
      </c>
      <c r="B845" s="1" t="s">
        <v>5</v>
      </c>
      <c r="C845" s="10" t="s">
        <v>5</v>
      </c>
      <c r="D845" s="5" t="s">
        <v>835</v>
      </c>
      <c r="E845" s="1" t="str">
        <f ca="1">IFERROR(__xludf.DUMMYFUNCTION("GOOGLETRANSLATE(D845, ""bn"", ""en"")"),"I request you to perform ablution from home on Friday and perform Sunnah prayers at home and then come to the mosque. The sermon will be short in Friday prayers in mosques. As a result, you will finish the Jumma prayer in a short time.")</f>
        <v>I request you to perform ablution from home on Friday and perform Sunnah prayers at home and then come to the mosque. The sermon will be short in Friday prayers in mosques. As a result, you will finish the Jumma prayer in a short time.</v>
      </c>
      <c r="F845" s="1"/>
      <c r="G845" s="1"/>
      <c r="H845" s="1"/>
      <c r="I845" s="1"/>
    </row>
    <row r="846" spans="1:9" ht="15.6" x14ac:dyDescent="0.3">
      <c r="A846" s="1" t="s">
        <v>5</v>
      </c>
      <c r="B846" s="1" t="s">
        <v>4</v>
      </c>
      <c r="C846" s="10" t="s">
        <v>5</v>
      </c>
      <c r="D846" s="5" t="s">
        <v>836</v>
      </c>
      <c r="E846" s="1" t="str">
        <f ca="1">IFERROR(__xludf.DUMMYFUNCTION("GOOGLETRANSLATE(D846, ""bn"", ""en"")"),"Only sanatan dharma does not belittle anyone. I am proud to be a Hindu because no one needs to be challenged to prove Hinduism.")</f>
        <v>Only sanatan dharma does not belittle anyone. I am proud to be a Hindu because no one needs to be challenged to prove Hinduism.</v>
      </c>
      <c r="F846" s="1"/>
      <c r="G846" s="1"/>
      <c r="H846" s="1"/>
      <c r="I846" s="1"/>
    </row>
    <row r="847" spans="1:9" ht="15.6" x14ac:dyDescent="0.3">
      <c r="A847" s="1" t="s">
        <v>9</v>
      </c>
      <c r="B847" s="1" t="s">
        <v>9</v>
      </c>
      <c r="C847" s="10" t="s">
        <v>9</v>
      </c>
      <c r="D847" s="5" t="s">
        <v>837</v>
      </c>
      <c r="E847" s="1" t="str">
        <f ca="1">IFERROR(__xludf.DUMMYFUNCTION("GOOGLETRANSLATE(D847, ""bn"", ""en"")"),"Gold ornaments were stolen from two Hindu temples from Satdoha area of ​​Magura Sadar Upazila on January 10 in Magura district.[7][17] Miscreants vandalized two temples of Sri Sri Nengta Baba's ashram, and stole cash from donation boxes, stealing gold and"&amp;" silver valuables.")</f>
        <v>Gold ornaments were stolen from two Hindu temples from Satdoha area of ​​Magura Sadar Upazila on January 10 in Magura district.[7][17] Miscreants vandalized two temples of Sri Sri Nengta Baba's ashram, and stole cash from donation boxes, stealing gold and silver valuables.</v>
      </c>
      <c r="F847" s="1"/>
      <c r="G847" s="1"/>
      <c r="H847" s="1"/>
      <c r="I847" s="1"/>
    </row>
    <row r="848" spans="1:9" ht="15.6" x14ac:dyDescent="0.3">
      <c r="A848" s="1" t="s">
        <v>4</v>
      </c>
      <c r="B848" s="1" t="s">
        <v>5</v>
      </c>
      <c r="C848" s="10" t="s">
        <v>4</v>
      </c>
      <c r="D848" s="5" t="s">
        <v>838</v>
      </c>
      <c r="E848" s="1" t="str">
        <f ca="1">IFERROR(__xludf.DUMMYFUNCTION("GOOGLETRANSLATE(D848, ""bn"", ""en"")"),"I also want all Hindus to stop eating fish because the price of fish has gone up a lot.")</f>
        <v>I also want all Hindus to stop eating fish because the price of fish has gone up a lot.</v>
      </c>
      <c r="F848" s="1"/>
      <c r="G848" s="1"/>
      <c r="H848" s="1"/>
      <c r="I848" s="1"/>
    </row>
    <row r="849" spans="1:9" ht="15.6" x14ac:dyDescent="0.3">
      <c r="A849" s="1" t="s">
        <v>9</v>
      </c>
      <c r="B849" s="1" t="s">
        <v>9</v>
      </c>
      <c r="C849" s="10" t="s">
        <v>9</v>
      </c>
      <c r="D849" s="5" t="s">
        <v>839</v>
      </c>
      <c r="E849" s="1" t="str">
        <f ca="1">IFERROR(__xludf.DUMMYFUNCTION("GOOGLETRANSLATE(D849, ""bn"", ""en"")"),"Vijaya attacked the universal Durga temple and the ISKCON temple from all sides. At that time, when Jatan Saha went to the gate of the temple along with the people of the ISKCON temple, the attackers beat him and broke his leg. After applying ice on the i"&amp;"njured leg, when Jatan Saha came out of the house, the attackers beat him again and injured him. An ambulance could not be called to take Jatan to the hospital. He was first taken to Rabeya Hospital near the ISKCON temple. ")</f>
        <v>Vijaya attacked the universal Durga temple and the ISKCON temple from all sides. At that time, when Jatan Saha went to the gate of the temple along with the people of the ISKCON temple, the attackers beat him and broke his leg. After applying ice on the injured leg, when Jatan Saha came out of the house, the attackers beat him again and injured him. An ambulance could not be called to take Jatan to the hospital. He was first taken to Rabeya Hospital near the ISKCON temple. </v>
      </c>
      <c r="F849" s="1"/>
      <c r="G849" s="1"/>
      <c r="H849" s="1"/>
      <c r="I849" s="1"/>
    </row>
    <row r="850" spans="1:9" ht="15.6" x14ac:dyDescent="0.3">
      <c r="A850" s="1" t="s">
        <v>9</v>
      </c>
      <c r="B850" s="1" t="s">
        <v>4</v>
      </c>
      <c r="C850" s="10" t="s">
        <v>9</v>
      </c>
      <c r="D850" s="5" t="s">
        <v>840</v>
      </c>
      <c r="E850" s="1" t="str">
        <f ca="1">IFERROR(__xludf.DUMMYFUNCTION("GOOGLETRANSLATE(D850, ""bn"", ""en"")"),"Another Saiva Hindu king Mihirkula completely destroyed 1500 Buddhist shrines. The Shaiva king Taraman is said to have destroyed the Buddhist monastery at Kausambi called Ghashitram. [Note: Mihirkul of Chetang Hun race may not have converted to Hinduism.]")</f>
        <v>Another Saiva Hindu king Mihirkula completely destroyed 1500 Buddhist shrines. The Shaiva king Taraman is said to have destroyed the Buddhist monastery at Kausambi called Ghashitram. [Note: Mihirkul of Chetang Hun race may not have converted to Hinduism.]</v>
      </c>
      <c r="F850" s="1"/>
      <c r="G850" s="1"/>
      <c r="H850" s="1"/>
      <c r="I850" s="1"/>
    </row>
    <row r="851" spans="1:9" ht="15.6" x14ac:dyDescent="0.3">
      <c r="A851" s="1" t="s">
        <v>9</v>
      </c>
      <c r="B851" s="1" t="s">
        <v>9</v>
      </c>
      <c r="C851" s="10" t="s">
        <v>9</v>
      </c>
      <c r="D851" s="5" t="s">
        <v>841</v>
      </c>
      <c r="E851" s="1" t="str">
        <f ca="1">IFERROR(__xludf.DUMMYFUNCTION("GOOGLETRANSLATE(D851, ""bn"", ""en"")"),"In Germany, Muslim women wearing hijab in public have been targeted and seriously injured.")</f>
        <v>In Germany, Muslim women wearing hijab in public have been targeted and seriously injured.</v>
      </c>
      <c r="F851" s="1"/>
      <c r="G851" s="1"/>
      <c r="H851" s="1"/>
      <c r="I851" s="1"/>
    </row>
    <row r="852" spans="1:9" ht="15.6" x14ac:dyDescent="0.3">
      <c r="A852" s="1" t="s">
        <v>4</v>
      </c>
      <c r="B852" s="1" t="s">
        <v>4</v>
      </c>
      <c r="C852" s="10" t="s">
        <v>4</v>
      </c>
      <c r="D852" s="5" t="s">
        <v>842</v>
      </c>
      <c r="E852" s="1" t="str">
        <f ca="1">IFERROR(__xludf.DUMMYFUNCTION("GOOGLETRANSLATE(D852, ""bn"", ""en"")"),"Jews were theorized to be inferior to non-Aryans and Aryans, and were racially accused of avarice, industriousness, cunning, nepotism and unpatriotism.")</f>
        <v>Jews were theorized to be inferior to non-Aryans and Aryans, and were racially accused of avarice, industriousness, cunning, nepotism and unpatriotism.</v>
      </c>
      <c r="F852" s="1"/>
      <c r="G852" s="1"/>
      <c r="H852" s="1"/>
      <c r="I852" s="1"/>
    </row>
    <row r="853" spans="1:9" ht="15.6" x14ac:dyDescent="0.3">
      <c r="A853" s="1" t="s">
        <v>9</v>
      </c>
      <c r="B853" s="1" t="s">
        <v>9</v>
      </c>
      <c r="C853" s="10" t="s">
        <v>9</v>
      </c>
      <c r="D853" s="5" t="s">
        <v>843</v>
      </c>
      <c r="E853" s="1" t="str">
        <f ca="1">IFERROR(__xludf.DUMMYFUNCTION("GOOGLETRANSLATE(D853, ""bn"", ""en"")")," All 350 houses in the villages were destroyed. Only three houses remained. Hindus' cattle and boats were forcibly taken away.[11] In just one month of brutal killings, 30,000 Khulna Hindus were forced to flee to India in fear of their lives.")</f>
        <v> All 350 houses in the villages were destroyed. Only three houses remained. Hindus' cattle and boats were forcibly taken away.[11] In just one month of brutal killings, 30,000 Khulna Hindus were forced to flee to India in fear of their lives.</v>
      </c>
      <c r="F853" s="1"/>
      <c r="G853" s="1"/>
      <c r="H853" s="1"/>
      <c r="I853" s="1"/>
    </row>
    <row r="854" spans="1:9" ht="15.6" x14ac:dyDescent="0.3">
      <c r="A854" s="1" t="s">
        <v>7</v>
      </c>
      <c r="B854" s="1" t="s">
        <v>7</v>
      </c>
      <c r="C854" s="10" t="s">
        <v>7</v>
      </c>
      <c r="D854" s="5" t="s">
        <v>844</v>
      </c>
      <c r="E854" s="1" t="str">
        <f ca="1">IFERROR(__xludf.DUMMYFUNCTION("GOOGLETRANSLATE(D854, ""bn"", ""en"")"),"There is no one above God, one and only God. God is formless. God has no birth, no death, He is eternal, eternal, birthless, deathless and omnipresent.")</f>
        <v>There is no one above God, one and only God. God is formless. God has no birth, no death, He is eternal, eternal, birthless, deathless and omnipresent.</v>
      </c>
      <c r="F854" s="1"/>
      <c r="G854" s="1"/>
      <c r="H854" s="1"/>
      <c r="I854" s="1"/>
    </row>
    <row r="855" spans="1:9" ht="15.6" x14ac:dyDescent="0.3">
      <c r="A855" s="1" t="s">
        <v>7</v>
      </c>
      <c r="B855" s="1" t="s">
        <v>7</v>
      </c>
      <c r="C855" s="10" t="s">
        <v>7</v>
      </c>
      <c r="D855" s="5" t="s">
        <v>845</v>
      </c>
      <c r="E855" s="1" t="str">
        <f ca="1">IFERROR(__xludf.DUMMYFUNCTION("GOOGLETRANSLATE(D855, ""bn"", ""en"")"),"In 1969 Hindu-Muslim clashes in Ahmedabad, Gujarat killed around 500 people and caused extensive property damage.")</f>
        <v>In 1969 Hindu-Muslim clashes in Ahmedabad, Gujarat killed around 500 people and caused extensive property damage.</v>
      </c>
      <c r="F855" s="1"/>
      <c r="G855" s="1"/>
      <c r="H855" s="1"/>
      <c r="I855" s="1"/>
    </row>
    <row r="856" spans="1:9" ht="15.6" x14ac:dyDescent="0.3">
      <c r="A856" s="1" t="s">
        <v>5</v>
      </c>
      <c r="B856" s="1" t="s">
        <v>5</v>
      </c>
      <c r="C856" s="10" t="s">
        <v>5</v>
      </c>
      <c r="D856" s="5" t="s">
        <v>846</v>
      </c>
      <c r="E856" s="1" t="str">
        <f ca="1">IFERROR(__xludf.DUMMYFUNCTION("GOOGLETRANSLATE(D856, ""bn"", ""en"")"),"God, let me go to paradise, I want a beautiful house there. There will be a pond full of fish in front of me, I will bring thousands of pigs to you.")</f>
        <v>God, let me go to paradise, I want a beautiful house there. There will be a pond full of fish in front of me, I will bring thousands of pigs to you.</v>
      </c>
      <c r="F856" s="1"/>
      <c r="G856" s="1"/>
      <c r="H856" s="1"/>
      <c r="I856" s="1"/>
    </row>
    <row r="857" spans="1:9" ht="15.6" x14ac:dyDescent="0.3">
      <c r="A857" s="1" t="s">
        <v>4</v>
      </c>
      <c r="B857" s="1" t="s">
        <v>5</v>
      </c>
      <c r="C857" s="10" t="s">
        <v>4</v>
      </c>
      <c r="D857" s="5" t="s">
        <v>847</v>
      </c>
      <c r="E857" s="1" t="str">
        <f ca="1">IFERROR(__xludf.DUMMYFUNCTION("GOOGLETRANSLATE(D857, ""bn"", ""en"")"),"Instead of showing all sympathy for other religions, show some helpless Muslims too, then they can live with a little personal freedom.")</f>
        <v>Instead of showing all sympathy for other religions, show some helpless Muslims too, then they can live with a little personal freedom.</v>
      </c>
      <c r="F857" s="1"/>
      <c r="G857" s="1"/>
      <c r="H857" s="1"/>
      <c r="I857" s="1"/>
    </row>
    <row r="858" spans="1:9" ht="15.6" x14ac:dyDescent="0.3">
      <c r="A858" s="1" t="s">
        <v>9</v>
      </c>
      <c r="B858" s="1" t="s">
        <v>9</v>
      </c>
      <c r="C858" s="10" t="s">
        <v>9</v>
      </c>
      <c r="D858" s="5" t="s">
        <v>848</v>
      </c>
      <c r="E858" s="1" t="str">
        <f ca="1">IFERROR(__xludf.DUMMYFUNCTION("GOOGLETRANSLATE(D858, ""bn"", ""en"")"),"Illegal occupying organization Bangladesh Buddhist Association! The leaders of the illegal occupying Buddhist association are terrorizing the respected Dr. Jinbodhi Bhanth in Chittagong Nandankanan Buddhist Vihara.")</f>
        <v>Illegal occupying organization Bangladesh Buddhist Association! The leaders of the illegal occupying Buddhist association are terrorizing the respected Dr. Jinbodhi Bhanth in Chittagong Nandankanan Buddhist Vihara.</v>
      </c>
      <c r="F858" s="1"/>
      <c r="G858" s="1"/>
      <c r="H858" s="1"/>
      <c r="I858" s="1"/>
    </row>
    <row r="859" spans="1:9" ht="15.6" x14ac:dyDescent="0.3">
      <c r="A859" s="1" t="s">
        <v>7</v>
      </c>
      <c r="B859" s="1" t="s">
        <v>7</v>
      </c>
      <c r="C859" s="10" t="s">
        <v>7</v>
      </c>
      <c r="D859" s="5" t="s">
        <v>849</v>
      </c>
      <c r="E859" s="1" t="str">
        <f ca="1">IFERROR(__xludf.DUMMYFUNCTION("GOOGLETRANSLATE(D859, ""bn"", ""en"")"),"And do not kill yourselves. Surely Allah is kind to you. Whoever does this through extravagance and oppression, I will burn him in the fire. This work is easy for Allah.")</f>
        <v>And do not kill yourselves. Surely Allah is kind to you. Whoever does this through extravagance and oppression, I will burn him in the fire. This work is easy for Allah.</v>
      </c>
      <c r="F859" s="1"/>
      <c r="G859" s="1"/>
      <c r="H859" s="1"/>
      <c r="I859" s="1"/>
    </row>
    <row r="860" spans="1:9" ht="15.6" x14ac:dyDescent="0.3">
      <c r="A860" s="1" t="s">
        <v>4</v>
      </c>
      <c r="B860" s="1" t="s">
        <v>4</v>
      </c>
      <c r="C860" s="10" t="s">
        <v>4</v>
      </c>
      <c r="D860" s="5" t="s">
        <v>850</v>
      </c>
      <c r="E860" s="1" t="str">
        <f ca="1">IFERROR(__xludf.DUMMYFUNCTION("GOOGLETRANSLATE(D860, ""bn"", ""en"")"),"Everything about Islam is distasteful and absurd to them. So extramarital affairs, pornography, premarital sex, modesty, fashion business, nudity, feminism - they are easily triggered by every talk I and Lifespring have on these topics. ")</f>
        <v xml:space="preserve">Everything about Islam is distasteful and absurd to them. So extramarital affairs, pornography, premarital sex, modesty, fashion business, nudity, feminism - they are easily triggered by every talk I and Lifespring have on these topics. </v>
      </c>
      <c r="F860" s="1"/>
      <c r="G860" s="1"/>
      <c r="H860" s="1"/>
      <c r="I860" s="1"/>
    </row>
    <row r="861" spans="1:9" ht="15.6" x14ac:dyDescent="0.3">
      <c r="A861" s="1" t="s">
        <v>4</v>
      </c>
      <c r="B861" s="1" t="s">
        <v>4</v>
      </c>
      <c r="C861" s="10" t="s">
        <v>4</v>
      </c>
      <c r="D861" s="5" t="s">
        <v>851</v>
      </c>
      <c r="E861" s="1" t="str">
        <f ca="1">IFERROR(__xludf.DUMMYFUNCTION("GOOGLETRANSLATE(D861, ""bn"", ""en"")"),"Where is he getting so much courage, dear people of West Bengal, arrange to shut down his YouTube channel, otherwise go down the streets.")</f>
        <v>Where is he getting so much courage, dear people of West Bengal, arrange to shut down his YouTube channel, otherwise go down the streets.</v>
      </c>
      <c r="F861" s="1"/>
      <c r="G861" s="1"/>
      <c r="H861" s="1"/>
      <c r="I861" s="1"/>
    </row>
    <row r="862" spans="1:9" ht="15.6" x14ac:dyDescent="0.3">
      <c r="A862" s="1" t="s">
        <v>7</v>
      </c>
      <c r="B862" s="1" t="s">
        <v>7</v>
      </c>
      <c r="C862" s="10" t="s">
        <v>7</v>
      </c>
      <c r="D862" s="5" t="s">
        <v>852</v>
      </c>
      <c r="E862" s="1" t="str">
        <f ca="1">IFERROR(__xludf.DUMMYFUNCTION("GOOGLETRANSLATE(D862, ""bn"", ""en"")"),"Then the news comes out that today so-and-so committed suicide, tomorrow someone else committed suicide. News comes out with big headlines in newspapers, everyone condoles, mourns on Facebook, stories of pain are filled around, some go to the Facebook pro"&amp;"file of the suicide and make a false attempt to find out the reason for suicide!")</f>
        <v>Then the news comes out that today so-and-so committed suicide, tomorrow someone else committed suicide. News comes out with big headlines in newspapers, everyone condoles, mourns on Facebook, stories of pain are filled around, some go to the Facebook profile of the suicide and make a false attempt to find out the reason for suicide!</v>
      </c>
      <c r="F862" s="1"/>
      <c r="G862" s="1"/>
      <c r="H862" s="1"/>
      <c r="I862" s="1"/>
    </row>
    <row r="863" spans="1:9" ht="15.6" x14ac:dyDescent="0.3">
      <c r="A863" s="1" t="s">
        <v>4</v>
      </c>
      <c r="B863" s="1" t="s">
        <v>5</v>
      </c>
      <c r="C863" s="10" t="s">
        <v>4</v>
      </c>
      <c r="D863" s="5" t="s">
        <v>853</v>
      </c>
      <c r="E863" s="1" t="str">
        <f ca="1">IFERROR(__xludf.DUMMYFUNCTION("GOOGLETRANSLATE(D863, ""bn"", ""en"")"),"For everyone who participates in or takes part in desecrating the Qur'an, there is great suffering and severe punishment in this world and the hereafter.")</f>
        <v>For everyone who participates in or takes part in desecrating the Qur'an, there is great suffering and severe punishment in this world and the hereafter.</v>
      </c>
      <c r="F863" s="1"/>
      <c r="G863" s="1"/>
      <c r="H863" s="1"/>
      <c r="I863" s="1"/>
    </row>
    <row r="864" spans="1:9" ht="15.6" x14ac:dyDescent="0.3">
      <c r="A864" s="1" t="s">
        <v>4</v>
      </c>
      <c r="B864" s="1" t="s">
        <v>4</v>
      </c>
      <c r="C864" s="10" t="s">
        <v>4</v>
      </c>
      <c r="D864" s="5" t="s">
        <v>854</v>
      </c>
      <c r="E864" s="1" t="str">
        <f ca="1">IFERROR(__xludf.DUMMYFUNCTION("GOOGLETRANSLATE(D864, ""bn"", ""en"")"),"Whoever did wrong, he did it from his side, so there was no harm to Islam. Whoever did wrong, it is a sin, it is his sin. If he himself, for some reason, fulfills it, it is one thing.")</f>
        <v>Whoever did wrong, he did it from his side, so there was no harm to Islam. Whoever did wrong, it is a sin, it is his sin. If he himself, for some reason, fulfills it, it is one thing.</v>
      </c>
      <c r="F864" s="1"/>
      <c r="G864" s="1"/>
      <c r="H864" s="1"/>
      <c r="I864" s="1"/>
    </row>
    <row r="865" spans="1:9" ht="15.6" x14ac:dyDescent="0.3">
      <c r="A865" s="1" t="s">
        <v>9</v>
      </c>
      <c r="B865" s="1" t="s">
        <v>9</v>
      </c>
      <c r="C865" s="10" t="s">
        <v>9</v>
      </c>
      <c r="D865" s="5" t="s">
        <v>855</v>
      </c>
      <c r="E865" s="1" t="str">
        <f ca="1">IFERROR(__xludf.DUMMYFUNCTION("GOOGLETRANSLATE(D865, ""bn"", ""en"")"),"All the Hindus in the area know that the mosque has been there for about 75 years, which is a settled issue. Then in 2015 the then Member of Parliament Manoranjan Sheel Gopal made a donation to the mosque which has provenance. But some nefarious circles h"&amp;"ave fueled Hindu-Muslim riots by promoting it as construction of mosques on temple land for political gains.")</f>
        <v>All the Hindus in the area know that the mosque has been there for about 75 years, which is a settled issue. Then in 2015 the then Member of Parliament Manoranjan Sheel Gopal made a donation to the mosque which has provenance. But some nefarious circles have fueled Hindu-Muslim riots by promoting it as construction of mosques on temple land for political gains.</v>
      </c>
      <c r="F865" s="1"/>
      <c r="G865" s="1"/>
      <c r="H865" s="1"/>
      <c r="I865" s="1"/>
    </row>
    <row r="866" spans="1:9" ht="15.6" x14ac:dyDescent="0.3">
      <c r="A866" s="1" t="s">
        <v>4</v>
      </c>
      <c r="B866" s="1" t="s">
        <v>4</v>
      </c>
      <c r="C866" s="10" t="s">
        <v>4</v>
      </c>
      <c r="D866" s="5" t="s">
        <v>856</v>
      </c>
      <c r="E866" s="1" t="str">
        <f ca="1">IFERROR(__xludf.DUMMYFUNCTION("GOOGLETRANSLATE(D866, ""bn"", ""en"")"),"Jesus Christ and Christianity are satirized a lot in Western media, but no Christian group comes to kill the journalists of that newspaper. This is the epitome of tolerance. ")</f>
        <v>Jesus Christ and Christianity are satirized a lot in Western media, but no Christian group comes to kill the journalists of that newspaper. This is the epitome of tolerance. </v>
      </c>
      <c r="F866" s="1"/>
      <c r="G866" s="1"/>
      <c r="H866" s="1"/>
      <c r="I866" s="1"/>
    </row>
    <row r="867" spans="1:9" ht="15.6" x14ac:dyDescent="0.3">
      <c r="A867" s="1" t="s">
        <v>9</v>
      </c>
      <c r="B867" s="1" t="s">
        <v>9</v>
      </c>
      <c r="C867" s="10" t="s">
        <v>9</v>
      </c>
      <c r="D867" s="5" t="s">
        <v>857</v>
      </c>
      <c r="E867" s="1" t="str">
        <f ca="1">IFERROR(__xludf.DUMMYFUNCTION("GOOGLETRANSLATE(D867, ""bn"", ""en"")"),"Protests in India's Muslim community turned violent last week over comments about the Holy Prophet (PBUH). In such a context, the top leaders of Islamic organizations made this call. Two people were killed and at least 30 people, including the police, wer"&amp;"e injured in the violence.")</f>
        <v>Protests in India's Muslim community turned violent last week over comments about the Holy Prophet (PBUH). In such a context, the top leaders of Islamic organizations made this call. Two people were killed and at least 30 people, including the police, were injured in the violence.</v>
      </c>
      <c r="F867" s="1"/>
      <c r="G867" s="1"/>
      <c r="H867" s="1"/>
      <c r="I867" s="1"/>
    </row>
    <row r="868" spans="1:9" ht="15.6" x14ac:dyDescent="0.3">
      <c r="A868" s="1" t="s">
        <v>4</v>
      </c>
      <c r="B868" s="1" t="s">
        <v>4</v>
      </c>
      <c r="C868" s="10" t="s">
        <v>4</v>
      </c>
      <c r="D868" s="5" t="s">
        <v>858</v>
      </c>
      <c r="E868" s="1" t="str">
        <f ca="1">IFERROR(__xludf.DUMMYFUNCTION("GOOGLETRANSLATE(D868, ""bn"", ""en"")"),"On the evening of 25 March, the Pakistani occupation army launched Operation Searchlight. As the army took control of Dhaka and began to advance into the districts, local allies began organizing pro-Pakistani paramilitary organizations such as Al Badr and"&amp;" Al Shams to counter the freedom fighters.")</f>
        <v>On the evening of 25 March, the Pakistani occupation army launched Operation Searchlight. As the army took control of Dhaka and began to advance into the districts, local allies began organizing pro-Pakistani paramilitary organizations such as Al Badr and Al Shams to counter the freedom fighters.</v>
      </c>
      <c r="F868" s="1"/>
      <c r="G868" s="1"/>
      <c r="H868" s="1"/>
      <c r="I868" s="1"/>
    </row>
    <row r="869" spans="1:9" ht="15.6" x14ac:dyDescent="0.3">
      <c r="A869" s="1" t="s">
        <v>9</v>
      </c>
      <c r="B869" s="1" t="s">
        <v>4</v>
      </c>
      <c r="C869" s="10" t="s">
        <v>9</v>
      </c>
      <c r="D869" s="5" t="s">
        <v>859</v>
      </c>
      <c r="E869" s="1" t="str">
        <f ca="1">IFERROR(__xludf.DUMMYFUNCTION("GOOGLETRANSLATE(D869, ""bn"", ""en"")"),"Many in the audience reportedly started attacking Hindus and looting Hindu shops while returning after the rally.[3][29] Later, lorries (trucks) carrying radical Muslim goons armed with brickbats were reported to have arrived on Harrison Road in Kolkata a"&amp;"nd attacked Hindu-owned shops.")</f>
        <v>Many in the audience reportedly started attacking Hindus and looting Hindu shops while returning after the rally.[3][29] Later, lorries (trucks) carrying radical Muslim goons armed with brickbats were reported to have arrived on Harrison Road in Kolkata and attacked Hindu-owned shops.</v>
      </c>
      <c r="F869" s="1"/>
      <c r="G869" s="1"/>
      <c r="H869" s="1"/>
      <c r="I869" s="1"/>
    </row>
    <row r="870" spans="1:9" ht="15.6" x14ac:dyDescent="0.3">
      <c r="A870" s="1" t="s">
        <v>4</v>
      </c>
      <c r="B870" s="1" t="s">
        <v>5</v>
      </c>
      <c r="C870" s="10" t="s">
        <v>4</v>
      </c>
      <c r="D870" s="5" t="s">
        <v>860</v>
      </c>
      <c r="E870" s="1" t="str">
        <f ca="1">IFERROR(__xludf.DUMMYFUNCTION("GOOGLETRANSLATE(D870, ""bn"", ""en"")"),"As a result, he was fined in 2011. The woman later went to lower and higher courts in Austria to complain. As the court did not accept her complaint, Ms. S later complained to the European Court of Human Rights. After several years of judicial analysis, t"&amp;"he EU Court announced a verdict against the woman and settled the charge of blasphemy against the Holy Prophet (PBUH).")</f>
        <v>As a result, he was fined in 2011. The woman later went to lower and higher courts in Austria to complain. As the court did not accept her complaint, Ms. S later complained to the European Court of Human Rights. After several years of judicial analysis, the EU Court announced a verdict against the woman and settled the charge of blasphemy against the Holy Prophet (PBUH).</v>
      </c>
      <c r="F870" s="1"/>
      <c r="G870" s="1"/>
      <c r="H870" s="1"/>
      <c r="I870" s="1"/>
    </row>
    <row r="871" spans="1:9" ht="15.6" x14ac:dyDescent="0.3">
      <c r="A871" s="1" t="s">
        <v>4</v>
      </c>
      <c r="B871" s="1" t="s">
        <v>4</v>
      </c>
      <c r="C871" s="10" t="s">
        <v>4</v>
      </c>
      <c r="D871" s="5" t="s">
        <v>861</v>
      </c>
      <c r="E871" s="1" t="str">
        <f ca="1">IFERROR(__xludf.DUMMYFUNCTION("GOOGLETRANSLATE(D871, ""bn"", ""en"")"),"Even as non-communal converted citizens, I am surprised to see such a controversial decision. But to say that we Hindus have done that is the reference to pull? Seeing these things really scares and laughs that even after so long people still think like t"&amp;"his in this age.")</f>
        <v>Even as non-communal converted citizens, I am surprised to see such a controversial decision. But to say that we Hindus have done that is the reference to pull? Seeing these things really scares and laughs that even after so long people still think like this in this age.</v>
      </c>
      <c r="F871" s="1"/>
      <c r="G871" s="1"/>
      <c r="H871" s="1"/>
      <c r="I871" s="1"/>
    </row>
    <row r="872" spans="1:9" ht="15.6" x14ac:dyDescent="0.3">
      <c r="A872" s="1" t="s">
        <v>9</v>
      </c>
      <c r="B872" s="1" t="s">
        <v>9</v>
      </c>
      <c r="C872" s="10" t="s">
        <v>9</v>
      </c>
      <c r="D872" s="5" t="s">
        <v>862</v>
      </c>
      <c r="E872" s="1" t="str">
        <f ca="1">IFERROR(__xludf.DUMMYFUNCTION("GOOGLETRANSLATE(D872, ""bn"", ""en"")"),"Alas, being a Muslim citizen of a Muslim-majority country, I have to be persecuted by the so-called Muslim for obeying the commandments of Islam.")</f>
        <v>Alas, being a Muslim citizen of a Muslim-majority country, I have to be persecuted by the so-called Muslim for obeying the commandments of Islam.</v>
      </c>
      <c r="F872" s="1"/>
      <c r="G872" s="1"/>
      <c r="H872" s="1"/>
      <c r="I872" s="1"/>
    </row>
    <row r="873" spans="1:9" ht="15.6" x14ac:dyDescent="0.3">
      <c r="A873" s="1" t="s">
        <v>7</v>
      </c>
      <c r="B873" s="1" t="s">
        <v>7</v>
      </c>
      <c r="C873" s="10" t="s">
        <v>7</v>
      </c>
      <c r="D873" s="5" t="s">
        <v>863</v>
      </c>
      <c r="E873" s="1" t="str">
        <f ca="1">IFERROR(__xludf.DUMMYFUNCTION("GOOGLETRANSLATE(D873, ""bn"", ""en"")"),"Meanwhile, the head priest of Ramana Kali temple Harichad Chakraborty said that suicide is a great sin according to traditional religion. ")</f>
        <v>Meanwhile, the head priest of Ramana Kali temple Harichad Chakraborty said that suicide is a great sin according to traditional religion. </v>
      </c>
      <c r="F873" s="1"/>
      <c r="G873" s="1"/>
      <c r="H873" s="1"/>
      <c r="I873" s="1"/>
    </row>
    <row r="874" spans="1:9" ht="15.6" x14ac:dyDescent="0.3">
      <c r="A874" s="1" t="s">
        <v>9</v>
      </c>
      <c r="B874" s="1" t="s">
        <v>9</v>
      </c>
      <c r="C874" s="10" t="s">
        <v>9</v>
      </c>
      <c r="D874" s="5" t="s">
        <v>864</v>
      </c>
      <c r="E874" s="1" t="str">
        <f ca="1">IFERROR(__xludf.DUMMYFUNCTION("GOOGLETRANSLATE(D874, ""bn"", ""en"")"),"The incident took place at the Durga Pujamandap of Bimal Das of Jatrapur Dakshinpara village late on Monday night.")</f>
        <v>The incident took place at the Durga Pujamandap of Bimal Das of Jatrapur Dakshinpara village late on Monday night.</v>
      </c>
      <c r="F874" s="1"/>
      <c r="G874" s="1"/>
      <c r="H874" s="1"/>
      <c r="I874" s="1"/>
    </row>
    <row r="875" spans="1:9" ht="15.6" x14ac:dyDescent="0.3">
      <c r="A875" s="1" t="s">
        <v>9</v>
      </c>
      <c r="B875" s="1" t="s">
        <v>9</v>
      </c>
      <c r="C875" s="10" t="s">
        <v>9</v>
      </c>
      <c r="D875" s="5" t="s">
        <v>865</v>
      </c>
      <c r="E875" s="1" t="str">
        <f ca="1">IFERROR(__xludf.DUMMYFUNCTION("GOOGLETRANSLATE(D875, ""bn"", ""en"")"),"Beneath the ruins of the mosque were the remains of a ""vast structure"" that was ""indicative of the remains of distinctive features associated with the temples of North India"". which was specially demolished for the construction of Babri Masjid.")</f>
        <v>Beneath the ruins of the mosque were the remains of a "vast structure" that was "indicative of the remains of distinctive features associated with the temples of North India". which was specially demolished for the construction of Babri Masjid.</v>
      </c>
      <c r="F875" s="1"/>
      <c r="G875" s="1"/>
      <c r="H875" s="1"/>
      <c r="I875" s="1"/>
    </row>
    <row r="876" spans="1:9" ht="15.6" x14ac:dyDescent="0.3">
      <c r="A876" s="1" t="s">
        <v>7</v>
      </c>
      <c r="B876" s="1" t="s">
        <v>7</v>
      </c>
      <c r="C876" s="10" t="s">
        <v>7</v>
      </c>
      <c r="D876" s="5" t="s">
        <v>866</v>
      </c>
      <c r="E876" s="1" t="str">
        <f ca="1">IFERROR(__xludf.DUMMYFUNCTION("GOOGLETRANSLATE(D876, ""bn"", ""en"")"),"Unknowingly, the true religious mind steps on the path of unrighteousness in the name of protecting religion. As I said earlier, greed is the nature of human beings. Extremists do not hesitate to kill in the hope of getting heaven and heaven.")</f>
        <v>Unknowingly, the true religious mind steps on the path of unrighteousness in the name of protecting religion. As I said earlier, greed is the nature of human beings. Extremists do not hesitate to kill in the hope of getting heaven and heaven.</v>
      </c>
      <c r="F876" s="1"/>
      <c r="G876" s="1"/>
      <c r="H876" s="1"/>
      <c r="I876" s="1"/>
    </row>
    <row r="877" spans="1:9" ht="15.6" x14ac:dyDescent="0.3">
      <c r="A877" s="1" t="s">
        <v>7</v>
      </c>
      <c r="B877" s="1" t="s">
        <v>7</v>
      </c>
      <c r="C877" s="10" t="s">
        <v>7</v>
      </c>
      <c r="D877" s="5" t="s">
        <v>867</v>
      </c>
      <c r="E877" s="1" t="str">
        <f ca="1">IFERROR(__xludf.DUMMYFUNCTION("GOOGLETRANSLATE(D877, ""bn"", ""en"")"),"According to Muslim eyewitnesses of the time in Barisal, several thousand Hindus were killed in Barisal and no trace of 2,000 Hindus was found. According to researcher Subhasree Ghosh, at least 2,500 Hindus were killed in Barisal district. [28] Documentar"&amp;"y filmmaker Supriya Sen estimates that 650,000 Hindus fled Barisal to India, and that those refugees were killed, raped, kidnapped and looted along the way.")</f>
        <v>According to Muslim eyewitnesses of the time in Barisal, several thousand Hindus were killed in Barisal and no trace of 2,000 Hindus was found. According to researcher Subhasree Ghosh, at least 2,500 Hindus were killed in Barisal district. [28] Documentary filmmaker Supriya Sen estimates that 650,000 Hindus fled Barisal to India, and that those refugees were killed, raped, kidnapped and looted along the way.</v>
      </c>
      <c r="F877" s="1"/>
      <c r="G877" s="1"/>
      <c r="H877" s="1"/>
      <c r="I877" s="1"/>
    </row>
    <row r="878" spans="1:9" ht="15.6" x14ac:dyDescent="0.3">
      <c r="A878" s="1" t="s">
        <v>7</v>
      </c>
      <c r="B878" s="1" t="s">
        <v>7</v>
      </c>
      <c r="C878" s="10" t="s">
        <v>7</v>
      </c>
      <c r="D878" s="5" t="s">
        <v>868</v>
      </c>
      <c r="E878" s="1" t="str">
        <f ca="1">IFERROR(__xludf.DUMMYFUNCTION("GOOGLETRANSLATE(D878, ""bn"", ""en"")")," On 21 April 1971, Pakistan Army entered Faridpur. They started killing the Hindu population with the help of local collaborators. The plan to attack Bakchar village was originally adopted at a meeting of the Peace Committee.")</f>
        <v> On 21 April 1971, Pakistan Army entered Faridpur. They started killing the Hindu population with the help of local collaborators. The plan to attack Bakchar village was originally adopted at a meeting of the Peace Committee.</v>
      </c>
      <c r="F878" s="1"/>
      <c r="G878" s="1"/>
      <c r="H878" s="1"/>
      <c r="I878" s="1"/>
    </row>
    <row r="879" spans="1:9" ht="15.6" x14ac:dyDescent="0.3">
      <c r="A879" s="1" t="s">
        <v>9</v>
      </c>
      <c r="B879" s="1" t="s">
        <v>9</v>
      </c>
      <c r="C879" s="10" t="s">
        <v>9</v>
      </c>
      <c r="D879" s="5" t="s">
        <v>869</v>
      </c>
      <c r="E879" s="1" t="str">
        <f ca="1">IFERROR(__xludf.DUMMYFUNCTION("GOOGLETRANSLATE(D879, ""bn"", ""en"")"),"The Muslims ransacked the house of a man named Kedarnath Ghosh, who took refuge inside the mill. [17] Only 20 policemen arrived there around 4 pm. Within half an hour, the Muslims again attacked the helpless Hindus in front of the police.")</f>
        <v>The Muslims ransacked the house of a man named Kedarnath Ghosh, who took refuge inside the mill. [17] Only 20 policemen arrived there around 4 pm. Within half an hour, the Muslims again attacked the helpless Hindus in front of the police.</v>
      </c>
      <c r="F879" s="1"/>
      <c r="G879" s="1"/>
      <c r="H879" s="1"/>
      <c r="I879" s="1"/>
    </row>
    <row r="880" spans="1:9" ht="15.6" x14ac:dyDescent="0.3">
      <c r="A880" s="1" t="s">
        <v>4</v>
      </c>
      <c r="B880" s="1" t="s">
        <v>5</v>
      </c>
      <c r="C880" s="10" t="s">
        <v>4</v>
      </c>
      <c r="D880" s="5" t="s">
        <v>870</v>
      </c>
      <c r="E880" s="1" t="str">
        <f ca="1">IFERROR(__xludf.DUMMYFUNCTION("GOOGLETRANSLATE(D880, ""bn"", ""en"")"),"No one can pass by insulting Allah and His Messenger. ")</f>
        <v>No one can pass by insulting Allah and His Messenger. </v>
      </c>
      <c r="F880" s="1"/>
      <c r="G880" s="1"/>
      <c r="H880" s="1"/>
      <c r="I880" s="1"/>
    </row>
    <row r="881" spans="1:9" ht="15.6" x14ac:dyDescent="0.3">
      <c r="A881" s="1" t="s">
        <v>9</v>
      </c>
      <c r="B881" s="1" t="s">
        <v>9</v>
      </c>
      <c r="C881" s="10" t="s">
        <v>9</v>
      </c>
      <c r="D881" s="5" t="s">
        <v>871</v>
      </c>
      <c r="E881" s="1" t="str">
        <f ca="1">IFERROR(__xludf.DUMMYFUNCTION("GOOGLETRANSLATE(D881, ""bn"", ""en"")"),"Muslims burnt the house of the Buddhist landlord of Lamburhat under Raujan police station to ashes. [31] As a result, a large number of frightened Buddhists sought refuge in Lusai Hills in India for their lives.")</f>
        <v>Muslims burnt the house of the Buddhist landlord of Lamburhat under Raujan police station to ashes. [31] As a result, a large number of frightened Buddhists sought refuge in Lusai Hills in India for their lives.</v>
      </c>
      <c r="F881" s="1"/>
      <c r="G881" s="1"/>
      <c r="H881" s="1"/>
      <c r="I881" s="1"/>
    </row>
    <row r="882" spans="1:9" ht="15.6" x14ac:dyDescent="0.3">
      <c r="A882" s="1" t="s">
        <v>4</v>
      </c>
      <c r="B882" s="1" t="s">
        <v>4</v>
      </c>
      <c r="C882" s="10" t="s">
        <v>4</v>
      </c>
      <c r="D882" s="5" t="s">
        <v>872</v>
      </c>
      <c r="E882" s="1" t="str">
        <f ca="1">IFERROR(__xludf.DUMMYFUNCTION("GOOGLETRANSLATE(D882, ""bn"", ""en"")"),"Be that as it may, our media has made it a cataclysm. If it is said that the event is small, then it will not be true, and if it is said that the Great Deluge has happened, then it is also not true. Kim' Our 'sensational' media is not used to maintaining "&amp;"proportion in these cases. Day after day the sub-eds are burdened with anger, pain, hatred and despair! ")</f>
        <v>Be that as it may, our media has made it a cataclysm. If it is said that the event is small, then it will not be true, and if it is said that the Great Deluge has happened, then it is also not true. Kim' Our 'sensational' media is not used to maintaining proportion in these cases. Day after day the sub-eds are burdened with anger, pain, hatred and despair! </v>
      </c>
      <c r="F882" s="1"/>
      <c r="G882" s="1"/>
      <c r="H882" s="1"/>
      <c r="I882" s="1"/>
    </row>
    <row r="883" spans="1:9" ht="15.6" x14ac:dyDescent="0.3">
      <c r="A883" s="1" t="s">
        <v>9</v>
      </c>
      <c r="B883" s="1" t="s">
        <v>9</v>
      </c>
      <c r="C883" s="10" t="s">
        <v>9</v>
      </c>
      <c r="D883" s="5" t="s">
        <v>873</v>
      </c>
      <c r="E883" s="1" t="str">
        <f ca="1">IFERROR(__xludf.DUMMYFUNCTION("GOOGLETRANSLATE(D883, ""bn"", ""en"")"),"In 1992, when the Babri Masjid was demolished in Ayodhya, Hindu-Muslim conflict spread across the country")</f>
        <v>In 1992, when the Babri Masjid was demolished in Ayodhya, Hindu-Muslim conflict spread across the country</v>
      </c>
      <c r="F883" s="1"/>
      <c r="G883" s="1"/>
      <c r="H883" s="1"/>
      <c r="I883" s="1"/>
    </row>
    <row r="884" spans="1:9" ht="15.6" x14ac:dyDescent="0.3">
      <c r="A884" s="1" t="s">
        <v>4</v>
      </c>
      <c r="B884" s="1" t="s">
        <v>5</v>
      </c>
      <c r="C884" s="10" t="s">
        <v>4</v>
      </c>
      <c r="D884" s="5" t="s">
        <v>874</v>
      </c>
      <c r="E884" s="1" t="str">
        <f ca="1">IFERROR(__xludf.DUMMYFUNCTION("GOOGLETRANSLATE(D884, ""bn"", ""en"")"),"Mamunul Haque, joint secretary general of the organization, gave a speech at a conference organized by Hefazete Islam in Dirai upazila, a neighboring upazila of Shalla on March 15. Jhumon Das, a local Hindu youth, posted a post on Facebook criticizing Ban"&amp;"gabandhu's sculpture as an opponent.")</f>
        <v>Mamunul Haque, joint secretary general of the organization, gave a speech at a conference organized by Hefazete Islam in Dirai upazila, a neighboring upazila of Shalla on March 15. Jhumon Das, a local Hindu youth, posted a post on Facebook criticizing Bangabandhu's sculpture as an opponent.</v>
      </c>
      <c r="F884" s="1"/>
      <c r="G884" s="1"/>
      <c r="H884" s="1"/>
      <c r="I884" s="1"/>
    </row>
    <row r="885" spans="1:9" ht="15.6" x14ac:dyDescent="0.3">
      <c r="A885" s="1" t="s">
        <v>9</v>
      </c>
      <c r="B885" s="1" t="s">
        <v>9</v>
      </c>
      <c r="C885" s="10" t="s">
        <v>9</v>
      </c>
      <c r="D885" s="5" t="s">
        <v>875</v>
      </c>
      <c r="E885" s="1" t="str">
        <f ca="1">IFERROR(__xludf.DUMMYFUNCTION("GOOGLETRANSLATE(D885, ""bn"", ""en"")"),"Under the pretext of replying to the Umayyad administrator of Iraq, Hajjaz bin Yusuf, King Dahir attacked the kingdom of Sindh. Then in 712, Hajjaj attacked with 6,000 horsemen, destroyed the temple, ")</f>
        <v>Under the pretext of replying to the Umayyad administrator of Iraq, Hajjaz bin Yusuf, King Dahir attacked the kingdom of Sindh. Then in 712, Hajjaj attacked with 6,000 horsemen, destroyed the temple, </v>
      </c>
      <c r="F885" s="1"/>
      <c r="G885" s="1"/>
      <c r="H885" s="1"/>
      <c r="I885" s="1"/>
    </row>
    <row r="886" spans="1:9" ht="15.6" x14ac:dyDescent="0.3">
      <c r="A886" s="1" t="s">
        <v>7</v>
      </c>
      <c r="B886" s="1" t="s">
        <v>7</v>
      </c>
      <c r="C886" s="10" t="s">
        <v>7</v>
      </c>
      <c r="D886" s="5" t="s">
        <v>876</v>
      </c>
      <c r="E886" s="1" t="str">
        <f ca="1">IFERROR(__xludf.DUMMYFUNCTION("GOOGLETRANSLATE(D886, ""bn"", ""en"")"),"On 26 April, the army, with the help of local allies, targeted the Hindu-dominated villages of Karai and Kadipur. They surrounded the villages and took the men as hostages. They were lined up and killed by light machine gun brushfire.")</f>
        <v>On 26 April, the army, with the help of local allies, targeted the Hindu-dominated villages of Karai and Kadipur. They surrounded the villages and took the men as hostages. They were lined up and killed by light machine gun brushfire.</v>
      </c>
      <c r="F886" s="1"/>
      <c r="G886" s="1"/>
      <c r="H886" s="1"/>
      <c r="I886" s="1"/>
    </row>
    <row r="887" spans="1:9" ht="15.6" x14ac:dyDescent="0.3">
      <c r="A887" s="1" t="s">
        <v>5</v>
      </c>
      <c r="B887" s="1" t="s">
        <v>5</v>
      </c>
      <c r="C887" s="10" t="s">
        <v>5</v>
      </c>
      <c r="D887" s="5" t="s">
        <v>877</v>
      </c>
      <c r="E887" s="1" t="str">
        <f ca="1">IFERROR(__xludf.DUMMYFUNCTION("GOOGLETRANSLATE(D887, ""bn"", ""en"")"),"I used to do good deeds only for the pleasure of Allah. It has been 5 years today. I can't explain to anyone the feeling I felt watching this series at that time. May Allah bless him who presented this series.")</f>
        <v>I used to do good deeds only for the pleasure of Allah. It has been 5 years today. I can't explain to anyone the feeling I felt watching this series at that time. May Allah bless him who presented this series.</v>
      </c>
      <c r="F887" s="1"/>
      <c r="G887" s="1"/>
      <c r="H887" s="1"/>
      <c r="I887" s="1"/>
    </row>
    <row r="888" spans="1:9" ht="15.6" x14ac:dyDescent="0.3">
      <c r="A888" s="1" t="s">
        <v>9</v>
      </c>
      <c r="B888" s="1" t="s">
        <v>9</v>
      </c>
      <c r="C888" s="10" t="s">
        <v>9</v>
      </c>
      <c r="D888" s="5" t="s">
        <v>878</v>
      </c>
      <c r="E888" s="1" t="str">
        <f ca="1">IFERROR(__xludf.DUMMYFUNCTION("GOOGLETRANSLATE(D888, ""bn"", ""en"")"),"Someone tagged a photo of a Buddhist youth named Uttam Barua desecrating the Quran on Facebook. As a result, Buddhist buildings and houses of Buddhists were attacked in Ramu. More than ten Buddhist monasteries and about 25 houses were attacked.")</f>
        <v>Someone tagged a photo of a Buddhist youth named Uttam Barua desecrating the Quran on Facebook. As a result, Buddhist buildings and houses of Buddhists were attacked in Ramu. More than ten Buddhist monasteries and about 25 houses were attacked.</v>
      </c>
      <c r="F888" s="1"/>
      <c r="G888" s="1"/>
      <c r="H888" s="1"/>
      <c r="I888" s="1"/>
    </row>
    <row r="889" spans="1:9" ht="15.6" x14ac:dyDescent="0.3">
      <c r="A889" s="1" t="s">
        <v>7</v>
      </c>
      <c r="B889" s="1" t="s">
        <v>4</v>
      </c>
      <c r="C889" s="10" t="s">
        <v>7</v>
      </c>
      <c r="D889" s="5" t="s">
        <v>879</v>
      </c>
      <c r="E889" s="1" t="str">
        <f ca="1">IFERROR(__xludf.DUMMYFUNCTION("GOOGLETRANSLATE(D889, ""bn"", ""en"")"),"Against a background of communal tension, the protest triggered massive riots in Kolkata.[17][18] In just 72 hours, over 4,000 civilians lost their lives and 100,000 residents were left homeless in Kolkata.")</f>
        <v>Against a background of communal tension, the protest triggered massive riots in Kolkata.[17][18] In just 72 hours, over 4,000 civilians lost their lives and 100,000 residents were left homeless in Kolkata.</v>
      </c>
      <c r="F889" s="1"/>
      <c r="G889" s="1"/>
      <c r="H889" s="1"/>
      <c r="I889" s="1"/>
    </row>
    <row r="890" spans="1:9" ht="15.6" x14ac:dyDescent="0.3">
      <c r="A890" s="1" t="s">
        <v>4</v>
      </c>
      <c r="B890" s="1" t="s">
        <v>4</v>
      </c>
      <c r="C890" s="10" t="s">
        <v>4</v>
      </c>
      <c r="D890" s="5" t="s">
        <v>880</v>
      </c>
      <c r="E890" s="1" t="str">
        <f ca="1">IFERROR(__xludf.DUMMYFUNCTION("GOOGLETRANSLATE(D890, ""bn"", ""en"")"),"My humble request to Quran detractors and those who have negative ideas about Quran, read the translation of Quran once from cover to cover with a completely open mind. I believe, like the mushriks of Makkah, your mind will also testify that it is not the"&amp;" words of a man.")</f>
        <v>My humble request to Quran detractors and those who have negative ideas about Quran, read the translation of Quran once from cover to cover with a completely open mind. I believe, like the mushriks of Makkah, your mind will also testify that it is not the words of a man.</v>
      </c>
      <c r="F890" s="1"/>
      <c r="G890" s="1"/>
      <c r="H890" s="1"/>
      <c r="I890" s="1"/>
    </row>
    <row r="891" spans="1:9" ht="15.6" x14ac:dyDescent="0.3">
      <c r="A891" s="1" t="s">
        <v>5</v>
      </c>
      <c r="B891" s="1" t="s">
        <v>5</v>
      </c>
      <c r="C891" s="10" t="s">
        <v>5</v>
      </c>
      <c r="D891" s="5" t="s">
        <v>881</v>
      </c>
      <c r="E891" s="1" t="str">
        <f ca="1">IFERROR(__xludf.DUMMYFUNCTION("GOOGLETRANSLATE(D891, ""bn"", ""en"")"),"Don't make the mistake of raising your hands to Allah at Iftar against them.")</f>
        <v>Don't make the mistake of raising your hands to Allah at Iftar against them.</v>
      </c>
      <c r="F891" s="1"/>
      <c r="G891" s="1"/>
      <c r="H891" s="1"/>
      <c r="I891" s="1"/>
    </row>
    <row r="892" spans="1:9" ht="15.6" x14ac:dyDescent="0.3">
      <c r="A892" s="1" t="s">
        <v>9</v>
      </c>
      <c r="B892" s="1" t="s">
        <v>9</v>
      </c>
      <c r="C892" s="10" t="s">
        <v>9</v>
      </c>
      <c r="D892" s="5" t="s">
        <v>882</v>
      </c>
      <c r="E892" s="1" t="str">
        <f ca="1">IFERROR(__xludf.DUMMYFUNCTION("GOOGLETRANSLATE(D892, ""bn"", ""en"")"),"A mosque in Comilla's Debidwar was attacked and vandalized. Four people including the secretary of the mosque were injured in this incident.")</f>
        <v>A mosque in Comilla's Debidwar was attacked and vandalized. Four people including the secretary of the mosque were injured in this incident.</v>
      </c>
      <c r="F892" s="1"/>
      <c r="G892" s="1"/>
      <c r="H892" s="1"/>
      <c r="I892" s="1"/>
    </row>
    <row r="893" spans="1:9" ht="15.6" x14ac:dyDescent="0.3">
      <c r="A893" s="1" t="s">
        <v>9</v>
      </c>
      <c r="B893" s="1" t="s">
        <v>9</v>
      </c>
      <c r="C893" s="10" t="s">
        <v>9</v>
      </c>
      <c r="D893" s="5" t="s">
        <v>883</v>
      </c>
      <c r="E893" s="1" t="str">
        <f ca="1">IFERROR(__xludf.DUMMYFUNCTION("GOOGLETRANSLATE(D893, ""bn"", ""en"")"),"The Buddhists were so persecuted and oppressed by the Hindus that the Bakhtiyar Khilji's victory in Bengal was celebrated as a gift from God.")</f>
        <v>The Buddhists were so persecuted and oppressed by the Hindus that the Bakhtiyar Khilji's victory in Bengal was celebrated as a gift from God.</v>
      </c>
      <c r="F893" s="1"/>
      <c r="G893" s="1"/>
      <c r="H893" s="1"/>
      <c r="I893" s="1"/>
    </row>
    <row r="894" spans="1:9" ht="15.6" x14ac:dyDescent="0.3">
      <c r="A894" s="1" t="s">
        <v>7</v>
      </c>
      <c r="B894" s="1" t="s">
        <v>7</v>
      </c>
      <c r="C894" s="10" t="s">
        <v>7</v>
      </c>
      <c r="D894" s="5" t="s">
        <v>884</v>
      </c>
      <c r="E894" s="1" t="str">
        <f ca="1">IFERROR(__xludf.DUMMYFUNCTION("GOOGLETRANSLATE(D894, ""bn"", ""en"")"),"They were taken to the Nachol police station and brutally tortured to find out the names of the remaining leaders. About 70-100 farmers died there due to this barbaric torture by the police. [13] Members of the police force brutally physically and sexuall"&amp;"y tortured Ila Mitra for four consecutive days before handing her over to the Nawabganj police station.")</f>
        <v>They were taken to the Nachol police station and brutally tortured to find out the names of the remaining leaders. About 70-100 farmers died there due to this barbaric torture by the police. [13] Members of the police force brutally physically and sexually tortured Ila Mitra for four consecutive days before handing her over to the Nawabganj police station.</v>
      </c>
      <c r="F894" s="1"/>
      <c r="G894" s="1"/>
      <c r="H894" s="1"/>
      <c r="I894" s="1"/>
    </row>
    <row r="895" spans="1:9" ht="15.6" x14ac:dyDescent="0.3">
      <c r="A895" s="4" t="s">
        <v>7</v>
      </c>
      <c r="B895" s="4" t="s">
        <v>7</v>
      </c>
      <c r="C895" s="11" t="s">
        <v>7</v>
      </c>
      <c r="D895" s="5" t="s">
        <v>885</v>
      </c>
      <c r="E895" s="1" t="str">
        <f ca="1">IFERROR(__xludf.DUMMYFUNCTION("GOOGLETRANSLATE(D895, ""bn"", ""en"")"),"Hindu pogroms refer to incidents of Hindus being killed by other religions at various times. Hindus have accepted this oppression and suppression for ages. These include forced conversions, documented genocide, destruction of temples and religious sites, "&amp;"and destruction of educational institutions.")</f>
        <v>Hindu pogroms refer to incidents of Hindus being killed by other religions at various times. Hindus have accepted this oppression and suppression for ages. These include forced conversions, documented genocide, destruction of temples and religious sites, and destruction of educational institutions.</v>
      </c>
      <c r="F895" s="1"/>
      <c r="G895" s="1"/>
      <c r="H895" s="1"/>
      <c r="I895" s="1"/>
    </row>
    <row r="896" spans="1:9" ht="15.6" x14ac:dyDescent="0.3">
      <c r="A896" s="1" t="s">
        <v>9</v>
      </c>
      <c r="B896" s="1" t="s">
        <v>9</v>
      </c>
      <c r="C896" s="10" t="s">
        <v>9</v>
      </c>
      <c r="D896" s="5" t="s">
        <v>886</v>
      </c>
      <c r="E896" s="1" t="str">
        <f ca="1">IFERROR(__xludf.DUMMYFUNCTION("GOOGLETRANSLATE(D896, ""bn"", ""en"")"),"On the night of January 7, masked men attacked two Hindu houses in Hazrail Rishipalli of Manirampur upazila in Jessore district. They took men hostage, gang-raped women.")</f>
        <v>On the night of January 7, masked men attacked two Hindu houses in Hazrail Rishipalli of Manirampur upazila in Jessore district. They took men hostage, gang-raped women.</v>
      </c>
      <c r="F896" s="1"/>
      <c r="G896" s="1"/>
      <c r="H896" s="1"/>
      <c r="I896" s="1"/>
    </row>
    <row r="897" spans="1:9" ht="15.6" x14ac:dyDescent="0.3">
      <c r="A897" s="1" t="s">
        <v>9</v>
      </c>
      <c r="B897" s="1" t="s">
        <v>9</v>
      </c>
      <c r="C897" s="10" t="s">
        <v>9</v>
      </c>
      <c r="D897" s="5" t="s">
        <v>887</v>
      </c>
      <c r="E897" s="1" t="str">
        <f ca="1">IFERROR(__xludf.DUMMYFUNCTION("GOOGLETRANSLATE(D897, ""bn"", ""en"")"),"If you give a speech, tell me first, can you erase the history of the Buddhist Jain temples that the Hindu Brahmins destroyed?")</f>
        <v>If you give a speech, tell me first, can you erase the history of the Buddhist Jain temples that the Hindu Brahmins destroyed?</v>
      </c>
      <c r="F897" s="1"/>
      <c r="G897" s="1"/>
      <c r="H897" s="1"/>
      <c r="I897" s="1"/>
    </row>
    <row r="898" spans="1:9" ht="15.6" x14ac:dyDescent="0.3">
      <c r="A898" s="1" t="s">
        <v>4</v>
      </c>
      <c r="B898" s="1" t="s">
        <v>4</v>
      </c>
      <c r="C898" s="10" t="s">
        <v>4</v>
      </c>
      <c r="D898" s="5" t="s">
        <v>888</v>
      </c>
      <c r="E898" s="1" t="str">
        <f ca="1">IFERROR(__xludf.DUMMYFUNCTION("GOOGLETRANSLATE(D898, ""bn"", ""en"")"),"Where Islam has taught unity, brotherhood, sincerity and love, in today's society we see that Muslim unity and brotherhood is being destroyed through some ulama. As a result Muslim power is weakening. Loyalty, discipline and brotherhood are disappearing b"&amp;"etween generations.")</f>
        <v>Where Islam has taught unity, brotherhood, sincerity and love, in today's society we see that Muslim unity and brotherhood is being destroyed through some ulama. As a result Muslim power is weakening. Loyalty, discipline and brotherhood are disappearing between generations.</v>
      </c>
      <c r="F898" s="1"/>
      <c r="G898" s="1"/>
      <c r="H898" s="1"/>
      <c r="I898" s="1"/>
    </row>
    <row r="899" spans="1:9" ht="15.6" x14ac:dyDescent="0.3">
      <c r="A899" s="1" t="s">
        <v>7</v>
      </c>
      <c r="B899" s="1" t="s">
        <v>7</v>
      </c>
      <c r="C899" s="10" t="s">
        <v>7</v>
      </c>
      <c r="D899" s="5" t="s">
        <v>889</v>
      </c>
      <c r="E899" s="1" t="str">
        <f ca="1">IFERROR(__xludf.DUMMYFUNCTION("GOOGLETRANSLATE(D899, ""bn"", ""en"")"),"They killed four other male members of the house in the same way and cheered. [16] They ransacked the famous Das studio in Nawabpur and set it on fire. On the night of 15 January, Muslims attacked every Hindu house in Nagarkhanpur in the same manner and d"&amp;"estroyed them after looting. ")</f>
        <v>They killed four other male members of the house in the same way and cheered. [16] They ransacked the famous Das studio in Nawabpur and set it on fire. On the night of 15 January, Muslims attacked every Hindu house in Nagarkhanpur in the same manner and destroyed them after looting. </v>
      </c>
      <c r="F899" s="1"/>
      <c r="G899" s="1"/>
      <c r="H899" s="1"/>
      <c r="I899" s="1"/>
    </row>
    <row r="900" spans="1:9" ht="15.6" x14ac:dyDescent="0.3">
      <c r="A900" s="1" t="s">
        <v>4</v>
      </c>
      <c r="B900" s="1" t="s">
        <v>4</v>
      </c>
      <c r="C900" s="10" t="s">
        <v>4</v>
      </c>
      <c r="D900" s="5" t="s">
        <v>890</v>
      </c>
      <c r="E900" s="1" t="str">
        <f ca="1">IFERROR(__xludf.DUMMYFUNCTION("GOOGLETRANSLATE(D900, ""bn"", ""en"")"),"The Hindus want to declare the entire Bayezid Bostami hill in Chittagong as a place of pilgrimage, and the local Muslims of Sitakunda also vocally support them.")</f>
        <v>The Hindus want to declare the entire Bayezid Bostami hill in Chittagong as a place of pilgrimage, and the local Muslims of Sitakunda also vocally support them.</v>
      </c>
      <c r="F900" s="1"/>
      <c r="G900" s="1"/>
      <c r="H900" s="1"/>
      <c r="I900" s="1"/>
    </row>
    <row r="901" spans="1:9" ht="15.6" x14ac:dyDescent="0.3">
      <c r="A901" s="1" t="s">
        <v>7</v>
      </c>
      <c r="B901" s="1" t="s">
        <v>7</v>
      </c>
      <c r="C901" s="10" t="s">
        <v>7</v>
      </c>
      <c r="D901" s="5" t="s">
        <v>891</v>
      </c>
      <c r="E901" s="1" t="str">
        <f ca="1">IFERROR(__xludf.DUMMYFUNCTION("GOOGLETRANSLATE(D901, ""bn"", ""en"")"),"Clashes broke out when the attackers were intercepted by the police. 3 people were killed and 17 policemen were injured in the clash.[31] After that the administration issued Section 144 in Hajiganj Municipal area. At the same time, two platoons of BGB we"&amp;"re deployed to maintain law and order situation on Wednesday night.")</f>
        <v>Clashes broke out when the attackers were intercepted by the police. 3 people were killed and 17 policemen were injured in the clash.[31] After that the administration issued Section 144 in Hajiganj Municipal area. At the same time, two platoons of BGB were deployed to maintain law and order situation on Wednesday night.</v>
      </c>
      <c r="F901" s="1"/>
      <c r="G901" s="1"/>
      <c r="H901" s="1"/>
      <c r="I901" s="1"/>
    </row>
    <row r="902" spans="1:9" ht="15.6" x14ac:dyDescent="0.3">
      <c r="A902" s="1" t="s">
        <v>9</v>
      </c>
      <c r="B902" s="1" t="s">
        <v>9</v>
      </c>
      <c r="C902" s="10" t="s">
        <v>9</v>
      </c>
      <c r="D902" s="5" t="s">
        <v>892</v>
      </c>
      <c r="E902" s="1" t="str">
        <f ca="1">IFERROR(__xludf.DUMMYFUNCTION("GOOGLETRANSLATE(D902, ""bn"", ""en"")"),"Harsha (1089-1101), the last Hindu king of the Lohara Empire, introduced another religious exclusionary rule. He started destroying both Hindu temples and Buddhist monasteries.")</f>
        <v>Harsha (1089-1101), the last Hindu king of the Lohara Empire, introduced another religious exclusionary rule. He started destroying both Hindu temples and Buddhist monasteries.</v>
      </c>
      <c r="F902" s="1"/>
      <c r="G902" s="1"/>
      <c r="H902" s="1"/>
      <c r="I902" s="1"/>
    </row>
    <row r="903" spans="1:9" ht="15.6" x14ac:dyDescent="0.3">
      <c r="A903" s="1" t="s">
        <v>4</v>
      </c>
      <c r="B903" s="1" t="s">
        <v>4</v>
      </c>
      <c r="C903" s="10" t="s">
        <v>4</v>
      </c>
      <c r="D903" s="5" t="s">
        <v>893</v>
      </c>
      <c r="E903" s="1" t="str">
        <f ca="1">IFERROR(__xludf.DUMMYFUNCTION("GOOGLETRANSLATE(D903, ""bn"", ""en"")"),"The comment box of my post is not a place for you to quarrel. I request you not to debate my comment box argument.")</f>
        <v>The comment box of my post is not a place for you to quarrel. I request you not to debate my comment box argument.</v>
      </c>
      <c r="F903" s="1"/>
      <c r="G903" s="1"/>
      <c r="H903" s="1"/>
      <c r="I903" s="1"/>
    </row>
    <row r="904" spans="1:9" ht="15.6" x14ac:dyDescent="0.3">
      <c r="A904" s="4" t="s">
        <v>7</v>
      </c>
      <c r="B904" s="4" t="s">
        <v>7</v>
      </c>
      <c r="C904" s="11" t="s">
        <v>7</v>
      </c>
      <c r="D904" s="5" t="s">
        <v>894</v>
      </c>
      <c r="E904" s="1" t="str">
        <f ca="1">IFERROR(__xludf.DUMMYFUNCTION("GOOGLETRANSLATE(D904, ""bn"", ""en"")"),"The 'Gulberg Society Massacre' is one of the most horrific events of the 2002 communal riots in Gujarat, India. 69 people, including Congress MP Ehsan Jafri, were burnt alive in Ahmedabad's Gulberg residential area.")</f>
        <v>The 'Gulberg Society Massacre' is one of the most horrific events of the 2002 communal riots in Gujarat, India. 69 people, including Congress MP Ehsan Jafri, were burnt alive in Ahmedabad's Gulberg residential area.</v>
      </c>
      <c r="F904" s="1"/>
      <c r="G904" s="1"/>
      <c r="H904" s="1"/>
      <c r="I904" s="1"/>
    </row>
    <row r="905" spans="1:9" ht="15.6" x14ac:dyDescent="0.3">
      <c r="A905" s="1" t="s">
        <v>4</v>
      </c>
      <c r="B905" s="1" t="s">
        <v>4</v>
      </c>
      <c r="C905" s="10" t="s">
        <v>4</v>
      </c>
      <c r="D905" s="5" t="s">
        <v>895</v>
      </c>
      <c r="E905" s="1" t="str">
        <f ca="1">IFERROR(__xludf.DUMMYFUNCTION("GOOGLETRANSLATE(D905, ""bn"", ""en"")"),"It is strange that when people of all religions are living happily and peacefully, some of the losers in politics, today's politicians, are inciting religious sentiments among Hindus, Muslims, Christians, Adivasi minorities by inciting religious sentiment"&amp;"s in our beloved area. ")</f>
        <v xml:space="preserve">It is strange that when people of all religions are living happily and peacefully, some of the losers in politics, today's politicians, are inciting religious sentiments among Hindus, Muslims, Christians, Adivasi minorities by inciting religious sentiments in our beloved area. </v>
      </c>
      <c r="F905" s="1"/>
      <c r="G905" s="1"/>
      <c r="H905" s="1"/>
      <c r="I905" s="1"/>
    </row>
    <row r="906" spans="1:9" ht="15.6" x14ac:dyDescent="0.3">
      <c r="A906" s="1" t="s">
        <v>9</v>
      </c>
      <c r="B906" s="1" t="s">
        <v>4</v>
      </c>
      <c r="C906" s="10" t="s">
        <v>9</v>
      </c>
      <c r="D906" s="5" t="s">
        <v>896</v>
      </c>
      <c r="E906" s="1" t="str">
        <f ca="1">IFERROR(__xludf.DUMMYFUNCTION("GOOGLETRANSLATE(D906, ""bn"", ""en"")")," On October 16, last Sunday, there was tension in the surrounding villages throughout the day due to rumors and mike incitement. After receiving the information, the police, after being able to assess the situation, provided security to Paritosh Sarkar's "&amp;"house and surrounding houses. But after evening several thousand people gathered around the village. At 9 o'clock in the night, they launched an ambush and attacked, vandalized, set fire to and looted Hindu homes, businesses and temples in Majhipara, Batt"&amp;"ala and Hatibandha villages of Ramnathpur union.")</f>
        <v> On October 16, last Sunday, there was tension in the surrounding villages throughout the day due to rumors and mike incitement. After receiving the information, the police, after being able to assess the situation, provided security to Paritosh Sarkar's house and surrounding houses. But after evening several thousand people gathered around the village. At 9 o'clock in the night, they launched an ambush and attacked, vandalized, set fire to and looted Hindu homes, businesses and temples in Majhipara, Battala and Hatibandha villages of Ramnathpur union.</v>
      </c>
      <c r="F906" s="1"/>
      <c r="G906" s="1"/>
      <c r="H906" s="1"/>
      <c r="I906" s="1"/>
    </row>
    <row r="907" spans="1:9" ht="15.6" x14ac:dyDescent="0.3">
      <c r="A907" s="1" t="s">
        <v>7</v>
      </c>
      <c r="B907" s="1" t="s">
        <v>7</v>
      </c>
      <c r="C907" s="10" t="s">
        <v>7</v>
      </c>
      <c r="D907" s="5" t="s">
        <v>897</v>
      </c>
      <c r="E907" s="1" t="str">
        <f ca="1">IFERROR(__xludf.DUMMYFUNCTION("GOOGLETRANSLATE(D907, ""bn"", ""en"")"),"Bloody clashes between the country's Christian militias (Anti-Balaka) and Muslim armed groups (Séléka) have left thousands dead and displaced.")</f>
        <v>Bloody clashes between the country's Christian militias (Anti-Balaka) and Muslim armed groups (Séléka) have left thousands dead and displaced.</v>
      </c>
      <c r="F907" s="1"/>
      <c r="G907" s="1"/>
      <c r="H907" s="1"/>
      <c r="I907" s="1"/>
    </row>
    <row r="908" spans="1:9" ht="15.6" x14ac:dyDescent="0.3">
      <c r="A908" s="1" t="s">
        <v>9</v>
      </c>
      <c r="B908" s="1" t="s">
        <v>9</v>
      </c>
      <c r="C908" s="10" t="s">
        <v>9</v>
      </c>
      <c r="D908" s="5" t="s">
        <v>898</v>
      </c>
      <c r="E908" s="1" t="str">
        <f ca="1">IFERROR(__xludf.DUMMYFUNCTION("GOOGLETRANSLATE(D908, ""bn"", ""en"")"),"Persecution of Rohingya Muslims in Myanmar is considered ethnic cleansing.")</f>
        <v>Persecution of Rohingya Muslims in Myanmar is considered ethnic cleansing.</v>
      </c>
      <c r="F908" s="1"/>
      <c r="G908" s="1"/>
      <c r="H908" s="1"/>
      <c r="I908" s="1"/>
    </row>
    <row r="909" spans="1:9" ht="15.6" x14ac:dyDescent="0.3">
      <c r="A909" s="1" t="s">
        <v>5</v>
      </c>
      <c r="B909" s="1" t="s">
        <v>5</v>
      </c>
      <c r="C909" s="10" t="s">
        <v>5</v>
      </c>
      <c r="D909" s="5" t="s">
        <v>899</v>
      </c>
      <c r="E909" s="1" t="str">
        <f ca="1">IFERROR(__xludf.DUMMYFUNCTION("GOOGLETRANSLATE(D909, ""bn"", ""en"")"),"He will follow his religion without fear. Certainly not to hurt anyone's religious sentiments. Strict laws in this regard, enforcement of laws is very important. Many thanks to the honorable court.")</f>
        <v>He will follow his religion without fear. Certainly not to hurt anyone's religious sentiments. Strict laws in this regard, enforcement of laws is very important. Many thanks to the honorable court.</v>
      </c>
      <c r="F909" s="1"/>
      <c r="G909" s="1"/>
      <c r="H909" s="1"/>
      <c r="I909" s="1"/>
    </row>
    <row r="910" spans="1:9" ht="15.6" x14ac:dyDescent="0.3">
      <c r="A910" s="1" t="s">
        <v>4</v>
      </c>
      <c r="B910" s="1" t="s">
        <v>5</v>
      </c>
      <c r="C910" s="10" t="s">
        <v>4</v>
      </c>
      <c r="D910" s="5" t="s">
        <v>900</v>
      </c>
      <c r="E910" s="1" t="str">
        <f ca="1">IFERROR(__xludf.DUMMYFUNCTION("GOOGLETRANSLATE(D910, ""bn"", ""en"")"),"Although they are Muslims in name, Hindutva culture is more for them. They themselves have created a separate religion. ")</f>
        <v xml:space="preserve">Although they are Muslims in name, Hindutva culture is more for them. They themselves have created a separate religion. </v>
      </c>
      <c r="F910" s="1"/>
      <c r="G910" s="1"/>
      <c r="H910" s="1"/>
      <c r="I910" s="1"/>
    </row>
    <row r="911" spans="1:9" ht="15.6" x14ac:dyDescent="0.3">
      <c r="A911" s="1" t="s">
        <v>7</v>
      </c>
      <c r="B911" s="1" t="s">
        <v>7</v>
      </c>
      <c r="C911" s="10" t="s">
        <v>7</v>
      </c>
      <c r="D911" s="5" t="s">
        <v>901</v>
      </c>
      <c r="E911" s="1" t="str">
        <f ca="1">IFERROR(__xludf.DUMMYFUNCTION("GOOGLETRANSLATE(D911, ""bn"", ""en"")"),"On 28 February 2013, the International Criminal Tribunal sentenced Jamaat-e-Islami vice-president Delawar Hossain Sayeedi to death for war crimes committed during the 1971 Bangladesh Liberation War. After this sentence, activists of Jamaat-e-Islami and it"&amp;"s student organization Islami Chhatra Shibir attacked Hindus in various parts of the country.")</f>
        <v>On 28 February 2013, the International Criminal Tribunal sentenced Jamaat-e-Islami vice-president Delawar Hossain Sayeedi to death for war crimes committed during the 1971 Bangladesh Liberation War. After this sentence, activists of Jamaat-e-Islami and its student organization Islami Chhatra Shibir attacked Hindus in various parts of the country.</v>
      </c>
      <c r="F911" s="1"/>
      <c r="G911" s="1"/>
      <c r="H911" s="1"/>
      <c r="I911" s="1"/>
    </row>
    <row r="912" spans="1:9" ht="15.6" x14ac:dyDescent="0.3">
      <c r="A912" s="1" t="s">
        <v>9</v>
      </c>
      <c r="B912" s="1" t="s">
        <v>9</v>
      </c>
      <c r="C912" s="10" t="s">
        <v>9</v>
      </c>
      <c r="D912" s="5" t="s">
        <v>902</v>
      </c>
      <c r="E912" s="1" t="str">
        <f ca="1">IFERROR(__xludf.DUMMYFUNCTION("GOOGLETRANSLATE(D912, ""bn"", ""en"")"),"On December 7, 1992, Muslims attacked the national temple of Bangladesh, Dhakeshwari Temple. Muslims also attacked this temple in 1990 based on the rumor of breaking the Babri Masjid.")</f>
        <v>On December 7, 1992, Muslims attacked the national temple of Bangladesh, Dhakeshwari Temple. Muslims also attacked this temple in 1990 based on the rumor of breaking the Babri Masjid.</v>
      </c>
      <c r="F912" s="1"/>
      <c r="G912" s="1"/>
      <c r="H912" s="1"/>
      <c r="I912" s="1"/>
    </row>
    <row r="913" spans="1:9" ht="15.6" x14ac:dyDescent="0.3">
      <c r="A913" s="1" t="s">
        <v>4</v>
      </c>
      <c r="B913" s="1" t="s">
        <v>4</v>
      </c>
      <c r="C913" s="10" t="s">
        <v>4</v>
      </c>
      <c r="D913" s="5" t="s">
        <v>903</v>
      </c>
      <c r="E913" s="1" t="str">
        <f ca="1">IFERROR(__xludf.DUMMYFUNCTION("GOOGLETRANSLATE(D913, ""bn"", ""en"")"),"Boycott France Movement: Will Emmanuel Macron's comments on Islam damage the image of the French in Bangladesh?")</f>
        <v>Boycott France Movement: Will Emmanuel Macron's comments on Islam damage the image of the French in Bangladesh?</v>
      </c>
      <c r="F913" s="1"/>
      <c r="G913" s="1"/>
      <c r="H913" s="1"/>
      <c r="I913" s="1"/>
    </row>
    <row r="914" spans="1:9" ht="15.6" x14ac:dyDescent="0.3">
      <c r="A914" s="1" t="s">
        <v>4</v>
      </c>
      <c r="B914" s="1" t="s">
        <v>5</v>
      </c>
      <c r="C914" s="10" t="s">
        <v>4</v>
      </c>
      <c r="D914" s="5" t="s">
        <v>904</v>
      </c>
      <c r="E914" s="1" t="str">
        <f ca="1">IFERROR(__xludf.DUMMYFUNCTION("GOOGLETRANSLATE(D914, ""bn"", ""en"")"),"The BBC's correspondent says that while there has been a rare and ""dramatic display"" of national unity over the killings, there is no denying that dissent is intensifying in some parts of French society over secularism and freedom of expression.")</f>
        <v>The BBC's correspondent says that while there has been a rare and "dramatic display" of national unity over the killings, there is no denying that dissent is intensifying in some parts of French society over secularism and freedom of expression.</v>
      </c>
      <c r="F914" s="1"/>
      <c r="G914" s="1"/>
      <c r="H914" s="1"/>
      <c r="I914" s="1"/>
    </row>
    <row r="915" spans="1:9" ht="15.6" x14ac:dyDescent="0.3">
      <c r="A915" s="1" t="s">
        <v>5</v>
      </c>
      <c r="B915" s="1" t="s">
        <v>5</v>
      </c>
      <c r="C915" s="10" t="s">
        <v>5</v>
      </c>
      <c r="D915" s="5" t="s">
        <v>905</v>
      </c>
      <c r="E915" s="1" t="str">
        <f ca="1">IFERROR(__xludf.DUMMYFUNCTION("GOOGLETRANSLATE(D915, ""bn"", ""en"")"),"The man who can lead with all the people Hindu-Muslim Sikhs, Ishais, Adivasi Tapashili, Christians, Matua Nava Shuddha, Dalit is the real leader of the country, we West Bengalis are with him. ")</f>
        <v xml:space="preserve">The man who can lead with all the people Hindu-Muslim Sikhs, Ishais, Adivasi Tapashili, Christians, Matua Nava Shuddha, Dalit is the real leader of the country, we West Bengalis are with him. </v>
      </c>
      <c r="F915" s="1"/>
      <c r="G915" s="1"/>
      <c r="H915" s="1"/>
      <c r="I915" s="1"/>
    </row>
    <row r="916" spans="1:9" ht="15.6" x14ac:dyDescent="0.3">
      <c r="A916" s="1" t="s">
        <v>9</v>
      </c>
      <c r="B916" s="1" t="s">
        <v>9</v>
      </c>
      <c r="C916" s="10" t="s">
        <v>9</v>
      </c>
      <c r="D916" s="5" t="s">
        <v>906</v>
      </c>
      <c r="E916" s="1" t="str">
        <f ca="1">IFERROR(__xludf.DUMMYFUNCTION("GOOGLETRANSLATE(D916, ""bn"", ""en"")"),"But Mohammad Kamruzzaman Talukder, officer-in-charge of Muradnagar police station, says that the information that has been received so far is not a matter of insulting religion, but there is an element of local politics. But only after the full investigat"&amp;"ion can be said what happened or why it happened.")</f>
        <v>But Mohammad Kamruzzaman Talukder, officer-in-charge of Muradnagar police station, says that the information that has been received so far is not a matter of insulting religion, but there is an element of local politics. But only after the full investigation can be said what happened or why it happened.</v>
      </c>
      <c r="F916" s="1"/>
      <c r="G916" s="1"/>
      <c r="H916" s="1"/>
      <c r="I916" s="1"/>
    </row>
    <row r="917" spans="1:9" ht="15.6" x14ac:dyDescent="0.3">
      <c r="A917" s="1" t="s">
        <v>4</v>
      </c>
      <c r="B917" s="1" t="s">
        <v>5</v>
      </c>
      <c r="C917" s="10" t="s">
        <v>4</v>
      </c>
      <c r="D917" s="5" t="s">
        <v>907</v>
      </c>
      <c r="E917" s="1" t="str">
        <f ca="1">IFERROR(__xludf.DUMMYFUNCTION("GOOGLETRANSLATE(D917, ""bn"", ""en"")"),"Islamic extremists drove the few remaining Hindus from the valley. Hindus are homeless and living miserable lives as refugees in Jammu and Delhi.")</f>
        <v>Islamic extremists drove the few remaining Hindus from the valley. Hindus are homeless and living miserable lives as refugees in Jammu and Delhi.</v>
      </c>
      <c r="F917" s="1"/>
      <c r="G917" s="1"/>
      <c r="H917" s="1"/>
      <c r="I917" s="1"/>
    </row>
    <row r="918" spans="1:9" ht="15.6" x14ac:dyDescent="0.3">
      <c r="A918" s="1" t="s">
        <v>4</v>
      </c>
      <c r="B918" s="1" t="s">
        <v>5</v>
      </c>
      <c r="C918" s="10" t="s">
        <v>4</v>
      </c>
      <c r="D918" s="5" t="s">
        <v>908</v>
      </c>
      <c r="E918" s="1" t="str">
        <f ca="1">IFERROR(__xludf.DUMMYFUNCTION("GOOGLETRANSLATE(D918, ""bn"", ""en"")"),"In the same logic that a person supports homosexuality and calls it normal, incest should be normal too (Nauzubillah)! What is really so?")</f>
        <v>In the same logic that a person supports homosexuality and calls it normal, incest should be normal too (Nauzubillah)! What is really so?</v>
      </c>
      <c r="F918" s="1"/>
      <c r="G918" s="1"/>
      <c r="H918" s="1"/>
      <c r="I918" s="1"/>
    </row>
    <row r="919" spans="1:9" ht="15.6" x14ac:dyDescent="0.3">
      <c r="A919" s="1" t="s">
        <v>4</v>
      </c>
      <c r="B919" s="1" t="s">
        <v>4</v>
      </c>
      <c r="C919" s="10" t="s">
        <v>4</v>
      </c>
      <c r="D919" s="5" t="s">
        <v>909</v>
      </c>
      <c r="E919" s="1" t="str">
        <f ca="1">IFERROR(__xludf.DUMMYFUNCTION("GOOGLETRANSLATE(D919, ""bn"", ""en"")"),"And if Munna preaches religion in front of the camera, then you have not seen his stand-up comedy. And how it exposes superstitions. The person who shared the post, you are also like him.")</f>
        <v>And if Munna preaches religion in front of the camera, then you have not seen his stand-up comedy. And how it exposes superstitions. The person who shared the post, you are also like him.</v>
      </c>
      <c r="F919" s="1"/>
      <c r="G919" s="1"/>
      <c r="H919" s="1"/>
      <c r="I919" s="1"/>
    </row>
    <row r="920" spans="1:9" ht="15.6" x14ac:dyDescent="0.3">
      <c r="A920" s="1" t="s">
        <v>7</v>
      </c>
      <c r="B920" s="1" t="s">
        <v>7</v>
      </c>
      <c r="C920" s="10" t="s">
        <v>7</v>
      </c>
      <c r="D920" s="5" t="s">
        <v>910</v>
      </c>
      <c r="E920" s="1" t="str">
        <f ca="1">IFERROR(__xludf.DUMMYFUNCTION("GOOGLETRANSLATE(D920, ""bn"", ""en"")"),"Apart from those killed in the path of Allah, those who died in epidemics, fire, drowning and various accidents will also get the status of martyrs. ")</f>
        <v>Apart from those killed in the path of Allah, those who died in epidemics, fire, drowning and various accidents will also get the status of martyrs. </v>
      </c>
      <c r="F920" s="1"/>
      <c r="G920" s="1"/>
      <c r="H920" s="1"/>
      <c r="I920" s="1"/>
    </row>
    <row r="921" spans="1:9" ht="15.6" x14ac:dyDescent="0.3">
      <c r="A921" s="1" t="s">
        <v>7</v>
      </c>
      <c r="B921" s="1" t="s">
        <v>7</v>
      </c>
      <c r="C921" s="10" t="s">
        <v>7</v>
      </c>
      <c r="D921" s="5" t="s">
        <v>911</v>
      </c>
      <c r="E921" s="1" t="str">
        <f ca="1">IFERROR(__xludf.DUMMYFUNCTION("GOOGLETRANSLATE(D921, ""bn"", ""en"")"),"Killing people in the name of religion is unacceptable. It is very sad.")</f>
        <v>Killing people in the name of religion is unacceptable. It is very sad.</v>
      </c>
      <c r="F921" s="1"/>
      <c r="G921" s="1"/>
      <c r="H921" s="1"/>
      <c r="I921" s="1"/>
    </row>
    <row r="922" spans="1:9" ht="15.6" x14ac:dyDescent="0.3">
      <c r="A922" s="1" t="s">
        <v>9</v>
      </c>
      <c r="B922" s="1" t="s">
        <v>9</v>
      </c>
      <c r="C922" s="10" t="s">
        <v>9</v>
      </c>
      <c r="D922" s="5" t="s">
        <v>912</v>
      </c>
      <c r="E922" s="1" t="str">
        <f ca="1">IFERROR(__xludf.DUMMYFUNCTION("GOOGLETRANSLATE(D922, ""bn"", ""en"")"),"The entire Ramna area was illuminated by the searchlights of the Pakistani forces. Meanwhile, the cannon fire started. After entering the Ramana Kali temple, the Pakistani forces started throwing some kind of explosives. But some say they fire cannons.")</f>
        <v>The entire Ramna area was illuminated by the searchlights of the Pakistani forces. Meanwhile, the cannon fire started. After entering the Ramana Kali temple, the Pakistani forces started throwing some kind of explosives. But some say they fire cannons.</v>
      </c>
      <c r="F922" s="1"/>
      <c r="G922" s="1"/>
      <c r="H922" s="1"/>
      <c r="I922" s="1"/>
    </row>
    <row r="923" spans="1:9" ht="15.6" x14ac:dyDescent="0.3">
      <c r="A923" s="1" t="s">
        <v>9</v>
      </c>
      <c r="B923" s="1" t="s">
        <v>9</v>
      </c>
      <c r="C923" s="10" t="s">
        <v>9</v>
      </c>
      <c r="D923" s="5" t="s">
        <v>913</v>
      </c>
      <c r="E923" s="1" t="str">
        <f ca="1">IFERROR(__xludf.DUMMYFUNCTION("GOOGLETRANSLATE(D923, ""bn"", ""en"")"),"On 22 April, Lt. Gen. Muhammad Azam Khan, who was then the Governor of East Bengal. He continued to tell imaginary stories about the persecution of Muslims in India in a press conference. ")</f>
        <v>On 22 April, Lt. Gen. Muhammad Azam Khan, who was then the Governor of East Bengal. He continued to tell imaginary stories about the persecution of Muslims in India in a press conference. </v>
      </c>
      <c r="F923" s="1"/>
      <c r="G923" s="1"/>
      <c r="H923" s="1"/>
      <c r="I923" s="1"/>
    </row>
    <row r="924" spans="1:9" ht="15.6" x14ac:dyDescent="0.3">
      <c r="A924" s="1" t="s">
        <v>4</v>
      </c>
      <c r="B924" s="1" t="s">
        <v>4</v>
      </c>
      <c r="C924" s="10" t="s">
        <v>4</v>
      </c>
      <c r="D924" s="5" t="s">
        <v>914</v>
      </c>
      <c r="E924" s="1" t="str">
        <f ca="1">IFERROR(__xludf.DUMMYFUNCTION("GOOGLETRANSLATE(D924, ""bn"", ""en"")"),"Insulting any religion should be severely punished. He will follow his own religion. More action should be taken so that no one dares to destroy the unity of the people in this country by hurting someone's religious sentiments.")</f>
        <v>Insulting any religion should be severely punished. He will follow his own religion. More action should be taken so that no one dares to destroy the unity of the people in this country by hurting someone's religious sentiments.</v>
      </c>
      <c r="F924" s="1"/>
      <c r="G924" s="1"/>
      <c r="H924" s="1"/>
      <c r="I924" s="1"/>
    </row>
    <row r="925" spans="1:9" ht="15.6" x14ac:dyDescent="0.3">
      <c r="A925" s="1" t="s">
        <v>7</v>
      </c>
      <c r="B925" s="1" t="s">
        <v>7</v>
      </c>
      <c r="C925" s="10" t="s">
        <v>7</v>
      </c>
      <c r="D925" s="5" t="s">
        <v>915</v>
      </c>
      <c r="E925" s="1" t="str">
        <f ca="1">IFERROR(__xludf.DUMMYFUNCTION("GOOGLETRANSLATE(D925, ""bn"", ""en"")"),"Just because we are becoming modern does not mean that we will forget religion. Is there no fear of death when the country is dealing with this terrible corona? Even being Muslims, many are responding like atheists.")</f>
        <v>Just because we are becoming modern does not mean that we will forget religion. Is there no fear of death when the country is dealing with this terrible corona? Even being Muslims, many are responding like atheists.</v>
      </c>
      <c r="F925" s="1"/>
      <c r="G925" s="1"/>
      <c r="H925" s="1"/>
      <c r="I925" s="1"/>
    </row>
    <row r="926" spans="1:9" ht="15.6" x14ac:dyDescent="0.3">
      <c r="A926" s="1" t="s">
        <v>7</v>
      </c>
      <c r="B926" s="1" t="s">
        <v>7</v>
      </c>
      <c r="C926" s="10" t="s">
        <v>7</v>
      </c>
      <c r="D926" s="5" t="s">
        <v>916</v>
      </c>
      <c r="E926" s="1" t="str">
        <f ca="1">IFERROR(__xludf.DUMMYFUNCTION("GOOGLETRANSLATE(D926, ""bn"", ""en"")"),"Five dailies in East Pakistan stopped publishing them. [16] The international news agency Reuters reported in a report that over 1,000 innocent Hindus were killed in the city of Dhaka alone. After the publication of this report, the government of Pakistan"&amp;" reacted strongly.")</f>
        <v>Five dailies in East Pakistan stopped publishing them. [16] The international news agency Reuters reported in a report that over 1,000 innocent Hindus were killed in the city of Dhaka alone. After the publication of this report, the government of Pakistan reacted strongly.</v>
      </c>
      <c r="F926" s="1"/>
      <c r="G926" s="1"/>
      <c r="H926" s="1"/>
      <c r="I926" s="1"/>
    </row>
    <row r="927" spans="1:9" ht="15.6" x14ac:dyDescent="0.3">
      <c r="A927" s="1" t="s">
        <v>9</v>
      </c>
      <c r="B927" s="1" t="s">
        <v>9</v>
      </c>
      <c r="C927" s="10" t="s">
        <v>9</v>
      </c>
      <c r="D927" s="5" t="s">
        <v>917</v>
      </c>
      <c r="E927" s="1" t="str">
        <f ca="1">IFERROR(__xludf.DUMMYFUNCTION("GOOGLETRANSLATE(D927, ""bn"", ""en"")"),"On January 5, 1950, Santal residents of Chandipur village under the control of Nachol Police Station started protesting in front of the police station because the police force detained a Santal tribal without reason. But when the police opened fire on the"&amp;" gathering, the Santal tribals turned violent and clashed with the police.")</f>
        <v>On January 5, 1950, Santal residents of Chandipur village under the control of Nachol Police Station started protesting in front of the police station because the police force detained a Santal tribal without reason. But when the police opened fire on the gathering, the Santal tribals turned violent and clashed with the police.</v>
      </c>
      <c r="F927" s="1"/>
      <c r="G927" s="1"/>
      <c r="H927" s="1"/>
      <c r="I927" s="1"/>
    </row>
    <row r="928" spans="1:9" ht="15.6" x14ac:dyDescent="0.3">
      <c r="A928" s="1" t="s">
        <v>9</v>
      </c>
      <c r="B928" s="1" t="s">
        <v>9</v>
      </c>
      <c r="C928" s="10" t="s">
        <v>9</v>
      </c>
      <c r="D928" s="5" t="s">
        <v>918</v>
      </c>
      <c r="E928" s="1" t="str">
        <f ca="1">IFERROR(__xludf.DUMMYFUNCTION("GOOGLETRANSLATE(D928, ""bn"", ""en"")"),"At 10 pm on Sunday, October 17, Islamists attacked the Hindu-dominated villages of Majhipara, Battala and Hatibandha in Ramnathpur Union of Pirganj Upazila of Rangpur District on charges of making anti-Islamic comments on Facebook.")</f>
        <v>At 10 pm on Sunday, October 17, Islamists attacked the Hindu-dominated villages of Majhipara, Battala and Hatibandha in Ramnathpur Union of Pirganj Upazila of Rangpur District on charges of making anti-Islamic comments on Facebook.</v>
      </c>
      <c r="F928" s="1"/>
      <c r="G928" s="1"/>
      <c r="H928" s="1"/>
      <c r="I928" s="1"/>
    </row>
    <row r="929" spans="1:9" ht="15.6" x14ac:dyDescent="0.3">
      <c r="A929" s="1" t="s">
        <v>7</v>
      </c>
      <c r="B929" s="1" t="s">
        <v>7</v>
      </c>
      <c r="C929" s="10" t="s">
        <v>7</v>
      </c>
      <c r="D929" s="5" t="s">
        <v>624</v>
      </c>
      <c r="E929" s="1" t="str">
        <f ca="1">IFERROR(__xludf.DUMMYFUNCTION("GOOGLETRANSLATE(D929, ""bn"", ""en"")"),"Nazi forces in Germany killed millions of Jews in what is known in history as the Holocaust.")</f>
        <v>Nazi forces in Germany killed millions of Jews in what is known in history as the Holocaust.</v>
      </c>
      <c r="F929" s="1"/>
      <c r="G929" s="1"/>
      <c r="H929" s="1"/>
      <c r="I929" s="1"/>
    </row>
    <row r="930" spans="1:9" ht="15.6" x14ac:dyDescent="0.3">
      <c r="A930" s="1" t="s">
        <v>4</v>
      </c>
      <c r="B930" s="1" t="s">
        <v>4</v>
      </c>
      <c r="C930" s="10" t="s">
        <v>4</v>
      </c>
      <c r="D930" s="5" t="s">
        <v>919</v>
      </c>
      <c r="E930" s="1" t="str">
        <f ca="1">IFERROR(__xludf.DUMMYFUNCTION("GOOGLETRANSLATE(D930, ""bn"", ""en"")"),"Stupid Bengalis do not know that, what are the consequences? Hindus have banned the sale of non-vegetarian food in each of the areas declared as pilgrimage sites in Western India.")</f>
        <v>Stupid Bengalis do not know that, what are the consequences? Hindus have banned the sale of non-vegetarian food in each of the areas declared as pilgrimage sites in Western India.</v>
      </c>
      <c r="F930" s="1"/>
      <c r="G930" s="1"/>
      <c r="H930" s="1"/>
      <c r="I930" s="1"/>
    </row>
    <row r="931" spans="1:9" ht="15.6" x14ac:dyDescent="0.3">
      <c r="A931" s="1" t="s">
        <v>5</v>
      </c>
      <c r="B931" s="1" t="s">
        <v>5</v>
      </c>
      <c r="C931" s="10" t="s">
        <v>5</v>
      </c>
      <c r="D931" s="5" t="s">
        <v>920</v>
      </c>
      <c r="E931" s="1" t="str">
        <f ca="1">IFERROR(__xludf.DUMMYFUNCTION("GOOGLETRANSLATE(D931, ""bn"", ""en"")"),"Boycott Bangladesh for India: Vacant Bangladeshi inhabited areas, Free rations and allowances stopped for Bangladeshis, Development of underdeveloped Sundarbans, Assam and Tripura, Low prices of domestic products.")</f>
        <v>Boycott Bangladesh for India: Vacant Bangladeshi inhabited areas, Free rations and allowances stopped for Bangladeshis, Development of underdeveloped Sundarbans, Assam and Tripura, Low prices of domestic products.</v>
      </c>
      <c r="F931" s="1"/>
      <c r="G931" s="1"/>
      <c r="H931" s="1"/>
      <c r="I931" s="1"/>
    </row>
    <row r="932" spans="1:9" ht="15.6" x14ac:dyDescent="0.3">
      <c r="A932" s="1" t="s">
        <v>9</v>
      </c>
      <c r="B932" s="1" t="s">
        <v>9</v>
      </c>
      <c r="C932" s="10" t="s">
        <v>9</v>
      </c>
      <c r="D932" s="5" t="s">
        <v>921</v>
      </c>
      <c r="E932" s="1" t="str">
        <f ca="1">IFERROR(__xludf.DUMMYFUNCTION("GOOGLETRANSLATE(D932, ""bn"", ""en"")"),"Attack on Muslims during Tarawi Namaz in TSC 2022 at Dhaka University, famous as the Oxford of the East, ")</f>
        <v xml:space="preserve">Attack on Muslims during Tarawi Namaz in TSC 2022 at Dhaka University, famous as the Oxford of the East, </v>
      </c>
      <c r="F932" s="1"/>
      <c r="G932" s="1"/>
      <c r="H932" s="1"/>
      <c r="I932" s="1"/>
    </row>
    <row r="933" spans="1:9" ht="15.6" x14ac:dyDescent="0.3">
      <c r="A933" s="1" t="s">
        <v>9</v>
      </c>
      <c r="B933" s="1" t="s">
        <v>9</v>
      </c>
      <c r="C933" s="10" t="s">
        <v>9</v>
      </c>
      <c r="D933" s="5" t="s">
        <v>922</v>
      </c>
      <c r="E933" s="1" t="str">
        <f ca="1">IFERROR(__xludf.DUMMYFUNCTION("GOOGLETRANSLATE(D933, ""bn"", ""en"")"),"Human Rights Forum Bangladesh is concerned about the attack and vandalism of a school headmaster's house in Kushtia's Kumarkhali on charges of hurting religious sentiments.")</f>
        <v>Human Rights Forum Bangladesh is concerned about the attack and vandalism of a school headmaster's house in Kushtia's Kumarkhali on charges of hurting religious sentiments.</v>
      </c>
      <c r="F933" s="1"/>
      <c r="G933" s="1"/>
      <c r="H933" s="1"/>
      <c r="I933" s="1"/>
    </row>
    <row r="934" spans="1:9" ht="15.6" x14ac:dyDescent="0.3">
      <c r="A934" s="1" t="s">
        <v>7</v>
      </c>
      <c r="B934" s="1" t="s">
        <v>5</v>
      </c>
      <c r="C934" s="10" t="s">
        <v>7</v>
      </c>
      <c r="D934" s="5" t="s">
        <v>923</v>
      </c>
      <c r="E934" s="1" t="str">
        <f ca="1">IFERROR(__xludf.DUMMYFUNCTION("GOOGLETRANSLATE(D934, ""bn"", ""en"")"),"After the Pakistan Armed Forces left Barguna, members of the Peace Committee announced that Hindus could now return to the city. None of them except caste Hindus would be killed.[3] Many Bengali Hindus returned to their homes in Barguna after receiving as"&amp;"surances from the Peace Committee.")</f>
        <v>After the Pakistan Armed Forces left Barguna, members of the Peace Committee announced that Hindus could now return to the city. None of them except caste Hindus would be killed.[3] Many Bengali Hindus returned to their homes in Barguna after receiving assurances from the Peace Committee.</v>
      </c>
      <c r="F934" s="1"/>
      <c r="G934" s="1"/>
      <c r="H934" s="1"/>
      <c r="I934" s="1"/>
    </row>
    <row r="935" spans="1:9" ht="15.6" x14ac:dyDescent="0.3">
      <c r="A935" s="1" t="s">
        <v>9</v>
      </c>
      <c r="B935" s="1" t="s">
        <v>9</v>
      </c>
      <c r="C935" s="10" t="s">
        <v>9</v>
      </c>
      <c r="D935" s="5" t="s">
        <v>924</v>
      </c>
      <c r="E935" s="1" t="str">
        <f ca="1">IFERROR(__xludf.DUMMYFUNCTION("GOOGLETRANSLATE(D935, ""bn"", ""en"")"),"Several extremist Muslims announced an attack on Mai, in which 88 houses and 7/8 family temples were vandalized and furniture was destroyed. [2] The attack and vandalism was led by Nachni village member and Ward Youth League President Shahidul Islam Sadhi"&amp;"n and his another assistant Pakkan Mia of Ward No. 9 of Sarmangal Union of Dirai Upazila. 38 people have been arrested so far in the incident and investigations are ongoing.[3] However, some have implicated Hefazet Islam Bangladesh in the attack.")</f>
        <v>Several extremist Muslims announced an attack on Mai, in which 88 houses and 7/8 family temples were vandalized and furniture was destroyed. [2] The attack and vandalism was led by Nachni village member and Ward Youth League President Shahidul Islam Sadhin and his another assistant Pakkan Mia of Ward No. 9 of Sarmangal Union of Dirai Upazila. 38 people have been arrested so far in the incident and investigations are ongoing.[3] However, some have implicated Hefazet Islam Bangladesh in the attack.</v>
      </c>
      <c r="F935" s="1"/>
      <c r="G935" s="1"/>
      <c r="H935" s="1"/>
      <c r="I935" s="1"/>
    </row>
    <row r="936" spans="1:9" ht="15.6" x14ac:dyDescent="0.3">
      <c r="A936" s="1" t="s">
        <v>7</v>
      </c>
      <c r="B936" s="1" t="s">
        <v>7</v>
      </c>
      <c r="C936" s="10" t="s">
        <v>7</v>
      </c>
      <c r="D936" s="5" t="s">
        <v>925</v>
      </c>
      <c r="E936" s="1" t="str">
        <f ca="1">IFERROR(__xludf.DUMMYFUNCTION("GOOGLETRANSLATE(D936, ""bn"", ""en"")"),"Pakistani police, paramilitary forces killed, looted, arson, tortured, kidnapped, raped Bengali Hindus.[1] These riots continued throughout February-March 1950. Many Hindu Bengalis fled East Bengal for their lives and migrated to West Bengal.")</f>
        <v>Pakistani police, paramilitary forces killed, looted, arson, tortured, kidnapped, raped Bengali Hindus.[1] These riots continued throughout February-March 1950. Many Hindu Bengalis fled East Bengal for their lives and migrated to West Bengal.</v>
      </c>
      <c r="F936" s="1"/>
      <c r="G936" s="1"/>
      <c r="H936" s="1"/>
      <c r="I936" s="1"/>
    </row>
    <row r="937" spans="1:9" ht="15.6" x14ac:dyDescent="0.3">
      <c r="A937" s="1" t="s">
        <v>5</v>
      </c>
      <c r="B937" s="1" t="s">
        <v>5</v>
      </c>
      <c r="C937" s="10" t="s">
        <v>5</v>
      </c>
      <c r="D937" s="5" t="s">
        <v>926</v>
      </c>
      <c r="E937" s="1" t="str">
        <f ca="1">IFERROR(__xludf.DUMMYFUNCTION("GOOGLETRANSLATE(D937, ""bn"", ""en"")"),"On the morning of Mahashivratri i.e. February 26, Wednesday morning wake up early and take bath etc. with water and rice in hand and take vow-puja. The vow you want to take, you have to decide accordingly.")</f>
        <v>On the morning of Mahashivratri i.e. February 26, Wednesday morning wake up early and take bath etc. with water and rice in hand and take vow-puja. The vow you want to take, you have to decide accordingly.</v>
      </c>
      <c r="F937" s="1"/>
      <c r="G937" s="1"/>
      <c r="H937" s="1"/>
      <c r="I937" s="1"/>
    </row>
    <row r="938" spans="1:9" ht="15.6" x14ac:dyDescent="0.3">
      <c r="A938" s="1" t="s">
        <v>4</v>
      </c>
      <c r="B938" s="1" t="s">
        <v>5</v>
      </c>
      <c r="C938" s="10" t="s">
        <v>4</v>
      </c>
      <c r="D938" s="5" t="s">
        <v>927</v>
      </c>
      <c r="E938" s="1" t="str">
        <f ca="1">IFERROR(__xludf.DUMMYFUNCTION("GOOGLETRANSLATE(D938, ""bn"", ""en"")"),"Desecration of the Quran is against all religious teachings and international norms. A request has been made by the Saudi government to stop such humiliating activities.")</f>
        <v>Desecration of the Quran is against all religious teachings and international norms. A request has been made by the Saudi government to stop such humiliating activities.</v>
      </c>
      <c r="F938" s="1"/>
      <c r="G938" s="1"/>
      <c r="H938" s="1"/>
      <c r="I938" s="1"/>
    </row>
    <row r="939" spans="1:9" ht="15.6" x14ac:dyDescent="0.3">
      <c r="A939" s="1" t="s">
        <v>5</v>
      </c>
      <c r="B939" s="1" t="s">
        <v>5</v>
      </c>
      <c r="C939" s="10" t="s">
        <v>5</v>
      </c>
      <c r="D939" s="5" t="s">
        <v>928</v>
      </c>
      <c r="E939" s="1" t="str">
        <f ca="1">IFERROR(__xludf.DUMMYFUNCTION("GOOGLETRANSLATE(D939, ""bn"", ""en"")"),"Hijab, niqab sisters, whatever you are doing, take it a step ahead. Have Iftar together, roam around. ")</f>
        <v xml:space="preserve">Hijab, niqab sisters, whatever you are doing, take it a step ahead. Have Iftar together, roam around. </v>
      </c>
      <c r="F939" s="1"/>
      <c r="G939" s="1"/>
      <c r="H939" s="1"/>
      <c r="I939" s="1"/>
    </row>
    <row r="940" spans="1:9" ht="15.6" x14ac:dyDescent="0.3">
      <c r="A940" s="1" t="s">
        <v>7</v>
      </c>
      <c r="B940" s="1" t="s">
        <v>7</v>
      </c>
      <c r="C940" s="10" t="s">
        <v>7</v>
      </c>
      <c r="D940" s="5" t="s">
        <v>929</v>
      </c>
      <c r="E940" s="1" t="str">
        <f ca="1">IFERROR(__xludf.DUMMYFUNCTION("GOOGLETRANSLATE(D940, ""bn"", ""en"")"),"A few European accounts provide rare descriptions of Indian sati-burning that involved burying the widow with her dead husband.")</f>
        <v>A few European accounts provide rare descriptions of Indian sati-burning that involved burying the widow with her dead husband.</v>
      </c>
      <c r="F940" s="1"/>
      <c r="G940" s="1"/>
      <c r="H940" s="1"/>
      <c r="I940" s="1"/>
    </row>
    <row r="941" spans="1:9" ht="15.6" x14ac:dyDescent="0.3">
      <c r="A941" s="1" t="s">
        <v>4</v>
      </c>
      <c r="B941" s="1" t="s">
        <v>4</v>
      </c>
      <c r="C941" s="10" t="s">
        <v>4</v>
      </c>
      <c r="D941" s="5" t="s">
        <v>930</v>
      </c>
      <c r="E941" s="1" t="str">
        <f ca="1">IFERROR(__xludf.DUMMYFUNCTION("GOOGLETRANSLATE(D941, ""bn"", ""en"")"),"I am ashamed to be born in a country where celebrating the festival of any religion is considered as injustice and crime.")</f>
        <v>I am ashamed to be born in a country where celebrating the festival of any religion is considered as injustice and crime.</v>
      </c>
      <c r="F941" s="1"/>
      <c r="G941" s="1"/>
      <c r="H941" s="1"/>
      <c r="I941" s="1"/>
    </row>
    <row r="942" spans="1:9" ht="15.6" x14ac:dyDescent="0.3">
      <c r="A942" s="1" t="s">
        <v>4</v>
      </c>
      <c r="B942" s="1" t="s">
        <v>5</v>
      </c>
      <c r="C942" s="10" t="s">
        <v>4</v>
      </c>
      <c r="D942" s="5" t="s">
        <v>931</v>
      </c>
      <c r="E942" s="1" t="str">
        <f ca="1">IFERROR(__xludf.DUMMYFUNCTION("GOOGLETRANSLATE(D942, ""bn"", ""en"")"),"We all want to be judged, now we are shouting, then who killed it? Extremism in the name of religion must be stopped from this country.")</f>
        <v>We all want to be judged, now we are shouting, then who killed it? Extremism in the name of religion must be stopped from this country.</v>
      </c>
      <c r="F942" s="1"/>
      <c r="G942" s="1"/>
      <c r="H942" s="1"/>
      <c r="I942" s="1"/>
    </row>
    <row r="943" spans="1:9" ht="15.6" x14ac:dyDescent="0.3">
      <c r="A943" s="1" t="s">
        <v>4</v>
      </c>
      <c r="B943" s="1" t="s">
        <v>4</v>
      </c>
      <c r="C943" s="10" t="s">
        <v>4</v>
      </c>
      <c r="D943" s="5" t="s">
        <v>932</v>
      </c>
      <c r="E943" s="1" t="str">
        <f ca="1">IFERROR(__xludf.DUMMYFUNCTION("GOOGLETRANSLATE(D943, ""bn"", ""en"")"),"O Allah, protect the Holy Qur'an and destroy them through the Qur'an. Let the people of the whole world see what God can do. You destroy the infidels.")</f>
        <v>O Allah, protect the Holy Qur'an and destroy them through the Qur'an. Let the people of the whole world see what God can do. You destroy the infidels.</v>
      </c>
      <c r="F943" s="1"/>
      <c r="G943" s="1"/>
      <c r="H943" s="1"/>
      <c r="I943" s="1"/>
    </row>
    <row r="944" spans="1:9" ht="15.6" x14ac:dyDescent="0.3">
      <c r="A944" s="1" t="s">
        <v>5</v>
      </c>
      <c r="B944" s="1" t="s">
        <v>5</v>
      </c>
      <c r="C944" s="10" t="s">
        <v>5</v>
      </c>
      <c r="D944" s="5" t="s">
        <v>933</v>
      </c>
      <c r="E944" s="1" t="str">
        <f ca="1">IFERROR(__xludf.DUMMYFUNCTION("GOOGLETRANSLATE(D944, ""bn"", ""en"")"),"Religion is the place of highest human emotion. Which is the highest place of faith of people. Those who are playing with this faith are inhumane. No one can tolerate injury to anyone's religion. Be it Muslim Hindu or other religions.")</f>
        <v>Religion is the place of highest human emotion. Which is the highest place of faith of people. Those who are playing with this faith are inhumane. No one can tolerate injury to anyone's religion. Be it Muslim Hindu or other religions.</v>
      </c>
      <c r="F944" s="1"/>
      <c r="G944" s="1"/>
      <c r="H944" s="1"/>
      <c r="I944" s="1"/>
    </row>
    <row r="945" spans="1:9" ht="15.6" x14ac:dyDescent="0.3">
      <c r="A945" s="1" t="s">
        <v>9</v>
      </c>
      <c r="B945" s="1" t="s">
        <v>4</v>
      </c>
      <c r="C945" s="10" t="s">
        <v>9</v>
      </c>
      <c r="D945" s="5" t="s">
        <v>934</v>
      </c>
      <c r="E945" s="1" t="str">
        <f ca="1">IFERROR(__xludf.DUMMYFUNCTION("GOOGLETRANSLATE(D945, ""bn"", ""en"")"),"Even before Khatiyar Khilji's invasion of Bengal, the Muslims of Bengal stood up for the oppressed Buddhists and helped them in various ways.")</f>
        <v>Even before Khatiyar Khilji's invasion of Bengal, the Muslims of Bengal stood up for the oppressed Buddhists and helped them in various ways.</v>
      </c>
      <c r="F945" s="1"/>
      <c r="G945" s="1"/>
      <c r="H945" s="1"/>
      <c r="I945" s="1"/>
    </row>
    <row r="946" spans="1:9" ht="15.6" x14ac:dyDescent="0.3">
      <c r="A946" s="1" t="s">
        <v>5</v>
      </c>
      <c r="B946" s="1" t="s">
        <v>5</v>
      </c>
      <c r="C946" s="10" t="s">
        <v>5</v>
      </c>
      <c r="D946" s="5" t="s">
        <v>935</v>
      </c>
      <c r="E946" s="1" t="str">
        <f ca="1">IFERROR(__xludf.DUMMYFUNCTION("GOOGLETRANSLATE(D946, ""bn"", ""en"")"),"In the Christian country of the United States, people are free to pray in the streets.")</f>
        <v>In the Christian country of the United States, people are free to pray in the streets.</v>
      </c>
      <c r="F946" s="1"/>
      <c r="G946" s="1"/>
      <c r="H946" s="1"/>
      <c r="I946" s="1"/>
    </row>
    <row r="947" spans="1:9" ht="15.6" x14ac:dyDescent="0.3">
      <c r="A947" s="1" t="s">
        <v>4</v>
      </c>
      <c r="B947" s="1" t="s">
        <v>4</v>
      </c>
      <c r="C947" s="10" t="s">
        <v>4</v>
      </c>
      <c r="D947" s="5" t="s">
        <v>936</v>
      </c>
      <c r="E947" s="1" t="str">
        <f ca="1">IFERROR(__xludf.DUMMYFUNCTION("GOOGLETRANSLATE(D947, ""bn"", ""en"")"),"We never post on Facebook insulting anyone's religion but others post bad things about our religion and the punishment for insulting this religion should be very severe Allah Almighty")</f>
        <v>We never post on Facebook insulting anyone's religion but others post bad things about our religion and the punishment for insulting this religion should be very severe Allah Almighty</v>
      </c>
      <c r="F947" s="1"/>
      <c r="G947" s="1"/>
      <c r="H947" s="1"/>
      <c r="I947" s="1"/>
    </row>
    <row r="948" spans="1:9" ht="15.6" x14ac:dyDescent="0.3">
      <c r="A948" s="1" t="s">
        <v>9</v>
      </c>
      <c r="B948" s="1" t="s">
        <v>9</v>
      </c>
      <c r="C948" s="10" t="s">
        <v>9</v>
      </c>
      <c r="D948" s="5" t="s">
        <v>937</v>
      </c>
      <c r="E948" s="1" t="str">
        <f ca="1">IFERROR(__xludf.DUMMYFUNCTION("GOOGLETRANSLATE(D948, ""bn"", ""en"")"),"Religion first not people first. People came for religion or religion for people. As long as people are judged by their religious beliefs, minorities will suffer deprivation.")</f>
        <v>Religion first not people first. People came for religion or religion for people. As long as people are judged by their religious beliefs, minorities will suffer deprivation.</v>
      </c>
      <c r="F948" s="1"/>
      <c r="G948" s="1"/>
      <c r="H948" s="1"/>
      <c r="I948" s="1"/>
    </row>
    <row r="949" spans="1:9" ht="15.6" x14ac:dyDescent="0.3">
      <c r="A949" s="1" t="s">
        <v>9</v>
      </c>
      <c r="B949" s="1" t="s">
        <v>9</v>
      </c>
      <c r="C949" s="10" t="s">
        <v>9</v>
      </c>
      <c r="D949" s="5" t="s">
        <v>938</v>
      </c>
      <c r="E949" s="1" t="str">
        <f ca="1">IFERROR(__xludf.DUMMYFUNCTION("GOOGLETRANSLATE(D949, ""bn"", ""en"")"),"Islamic militants who are creating terror all over the world.")</f>
        <v>Islamic militants who are creating terror all over the world.</v>
      </c>
      <c r="F949" s="1"/>
      <c r="G949" s="1"/>
      <c r="H949" s="1"/>
      <c r="I949" s="1"/>
    </row>
    <row r="950" spans="1:9" ht="15.6" x14ac:dyDescent="0.3">
      <c r="A950" s="1" t="s">
        <v>4</v>
      </c>
      <c r="B950" s="1" t="s">
        <v>4</v>
      </c>
      <c r="C950" s="10" t="s">
        <v>4</v>
      </c>
      <c r="D950" s="5" t="s">
        <v>939</v>
      </c>
      <c r="E950" s="1" t="str">
        <f ca="1">IFERROR(__xludf.DUMMYFUNCTION("GOOGLETRANSLATE(D950, ""bn"", ""en"")"),"The beginning of this kind of generation in the atmosphere of secular education policy of most countries of the world, which is a call for destruction in this world and the hereafter by opening the door of atheism.")</f>
        <v>The beginning of this kind of generation in the atmosphere of secular education policy of most countries of the world, which is a call for destruction in this world and the hereafter by opening the door of atheism.</v>
      </c>
      <c r="F950" s="1"/>
      <c r="G950" s="1"/>
      <c r="H950" s="1"/>
      <c r="I950" s="1"/>
    </row>
    <row r="951" spans="1:9" ht="15.6" x14ac:dyDescent="0.3">
      <c r="A951" s="1" t="s">
        <v>9</v>
      </c>
      <c r="B951" s="1" t="s">
        <v>9</v>
      </c>
      <c r="C951" s="10" t="s">
        <v>9</v>
      </c>
      <c r="D951" s="5" t="s">
        <v>940</v>
      </c>
      <c r="E951" s="1" t="str">
        <f ca="1">IFERROR(__xludf.DUMMYFUNCTION("GOOGLETRANSLATE(D951, ""bn"", ""en"")"),"A message for him - There are always religious traders in Bangladesh who spread riots in the country for their own interests in the name of religion! ")</f>
        <v xml:space="preserve">A message for him - There are always religious traders in Bangladesh who spread riots in the country for their own interests in the name of religion! </v>
      </c>
      <c r="F951" s="1"/>
      <c r="G951" s="1"/>
      <c r="H951" s="1"/>
      <c r="I951" s="1"/>
    </row>
    <row r="952" spans="1:9" ht="15.6" x14ac:dyDescent="0.3">
      <c r="A952" s="1" t="s">
        <v>4</v>
      </c>
      <c r="B952" s="1" t="s">
        <v>4</v>
      </c>
      <c r="C952" s="10" t="s">
        <v>4</v>
      </c>
      <c r="D952" s="5" t="s">
        <v>941</v>
      </c>
      <c r="E952" s="1" t="str">
        <f ca="1">IFERROR(__xludf.DUMMYFUNCTION("GOOGLETRANSLATE(D952, ""bn"", ""en"")"),"In Lalmonirhat district, threats were made by the opposition, not to vote. Hindus there did not go to vote due to lack of security from the administration.")</f>
        <v>In Lalmonirhat district, threats were made by the opposition, not to vote. Hindus there did not go to vote due to lack of security from the administration.</v>
      </c>
      <c r="F952" s="1"/>
      <c r="G952" s="1"/>
      <c r="H952" s="1"/>
      <c r="I952" s="1"/>
    </row>
    <row r="953" spans="1:9" ht="15.6" x14ac:dyDescent="0.3">
      <c r="A953" s="1" t="s">
        <v>9</v>
      </c>
      <c r="B953" s="1" t="s">
        <v>9</v>
      </c>
      <c r="C953" s="10" t="s">
        <v>9</v>
      </c>
      <c r="D953" s="5" t="s">
        <v>942</v>
      </c>
      <c r="E953" s="1" t="str">
        <f ca="1">IFERROR(__xludf.DUMMYFUNCTION("GOOGLETRANSLATE(D953, ""bn"", ""en"")"),"On March 17, 2021, 91 Hindu houses were attacked and looted in Noagaon of Shalla Upazila of Sunamganj.  An alleged Facebook post by a youth named Jhumon Das against Hefazat leader Mamunul Haque was used as an excuse for insulting religion. And the proof t"&amp;"hat Jhumon Das gave that post has not been found yet")</f>
        <v>On March 17, 2021, 91 Hindu houses were attacked and looted in Noagaon of Shalla Upazila of Sunamganj.  An alleged Facebook post by a youth named Jhumon Das against Hefazat leader Mamunul Haque was used as an excuse for insulting religion. And the proof that Jhumon Das gave that post has not been found yet</v>
      </c>
      <c r="F953" s="1"/>
      <c r="G953" s="1"/>
      <c r="H953" s="1"/>
      <c r="I953" s="1"/>
    </row>
    <row r="954" spans="1:9" ht="15.6" x14ac:dyDescent="0.3">
      <c r="A954" s="1" t="s">
        <v>7</v>
      </c>
      <c r="B954" s="1" t="s">
        <v>7</v>
      </c>
      <c r="C954" s="10" t="s">
        <v>7</v>
      </c>
      <c r="D954" s="5" t="s">
        <v>943</v>
      </c>
      <c r="E954" s="1" t="str">
        <f ca="1">IFERROR(__xludf.DUMMYFUNCTION("GOOGLETRANSLATE(D954, ""bn"", ""en"")"),"A number of Muslim students refused to participate in a minute's silence held across the country to commemorate the victims of the 2015 Charlie Hebdo massacre.")</f>
        <v>A number of Muslim students refused to participate in a minute's silence held across the country to commemorate the victims of the 2015 Charlie Hebdo massacre.</v>
      </c>
      <c r="F954" s="1"/>
      <c r="G954" s="1"/>
      <c r="H954" s="1"/>
      <c r="I954" s="1"/>
    </row>
    <row r="955" spans="1:9" ht="15.6" x14ac:dyDescent="0.3">
      <c r="A955" s="1" t="s">
        <v>5</v>
      </c>
      <c r="B955" s="1" t="s">
        <v>5</v>
      </c>
      <c r="C955" s="10" t="s">
        <v>5</v>
      </c>
      <c r="D955" s="5" t="s">
        <v>944</v>
      </c>
      <c r="E955" s="1" t="str">
        <f ca="1">IFERROR(__xludf.DUMMYFUNCTION("GOOGLETRANSLATE(D955, ""bn"", ""en"")"),"We are the Muslims who are willing to give our lives for our Islam. If Islam is our body, the Qur'an is our soul.")</f>
        <v>We are the Muslims who are willing to give our lives for our Islam. If Islam is our body, the Qur'an is our soul.</v>
      </c>
      <c r="F955" s="1"/>
      <c r="G955" s="1"/>
      <c r="H955" s="1"/>
      <c r="I955" s="1"/>
    </row>
    <row r="956" spans="1:9" ht="15.6" x14ac:dyDescent="0.3">
      <c r="A956" s="1" t="s">
        <v>7</v>
      </c>
      <c r="B956" s="1" t="s">
        <v>7</v>
      </c>
      <c r="C956" s="10" t="s">
        <v>7</v>
      </c>
      <c r="D956" s="5" t="s">
        <v>945</v>
      </c>
      <c r="E956" s="1" t="str">
        <f ca="1">IFERROR(__xludf.DUMMYFUNCTION("GOOGLETRANSLATE(D956, ""bn"", ""en"")"),"Terrible killings have started in Gorpar area. Hindus are being killed wholesale on the west bank of the canal. Hindu houses are being burnt")</f>
        <v>Terrible killings have started in Gorpar area. Hindus are being killed wholesale on the west bank of the canal. Hindu houses are being burnt</v>
      </c>
      <c r="F956" s="1"/>
      <c r="G956" s="1"/>
      <c r="H956" s="1"/>
      <c r="I956" s="1"/>
    </row>
    <row r="957" spans="1:9" ht="15.6" x14ac:dyDescent="0.3">
      <c r="A957" s="1" t="s">
        <v>5</v>
      </c>
      <c r="B957" s="1" t="s">
        <v>5</v>
      </c>
      <c r="C957" s="10" t="s">
        <v>5</v>
      </c>
      <c r="D957" s="5" t="s">
        <v>946</v>
      </c>
      <c r="E957" s="1" t="str">
        <f ca="1">IFERROR(__xludf.DUMMYFUNCTION("GOOGLETRANSLATE(D957, ""bn"", ""en"")"),"According to Quranic verses, Allah sees human beings as one big family, where people of every religion should respect and love each other.")</f>
        <v>According to Quranic verses, Allah sees human beings as one big family, where people of every religion should respect and love each other.</v>
      </c>
      <c r="F957" s="1"/>
      <c r="G957" s="1"/>
      <c r="H957" s="1"/>
      <c r="I957" s="1"/>
    </row>
    <row r="958" spans="1:9" ht="15.6" x14ac:dyDescent="0.3">
      <c r="A958" s="1" t="s">
        <v>9</v>
      </c>
      <c r="B958" s="1" t="s">
        <v>9</v>
      </c>
      <c r="C958" s="10" t="s">
        <v>9</v>
      </c>
      <c r="D958" s="5" t="s">
        <v>947</v>
      </c>
      <c r="E958" s="1" t="str">
        <f ca="1">IFERROR(__xludf.DUMMYFUNCTION("GOOGLETRANSLATE(D958, ""bn"", ""en"")"),"This terrible riot took place in the wake of the Kolkata riots. However, the number of casualties compared to the earlier Kolkata riots and the later Bihar riots was relatively low.")</f>
        <v>This terrible riot took place in the wake of the Kolkata riots. However, the number of casualties compared to the earlier Kolkata riots and the later Bihar riots was relatively low.</v>
      </c>
      <c r="F958" s="1"/>
      <c r="G958" s="1"/>
      <c r="H958" s="1"/>
      <c r="I958" s="1"/>
    </row>
    <row r="959" spans="1:9" ht="15.6" x14ac:dyDescent="0.3">
      <c r="A959" s="1" t="s">
        <v>4</v>
      </c>
      <c r="B959" s="1" t="s">
        <v>4</v>
      </c>
      <c r="C959" s="10" t="s">
        <v>4</v>
      </c>
      <c r="D959" s="5" t="s">
        <v>948</v>
      </c>
      <c r="E959" s="1" t="str">
        <f ca="1">IFERROR(__xludf.DUMMYFUNCTION("GOOGLETRANSLATE(D959, ""bn"", ""en"")"),"Condemnation expressed for bribery of monks and monks in Buddhist monastery in Khagrachari")</f>
        <v>Condemnation expressed for bribery of monks and monks in Buddhist monastery in Khagrachari</v>
      </c>
      <c r="F959" s="1"/>
      <c r="G959" s="1"/>
      <c r="H959" s="1"/>
      <c r="I959" s="1"/>
    </row>
    <row r="960" spans="1:9" ht="15.6" x14ac:dyDescent="0.3">
      <c r="A960" s="1" t="s">
        <v>5</v>
      </c>
      <c r="B960" s="1" t="s">
        <v>5</v>
      </c>
      <c r="C960" s="10" t="s">
        <v>5</v>
      </c>
      <c r="D960" s="5" t="s">
        <v>949</v>
      </c>
      <c r="E960" s="1" t="str">
        <f ca="1">IFERROR(__xludf.DUMMYFUNCTION("GOOGLETRANSLATE(D960, ""bn"", ""en"")"),"My girlfriend is now a true believer. When he sits in prayer, he weeps in gratitude to Allah. But this belief was destroyed by a clergyman.")</f>
        <v>My girlfriend is now a true believer. When he sits in prayer, he weeps in gratitude to Allah. But this belief was destroyed by a clergyman.</v>
      </c>
      <c r="F960" s="1"/>
      <c r="G960" s="1"/>
      <c r="H960" s="1"/>
      <c r="I960" s="1"/>
    </row>
    <row r="961" spans="1:9" ht="15.6" x14ac:dyDescent="0.3">
      <c r="A961" s="1" t="s">
        <v>4</v>
      </c>
      <c r="B961" s="1" t="s">
        <v>4</v>
      </c>
      <c r="C961" s="10" t="s">
        <v>4</v>
      </c>
      <c r="D961" s="5" t="s">
        <v>950</v>
      </c>
      <c r="E961" s="1" t="str">
        <f ca="1">IFERROR(__xludf.DUMMYFUNCTION("GOOGLETRANSLATE(D961, ""bn"", ""en"")"),"Azaan on Chandranath Hill is fierce. And the Quran is placed at the foot of the idol, harmony.... If the criminals are not given an exemplary punishment in public, then the fire of movement will be ignited simultaneously in the whole of Bangladesh. Inshal"&amp;"lah ")</f>
        <v xml:space="preserve">Azaan on Chandranath Hill is fierce. And the Quran is placed at the foot of the idol, harmony.... If the criminals are not given an exemplary punishment in public, then the fire of movement will be ignited simultaneously in the whole of Bangladesh. Inshallah </v>
      </c>
      <c r="F961" s="1"/>
      <c r="G961" s="1"/>
      <c r="H961" s="1"/>
      <c r="I961" s="1"/>
    </row>
    <row r="962" spans="1:9" ht="15.6" x14ac:dyDescent="0.3">
      <c r="A962" s="1" t="s">
        <v>7</v>
      </c>
      <c r="B962" s="1" t="s">
        <v>7</v>
      </c>
      <c r="C962" s="10" t="s">
        <v>7</v>
      </c>
      <c r="D962" s="5" t="s">
        <v>951</v>
      </c>
      <c r="E962" s="1" t="str">
        <f ca="1">IFERROR(__xludf.DUMMYFUNCTION("GOOGLETRANSLATE(D962, ""bn"", ""en"")"),"Between 1954 and 1982, Hindu-Muslim communal violence killed nearly 10,000 Muslims in a series of communal violence that began in 1950.[")</f>
        <v>Between 1954 and 1982, Hindu-Muslim communal violence killed nearly 10,000 Muslims in a series of communal violence that began in 1950.[</v>
      </c>
      <c r="F962" s="1"/>
      <c r="G962" s="1"/>
      <c r="H962" s="1"/>
      <c r="I962" s="1"/>
    </row>
    <row r="963" spans="1:9" ht="15.6" x14ac:dyDescent="0.3">
      <c r="A963" s="1" t="s">
        <v>9</v>
      </c>
      <c r="B963" s="1" t="s">
        <v>9</v>
      </c>
      <c r="C963" s="10" t="s">
        <v>9</v>
      </c>
      <c r="D963" s="5" t="s">
        <v>952</v>
      </c>
      <c r="E963" s="1" t="str">
        <f ca="1">IFERROR(__xludf.DUMMYFUNCTION("GOOGLETRANSLATE(D963, ""bn"", ""en"")")," Bhuiyan house temple of Tongipara village was vandalized. Six people were injured in the attack. [14] The violence continued intermittently into the evening. The Rapid Action Battalion was deployed to bring the situation under control around 6:30 pm. [13"&amp;"] On 23 March, Islamic extremists vandalized and looted a temple under Companyganj upazila, on 26 March miscreants set fire to a Hindu house in Jirtali Union of Begumganj upazila.")</f>
        <v> Bhuiyan house temple of Tongipara village was vandalized. Six people were injured in the attack. [14] The violence continued intermittently into the evening. The Rapid Action Battalion was deployed to bring the situation under control around 6:30 pm. [13] On 23 March, Islamic extremists vandalized and looted a temple under Companyganj upazila, on 26 March miscreants set fire to a Hindu house in Jirtali Union of Begumganj upazila.</v>
      </c>
      <c r="F963" s="1"/>
      <c r="G963" s="1"/>
      <c r="H963" s="1"/>
      <c r="I963" s="1"/>
    </row>
    <row r="964" spans="1:9" ht="15.6" x14ac:dyDescent="0.3">
      <c r="A964" s="1" t="s">
        <v>5</v>
      </c>
      <c r="B964" s="1" t="s">
        <v>5</v>
      </c>
      <c r="C964" s="10" t="s">
        <v>5</v>
      </c>
      <c r="D964" s="5" t="s">
        <v>953</v>
      </c>
      <c r="E964" s="1" t="str">
        <f ca="1">IFERROR(__xludf.DUMMYFUNCTION("GOOGLETRANSLATE(D964, ""bn"", ""en"")"),"If we consciously post from our own thoughts and values ​​on Facebook, it will create positive discussion. If we all try to practice each other's religion properly, harmony and unity will be stronger among us.")</f>
        <v>If we consciously post from our own thoughts and values ​​on Facebook, it will create positive discussion. If we all try to practice each other's religion properly, harmony and unity will be stronger among us.</v>
      </c>
      <c r="F964" s="1"/>
      <c r="G964" s="1"/>
      <c r="H964" s="1"/>
      <c r="I964" s="1"/>
    </row>
    <row r="965" spans="1:9" ht="15.6" x14ac:dyDescent="0.3">
      <c r="A965" s="1" t="s">
        <v>5</v>
      </c>
      <c r="B965" s="1" t="s">
        <v>5</v>
      </c>
      <c r="C965" s="10" t="s">
        <v>5</v>
      </c>
      <c r="D965" s="5" t="s">
        <v>954</v>
      </c>
      <c r="E965" s="1" t="str">
        <f ca="1">IFERROR(__xludf.DUMMYFUNCTION("GOOGLETRANSLATE(D965, ""bn"", ""en"")"),"Religion creates a sense of peace in man, which frees him from all kinds of turmoil in life. It teaches people to understand and respect each other.")</f>
        <v>Religion creates a sense of peace in man, which frees him from all kinds of turmoil in life. It teaches people to understand and respect each other.</v>
      </c>
      <c r="F965" s="1"/>
      <c r="G965" s="1"/>
      <c r="H965" s="1"/>
      <c r="I965" s="1"/>
    </row>
    <row r="966" spans="1:9" ht="15.6" x14ac:dyDescent="0.3">
      <c r="A966" s="1" t="s">
        <v>9</v>
      </c>
      <c r="B966" s="1" t="s">
        <v>5</v>
      </c>
      <c r="C966" s="10" t="s">
        <v>9</v>
      </c>
      <c r="D966" s="5" t="s">
        <v>955</v>
      </c>
      <c r="E966" s="1" t="str">
        <f ca="1">IFERROR(__xludf.DUMMYFUNCTION("GOOGLETRANSLATE(D966, ""bn"", ""en"")"),"Attack on Christian family in Barisal")</f>
        <v>Attack on Christian family in Barisal</v>
      </c>
      <c r="F966" s="1"/>
      <c r="G966" s="1"/>
      <c r="H966" s="1"/>
      <c r="I966" s="1"/>
    </row>
    <row r="967" spans="1:9" ht="15.6" x14ac:dyDescent="0.3">
      <c r="A967" s="4" t="s">
        <v>7</v>
      </c>
      <c r="B967" s="4" t="s">
        <v>7</v>
      </c>
      <c r="C967" s="11" t="s">
        <v>7</v>
      </c>
      <c r="D967" s="5" t="s">
        <v>956</v>
      </c>
      <c r="E967" s="1" t="str">
        <f ca="1">IFERROR(__xludf.DUMMYFUNCTION("GOOGLETRANSLATE(D967, ""bn"", ""en"")"),"International news agency APK said in Ahmedabad yesterday evening that so far nothing is known about the six skeletons found inside the mass grave. It is not understood that they were killed and buried by the rioters in the 2002 communal riots in that are"&amp;"a. ")</f>
        <v xml:space="preserve">International news agency APK said in Ahmedabad yesterday evening that so far nothing is known about the six skeletons found inside the mass grave. It is not understood that they were killed and buried by the rioters in the 2002 communal riots in that area. </v>
      </c>
      <c r="F967" s="1"/>
      <c r="G967" s="1"/>
      <c r="H967" s="1"/>
      <c r="I967" s="1"/>
    </row>
    <row r="968" spans="1:9" ht="15.6" x14ac:dyDescent="0.3">
      <c r="A968" s="1" t="s">
        <v>9</v>
      </c>
      <c r="B968" s="1" t="s">
        <v>9</v>
      </c>
      <c r="C968" s="10" t="s">
        <v>9</v>
      </c>
      <c r="D968" s="5" t="s">
        <v>957</v>
      </c>
      <c r="E968" s="1" t="str">
        <f ca="1">IFERROR(__xludf.DUMMYFUNCTION("GOOGLETRANSLATE(D968, ""bn"", ""en"")"),"The crew of the steamer looted everything from the Hindu passengers. Around 8:00 p.m., the frenzied Muslims attacked the Hindu passengers of the steamer, even though the steamer was anchored at the wharf. They brutally killed the unarmed Hindu passengers "&amp;"and threw the bodies into the river. At least 30 Hindus were killed that day and luckily three Hindus survived with injuries.")</f>
        <v>The crew of the steamer looted everything from the Hindu passengers. Around 8:00 p.m., the frenzied Muslims attacked the Hindu passengers of the steamer, even though the steamer was anchored at the wharf. They brutally killed the unarmed Hindu passengers and threw the bodies into the river. At least 30 Hindus were killed that day and luckily three Hindus survived with injuries.</v>
      </c>
      <c r="F968" s="1"/>
      <c r="G968" s="1"/>
      <c r="H968" s="1"/>
      <c r="I968" s="1"/>
    </row>
    <row r="969" spans="1:9" ht="15.6" x14ac:dyDescent="0.3">
      <c r="A969" s="1" t="s">
        <v>9</v>
      </c>
      <c r="B969" s="1" t="s">
        <v>9</v>
      </c>
      <c r="C969" s="10" t="s">
        <v>9</v>
      </c>
      <c r="D969" s="5" t="s">
        <v>958</v>
      </c>
      <c r="E969" s="1" t="str">
        <f ca="1">IFERROR(__xludf.DUMMYFUNCTION("GOOGLETRANSLATE(D969, ""bn"", ""en"")"),"Between 2001 and April 2005, one hundred cases of temple attacks were registered with the police. The alarming increase in the number of temple attacks has spread fear and panic among Hindus. As a result, Hindus migrated rapidly to neighboring Australia a"&amp;"nd New Zealand. Organized religious institutions such as the Methodist Church in Fiji have repeatedly called for a Christian state and promoted anti-Hindu sentiment.")</f>
        <v>Between 2001 and April 2005, one hundred cases of temple attacks were registered with the police. The alarming increase in the number of temple attacks has spread fear and panic among Hindus. As a result, Hindus migrated rapidly to neighboring Australia and New Zealand. Organized religious institutions such as the Methodist Church in Fiji have repeatedly called for a Christian state and promoted anti-Hindu sentiment.</v>
      </c>
      <c r="F969" s="1"/>
      <c r="G969" s="1"/>
      <c r="H969" s="1"/>
      <c r="I969" s="1"/>
    </row>
    <row r="970" spans="1:9" ht="15.6" x14ac:dyDescent="0.3">
      <c r="A970" s="1" t="s">
        <v>7</v>
      </c>
      <c r="B970" s="1" t="s">
        <v>7</v>
      </c>
      <c r="C970" s="10" t="s">
        <v>7</v>
      </c>
      <c r="D970" s="5" t="s">
        <v>959</v>
      </c>
      <c r="E970" s="1" t="str">
        <f ca="1">IFERROR(__xludf.DUMMYFUNCTION("GOOGLETRANSLATE(D970, ""bn"", ""en"")"),"On 22 May 1987, the Hashimpura massacre occurred during Hindu-Muslim riots in the city of Meerut in the Indian state of Uttar Pradesh, when 19 members of the Provincial Armed Constabulary (PAC) allegedly arrested 42 Muslim youths from the Hashimpura mahal"&amp;"la (locality).")</f>
        <v>On 22 May 1987, the Hashimpura massacre occurred during Hindu-Muslim riots in the city of Meerut in the Indian state of Uttar Pradesh, when 19 members of the Provincial Armed Constabulary (PAC) allegedly arrested 42 Muslim youths from the Hashimpura mahalla (locality).</v>
      </c>
      <c r="F970" s="1"/>
      <c r="G970" s="1"/>
      <c r="H970" s="1"/>
      <c r="I970" s="1"/>
    </row>
    <row r="971" spans="1:9" ht="15.6" x14ac:dyDescent="0.3">
      <c r="A971" s="1" t="s">
        <v>5</v>
      </c>
      <c r="B971" s="1" t="s">
        <v>5</v>
      </c>
      <c r="C971" s="10" t="s">
        <v>5</v>
      </c>
      <c r="D971" s="5" t="s">
        <v>960</v>
      </c>
      <c r="E971" s="1" t="str">
        <f ca="1">IFERROR(__xludf.DUMMYFUNCTION("GOOGLETRANSLATE(D971, ""bn"", ""en"")"),"The country that was supposed to be a country of all races, tribes, religions, for which the martyrs of all religions and castes gave their lives, the progress and prosperity of that country!")</f>
        <v>The country that was supposed to be a country of all races, tribes, religions, for which the martyrs of all religions and castes gave their lives, the progress and prosperity of that country!</v>
      </c>
      <c r="F971" s="1"/>
      <c r="G971" s="1"/>
      <c r="H971" s="1"/>
      <c r="I971" s="1"/>
    </row>
    <row r="972" spans="1:9" ht="15.6" x14ac:dyDescent="0.3">
      <c r="A972" s="4" t="s">
        <v>7</v>
      </c>
      <c r="B972" s="4" t="s">
        <v>7</v>
      </c>
      <c r="C972" s="11" t="s">
        <v>7</v>
      </c>
      <c r="D972" s="5" t="s">
        <v>961</v>
      </c>
      <c r="E972" s="1" t="str">
        <f ca="1">IFERROR(__xludf.DUMMYFUNCTION("GOOGLETRANSLATE(D972, ""bn"", ""en"")"),"This is how the blood of Muslims has been flowing from the ends of the earth for ages. This aggression against Muslims is constantly increasing. Which shows no sign of ending or stopping. Same situation everywhere in Arakan, Kashmir, Palestine, East-Turki"&amp;"stan.")</f>
        <v>This is how the blood of Muslims has been flowing from the ends of the earth for ages. This aggression against Muslims is constantly increasing. Which shows no sign of ending or stopping. Same situation everywhere in Arakan, Kashmir, Palestine, East-Turkistan.</v>
      </c>
      <c r="F972" s="1"/>
      <c r="G972" s="1"/>
      <c r="H972" s="1"/>
      <c r="I972" s="1"/>
    </row>
    <row r="973" spans="1:9" ht="15.6" x14ac:dyDescent="0.3">
      <c r="A973" s="1" t="s">
        <v>7</v>
      </c>
      <c r="B973" s="1" t="s">
        <v>7</v>
      </c>
      <c r="C973" s="10" t="s">
        <v>7</v>
      </c>
      <c r="D973" s="5" t="s">
        <v>962</v>
      </c>
      <c r="E973" s="1" t="str">
        <f ca="1">IFERROR(__xludf.DUMMYFUNCTION("GOOGLETRANSLATE(D973, ""bn"", ""en"")"),"The next day, October 11, the Chowdhury house in Karpara was attacked. The family initially used guns to fend off the attackers but eventually ran out of ammunition.")</f>
        <v>The next day, October 11, the Chowdhury house in Karpara was attacked. The family initially used guns to fend off the attackers but eventually ran out of ammunition.</v>
      </c>
      <c r="F973" s="1"/>
      <c r="G973" s="1"/>
      <c r="H973" s="1"/>
      <c r="I973" s="1"/>
    </row>
    <row r="974" spans="1:9" ht="15.6" x14ac:dyDescent="0.3">
      <c r="A974" s="1" t="s">
        <v>5</v>
      </c>
      <c r="B974" s="1" t="s">
        <v>5</v>
      </c>
      <c r="C974" s="10" t="s">
        <v>5</v>
      </c>
      <c r="D974" s="5" t="s">
        <v>963</v>
      </c>
      <c r="E974" s="1" t="str">
        <f ca="1">IFERROR(__xludf.DUMMYFUNCTION("GOOGLETRANSLATE(D974, ""bn"", ""en"")"),"Bangladesh is one of the few secular Muslim-majority countries and ""conversion"", i.e. conversion from one religion to another, is generally accepted here and legalized by law subject to law, public order and morality under Article 41 of the Constitution"&amp;".")</f>
        <v>Bangladesh is one of the few secular Muslim-majority countries and "conversion", i.e. conversion from one religion to another, is generally accepted here and legalized by law subject to law, public order and morality under Article 41 of the Constitution.</v>
      </c>
      <c r="F974" s="1"/>
      <c r="G974" s="1"/>
      <c r="H974" s="1"/>
      <c r="I974" s="1"/>
    </row>
    <row r="975" spans="1:9" ht="15.6" x14ac:dyDescent="0.3">
      <c r="A975" s="1" t="s">
        <v>7</v>
      </c>
      <c r="B975" s="1" t="s">
        <v>7</v>
      </c>
      <c r="C975" s="10" t="s">
        <v>7</v>
      </c>
      <c r="D975" s="5" t="s">
        <v>964</v>
      </c>
      <c r="E975" s="1" t="str">
        <f ca="1">IFERROR(__xludf.DUMMYFUNCTION("GOOGLETRANSLATE(D975, ""bn"", ""en"")"),"Adityapur massacre refers to a massacre of Bengali Hindus in Adityapur village in Sylhet district of Bangladesh by the Pakistani occupation army during the Bangladesh War of Independence. On June 14, 1971, Pakistani occupation forces, in collaboration wit"&amp;"h the Rajakars, killed 63 Bengali Hindus in the village of Adityapur in Sylhet district.")</f>
        <v>Adityapur massacre refers to a massacre of Bengali Hindus in Adityapur village in Sylhet district of Bangladesh by the Pakistani occupation army during the Bangladesh War of Independence. On June 14, 1971, Pakistani occupation forces, in collaboration with the Rajakars, killed 63 Bengali Hindus in the village of Adityapur in Sylhet district.</v>
      </c>
      <c r="F975" s="1"/>
      <c r="G975" s="1"/>
      <c r="H975" s="1"/>
      <c r="I975" s="1"/>
    </row>
    <row r="976" spans="1:9" ht="15.6" x14ac:dyDescent="0.3">
      <c r="A976" s="1" t="s">
        <v>5</v>
      </c>
      <c r="B976" s="1" t="s">
        <v>5</v>
      </c>
      <c r="C976" s="10" t="s">
        <v>5</v>
      </c>
      <c r="D976" s="5" t="s">
        <v>965</v>
      </c>
      <c r="E976" s="1" t="str">
        <f ca="1">IFERROR(__xludf.DUMMYFUNCTION("GOOGLETRANSLATE(D976, ""bn"", ""en"")"),"While the world was closing its borders to the wounded and dead in Syria, one gentleman was standing at his country's border opening the borders to the people fleeing Syria. ")</f>
        <v xml:space="preserve">While the world was closing its borders to the wounded and dead in Syria, one gentleman was standing at his country's border opening the borders to the people fleeing Syria. </v>
      </c>
      <c r="F976" s="1"/>
      <c r="G976" s="1"/>
      <c r="H976" s="1"/>
      <c r="I976" s="1"/>
    </row>
    <row r="977" spans="1:9" ht="15.6" x14ac:dyDescent="0.3">
      <c r="A977" s="1" t="s">
        <v>9</v>
      </c>
      <c r="B977" s="1" t="s">
        <v>9</v>
      </c>
      <c r="C977" s="10" t="s">
        <v>9</v>
      </c>
      <c r="D977" s="5" t="s">
        <v>966</v>
      </c>
      <c r="E977" s="1" t="str">
        <f ca="1">IFERROR(__xludf.DUMMYFUNCTION("GOOGLETRANSLATE(D977, ""bn"", ""en"")"),"On 1 October, an armed mob of about 1,000 Muslims attacked the Indian embassy in Dhaka and brutally beat and injured a middle-aged Hindu gentleman waiting outside the embassy. [5] A curfew was then imposed in the entire city of Dhaka.")</f>
        <v>On 1 October, an armed mob of about 1,000 Muslims attacked the Indian embassy in Dhaka and brutally beat and injured a middle-aged Hindu gentleman waiting outside the embassy. [5] A curfew was then imposed in the entire city of Dhaka.</v>
      </c>
      <c r="F977" s="1"/>
      <c r="G977" s="1"/>
      <c r="H977" s="1"/>
      <c r="I977" s="1"/>
    </row>
    <row r="978" spans="1:9" ht="15.6" x14ac:dyDescent="0.3">
      <c r="A978" s="1" t="s">
        <v>7</v>
      </c>
      <c r="B978" s="1" t="s">
        <v>7</v>
      </c>
      <c r="C978" s="10" t="s">
        <v>7</v>
      </c>
      <c r="D978" s="5" t="s">
        <v>967</v>
      </c>
      <c r="E978" s="1" t="str">
        <f ca="1">IFERROR(__xludf.DUMMYFUNCTION("GOOGLETRANSLATE(D978, ""bn"", ""en"")"),"After burial each person is questioned at the grave by two angels named Munkar and Naqir, appointed by God to question the dead and test their faith. ")</f>
        <v>After burial each person is questioned at the grave by two angels named Munkar and Naqir, appointed by God to question the dead and test their faith. </v>
      </c>
      <c r="F978" s="1"/>
      <c r="G978" s="1"/>
      <c r="H978" s="1"/>
      <c r="I978" s="1"/>
    </row>
    <row r="979" spans="1:9" ht="15.6" x14ac:dyDescent="0.3">
      <c r="A979" s="1" t="s">
        <v>5</v>
      </c>
      <c r="B979" s="1" t="s">
        <v>5</v>
      </c>
      <c r="C979" s="10" t="s">
        <v>5</v>
      </c>
      <c r="D979" s="5" t="s">
        <v>968</v>
      </c>
      <c r="E979" s="1" t="str">
        <f ca="1">IFERROR(__xludf.DUMMYFUNCTION("GOOGLETRANSLATE(D979, ""bn"", ""en"")"),"Imam Nawawi quotes from Imam al-Shafi'i's Kitabul-Umm (his seminal work on jurisprudence) in his Majmu' (a comprehensive collection of legal rulings) that there are five nights when du'a (supplications) are accepted, one of which is the night of the 15th "&amp;"of Sha'ban.")</f>
        <v>Imam Nawawi quotes from Imam al-Shafi'i's Kitabul-Umm (his seminal work on jurisprudence) in his Majmu' (a comprehensive collection of legal rulings) that there are five nights when du'a (supplications) are accepted, one of which is the night of the 15th of Sha'ban.</v>
      </c>
      <c r="F979" s="1"/>
      <c r="G979" s="1"/>
      <c r="H979" s="1"/>
      <c r="I979" s="1"/>
    </row>
    <row r="980" spans="1:9" ht="15.6" x14ac:dyDescent="0.3">
      <c r="A980" s="1" t="s">
        <v>9</v>
      </c>
      <c r="B980" s="1" t="s">
        <v>9</v>
      </c>
      <c r="C980" s="10" t="s">
        <v>9</v>
      </c>
      <c r="D980" s="5" t="s">
        <v>969</v>
      </c>
      <c r="E980" s="1" t="str">
        <f ca="1">IFERROR(__xludf.DUMMYFUNCTION("GOOGLETRANSLATE(D980, ""bn"", ""en"")"),"What a vile, hideous and hideous scene! Yes, this is how India's minority Muslim community has been subject to riots, communal violence and harassment at various times. Disgraceful events such as the destruction of mosques, the destruction of Muslim settl"&amp;"ements, and the closing of madrassas are happening in India with the help of the state. If this continues, it will not take long to reach their desired goal!")</f>
        <v>What a vile, hideous and hideous scene! Yes, this is how India's minority Muslim community has been subject to riots, communal violence and harassment at various times. Disgraceful events such as the destruction of mosques, the destruction of Muslim settlements, and the closing of madrassas are happening in India with the help of the state. If this continues, it will not take long to reach their desired goal!</v>
      </c>
      <c r="F980" s="1"/>
      <c r="G980" s="1"/>
      <c r="H980" s="1"/>
      <c r="I980" s="1"/>
    </row>
    <row r="981" spans="1:9" ht="15.6" x14ac:dyDescent="0.3">
      <c r="A981" s="1" t="s">
        <v>7</v>
      </c>
      <c r="B981" s="1" t="s">
        <v>7</v>
      </c>
      <c r="C981" s="10" t="s">
        <v>7</v>
      </c>
      <c r="D981" s="5" t="s">
        <v>970</v>
      </c>
      <c r="E981" s="1" t="str">
        <f ca="1">IFERROR(__xludf.DUMMYFUNCTION("GOOGLETRANSLATE(D981, ""bn"", ""en"")"),"An old man named Kunj Kumar was burnt to death by the rioters. [34] At 12 noon on 13 October, a group of 200-250 heavily armed Muslims attacked the Hindus of Changirgaon. They burned 1,500 maunds of paddy belonging to the Hindus. All the temples in the ar"&amp;"ea were demolished. They broke the shells of all the Hindu women, removed the vermilion of the Sinthi and forced the Hindu men to pray. [35]")</f>
        <v>An old man named Kunj Kumar was burnt to death by the rioters. [34] At 12 noon on 13 October, a group of 200-250 heavily armed Muslims attacked the Hindus of Changirgaon. They burned 1,500 maunds of paddy belonging to the Hindus. All the temples in the area were demolished. They broke the shells of all the Hindu women, removed the vermilion of the Sinthi and forced the Hindu men to pray. [35]</v>
      </c>
      <c r="F981" s="1"/>
      <c r="G981" s="1"/>
      <c r="H981" s="1"/>
      <c r="I981" s="1"/>
    </row>
    <row r="982" spans="1:9" ht="15.6" x14ac:dyDescent="0.3">
      <c r="A982" s="1" t="s">
        <v>9</v>
      </c>
      <c r="B982" s="1" t="s">
        <v>5</v>
      </c>
      <c r="C982" s="10" t="s">
        <v>9</v>
      </c>
      <c r="D982" s="5" t="s">
        <v>971</v>
      </c>
      <c r="E982" s="1" t="str">
        <f ca="1">IFERROR(__xludf.DUMMYFUNCTION("GOOGLETRANSLATE(D982, ""bn"", ""en"")"),"Zamindar Moklechur Rahman was a very fair zamindar, even though there were Hindu Muslim riots everywhere during the partition of the country, he kept the area separate from everything and recent. Even now the entry inside this house is very much prohibite"&amp;"d. As we are tourists, he allowed us to enter inside but we did not get any permission to enter inside the main house.")</f>
        <v>Zamindar Moklechur Rahman was a very fair zamindar, even though there were Hindu Muslim riots everywhere during the partition of the country, he kept the area separate from everything and recent. Even now the entry inside this house is very much prohibited. As we are tourists, he allowed us to enter inside but we did not get any permission to enter inside the main house.</v>
      </c>
      <c r="F982" s="1"/>
      <c r="G982" s="1"/>
      <c r="H982" s="1"/>
      <c r="I982" s="1"/>
    </row>
    <row r="983" spans="1:9" ht="15.6" x14ac:dyDescent="0.3">
      <c r="A983" s="1" t="s">
        <v>5</v>
      </c>
      <c r="B983" s="1" t="s">
        <v>5</v>
      </c>
      <c r="C983" s="10" t="s">
        <v>5</v>
      </c>
      <c r="D983" s="5" t="s">
        <v>972</v>
      </c>
      <c r="E983" s="1" t="str">
        <f ca="1">IFERROR(__xludf.DUMMYFUNCTION("GOOGLETRANSLATE(D983, ""bn"", ""en"")"),"Those who love science and keep the news, and are also deeply religious (like me) know that life is only about worshiping God and science is only a part of that worship.")</f>
        <v>Those who love science and keep the news, and are also deeply religious (like me) know that life is only about worshiping God and science is only a part of that worship.</v>
      </c>
      <c r="F983" s="1"/>
      <c r="G983" s="1"/>
      <c r="H983" s="1"/>
      <c r="I983" s="1"/>
    </row>
    <row r="984" spans="1:9" ht="15.6" x14ac:dyDescent="0.3">
      <c r="A984" s="4" t="s">
        <v>7</v>
      </c>
      <c r="B984" s="4" t="s">
        <v>7</v>
      </c>
      <c r="C984" s="11" t="s">
        <v>7</v>
      </c>
      <c r="D984" s="5" t="s">
        <v>973</v>
      </c>
      <c r="E984" s="1" t="str">
        <f ca="1">IFERROR(__xludf.DUMMYFUNCTION("GOOGLETRANSLATE(D984, ""bn"", ""en"")"),"The Senior Superintendent of Police (SSP) was hit by a stone on the forehead and fell down. Additional District Magistrate (ADM) D.P. Singh was abducted by some men and later died. The police then started firing indiscriminately at the crowd.[6] Several M"&amp;"uslims were killed in the firing. About 50 people lost their lives in the rush. Later, Muslim leader Syed Sahabuddin compared the incident to the Jallianwala Bagh massacre.")</f>
        <v>The Senior Superintendent of Police (SSP) was hit by a stone on the forehead and fell down. Additional District Magistrate (ADM) D.P. Singh was abducted by some men and later died. The police then started firing indiscriminately at the crowd.[6] Several Muslims were killed in the firing. About 50 people lost their lives in the rush. Later, Muslim leader Syed Sahabuddin compared the incident to the Jallianwala Bagh massacre.</v>
      </c>
      <c r="F984" s="1"/>
      <c r="G984" s="1"/>
      <c r="H984" s="1"/>
      <c r="I984" s="1"/>
    </row>
    <row r="985" spans="1:9" ht="15.6" x14ac:dyDescent="0.3">
      <c r="A985" s="1" t="s">
        <v>9</v>
      </c>
      <c r="B985" s="1" t="s">
        <v>9</v>
      </c>
      <c r="C985" s="10" t="s">
        <v>9</v>
      </c>
      <c r="D985" s="5" t="s">
        <v>974</v>
      </c>
      <c r="E985" s="1" t="str">
        <f ca="1">IFERROR(__xludf.DUMMYFUNCTION("GOOGLETRANSLATE(D985, ""bn"", ""en"")")," Alleged vandalism, arson and looting of Hindu houses. In this case, 41 people have been named and many unknown people have been accused. The second case is in the name of accused Paritosh Sarkar (15) accused of making blasphemous comments on Facebook und"&amp;"er the Digital Security Act. [80] Paritosh was arrested on the night of 18 October from Joypurhat.")</f>
        <v> Alleged vandalism, arson and looting of Hindu houses. In this case, 41 people have been named and many unknown people have been accused. The second case is in the name of accused Paritosh Sarkar (15) accused of making blasphemous comments on Facebook under the Digital Security Act. [80] Paritosh was arrested on the night of 18 October from Joypurhat.</v>
      </c>
      <c r="F985" s="1"/>
      <c r="G985" s="1"/>
      <c r="H985" s="1"/>
      <c r="I985" s="1"/>
    </row>
    <row r="986" spans="1:9" ht="15.6" x14ac:dyDescent="0.3">
      <c r="A986" s="1" t="s">
        <v>7</v>
      </c>
      <c r="B986" s="1" t="s">
        <v>7</v>
      </c>
      <c r="C986" s="10" t="s">
        <v>7</v>
      </c>
      <c r="D986" s="5" t="s">
        <v>975</v>
      </c>
      <c r="E986" s="1" t="str">
        <f ca="1">IFERROR(__xludf.DUMMYFUNCTION("GOOGLETRANSLATE(D986, ""bn"", ""en"")"),"Read the biography of the Holy Prophet (PBUH) Jewish young woman embraces Islam Michelle was born in an American Jewish family. When his mother converted after his father's death, he also converted to Christianity. But unable to find peace in Christianity"&amp;", wants to return to Judaism. Ultimately, even Judaism failed to convince him.")</f>
        <v>Read the biography of the Holy Prophet (PBUH) Jewish young woman embraces Islam Michelle was born in an American Jewish family. When his mother converted after his father's death, he also converted to Christianity. But unable to find peace in Christianity, wants to return to Judaism. Ultimately, even Judaism failed to convince him.</v>
      </c>
      <c r="F986" s="1"/>
      <c r="G986" s="1"/>
      <c r="H986" s="1"/>
      <c r="I986" s="1"/>
    </row>
    <row r="987" spans="1:9" ht="15.6" x14ac:dyDescent="0.3">
      <c r="A987" s="1" t="s">
        <v>4</v>
      </c>
      <c r="B987" s="1" t="s">
        <v>5</v>
      </c>
      <c r="C987" s="10" t="s">
        <v>4</v>
      </c>
      <c r="D987" s="5" t="s">
        <v>976</v>
      </c>
      <c r="E987" s="1" t="str">
        <f ca="1">IFERROR(__xludf.DUMMYFUNCTION("GOOGLETRANSLATE(D987, ""bn"", ""en"")"),"Written testimonies were kept from forced converts to Islam stating that they converted voluntarily. They were confined to a particular house or house and were allowed to enter that particular house when an official inspection team came to visit. ")</f>
        <v>Written testimonies were kept from forced converts to Islam stating that they converted voluntarily. They were confined to a particular house or house and were allowed to enter that particular house when an official inspection team came to visit. </v>
      </c>
      <c r="F987" s="1"/>
      <c r="G987" s="1"/>
      <c r="H987" s="1"/>
      <c r="I987" s="1"/>
    </row>
    <row r="988" spans="1:9" ht="15.6" x14ac:dyDescent="0.3">
      <c r="A988" s="1" t="s">
        <v>9</v>
      </c>
      <c r="B988" s="1" t="s">
        <v>9</v>
      </c>
      <c r="C988" s="10" t="s">
        <v>9</v>
      </c>
      <c r="D988" s="5" t="s">
        <v>977</v>
      </c>
      <c r="E988" s="1" t="str">
        <f ca="1">IFERROR(__xludf.DUMMYFUNCTION("GOOGLETRANSLATE(D988, ""bn"", ""en"")"),"Attack on house for preventing occupation of temple site in Dhamrai")</f>
        <v>Attack on house for preventing occupation of temple site in Dhamrai</v>
      </c>
      <c r="F988" s="1"/>
      <c r="G988" s="1"/>
      <c r="H988" s="1"/>
      <c r="I988" s="1"/>
    </row>
    <row r="989" spans="1:9" ht="15.6" x14ac:dyDescent="0.3">
      <c r="A989" s="1" t="s">
        <v>4</v>
      </c>
      <c r="B989" s="1" t="s">
        <v>4</v>
      </c>
      <c r="C989" s="10" t="s">
        <v>4</v>
      </c>
      <c r="D989" s="5" t="s">
        <v>978</v>
      </c>
      <c r="E989" s="1" t="str">
        <f ca="1">IFERROR(__xludf.DUMMYFUNCTION("GOOGLETRANSLATE(D989, ""bn"", ""en"")"),"On 13 May, Pakistani forces launched an attack on the Hindu-dominated part of Bakchar village and arrested nine Hindu men. The arrested persons were Birendra Saha, Nripen Saha, Shanu Saha, Jagabandhu Mitra, Jaldhar Mitra, Satyaranjana Das, Niradbandhu Mit"&amp;"ra, Prafulla Mitra and Upen Saha. [3] Upen Mitra's wife unsuccessfully asked the Rajakars for her husband's release in exchange for money and gold jewellery.")</f>
        <v>On 13 May, Pakistani forces launched an attack on the Hindu-dominated part of Bakchar village and arrested nine Hindu men. The arrested persons were Birendra Saha, Nripen Saha, Shanu Saha, Jagabandhu Mitra, Jaldhar Mitra, Satyaranjana Das, Niradbandhu Mitra, Prafulla Mitra and Upen Saha. [3] Upen Mitra's wife unsuccessfully asked the Rajakars for her husband's release in exchange for money and gold jewellery.</v>
      </c>
      <c r="F989" s="1"/>
      <c r="G989" s="1"/>
      <c r="H989" s="1"/>
      <c r="I989" s="1"/>
    </row>
    <row r="990" spans="1:9" ht="15.6" x14ac:dyDescent="0.3">
      <c r="A990" s="1" t="s">
        <v>5</v>
      </c>
      <c r="B990" s="1" t="s">
        <v>5</v>
      </c>
      <c r="C990" s="10" t="s">
        <v>5</v>
      </c>
      <c r="D990" s="5" t="s">
        <v>979</v>
      </c>
      <c r="E990" s="1" t="str">
        <f ca="1">IFERROR(__xludf.DUMMYFUNCTION("GOOGLETRANSLATE(D990, ""bn"", ""en"")"),"I want to get lost in paradise. O Allah, I want to be a bird of paradise and roam around the whole paradise. Guide me for that")</f>
        <v>I want to get lost in paradise. O Allah, I want to be a bird of paradise and roam around the whole paradise. Guide me for that</v>
      </c>
      <c r="F990" s="1"/>
      <c r="G990" s="1"/>
      <c r="H990" s="1"/>
      <c r="I990" s="1"/>
    </row>
    <row r="991" spans="1:9" ht="15.6" x14ac:dyDescent="0.3">
      <c r="A991" s="1" t="s">
        <v>7</v>
      </c>
      <c r="B991" s="1" t="s">
        <v>7</v>
      </c>
      <c r="C991" s="10" t="s">
        <v>7</v>
      </c>
      <c r="D991" s="5" t="s">
        <v>980</v>
      </c>
      <c r="E991" s="1" t="str">
        <f ca="1">IFERROR(__xludf.DUMMYFUNCTION("GOOGLETRANSLATE(D991, ""bn"", ""en"")"),"Suicide is legalized in many countries. This number will increase in the future.")</f>
        <v>Suicide is legalized in many countries. This number will increase in the future.</v>
      </c>
      <c r="F991" s="1"/>
      <c r="G991" s="1"/>
      <c r="H991" s="1"/>
      <c r="I991" s="1"/>
    </row>
    <row r="992" spans="1:9" ht="15.6" x14ac:dyDescent="0.3">
      <c r="A992" s="1" t="s">
        <v>5</v>
      </c>
      <c r="B992" s="1" t="s">
        <v>5</v>
      </c>
      <c r="C992" s="10" t="s">
        <v>5</v>
      </c>
      <c r="D992" s="5" t="s">
        <v>981</v>
      </c>
      <c r="E992" s="1" t="str">
        <f ca="1">IFERROR(__xludf.DUMMYFUNCTION("GOOGLETRANSLATE(D992, ""bn"", ""en"")"),"Cooperation and solidarity between Hindus and Muslims inculcates the spirit of trust and love for each other, and without creating differences between them, a healthy and peaceful society is formed.")</f>
        <v>Cooperation and solidarity between Hindus and Muslims inculcates the spirit of trust and love for each other, and without creating differences between them, a healthy and peaceful society is formed.</v>
      </c>
      <c r="F992" s="1"/>
      <c r="G992" s="1"/>
      <c r="H992" s="1"/>
      <c r="I992" s="1"/>
    </row>
    <row r="993" spans="1:9" ht="15.6" x14ac:dyDescent="0.3">
      <c r="A993" s="1" t="s">
        <v>9</v>
      </c>
      <c r="B993" s="1" t="s">
        <v>9</v>
      </c>
      <c r="C993" s="10" t="s">
        <v>9</v>
      </c>
      <c r="D993" s="5" t="s">
        <v>982</v>
      </c>
      <c r="E993" s="1" t="str">
        <f ca="1">IFERROR(__xludf.DUMMYFUNCTION("GOOGLETRANSLATE(D993, ""bn"", ""en"")"),"During the entire period of this state of emergency, for the sake of the security of the common people, the state took away all the powers from the people; Which increases the power of Badu Maulanas from among the common citizens. As a result, rape, looti"&amp;"ng and 'killing of Tulsi trees' in the courtyard of the Mohalla house can be seen.")</f>
        <v>During the entire period of this state of emergency, for the sake of the security of the common people, the state took away all the powers from the people; Which increases the power of Badu Maulanas from among the common citizens. As a result, rape, looting and 'killing of Tulsi trees' in the courtyard of the Mohalla house can be seen.</v>
      </c>
      <c r="F993" s="1"/>
      <c r="G993" s="1"/>
      <c r="H993" s="1"/>
      <c r="I993" s="1"/>
    </row>
    <row r="994" spans="1:9" ht="15.6" x14ac:dyDescent="0.3">
      <c r="A994" s="1" t="s">
        <v>9</v>
      </c>
      <c r="B994" s="1" t="s">
        <v>9</v>
      </c>
      <c r="C994" s="10" t="s">
        <v>9</v>
      </c>
      <c r="D994" s="5" t="s">
        <v>983</v>
      </c>
      <c r="E994" s="1" t="str">
        <f ca="1">IFERROR(__xludf.DUMMYFUNCTION("GOOGLETRANSLATE(D994, ""bn"", ""en"")"),"A picture of Hindus with sticks and weapons tying a rope around the neck of a Muslim man was drawn on the poster with the title: Persecution of Hindus on Muslims in Hindustan. Rivers of Muslim blood were rumored to be flowing in Lamding (a town in Assam) "&amp;"and Kolkata. ")</f>
        <v>A picture of Hindus with sticks and weapons tying a rope around the neck of a Muslim man was drawn on the poster with the title: Persecution of Hindus on Muslims in Hindustan. Rivers of Muslim blood were rumored to be flowing in Lamding (a town in Assam) and Kolkata. </v>
      </c>
      <c r="F994" s="1"/>
      <c r="G994" s="1"/>
      <c r="H994" s="1"/>
      <c r="I994" s="1"/>
    </row>
    <row r="995" spans="1:9" ht="15.6" x14ac:dyDescent="0.3">
      <c r="A995" s="1" t="s">
        <v>9</v>
      </c>
      <c r="B995" s="1" t="s">
        <v>9</v>
      </c>
      <c r="C995" s="10" t="s">
        <v>9</v>
      </c>
      <c r="D995" s="5" t="s">
        <v>984</v>
      </c>
      <c r="E995" s="1" t="str">
        <f ca="1">IFERROR(__xludf.DUMMYFUNCTION("GOOGLETRANSLATE(D995, ""bn"", ""en"")"),"The attack on the local Hindu community, which began last week after a Muslim holy book, the Koran, was found in a puja mandap in Comilla, Bangladesh, quickly spread to other districts. Hindu homesteads were attacked and set on fire in new places under ne"&amp;"w pretexts.")</f>
        <v>The attack on the local Hindu community, which began last week after a Muslim holy book, the Koran, was found in a puja mandap in Comilla, Bangladesh, quickly spread to other districts. Hindu homesteads were attacked and set on fire in new places under new pretexts.</v>
      </c>
      <c r="F995" s="1"/>
      <c r="G995" s="1"/>
      <c r="H995" s="1"/>
      <c r="I995" s="1"/>
    </row>
    <row r="996" spans="1:9" ht="15.6" x14ac:dyDescent="0.3">
      <c r="A996" s="1" t="s">
        <v>9</v>
      </c>
      <c r="B996" s="1" t="s">
        <v>9</v>
      </c>
      <c r="C996" s="10" t="s">
        <v>9</v>
      </c>
      <c r="D996" s="5" t="s">
        <v>985</v>
      </c>
      <c r="E996" s="1" t="str">
        <f ca="1">IFERROR(__xludf.DUMMYFUNCTION("GOOGLETRANSLATE(D996, ""bn"", ""en"")"),"It has been reported that idol vandalism took place in the home factory of professional idol artist Ranjan Kumar Pal of Agardandi village of Satkhira Sadar upazila last Monday night. At that time, four fully prepared Kalimurtis and 49 more Saraswati idols"&amp;" kept for color polishing were broken.")</f>
        <v>It has been reported that idol vandalism took place in the home factory of professional idol artist Ranjan Kumar Pal of Agardandi village of Satkhira Sadar upazila last Monday night. At that time, four fully prepared Kalimurtis and 49 more Saraswati idols kept for color polishing were broken.</v>
      </c>
      <c r="F996" s="1"/>
      <c r="G996" s="1"/>
      <c r="H996" s="1"/>
      <c r="I996" s="1"/>
    </row>
    <row r="997" spans="1:9" ht="15.6" x14ac:dyDescent="0.3">
      <c r="A997" s="1" t="s">
        <v>7</v>
      </c>
      <c r="B997" s="1" t="s">
        <v>7</v>
      </c>
      <c r="C997" s="10" t="s">
        <v>7</v>
      </c>
      <c r="D997" s="5" t="s">
        <v>986</v>
      </c>
      <c r="E997" s="1" t="str">
        <f ca="1">IFERROR(__xludf.DUMMYFUNCTION("GOOGLETRANSLATE(D997, ""bn"", ""en"")"),"Although the history of killing or hanging due to blasphemy in Europe is three centuries old, but the movement to abolish blasphemy laws in European countries is very recent, because there are still various forms of blasphemy laws in force in several Euro"&amp;"pean countries.")</f>
        <v>Although the history of killing or hanging due to blasphemy in Europe is three centuries old, but the movement to abolish blasphemy laws in European countries is very recent, because there are still various forms of blasphemy laws in force in several European countries.</v>
      </c>
      <c r="F997" s="1"/>
      <c r="G997" s="1"/>
      <c r="H997" s="1"/>
      <c r="I997" s="1"/>
    </row>
    <row r="998" spans="1:9" ht="15.6" x14ac:dyDescent="0.3">
      <c r="A998" s="1" t="s">
        <v>9</v>
      </c>
      <c r="B998" s="1" t="s">
        <v>4</v>
      </c>
      <c r="C998" s="10" t="s">
        <v>9</v>
      </c>
      <c r="D998" s="5" t="s">
        <v>987</v>
      </c>
      <c r="E998" s="1" t="str">
        <f ca="1">IFERROR(__xludf.DUMMYFUNCTION("GOOGLETRANSLATE(D998, ""bn"", ""en"")"),"As I have always seen, BBC Bangla gives more importance to the news of any kind of communal terrorism. I have noticed that this time also the news of the attack on the traditional community has been broadcasted by BBC Bangla as much as possible.")</f>
        <v>As I have always seen, BBC Bangla gives more importance to the news of any kind of communal terrorism. I have noticed that this time also the news of the attack on the traditional community has been broadcasted by BBC Bangla as much as possible.</v>
      </c>
      <c r="F998" s="1"/>
      <c r="G998" s="1"/>
      <c r="H998" s="1"/>
      <c r="I998" s="1"/>
    </row>
    <row r="999" spans="1:9" ht="15.6" x14ac:dyDescent="0.3">
      <c r="A999" s="1" t="s">
        <v>4</v>
      </c>
      <c r="B999" s="1" t="s">
        <v>4</v>
      </c>
      <c r="C999" s="10" t="s">
        <v>4</v>
      </c>
      <c r="D999" s="5" t="s">
        <v>988</v>
      </c>
      <c r="E999" s="1" t="str">
        <f ca="1">IFERROR(__xludf.DUMMYFUNCTION("GOOGLETRANSLATE(D999, ""bn"", ""en"")"),"Now if everyone wants permission to burn the Swedish flag and the Swedish constitution in front of the Swedish parliament. And similarly, if we ask permission to do the same in front of every Swedish embassy abroad, will the Swedish government have the sa"&amp;"me position to protect individual freedom and democracy?")</f>
        <v>Now if everyone wants permission to burn the Swedish flag and the Swedish constitution in front of the Swedish parliament. And similarly, if we ask permission to do the same in front of every Swedish embassy abroad, will the Swedish government have the same position to protect individual freedom and democracy?</v>
      </c>
      <c r="F999" s="1"/>
      <c r="G999" s="1"/>
      <c r="H999" s="1"/>
      <c r="I999" s="1"/>
    </row>
    <row r="1000" spans="1:9" ht="15.6" x14ac:dyDescent="0.3">
      <c r="A1000" s="1" t="s">
        <v>7</v>
      </c>
      <c r="B1000" s="1" t="s">
        <v>7</v>
      </c>
      <c r="C1000" s="10" t="s">
        <v>7</v>
      </c>
      <c r="D1000" s="5" t="s">
        <v>989</v>
      </c>
      <c r="E1000" s="1" t="str">
        <f ca="1">IFERROR(__xludf.DUMMYFUNCTION("GOOGLETRANSLATE(D1000, ""bn"", ""en"")"),"So those who buy the Hereafter in exchange for this world should strive in the way of Allah; And whoever fights in the way of Allah, then is killed or victorious, I will give him a great reward.")</f>
        <v>So those who buy the Hereafter in exchange for this world should strive in the way of Allah; And whoever fights in the way of Allah, then is killed or victorious, I will give him a great reward.</v>
      </c>
      <c r="F1000" s="1"/>
      <c r="G1000" s="1"/>
      <c r="H1000" s="1"/>
      <c r="I1000" s="1"/>
    </row>
    <row r="1001" spans="1:9" ht="15.6" x14ac:dyDescent="0.3">
      <c r="A1001" s="1" t="s">
        <v>5</v>
      </c>
      <c r="B1001" s="1" t="s">
        <v>5</v>
      </c>
      <c r="C1001" s="10" t="s">
        <v>5</v>
      </c>
      <c r="D1001" s="5" t="s">
        <v>990</v>
      </c>
      <c r="E1001" s="1" t="str">
        <f ca="1">IFERROR(__xludf.DUMMYFUNCTION("GOOGLETRANSLATE(D1001, ""bn"", ""en"")"),"Six philosophical branches exist within mainstream Hindu philosophy, collectively known as the Shadarshanas. These are: Sankhya, Yoga, Nyaya, Vaiseshika, Mimamsa and Vedanta.[1] Shadarshan is also called Astika philosophy as it accepts the authority of th"&amp;"e Vedas.[")</f>
        <v>Six philosophical branches exist within mainstream Hindu philosophy, collectively known as the Shadarshanas. These are: Sankhya, Yoga, Nyaya, Vaiseshika, Mimamsa and Vedanta.[1] Shadarshan is also called Astika philosophy as it accepts the authority of the Vedas.[</v>
      </c>
      <c r="F1001" s="1"/>
      <c r="G1001" s="1"/>
      <c r="H1001" s="1"/>
      <c r="I1001" s="1"/>
    </row>
    <row r="1002" spans="1:9" ht="15.6" x14ac:dyDescent="0.3">
      <c r="A1002" s="1" t="s">
        <v>7</v>
      </c>
      <c r="B1002" s="1" t="s">
        <v>7</v>
      </c>
      <c r="C1002" s="10" t="s">
        <v>7</v>
      </c>
      <c r="D1002" s="5" t="s">
        <v>991</v>
      </c>
      <c r="E1002" s="1" t="str">
        <f ca="1">IFERROR(__xludf.DUMMYFUNCTION("GOOGLETRANSLATE(D1002, ""bn"", ""en"")"),"The Muzaffarabad Massacre on 3 May 1971 was carried out by the Pakistan Army with the help of local collaborators on the predominantly Hindu villages of Muzaffarabad under the Kharna Union of Patia Upazila in Chittagong District, Bangladesh.")</f>
        <v>The Muzaffarabad Massacre on 3 May 1971 was carried out by the Pakistan Army with the help of local collaborators on the predominantly Hindu villages of Muzaffarabad under the Kharna Union of Patia Upazila in Chittagong District, Bangladesh.</v>
      </c>
      <c r="F1002" s="1"/>
      <c r="G1002" s="1"/>
      <c r="H1002" s="1"/>
      <c r="I1002" s="1"/>
    </row>
    <row r="1003" spans="1:9" ht="15.6" x14ac:dyDescent="0.3">
      <c r="A1003" s="1" t="s">
        <v>7</v>
      </c>
      <c r="B1003" s="1" t="s">
        <v>7</v>
      </c>
      <c r="C1003" s="10" t="s">
        <v>7</v>
      </c>
      <c r="D1003" s="5" t="s">
        <v>992</v>
      </c>
      <c r="E1003" s="1" t="str">
        <f ca="1">IFERROR(__xludf.DUMMYFUNCTION("GOOGLETRANSLATE(D1003, ""bn"", ""en"")"),"""Last year a student openly told me that it is perfectly legal to kill someone who disrespects the Prophet,"" Fatiha Agad Moumalat, a Muslim history teacher, told a French radio station on Sunday. The teacher said, ""This type of mentality is formed on t"&amp;"he basis of what they hear in the family.""")</f>
        <v>"Last year a student openly told me that it is perfectly legal to kill someone who disrespects the Prophet," Fatiha Agad Moumalat, a Muslim history teacher, told a French radio station on Sunday. The teacher said, "This type of mentality is formed on the basis of what they hear in the family."</v>
      </c>
      <c r="F1003" s="1"/>
      <c r="G1003" s="1"/>
      <c r="H1003" s="1"/>
      <c r="I1003" s="1"/>
    </row>
    <row r="1004" spans="1:9" ht="15.6" x14ac:dyDescent="0.3">
      <c r="A1004" s="1" t="s">
        <v>4</v>
      </c>
      <c r="B1004" s="1" t="s">
        <v>4</v>
      </c>
      <c r="C1004" s="10" t="s">
        <v>4</v>
      </c>
      <c r="D1004" s="5" t="s">
        <v>993</v>
      </c>
      <c r="E1004" s="1" t="str">
        <f ca="1">IFERROR(__xludf.DUMMYFUNCTION("GOOGLETRANSLATE(D1004, ""bn"", ""en"")"),"The events you are talking about to hurt the religious sentiments of Muslims, have any Hindus actually committed them? But there is doubt about it. ")</f>
        <v>The events you are talking about to hurt the religious sentiments of Muslims, have any Hindus actually committed them? But there is doubt about it. </v>
      </c>
      <c r="F1004" s="1"/>
      <c r="G1004" s="1"/>
      <c r="H1004" s="1"/>
      <c r="I1004" s="1"/>
    </row>
    <row r="1005" spans="1:9" ht="15.6" x14ac:dyDescent="0.3">
      <c r="A1005" s="1" t="s">
        <v>4</v>
      </c>
      <c r="B1005" s="1" t="s">
        <v>4</v>
      </c>
      <c r="C1005" s="10" t="s">
        <v>4</v>
      </c>
      <c r="D1005" s="5" t="s">
        <v>994</v>
      </c>
      <c r="E1005" s="1" t="str">
        <f ca="1">IFERROR(__xludf.DUMMYFUNCTION("GOOGLETRANSLATE(D1005, ""bn"", ""en"")"),"Those who slandered my beloved Prophet should be brought to justice immediately, and severely punished.")</f>
        <v>Those who slandered my beloved Prophet should be brought to justice immediately, and severely punished.</v>
      </c>
      <c r="F1005" s="1"/>
      <c r="G1005" s="1"/>
      <c r="H1005" s="1"/>
      <c r="I1005" s="1"/>
    </row>
    <row r="1006" spans="1:9" ht="15.6" x14ac:dyDescent="0.3">
      <c r="A1006" s="1" t="s">
        <v>4</v>
      </c>
      <c r="B1006" s="1" t="s">
        <v>4</v>
      </c>
      <c r="C1006" s="10" t="s">
        <v>4</v>
      </c>
      <c r="D1006" s="5" t="s">
        <v>995</v>
      </c>
      <c r="E1006" s="1" t="str">
        <f ca="1">IFERROR(__xludf.DUMMYFUNCTION("GOOGLETRANSLATE(D1006, ""bn"", ""en"")"),"Those who are targeting the young generation are promoting misinterpretation of religion and brainwashing. Religion is business for them today.")</f>
        <v>Those who are targeting the young generation are promoting misinterpretation of religion and brainwashing. Religion is business for them today.</v>
      </c>
      <c r="F1006" s="1"/>
      <c r="G1006" s="1"/>
      <c r="H1006" s="1"/>
      <c r="I1006" s="1"/>
    </row>
    <row r="1007" spans="1:9" ht="15.6" x14ac:dyDescent="0.3">
      <c r="A1007" s="1" t="s">
        <v>4</v>
      </c>
      <c r="B1007" s="1" t="s">
        <v>4</v>
      </c>
      <c r="C1007" s="10" t="s">
        <v>4</v>
      </c>
      <c r="D1007" s="5" t="s">
        <v>996</v>
      </c>
      <c r="E1007" s="1" t="str">
        <f ca="1">IFERROR(__xludf.DUMMYFUNCTION("GOOGLETRANSLATE(D1007, ""bn"", ""en"")"),"In Nuh, Hindus and Muslims have been living side by side in peace for many years. Now it seems that someone has deliberately poured poison into the relationship!")</f>
        <v>In Nuh, Hindus and Muslims have been living side by side in peace for many years. Now it seems that someone has deliberately poured poison into the relationship!</v>
      </c>
      <c r="F1007" s="1"/>
      <c r="G1007" s="1"/>
      <c r="H1007" s="1"/>
      <c r="I1007" s="1"/>
    </row>
    <row r="1008" spans="1:9" ht="15.6" x14ac:dyDescent="0.3">
      <c r="A1008" s="1" t="s">
        <v>4</v>
      </c>
      <c r="B1008" s="1" t="s">
        <v>4</v>
      </c>
      <c r="C1008" s="10" t="s">
        <v>4</v>
      </c>
      <c r="D1008" s="5" t="s">
        <v>997</v>
      </c>
      <c r="E1008" s="1" t="str">
        <f ca="1">IFERROR(__xludf.DUMMYFUNCTION("GOOGLETRANSLATE(D1008, ""bn"", ""en"")"),"Protests are taking place in Bangladesh like other countries in protest against the President's speech on cartoons of Islam and Prophet of Islam in France. But some groups are trying to create unrest by spreading rumours, and the government has received s"&amp;"uch information in two consecutive incidents, they said.")</f>
        <v>Protests are taking place in Bangladesh like other countries in protest against the President's speech on cartoons of Islam and Prophet of Islam in France. But some groups are trying to create unrest by spreading rumours, and the government has received such information in two consecutive incidents, they said.</v>
      </c>
      <c r="F1008" s="1"/>
      <c r="G1008" s="1"/>
      <c r="H1008" s="1"/>
      <c r="I1008" s="1"/>
    </row>
    <row r="1009" spans="1:9" ht="15.6" x14ac:dyDescent="0.3">
      <c r="A1009" s="1" t="s">
        <v>5</v>
      </c>
      <c r="B1009" s="1" t="s">
        <v>5</v>
      </c>
      <c r="C1009" s="10" t="s">
        <v>5</v>
      </c>
      <c r="D1009" s="5" t="s">
        <v>998</v>
      </c>
      <c r="E1009" s="1" t="str">
        <f ca="1">IFERROR(__xludf.DUMMYFUNCTION("GOOGLETRANSLATE(D1009, ""bn"", ""en"")"),"Relates to the fundamental beliefs and practices of Islam and the connection between religion and society in the Islamic world. The history of the various nations that embraced Islam is covered in the Islamic World article.")</f>
        <v>Relates to the fundamental beliefs and practices of Islam and the connection between religion and society in the Islamic world. The history of the various nations that embraced Islam is covered in the Islamic World article.</v>
      </c>
      <c r="F1009" s="1"/>
      <c r="G1009" s="1"/>
      <c r="H1009" s="1"/>
      <c r="I1009" s="1"/>
    </row>
    <row r="1010" spans="1:9" ht="15.6" x14ac:dyDescent="0.3">
      <c r="A1010" s="1" t="s">
        <v>4</v>
      </c>
      <c r="B1010" s="1" t="s">
        <v>4</v>
      </c>
      <c r="C1010" s="10" t="s">
        <v>4</v>
      </c>
      <c r="D1010" s="5" t="s">
        <v>999</v>
      </c>
      <c r="E1010" s="1" t="str">
        <f ca="1">IFERROR(__xludf.DUMMYFUNCTION("GOOGLETRANSLATE(D1010, ""bn"", ""en"")"),"Does not prohibit lying, stealing, harming others? Surely the patient, the poor person, serving the parents, walking on the righteous path. ")</f>
        <v xml:space="preserve">Does not prohibit lying, stealing, harming others? Surely the patient, the poor person, serving the parents, walking on the righteous path. </v>
      </c>
      <c r="F1010" s="1"/>
      <c r="G1010" s="1"/>
      <c r="H1010" s="1"/>
      <c r="I1010" s="1"/>
    </row>
    <row r="1011" spans="1:9" ht="15.6" x14ac:dyDescent="0.3">
      <c r="A1011" s="1" t="s">
        <v>7</v>
      </c>
      <c r="B1011" s="1" t="s">
        <v>7</v>
      </c>
      <c r="C1011" s="10" t="s">
        <v>7</v>
      </c>
      <c r="D1011" s="5" t="s">
        <v>1000</v>
      </c>
      <c r="E1011" s="1" t="str">
        <f ca="1">IFERROR(__xludf.DUMMYFUNCTION("GOOGLETRANSLATE(D1011, ""bn"", ""en"")"),"In 20th century India, the tradition of worshiping the living goddess (Jivanta Sati) developed. A survivor is a woman who once wanted to perform sati-immolation, but lives by giving up her death wish. Two famous survivors were Bala Satimata, and Umka Sati"&amp;"mata, both of whom lived until the early 1990s.")</f>
        <v>In 20th century India, the tradition of worshiping the living goddess (Jivanta Sati) developed. A survivor is a woman who once wanted to perform sati-immolation, but lives by giving up her death wish. Two famous survivors were Bala Satimata, and Umka Satimata, both of whom lived until the early 1990s.</v>
      </c>
      <c r="F1011" s="1"/>
      <c r="G1011" s="1"/>
      <c r="H1011" s="1"/>
      <c r="I1011" s="1"/>
    </row>
    <row r="1012" spans="1:9" ht="15.6" x14ac:dyDescent="0.3">
      <c r="A1012" s="1" t="s">
        <v>7</v>
      </c>
      <c r="B1012" s="1" t="s">
        <v>7</v>
      </c>
      <c r="C1012" s="10" t="s">
        <v>7</v>
      </c>
      <c r="D1012" s="5" t="s">
        <v>1001</v>
      </c>
      <c r="E1012" s="1" t="str">
        <f ca="1">IFERROR(__xludf.DUMMYFUNCTION("GOOGLETRANSLATE(D1012, ""bn"", ""en"")"),"The country or the state or the people will be raped by them, killed, confirmed, the new Pakistan will be established - but the people of the country will still spend their days between compromise with religious blindness or the satisfaction of being aliv"&amp;"e.")</f>
        <v>The country or the state or the people will be raped by them, killed, confirmed, the new Pakistan will be established - but the people of the country will still spend their days between compromise with religious blindness or the satisfaction of being alive.</v>
      </c>
      <c r="F1012" s="1"/>
      <c r="G1012" s="1"/>
      <c r="H1012" s="1"/>
      <c r="I1012" s="1"/>
    </row>
    <row r="1013" spans="1:9" ht="15.6" x14ac:dyDescent="0.3">
      <c r="A1013" s="1" t="s">
        <v>5</v>
      </c>
      <c r="B1013" s="1" t="s">
        <v>5</v>
      </c>
      <c r="C1013" s="10" t="s">
        <v>5</v>
      </c>
      <c r="D1013" s="5" t="s">
        <v>1002</v>
      </c>
      <c r="E1013" s="1" t="str">
        <f ca="1">IFERROR(__xludf.DUMMYFUNCTION("GOOGLETRANSLATE(D1013, ""bn"", ""en"")"),"August 29, 1946 was Eid-ul-Fitr; It is the biggest religious festival of Muslims. ")</f>
        <v xml:space="preserve">August 29, 1946 was Eid-ul-Fitr; It is the biggest religious festival of Muslims. </v>
      </c>
      <c r="F1013" s="1"/>
      <c r="G1013" s="1"/>
      <c r="H1013" s="1"/>
      <c r="I1013" s="1"/>
    </row>
    <row r="1014" spans="1:9" ht="15.6" x14ac:dyDescent="0.3">
      <c r="A1014" s="1" t="s">
        <v>4</v>
      </c>
      <c r="B1014" s="1" t="s">
        <v>4</v>
      </c>
      <c r="C1014" s="10" t="s">
        <v>4</v>
      </c>
      <c r="D1014" s="5" t="s">
        <v>1003</v>
      </c>
      <c r="E1014" s="1" t="str">
        <f ca="1">IFERROR(__xludf.DUMMYFUNCTION("GOOGLETRANSLATE(D1014, ""bn"", ""en"")"),"7 times can never be read instead of 5 times, there are rules of worship, it is nothing but foolishness to expect deeds by doing something outside the rules Sunnah.")</f>
        <v>7 times can never be read instead of 5 times, there are rules of worship, it is nothing but foolishness to expect deeds by doing something outside the rules Sunnah.</v>
      </c>
      <c r="F1014" s="1"/>
      <c r="G1014" s="1"/>
      <c r="H1014" s="1"/>
      <c r="I1014" s="1"/>
    </row>
    <row r="1015" spans="1:9" ht="15.6" x14ac:dyDescent="0.3">
      <c r="A1015" s="1" t="s">
        <v>4</v>
      </c>
      <c r="B1015" s="1" t="s">
        <v>4</v>
      </c>
      <c r="C1015" s="10" t="s">
        <v>4</v>
      </c>
      <c r="D1015" s="5" t="s">
        <v>1004</v>
      </c>
      <c r="E1015" s="1" t="str">
        <f ca="1">IFERROR(__xludf.DUMMYFUNCTION("GOOGLETRANSLATE(D1015, ""bn"", ""en"")"),"Just like Durga Puja is a religion, Eid is also a religion. Both remain side by side forever. But to bring it to the campaign of politics, to include it in politics, it has started little by little since 2014. The same attempt was made in the 2016 assembl"&amp;"y elections, last year also in the panchayat polls. And this time religion is being brought directly.")</f>
        <v>Just like Durga Puja is a religion, Eid is also a religion. Both remain side by side forever. But to bring it to the campaign of politics, to include it in politics, it has started little by little since 2014. The same attempt was made in the 2016 assembly elections, last year also in the panchayat polls. And this time religion is being brought directly.</v>
      </c>
      <c r="F1015" s="1"/>
      <c r="G1015" s="1"/>
      <c r="H1015" s="1"/>
      <c r="I1015" s="1"/>
    </row>
    <row r="1016" spans="1:9" ht="15.6" x14ac:dyDescent="0.3">
      <c r="A1016" s="1" t="s">
        <v>5</v>
      </c>
      <c r="B1016" s="1" t="s">
        <v>5</v>
      </c>
      <c r="C1016" s="10" t="s">
        <v>5</v>
      </c>
      <c r="D1016" s="5" t="s">
        <v>1005</v>
      </c>
      <c r="E1016" s="1" t="str">
        <f ca="1">IFERROR(__xludf.DUMMYFUNCTION("GOOGLETRANSLATE(D1016, ""bn"", ""en"")"),"A discussion on the issues of religious reform and superstition will create awareness among all.")</f>
        <v>A discussion on the issues of religious reform and superstition will create awareness among all.</v>
      </c>
      <c r="F1016" s="1"/>
      <c r="G1016" s="1"/>
      <c r="H1016" s="1"/>
      <c r="I1016" s="1"/>
    </row>
    <row r="1017" spans="1:9" ht="15.6" x14ac:dyDescent="0.3">
      <c r="A1017" s="1" t="s">
        <v>4</v>
      </c>
      <c r="B1017" s="1" t="s">
        <v>4</v>
      </c>
      <c r="C1017" s="10" t="s">
        <v>4</v>
      </c>
      <c r="D1017" s="5" t="s">
        <v>1006</v>
      </c>
      <c r="E1017" s="1" t="str">
        <f ca="1">IFERROR(__xludf.DUMMYFUNCTION("GOOGLETRANSLATE(D1017, ""bn"", ""en"")"),"How much harassment has been done for posting the picture of Mushfiq's sacrifice. Those who harassed are crying for Chanchal today. They are shameless, shameless.")</f>
        <v>How much harassment has been done for posting the picture of Mushfiq's sacrifice. Those who harassed are crying for Chanchal today. They are shameless, shameless.</v>
      </c>
      <c r="F1017" s="1"/>
      <c r="G1017" s="1"/>
      <c r="H1017" s="1"/>
      <c r="I1017" s="1"/>
    </row>
    <row r="1018" spans="1:9" ht="15.6" x14ac:dyDescent="0.3">
      <c r="A1018" s="1" t="s">
        <v>5</v>
      </c>
      <c r="B1018" s="1" t="s">
        <v>5</v>
      </c>
      <c r="C1018" s="10" t="s">
        <v>5</v>
      </c>
      <c r="D1018" s="5" t="s">
        <v>1007</v>
      </c>
      <c r="E1018" s="1" t="str">
        <f ca="1">IFERROR(__xludf.DUMMYFUNCTION("GOOGLETRANSLATE(D1018, ""bn"", ""en"")"),"It is He who has sent His Messenger with guidance and truth, so that he may make it victorious over all religions. Although the polytheists dislike it.")</f>
        <v>It is He who has sent His Messenger with guidance and truth, so that he may make it victorious over all religions. Although the polytheists dislike it.</v>
      </c>
      <c r="F1018" s="1"/>
      <c r="G1018" s="1"/>
      <c r="H1018" s="1"/>
      <c r="I1018" s="1"/>
    </row>
    <row r="1019" spans="1:9" ht="15.6" x14ac:dyDescent="0.3">
      <c r="A1019" s="1" t="s">
        <v>5</v>
      </c>
      <c r="B1019" s="1" t="s">
        <v>5</v>
      </c>
      <c r="C1019" s="10" t="s">
        <v>5</v>
      </c>
      <c r="D1019" s="5" t="s">
        <v>1008</v>
      </c>
      <c r="E1019" s="1" t="str">
        <f ca="1">IFERROR(__xludf.DUMMYFUNCTION("GOOGLETRANSLATE(D1019, ""bn"", ""en"")"),"The Quran is deeply concerned with humanity, presenting itself as a guide for the human race. It refers to the story of Adam, which is also found in Judaism and Christianity. But the Qur'an says that God forgave Adam for his mistakes, which presents a dif"&amp;"ferent view than the concept of original sin.""")</f>
        <v>The Quran is deeply concerned with humanity, presenting itself as a guide for the human race. It refers to the story of Adam, which is also found in Judaism and Christianity. But the Qur'an says that God forgave Adam for his mistakes, which presents a different view than the concept of original sin."</v>
      </c>
      <c r="F1019" s="1"/>
      <c r="G1019" s="1"/>
      <c r="H1019" s="1"/>
      <c r="I1019" s="1"/>
    </row>
    <row r="1020" spans="1:9" ht="15.6" x14ac:dyDescent="0.3">
      <c r="A1020" s="1" t="s">
        <v>5</v>
      </c>
      <c r="B1020" s="1" t="s">
        <v>5</v>
      </c>
      <c r="C1020" s="10" t="s">
        <v>5</v>
      </c>
      <c r="D1020" s="5" t="s">
        <v>1009</v>
      </c>
      <c r="E1020" s="1" t="str">
        <f ca="1">IFERROR(__xludf.DUMMYFUNCTION("GOOGLETRANSLATE(D1020, ""bn"", ""en"")"),"But Islam enthusiast Sir Salimullah donated 600 acres of land to establish Dhaka University so that Muslim students can study without discrimination!")</f>
        <v>But Islam enthusiast Sir Salimullah donated 600 acres of land to establish Dhaka University so that Muslim students can study without discrimination!</v>
      </c>
      <c r="F1020" s="1"/>
      <c r="G1020" s="1"/>
      <c r="H1020" s="1"/>
      <c r="I1020" s="1"/>
    </row>
    <row r="1021" spans="1:9" ht="15.6" x14ac:dyDescent="0.3">
      <c r="A1021" s="1" t="s">
        <v>5</v>
      </c>
      <c r="B1021" s="1" t="s">
        <v>5</v>
      </c>
      <c r="C1021" s="10" t="s">
        <v>5</v>
      </c>
      <c r="D1021" s="5" t="s">
        <v>1010</v>
      </c>
      <c r="E1021" s="1" t="str">
        <f ca="1">IFERROR(__xludf.DUMMYFUNCTION("GOOGLETRANSLATE(D1021, ""bn"", ""en"")"),"If you think Islam and science are contradictory, either you know little about Islam or you know little about science.")</f>
        <v>If you think Islam and science are contradictory, either you know little about Islam or you know little about science.</v>
      </c>
      <c r="F1021" s="1"/>
      <c r="G1021" s="1"/>
      <c r="H1021" s="1"/>
      <c r="I1021" s="1"/>
    </row>
    <row r="1022" spans="1:9" ht="15.6" x14ac:dyDescent="0.3">
      <c r="A1022" s="1" t="s">
        <v>4</v>
      </c>
      <c r="B1022" s="1" t="s">
        <v>4</v>
      </c>
      <c r="C1022" s="10" t="s">
        <v>4</v>
      </c>
      <c r="D1022" s="5" t="s">
        <v>1011</v>
      </c>
      <c r="E1022" s="1" t="str">
        <f ca="1">IFERROR(__xludf.DUMMYFUNCTION("GOOGLETRANSLATE(D1022, ""bn"", ""en"")"),"He cannot tolerate a Muslim like Munawar, this is his personal interest and an attempt to save the mind of the staunch Hindu Brosenas.")</f>
        <v>He cannot tolerate a Muslim like Munawar, this is his personal interest and an attempt to save the mind of the staunch Hindu Brosenas.</v>
      </c>
      <c r="F1022" s="1"/>
      <c r="G1022" s="1"/>
      <c r="H1022" s="1"/>
      <c r="I1022" s="1"/>
    </row>
    <row r="1023" spans="1:9" ht="15.6" x14ac:dyDescent="0.3">
      <c r="A1023" s="1" t="s">
        <v>7</v>
      </c>
      <c r="B1023" s="1" t="s">
        <v>7</v>
      </c>
      <c r="C1023" s="10" t="s">
        <v>7</v>
      </c>
      <c r="D1023" s="5" t="s">
        <v>1012</v>
      </c>
      <c r="E1023" s="1" t="str">
        <f ca="1">IFERROR(__xludf.DUMMYFUNCTION("GOOGLETRANSLATE(D1023, ""bn"", ""en"")"),"The Goa Inquisition was directed against forcibly converted Gupta Hindus. It records that at least 57 Goan Hindus were executed in the three hundred years beginning in 1560.")</f>
        <v>The Goa Inquisition was directed against forcibly converted Gupta Hindus. It records that at least 57 Goan Hindus were executed in the three hundred years beginning in 1560.</v>
      </c>
      <c r="F1023" s="1"/>
      <c r="G1023" s="1"/>
      <c r="H1023" s="1"/>
      <c r="I1023" s="1"/>
    </row>
    <row r="1024" spans="1:9" ht="15.6" x14ac:dyDescent="0.3">
      <c r="A1024" s="1" t="s">
        <v>9</v>
      </c>
      <c r="B1024" s="1" t="s">
        <v>4</v>
      </c>
      <c r="C1024" s="10" t="s">
        <v>9</v>
      </c>
      <c r="D1024" s="5" t="s">
        <v>1013</v>
      </c>
      <c r="E1024" s="1" t="str">
        <f ca="1">IFERROR(__xludf.DUMMYFUNCTION("GOOGLETRANSLATE(D1024, ""bn"", ""en"")"),"On Wednesday morning, October 13, 2021, an attack was carried out on a worship hall on the banks of Nanua Dighi in Comilla on the charge of desecrating the Quran. After that several more places of worship were attacked.")</f>
        <v>On Wednesday morning, October 13, 2021, an attack was carried out on a worship hall on the banks of Nanua Dighi in Comilla on the charge of desecrating the Quran. After that several more places of worship were attacked.</v>
      </c>
      <c r="F1024" s="1"/>
      <c r="G1024" s="1"/>
      <c r="H1024" s="1"/>
      <c r="I1024" s="1"/>
    </row>
    <row r="1025" spans="1:9" ht="15.6" x14ac:dyDescent="0.3">
      <c r="A1025" s="1" t="s">
        <v>9</v>
      </c>
      <c r="B1025" s="1" t="s">
        <v>9</v>
      </c>
      <c r="C1025" s="10" t="s">
        <v>9</v>
      </c>
      <c r="D1025" s="5" t="s">
        <v>1014</v>
      </c>
      <c r="E1025" s="1" t="str">
        <f ca="1">IFERROR(__xludf.DUMMYFUNCTION("GOOGLETRANSLATE(D1025, ""bn"", ""en"")"),"On August 21, two temples in Shibganj upazila of Bogra district were attacked at night. A Lakshmi temple and a Hari temple at the end of the village have several idols broken. The police have arrested Rabiul Islam, the accused in the incident.")</f>
        <v>On August 21, two temples in Shibganj upazila of Bogra district were attacked at night. A Lakshmi temple and a Hari temple at the end of the village have several idols broken. The police have arrested Rabiul Islam, the accused in the incident.</v>
      </c>
      <c r="F1025" s="1"/>
      <c r="G1025" s="1"/>
      <c r="H1025" s="1"/>
      <c r="I1025" s="1"/>
    </row>
    <row r="1026" spans="1:9" ht="15.6" x14ac:dyDescent="0.3">
      <c r="A1026" s="1" t="s">
        <v>5</v>
      </c>
      <c r="B1026" s="1" t="s">
        <v>5</v>
      </c>
      <c r="C1026" s="10" t="s">
        <v>5</v>
      </c>
      <c r="D1026" s="5" t="s">
        <v>1015</v>
      </c>
      <c r="E1026" s="1" t="str">
        <f ca="1">IFERROR(__xludf.DUMMYFUNCTION("GOOGLETRANSLATE(D1026, ""bn"", ""en"")"),"In 2012, the government passed the Hindu Marriage Registration Act, which provides an option for Hindus to register their marriages with the government. The bill aimed to protect the rights of Hindu women, whose rights were not protected under religious m"&amp;"arriage.")</f>
        <v>In 2012, the government passed the Hindu Marriage Registration Act, which provides an option for Hindus to register their marriages with the government. The bill aimed to protect the rights of Hindu women, whose rights were not protected under religious marriage.</v>
      </c>
      <c r="F1026" s="1"/>
      <c r="G1026" s="1"/>
      <c r="H1026" s="1"/>
      <c r="I1026" s="1"/>
    </row>
    <row r="1027" spans="1:9" ht="15.6" x14ac:dyDescent="0.3">
      <c r="A1027" s="1" t="s">
        <v>4</v>
      </c>
      <c r="B1027" s="1" t="s">
        <v>4</v>
      </c>
      <c r="C1027" s="10" t="s">
        <v>4</v>
      </c>
      <c r="D1027" s="5" t="s">
        <v>1016</v>
      </c>
      <c r="E1027" s="1" t="str">
        <f ca="1">IFERROR(__xludf.DUMMYFUNCTION("GOOGLETRANSLATE(D1027, ""bn"", ""en"")"),"If you stop Iftar today, you will stop Eid prayers tomorrow. Then Jumma will stop. In this continuity, Islam will be brought into the house. He will talk about practicing Islam at home. Social Islam will be banned. ")</f>
        <v xml:space="preserve">If you stop Iftar today, you will stop Eid prayers tomorrow. Then Jumma will stop. In this continuity, Islam will be brought into the house. He will talk about practicing Islam at home. Social Islam will be banned. </v>
      </c>
      <c r="F1027" s="1"/>
      <c r="G1027" s="1"/>
      <c r="H1027" s="1"/>
      <c r="I1027" s="1"/>
    </row>
    <row r="1028" spans="1:9" ht="15.6" x14ac:dyDescent="0.3">
      <c r="A1028" s="1" t="s">
        <v>7</v>
      </c>
      <c r="B1028" s="1" t="s">
        <v>7</v>
      </c>
      <c r="C1028" s="10" t="s">
        <v>7</v>
      </c>
      <c r="D1028" s="5" t="s">
        <v>1017</v>
      </c>
      <c r="E1028" s="1" t="str">
        <f ca="1">IFERROR(__xludf.DUMMYFUNCTION("GOOGLETRANSLATE(D1028, ""bn"", ""en"")"),"Aurangzeb issued another order in 1663, after his return from Kashmir, to Sheikh Muhammad Ikram stating, ""In all lands under Mughal control, officials shall never again allow a woman to be burnt"".")</f>
        <v>Aurangzeb issued another order in 1663, after his return from Kashmir, to Sheikh Muhammad Ikram stating, "In all lands under Mughal control, officials shall never again allow a woman to be burnt".</v>
      </c>
      <c r="F1028" s="1"/>
      <c r="G1028" s="1"/>
      <c r="H1028" s="1"/>
      <c r="I1028" s="1"/>
    </row>
    <row r="1029" spans="1:9" ht="15.6" x14ac:dyDescent="0.3">
      <c r="A1029" s="1" t="s">
        <v>9</v>
      </c>
      <c r="B1029" s="1" t="s">
        <v>9</v>
      </c>
      <c r="C1029" s="10" t="s">
        <v>9</v>
      </c>
      <c r="D1029" s="5" t="s">
        <v>1018</v>
      </c>
      <c r="E1029" s="1" t="str">
        <f ca="1">IFERROR(__xludf.DUMMYFUNCTION("GOOGLETRANSLATE(D1029, ""bn"", ""en"")"),"Muslims ransacked and set fire to Bangladesh's national temple, Dhakeshwari Temple, in Dhaka's Lalbagh and other adjacent buildings.")</f>
        <v>Muslims ransacked and set fire to Bangladesh's national temple, Dhakeshwari Temple, in Dhaka's Lalbagh and other adjacent buildings.</v>
      </c>
      <c r="F1029" s="1"/>
      <c r="G1029" s="1"/>
      <c r="H1029" s="1"/>
      <c r="I1029" s="1"/>
    </row>
    <row r="1030" spans="1:9" ht="15.6" x14ac:dyDescent="0.3">
      <c r="A1030" s="1" t="s">
        <v>4</v>
      </c>
      <c r="B1030" s="1" t="s">
        <v>4</v>
      </c>
      <c r="C1030" s="10" t="s">
        <v>4</v>
      </c>
      <c r="D1030" s="5" t="s">
        <v>1019</v>
      </c>
      <c r="E1030" s="1" t="str">
        <f ca="1">IFERROR(__xludf.DUMMYFUNCTION("GOOGLETRANSLATE(D1030, ""bn"", ""en"")"),"Those who talk about third parties without knowing the facts, we consider them agents of Hindutvaism, I don't know who they are unsectarian, but I call them agents of Hindutvaism.")</f>
        <v>Those who talk about third parties without knowing the facts, we consider them agents of Hindutvaism, I don't know who they are unsectarian, but I call them agents of Hindutvaism.</v>
      </c>
      <c r="F1030" s="1"/>
      <c r="G1030" s="1"/>
      <c r="H1030" s="1"/>
      <c r="I1030" s="1"/>
    </row>
    <row r="1031" spans="1:9" ht="15.6" x14ac:dyDescent="0.3">
      <c r="A1031" s="1" t="s">
        <v>9</v>
      </c>
      <c r="B1031" s="1" t="s">
        <v>4</v>
      </c>
      <c r="C1031" s="10" t="s">
        <v>9</v>
      </c>
      <c r="D1031" s="5" t="s">
        <v>1020</v>
      </c>
      <c r="E1031" s="1" t="str">
        <f ca="1">IFERROR(__xludf.DUMMYFUNCTION("GOOGLETRANSLATE(D1031, ""bn"", ""en"")"),"A group of Muslims attacked the house of Chittaranjan Dutta Roy Chowdhury of Shaistaganj under Raipur police station. He put all the members of his family on the roof of the house and made every effort to defend himself by shooting himself from the roof w"&amp;"ith a rifle; But the attackers were outnumbered and his ammunition was almost exhausted. ")</f>
        <v>A group of Muslims attacked the house of Chittaranjan Dutta Roy Chowdhury of Shaistaganj under Raipur police station. He put all the members of his family on the roof of the house and made every effort to defend himself by shooting himself from the roof with a rifle; But the attackers were outnumbered and his ammunition was almost exhausted. </v>
      </c>
      <c r="F1031" s="1"/>
      <c r="G1031" s="1"/>
      <c r="H1031" s="1"/>
      <c r="I1031" s="1"/>
    </row>
    <row r="1032" spans="1:9" ht="15.6" x14ac:dyDescent="0.3">
      <c r="A1032" s="1" t="s">
        <v>9</v>
      </c>
      <c r="B1032" s="1" t="s">
        <v>9</v>
      </c>
      <c r="C1032" s="10" t="s">
        <v>9</v>
      </c>
      <c r="D1032" s="5" t="s">
        <v>1021</v>
      </c>
      <c r="E1032" s="1" t="str">
        <f ca="1">IFERROR(__xludf.DUMMYFUNCTION("GOOGLETRANSLATE(D1032, ""bn"", ""en"")"),"Kamlendu Roy, general secretary of Hokdanga Bharatpara Public Durga Temple, said that a group of people came with sticks and vandalized the idols in the temple around midnight. They also attacked the neighboring house.")</f>
        <v>Kamlendu Roy, general secretary of Hokdanga Bharatpara Public Durga Temple, said that a group of people came with sticks and vandalized the idols in the temple around midnight. They also attacked the neighboring house.</v>
      </c>
      <c r="F1032" s="1"/>
      <c r="G1032" s="1"/>
      <c r="H1032" s="1"/>
      <c r="I1032" s="1"/>
    </row>
    <row r="1033" spans="1:9" ht="15.6" x14ac:dyDescent="0.3">
      <c r="A1033" s="1" t="s">
        <v>9</v>
      </c>
      <c r="B1033" s="1" t="s">
        <v>9</v>
      </c>
      <c r="C1033" s="10" t="s">
        <v>9</v>
      </c>
      <c r="D1033" s="5" t="s">
        <v>1022</v>
      </c>
      <c r="E1033" s="1" t="str">
        <f ca="1">IFERROR(__xludf.DUMMYFUNCTION("GOOGLETRANSLATE(D1033, ""bn"", ""en"")"),"They systematically mistreat Hindus. They suffer, kill, rape and abduct women, harass, intimidate, pain, imprison them on false charges of hurting their religious sentiments.")</f>
        <v>They systematically mistreat Hindus. They suffer, kill, rape and abduct women, harass, intimidate, pain, imprison them on false charges of hurting their religious sentiments.</v>
      </c>
      <c r="F1033" s="1"/>
      <c r="G1033" s="1"/>
      <c r="H1033" s="1"/>
      <c r="I1033" s="1"/>
    </row>
    <row r="1034" spans="1:9" ht="15.6" x14ac:dyDescent="0.3">
      <c r="A1034" s="1" t="s">
        <v>4</v>
      </c>
      <c r="B1034" s="1" t="s">
        <v>4</v>
      </c>
      <c r="C1034" s="10" t="s">
        <v>4</v>
      </c>
      <c r="D1034" s="5" t="s">
        <v>1023</v>
      </c>
      <c r="E1034" s="1" t="str">
        <f ca="1">IFERROR(__xludf.DUMMYFUNCTION("GOOGLETRANSLATE(D1034, ""bn"", ""en"")"),"Those who tell the news are not Muslims, why don't they condemn themselves, or do they follow any religion, they are with those who have power, is this not the reason they will be caught in the hereafter?")</f>
        <v>Those who tell the news are not Muslims, why don't they condemn themselves, or do they follow any religion, they are with those who have power, is this not the reason they will be caught in the hereafter?</v>
      </c>
      <c r="F1034" s="1"/>
      <c r="G1034" s="1"/>
      <c r="H1034" s="1"/>
      <c r="I1034" s="1"/>
    </row>
    <row r="1035" spans="1:9" ht="15.6" x14ac:dyDescent="0.3">
      <c r="A1035" s="1" t="s">
        <v>9</v>
      </c>
      <c r="B1035" s="1" t="s">
        <v>9</v>
      </c>
      <c r="C1035" s="10" t="s">
        <v>9</v>
      </c>
      <c r="D1035" s="5" t="s">
        <v>1024</v>
      </c>
      <c r="E1035" s="1" t="str">
        <f ca="1">IFERROR(__xludf.DUMMYFUNCTION("GOOGLETRANSLATE(D1035, ""bn"", ""en"")"),"An anti-Hindu program began in 1989 around the 'Ram Mandir' controversy in Ayodhya, Uttar Pradesh, India, which resulted in large-scale destruction of Hindu temples and persecution of Hindus.")</f>
        <v>An anti-Hindu program began in 1989 around the 'Ram Mandir' controversy in Ayodhya, Uttar Pradesh, India, which resulted in large-scale destruction of Hindu temples and persecution of Hindus.</v>
      </c>
      <c r="F1035" s="1"/>
      <c r="G1035" s="1"/>
      <c r="H1035" s="1"/>
      <c r="I1035" s="1"/>
    </row>
    <row r="1036" spans="1:9" ht="15.6" x14ac:dyDescent="0.3">
      <c r="A1036" s="1" t="s">
        <v>4</v>
      </c>
      <c r="B1036" s="1" t="s">
        <v>5</v>
      </c>
      <c r="C1036" s="10" t="s">
        <v>4</v>
      </c>
      <c r="D1036" s="5" t="s">
        <v>1025</v>
      </c>
      <c r="E1036" s="1" t="str">
        <f ca="1">IFERROR(__xludf.DUMMYFUNCTION("GOOGLETRANSLATE(D1036, ""bn"", ""en"")"),"Bangladesh is a 90% Muslim country, this has been proven to be a lie from today ")</f>
        <v xml:space="preserve">Bangladesh is a 90% Muslim country, this has been proven to be a lie from today </v>
      </c>
      <c r="F1036" s="1"/>
      <c r="G1036" s="1"/>
      <c r="H1036" s="1"/>
      <c r="I1036" s="1"/>
    </row>
    <row r="1037" spans="1:9" ht="15.6" x14ac:dyDescent="0.3">
      <c r="A1037" s="1" t="s">
        <v>9</v>
      </c>
      <c r="B1037" s="1" t="s">
        <v>9</v>
      </c>
      <c r="C1037" s="10" t="s">
        <v>9</v>
      </c>
      <c r="D1037" s="5" t="s">
        <v>1026</v>
      </c>
      <c r="E1037" s="1" t="str">
        <f ca="1">IFERROR(__xludf.DUMMYFUNCTION("GOOGLETRANSLATE(D1037, ""bn"", ""en"")"),"The same trend can be seen in Ramu in Cox's Bazar or Nasirnagar in Brahmanbaria. First on Facebook and then word of mouth the incident spread. Which resulted in widespread hatred of minorities and attacks and looting along the way.")</f>
        <v>The same trend can be seen in Ramu in Cox's Bazar or Nasirnagar in Brahmanbaria. First on Facebook and then word of mouth the incident spread. Which resulted in widespread hatred of minorities and attacks and looting along the way.</v>
      </c>
      <c r="F1037" s="1"/>
      <c r="G1037" s="1"/>
      <c r="H1037" s="1"/>
      <c r="I1037" s="1"/>
    </row>
    <row r="1038" spans="1:9" ht="15.6" x14ac:dyDescent="0.3">
      <c r="A1038" s="1" t="s">
        <v>4</v>
      </c>
      <c r="B1038" s="1" t="s">
        <v>5</v>
      </c>
      <c r="C1038" s="10" t="s">
        <v>4</v>
      </c>
      <c r="D1038" s="5" t="s">
        <v>1027</v>
      </c>
      <c r="E1038" s="1" t="str">
        <f ca="1">IFERROR(__xludf.DUMMYFUNCTION("GOOGLETRANSLATE(D1038, ""bn"", ""en"")"),"Calling a homegrown actor a Hindu, his caste started. The identity that hurts his heart, when he is called a Hindu is a problem, then why does he not leave his Hindu identity? People of every religion take pride in their religious identity But why is he d"&amp;"ifferent?")</f>
        <v>Calling a homegrown actor a Hindu, his caste started. The identity that hurts his heart, when he is called a Hindu is a problem, then why does he not leave his Hindu identity? People of every religion take pride in their religious identity But why is he different?</v>
      </c>
      <c r="F1038" s="1"/>
      <c r="G1038" s="1"/>
      <c r="H1038" s="1"/>
      <c r="I1038" s="1"/>
    </row>
    <row r="1039" spans="1:9" ht="15.6" x14ac:dyDescent="0.3">
      <c r="A1039" s="1" t="s">
        <v>5</v>
      </c>
      <c r="B1039" s="1" t="s">
        <v>5</v>
      </c>
      <c r="C1039" s="10" t="s">
        <v>5</v>
      </c>
      <c r="D1039" s="5" t="s">
        <v>1028</v>
      </c>
      <c r="E1039" s="1" t="str">
        <f ca="1">IFERROR(__xludf.DUMMYFUNCTION("GOOGLETRANSLATE(D1039, ""bn"", ""en"")"),"Surely Allah does not deceive anyone, Allah trusts, my Lord will surely give me. Whatever he says, I believe, my Lord will fulfill the hope of my heart at the best time.")</f>
        <v>Surely Allah does not deceive anyone, Allah trusts, my Lord will surely give me. Whatever he says, I believe, my Lord will fulfill the hope of my heart at the best time.</v>
      </c>
      <c r="F1039" s="1"/>
      <c r="G1039" s="1"/>
      <c r="H1039" s="1"/>
      <c r="I1039" s="1"/>
    </row>
    <row r="1040" spans="1:9" ht="15.6" x14ac:dyDescent="0.3">
      <c r="A1040" s="1" t="s">
        <v>5</v>
      </c>
      <c r="B1040" s="1" t="s">
        <v>5</v>
      </c>
      <c r="C1040" s="10" t="s">
        <v>5</v>
      </c>
      <c r="D1040" s="5" t="s">
        <v>1029</v>
      </c>
      <c r="E1040" s="1" t="str">
        <f ca="1">IFERROR(__xludf.DUMMYFUNCTION("GOOGLETRANSLATE(D1040, ""bn"", ""en"")"),"In a video, I saw some Muslim people celebrating the victory of the Taliban. They are happy that Islam will win this time. ")</f>
        <v xml:space="preserve">In a video, I saw some Muslim people celebrating the victory of the Taliban. They are happy that Islam will win this time. </v>
      </c>
      <c r="F1040" s="1"/>
      <c r="G1040" s="1"/>
      <c r="H1040" s="1"/>
      <c r="I1040" s="1"/>
    </row>
    <row r="1041" spans="1:9" ht="15.6" x14ac:dyDescent="0.3">
      <c r="A1041" s="1" t="s">
        <v>4</v>
      </c>
      <c r="B1041" s="1" t="s">
        <v>4</v>
      </c>
      <c r="C1041" s="10" t="s">
        <v>4</v>
      </c>
      <c r="D1041" s="5" t="s">
        <v>1030</v>
      </c>
      <c r="E1041" s="1" t="str">
        <f ca="1">IFERROR(__xludf.DUMMYFUNCTION("GOOGLETRANSLATE(D1041, ""bn"", ""en"")")," The second case is in the name of accused Paritosh Sarkar (15) accused of making blasphemous comments on Facebook under the Digital Security Act. [12] Paritosh was arrested on the night of 18 October from Joypurhat. The other case was filed against two p"&amp;"eople on Facebook under the new Digital Security Act. The two arrested under the Digital Security Act are Ujjal Hasan (21) of Bara Majidpur village near Majhipara Barakarimpur area and Al Amin (22) of Kishoregari village of Sadar Union.")</f>
        <v> The second case is in the name of accused Paritosh Sarkar (15) accused of making blasphemous comments on Facebook under the Digital Security Act. [12] Paritosh was arrested on the night of 18 October from Joypurhat. The other case was filed against two people on Facebook under the new Digital Security Act. The two arrested under the Digital Security Act are Ujjal Hasan (21) of Bara Majidpur village near Majhipara Barakarimpur area and Al Amin (22) of Kishoregari village of Sadar Union.</v>
      </c>
      <c r="F1041" s="1"/>
      <c r="G1041" s="1"/>
      <c r="H1041" s="1"/>
      <c r="I1041" s="1"/>
    </row>
    <row r="1042" spans="1:9" ht="15.6" x14ac:dyDescent="0.3">
      <c r="A1042" s="1" t="s">
        <v>7</v>
      </c>
      <c r="B1042" s="1" t="s">
        <v>7</v>
      </c>
      <c r="C1042" s="10" t="s">
        <v>7</v>
      </c>
      <c r="D1042" s="5" t="s">
        <v>1031</v>
      </c>
      <c r="E1042" s="1" t="str">
        <f ca="1">IFERROR(__xludf.DUMMYFUNCTION("GOOGLETRANSLATE(D1042, ""bn"", ""en"")"),"They are getting information that one person was killed and some others were injured in police firing. But now the situation is normal.")</f>
        <v>They are getting information that one person was killed and some others were injured in police firing. But now the situation is normal.</v>
      </c>
      <c r="F1042" s="1"/>
      <c r="G1042" s="1"/>
      <c r="H1042" s="1"/>
      <c r="I1042" s="1"/>
    </row>
    <row r="1043" spans="1:9" ht="15.6" x14ac:dyDescent="0.3">
      <c r="A1043" s="1" t="s">
        <v>5</v>
      </c>
      <c r="B1043" s="1" t="s">
        <v>5</v>
      </c>
      <c r="C1043" s="10" t="s">
        <v>5</v>
      </c>
      <c r="D1043" s="5" t="s">
        <v>1032</v>
      </c>
      <c r="E1043" s="1" t="str">
        <f ca="1">IFERROR(__xludf.DUMMYFUNCTION("GOOGLETRANSLATE(D1043, ""bn"", ""en"")"),"Islam is submission to the one and only Allah.")</f>
        <v>Islam is submission to the one and only Allah.</v>
      </c>
      <c r="F1043" s="1"/>
      <c r="G1043" s="1"/>
      <c r="H1043" s="1"/>
      <c r="I1043" s="1"/>
    </row>
    <row r="1044" spans="1:9" ht="15.6" x14ac:dyDescent="0.3">
      <c r="A1044" s="1" t="s">
        <v>4</v>
      </c>
      <c r="B1044" s="1" t="s">
        <v>4</v>
      </c>
      <c r="C1044" s="10" t="s">
        <v>4</v>
      </c>
      <c r="D1044" s="5" t="s">
        <v>1033</v>
      </c>
      <c r="E1044" s="1" t="str">
        <f ca="1">IFERROR(__xludf.DUMMYFUNCTION("GOOGLETRANSLATE(D1044, ""bn"", ""en"")"),"After Muhammad started preaching Islam, he faced opposition from the Quraysh of Makkah. Muslims migrated to Madinah due to persecution of Muslims. Muhammad SAW himself migrated to Madinah at one point.")</f>
        <v>After Muhammad started preaching Islam, he faced opposition from the Quraysh of Makkah. Muslims migrated to Madinah due to persecution of Muslims. Muhammad SAW himself migrated to Madinah at one point.</v>
      </c>
      <c r="F1044" s="1"/>
      <c r="G1044" s="1"/>
      <c r="H1044" s="1"/>
      <c r="I1044" s="1"/>
    </row>
    <row r="1045" spans="1:9" ht="15.6" x14ac:dyDescent="0.3">
      <c r="A1045" s="1" t="s">
        <v>9</v>
      </c>
      <c r="B1045" s="1" t="s">
        <v>9</v>
      </c>
      <c r="C1045" s="10" t="s">
        <v>9</v>
      </c>
      <c r="D1045" s="5" t="s">
        <v>1034</v>
      </c>
      <c r="E1045" s="1" t="str">
        <f ca="1">IFERROR(__xludf.DUMMYFUNCTION("GOOGLETRANSLATE(D1045, ""bn"", ""en"")"),"Irreligious and immoral activities are seen in different parts of the country in the name of religion. Attempts by followers of one religion to attack and disrupt events of other religions are seen. I see one side attacking the other side of another relig"&amp;"ion. One pir's followers are attacking other pir's followers. ")</f>
        <v>Irreligious and immoral activities are seen in different parts of the country in the name of religion. Attempts by followers of one religion to attack and disrupt events of other religions are seen. I see one side attacking the other side of another religion. One pir's followers are attacking other pir's followers. </v>
      </c>
      <c r="F1045" s="1"/>
      <c r="G1045" s="1"/>
      <c r="H1045" s="1"/>
      <c r="I1045" s="1"/>
    </row>
    <row r="1046" spans="1:9" ht="15.6" x14ac:dyDescent="0.3">
      <c r="A1046" s="1" t="s">
        <v>9</v>
      </c>
      <c r="B1046" s="1" t="s">
        <v>9</v>
      </c>
      <c r="C1046" s="10" t="s">
        <v>9</v>
      </c>
      <c r="D1046" s="5" t="s">
        <v>1035</v>
      </c>
      <c r="E1046" s="1" t="str">
        <f ca="1">IFERROR(__xludf.DUMMYFUNCTION("GOOGLETRANSLATE(D1046, ""bn"", ""en"")")," The army attacked the Hindu-dominant villages of Char Bhadrasan. One morning in mid-May, around 6 a.m., the attackers surrounded the three villages of Vaidyadangi, Majhidangi and Baladangi from three sides. They killed, looted and set fire to 300-350 Hin"&amp;"du families and about 50-60 unarmed Hindu men and women, the survivors fled.")</f>
        <v> The army attacked the Hindu-dominant villages of Char Bhadrasan. One morning in mid-May, around 6 a.m., the attackers surrounded the three villages of Vaidyadangi, Majhidangi and Baladangi from three sides. They killed, looted and set fire to 300-350 Hindu families and about 50-60 unarmed Hindu men and women, the survivors fled.</v>
      </c>
      <c r="F1046" s="1"/>
      <c r="G1046" s="1"/>
      <c r="H1046" s="1"/>
      <c r="I1046" s="1"/>
    </row>
    <row r="1047" spans="1:9" ht="15.6" x14ac:dyDescent="0.3">
      <c r="A1047" s="1" t="s">
        <v>4</v>
      </c>
      <c r="B1047" s="1" t="s">
        <v>4</v>
      </c>
      <c r="C1047" s="10" t="s">
        <v>4</v>
      </c>
      <c r="D1047" s="5" t="s">
        <v>1036</v>
      </c>
      <c r="E1047" s="1" t="str">
        <f ca="1">IFERROR(__xludf.DUMMYFUNCTION("GOOGLETRANSLATE(D1047, ""bn"", ""en"")"),"Even though Abhishruti Shastri is a Muslim, love with a Hindu boy, attraction to Hinduism, speaking and writing like a Hindu religious person; and after the death of Ramana Kali Mandir president Uppal Saha, is it wrong to claim Abhishruti Shastri as a Hin"&amp;"du?")</f>
        <v>Even though Abhishruti Shastri is a Muslim, love with a Hindu boy, attraction to Hinduism, speaking and writing like a Hindu religious person; and after the death of Ramana Kali Mandir president Uppal Saha, is it wrong to claim Abhishruti Shastri as a Hindu?</v>
      </c>
      <c r="F1047" s="1"/>
      <c r="G1047" s="1"/>
      <c r="H1047" s="1"/>
      <c r="I1047" s="1"/>
    </row>
    <row r="1048" spans="1:9" ht="15.6" x14ac:dyDescent="0.3">
      <c r="A1048" s="1" t="s">
        <v>5</v>
      </c>
      <c r="B1048" s="1" t="s">
        <v>5</v>
      </c>
      <c r="C1048" s="10" t="s">
        <v>5</v>
      </c>
      <c r="D1048" s="5" t="s">
        <v>1037</v>
      </c>
      <c r="E1048" s="1" t="str">
        <f ca="1">IFERROR(__xludf.DUMMYFUNCTION("GOOGLETRANSLATE(D1048, ""bn"", ""en"")"),"Madhav Sadashiv Golwalkar, the second Sarsangchalak (as the Sangh-Pradhan is addressed) of the RSS, believed that the revival of the unity and culture of the society was important for the overall development and progress of India. According to him, by bui"&amp;"lding a cohesive and strong society, India will be able to participate constructively in the development process of the world.")</f>
        <v>Madhav Sadashiv Golwalkar, the second Sarsangchalak (as the Sangh-Pradhan is addressed) of the RSS, believed that the revival of the unity and culture of the society was important for the overall development and progress of India. According to him, by building a cohesive and strong society, India will be able to participate constructively in the development process of the world.</v>
      </c>
      <c r="F1048" s="1"/>
      <c r="G1048" s="1"/>
      <c r="H1048" s="1"/>
      <c r="I1048" s="1"/>
    </row>
    <row r="1049" spans="1:9" ht="15.6" x14ac:dyDescent="0.3">
      <c r="A1049" s="1" t="s">
        <v>7</v>
      </c>
      <c r="B1049" s="1" t="s">
        <v>7</v>
      </c>
      <c r="C1049" s="10" t="s">
        <v>7</v>
      </c>
      <c r="D1049" s="5" t="s">
        <v>1038</v>
      </c>
      <c r="E1049" s="1" t="str">
        <f ca="1">IFERROR(__xludf.DUMMYFUNCTION("GOOGLETRANSLATE(D1049, ""bn"", ""en"")"),"The Hindus/Christians tried to run in disarray and the armed mob pounced on them. They kill men indiscriminately and humiliate women in broad daylight. ")</f>
        <v>The Hindus/Christians tried to run in disarray and the armed mob pounced on them. They kill men indiscriminately and humiliate women in broad daylight. </v>
      </c>
      <c r="F1049" s="1"/>
      <c r="G1049" s="1"/>
      <c r="H1049" s="1"/>
      <c r="I1049" s="1"/>
    </row>
    <row r="1050" spans="1:9" ht="15.6" x14ac:dyDescent="0.3">
      <c r="A1050" s="1" t="s">
        <v>7</v>
      </c>
      <c r="B1050" s="1" t="s">
        <v>7</v>
      </c>
      <c r="C1050" s="10" t="s">
        <v>7</v>
      </c>
      <c r="D1050" s="5" t="s">
        <v>1039</v>
      </c>
      <c r="E1050" s="1" t="str">
        <f ca="1">IFERROR(__xludf.DUMMYFUNCTION("GOOGLETRANSLATE(D1050, ""bn"", ""en"")"),"In Lalchandpur area, 40 Hindus were besieged in the house of Madhu Namashudra. After looting everything, they were lined up and killed by burst fire. Hindus were killed in the same manner in Gokulnagar.")</f>
        <v>In Lalchandpur area, 40 Hindus were besieged in the house of Madhu Namashudra. After looting everything, they were lined up and killed by burst fire. Hindus were killed in the same manner in Gokulnagar.</v>
      </c>
      <c r="F1050" s="1"/>
      <c r="G1050" s="1"/>
      <c r="H1050" s="1"/>
      <c r="I1050" s="1"/>
    </row>
    <row r="1051" spans="1:9" ht="15.6" x14ac:dyDescent="0.3">
      <c r="A1051" s="1" t="s">
        <v>7</v>
      </c>
      <c r="B1051" s="1" t="s">
        <v>7</v>
      </c>
      <c r="C1051" s="10" t="s">
        <v>7</v>
      </c>
      <c r="D1051" s="5" t="s">
        <v>1040</v>
      </c>
      <c r="E1051" s="1" t="str">
        <f ca="1">IFERROR(__xludf.DUMMYFUNCTION("GOOGLETRANSLATE(D1051, ""bn"", ""en"")"),"There, Hindu women were laid on the ground by the thugs of the Muslim League, who wiped off Sinthi's vermilion with their big toes, broke their wrists, killed their husbands, sons and daughters, and forced those Hindu women to convert to Islam and marry t"&amp;"hem.")</f>
        <v>There, Hindu women were laid on the ground by the thugs of the Muslim League, who wiped off Sinthi's vermilion with their big toes, broke their wrists, killed their husbands, sons and daughters, and forced those Hindu women to convert to Islam and marry them.</v>
      </c>
      <c r="F1051" s="1"/>
      <c r="G1051" s="1"/>
      <c r="H1051" s="1"/>
      <c r="I1051" s="1"/>
    </row>
    <row r="1052" spans="1:9" ht="15.6" x14ac:dyDescent="0.3">
      <c r="A1052" s="1" t="s">
        <v>5</v>
      </c>
      <c r="B1052" s="1" t="s">
        <v>5</v>
      </c>
      <c r="C1052" s="10" t="s">
        <v>5</v>
      </c>
      <c r="D1052" s="5" t="s">
        <v>1041</v>
      </c>
      <c r="E1052" s="1" t="str">
        <f ca="1">IFERROR(__xludf.DUMMYFUNCTION("GOOGLETRANSLATE(D1052, ""bn"", ""en"")"),"The angels and the Spirit (Hazrat Jibraeel alaihis salam) descended to cohabitation with the permission and command of their Lord. With a message of peace in all things. This trend of peace continued till dawn.")</f>
        <v>The angels and the Spirit (Hazrat Jibraeel alaihis salam) descended to cohabitation with the permission and command of their Lord. With a message of peace in all things. This trend of peace continued till dawn.</v>
      </c>
      <c r="F1052" s="1"/>
      <c r="G1052" s="1"/>
      <c r="H1052" s="1"/>
      <c r="I1052" s="1"/>
    </row>
    <row r="1053" spans="1:9" ht="15.6" x14ac:dyDescent="0.3">
      <c r="A1053" s="1" t="s">
        <v>7</v>
      </c>
      <c r="B1053" s="1" t="s">
        <v>5</v>
      </c>
      <c r="C1053" s="10" t="s">
        <v>7</v>
      </c>
      <c r="D1053" s="5" t="s">
        <v>1042</v>
      </c>
      <c r="E1053" s="1" t="str">
        <f ca="1">IFERROR(__xludf.DUMMYFUNCTION("GOOGLETRANSLATE(D1053, ""bn"", ""en"")"),"Within a month and a half of the beginning of the genocide, more than 75,000 oppressed proletarian refugees from East Bengal sought refuge in Assam, India, among whom more than 35,000 were Christians. The Garos, Hajongs, Dalus and other small ethnic group"&amp;"s of Mymensingh fled to the Garo hills of Assam (now in Meghalaya) in a state of utter helplessness. by doing")</f>
        <v>Within a month and a half of the beginning of the genocide, more than 75,000 oppressed proletarian refugees from East Bengal sought refuge in Assam, India, among whom more than 35,000 were Christians. The Garos, Hajongs, Dalus and other small ethnic groups of Mymensingh fled to the Garo hills of Assam (now in Meghalaya) in a state of utter helplessness. by doing</v>
      </c>
      <c r="F1053" s="1"/>
      <c r="G1053" s="1"/>
      <c r="H1053" s="1"/>
      <c r="I1053" s="1"/>
    </row>
    <row r="1054" spans="1:9" ht="15.6" x14ac:dyDescent="0.3">
      <c r="A1054" s="1" t="s">
        <v>4</v>
      </c>
      <c r="B1054" s="1" t="s">
        <v>4</v>
      </c>
      <c r="C1054" s="10" t="s">
        <v>4</v>
      </c>
      <c r="D1054" s="5" t="s">
        <v>1043</v>
      </c>
      <c r="E1054" s="1" t="str">
        <f ca="1">IFERROR(__xludf.DUMMYFUNCTION("GOOGLETRANSLATE(D1054, ""bn"", ""en"")"),"The page with 5 #contents from the #page called #traditional_army_version 3.0 has been suppressed for anti-religious posting. Atheists are not exempt.")</f>
        <v>The page with 5 #contents from the #page called #traditional_army_version 3.0 has been suppressed for anti-religious posting. Atheists are not exempt.</v>
      </c>
      <c r="F1054" s="1"/>
      <c r="G1054" s="1"/>
      <c r="H1054" s="1"/>
      <c r="I1054" s="1"/>
    </row>
    <row r="1055" spans="1:9" ht="15.6" x14ac:dyDescent="0.3">
      <c r="A1055" s="1" t="s">
        <v>5</v>
      </c>
      <c r="B1055" s="1" t="s">
        <v>5</v>
      </c>
      <c r="C1055" s="10" t="s">
        <v>5</v>
      </c>
      <c r="D1055" s="5" t="s">
        <v>1044</v>
      </c>
      <c r="E1055" s="1" t="str">
        <f ca="1">IFERROR(__xludf.DUMMYFUNCTION("GOOGLETRANSLATE(D1055, ""bn"", ""en"")"),"According to the teachings of Dharma, it is very important to be respectful towards each other and have an attitude of compassion towards life.")</f>
        <v>According to the teachings of Dharma, it is very important to be respectful towards each other and have an attitude of compassion towards life.</v>
      </c>
      <c r="F1055" s="1"/>
      <c r="G1055" s="1"/>
      <c r="H1055" s="1"/>
      <c r="I1055" s="1"/>
    </row>
    <row r="1056" spans="1:9" ht="15.6" x14ac:dyDescent="0.3">
      <c r="A1056" s="1" t="s">
        <v>7</v>
      </c>
      <c r="B1056" s="1" t="s">
        <v>7</v>
      </c>
      <c r="C1056" s="10" t="s">
        <v>7</v>
      </c>
      <c r="D1056" s="5" t="s">
        <v>1045</v>
      </c>
      <c r="E1056" s="1" t="str">
        <f ca="1">IFERROR(__xludf.DUMMYFUNCTION("GOOGLETRANSLATE(D1056, ""bn"", ""en"")"),"In Bogra district, Jamaat Islam and BNP activists attacked Hindus in Nandigram upazila.[6] In Jaipurhat district, a Hindu's house was set on fire, a confined person, who died of cardiac arrest due to such commotion.")</f>
        <v>In Bogra district, Jamaat Islam and BNP activists attacked Hindus in Nandigram upazila.[6] In Jaipurhat district, a Hindu's house was set on fire, a confined person, who died of cardiac arrest due to such commotion.</v>
      </c>
      <c r="F1056" s="1"/>
      <c r="G1056" s="1"/>
      <c r="H1056" s="1"/>
      <c r="I1056" s="1"/>
    </row>
    <row r="1057" spans="1:9" ht="15.6" x14ac:dyDescent="0.3">
      <c r="A1057" s="1" t="s">
        <v>9</v>
      </c>
      <c r="B1057" s="1" t="s">
        <v>4</v>
      </c>
      <c r="C1057" s="10" t="s">
        <v>9</v>
      </c>
      <c r="D1057" s="5" t="s">
        <v>1046</v>
      </c>
      <c r="E1057" s="1" t="str">
        <f ca="1">IFERROR(__xludf.DUMMYFUNCTION("GOOGLETRANSLATE(D1057, ""bn"", ""en"")"),"In Jatrapur village of Muradnagar, Comilla, a Durga shrine was vandalized by several idols.")</f>
        <v>In Jatrapur village of Muradnagar, Comilla, a Durga shrine was vandalized by several idols.</v>
      </c>
      <c r="F1057" s="1"/>
      <c r="G1057" s="1"/>
      <c r="H1057" s="1"/>
      <c r="I1057" s="1"/>
    </row>
    <row r="1058" spans="1:9" ht="15.6" x14ac:dyDescent="0.3">
      <c r="A1058" s="1" t="s">
        <v>9</v>
      </c>
      <c r="B1058" s="1" t="s">
        <v>9</v>
      </c>
      <c r="C1058" s="10" t="s">
        <v>9</v>
      </c>
      <c r="D1058" s="5" t="s">
        <v>1047</v>
      </c>
      <c r="E1058" s="1" t="str">
        <f ca="1">IFERROR(__xludf.DUMMYFUNCTION("GOOGLETRANSLATE(D1058, ""bn"", ""en"")"),"Referring to India, he said, India comes to teach us communalism while they have demolished the Babri Masjid in Gujarat and built a temple. In the future, if someone raises their hands on the soil of this country, then the soil of their country will not b"&amp;"e safe.")</f>
        <v>Referring to India, he said, India comes to teach us communalism while they have demolished the Babri Masjid in Gujarat and built a temple. In the future, if someone raises their hands on the soil of this country, then the soil of their country will not be safe.</v>
      </c>
      <c r="F1058" s="1"/>
      <c r="G1058" s="1"/>
      <c r="H1058" s="1"/>
      <c r="I1058" s="1"/>
    </row>
    <row r="1059" spans="1:9" ht="15.6" x14ac:dyDescent="0.3">
      <c r="A1059" s="1" t="s">
        <v>5</v>
      </c>
      <c r="B1059" s="1" t="s">
        <v>4</v>
      </c>
      <c r="C1059" s="10" t="s">
        <v>5</v>
      </c>
      <c r="D1059" s="5" t="s">
        <v>1048</v>
      </c>
      <c r="E1059" s="1" t="str">
        <f ca="1">IFERROR(__xludf.DUMMYFUNCTION("GOOGLETRANSLATE(D1059, ""bn"", ""en"")"),"We Muslims have strong faith in Allah and Rasool, but I will tell our brothers and sisters to have faith in Islam. ")</f>
        <v xml:space="preserve">We Muslims have strong faith in Allah and Rasool, but I will tell our brothers and sisters to have faith in Islam. </v>
      </c>
      <c r="F1059" s="1"/>
      <c r="G1059" s="1"/>
      <c r="H1059" s="1"/>
      <c r="I1059" s="1"/>
    </row>
    <row r="1060" spans="1:9" ht="15.6" x14ac:dyDescent="0.3">
      <c r="A1060" s="1" t="s">
        <v>9</v>
      </c>
      <c r="B1060" s="1" t="s">
        <v>9</v>
      </c>
      <c r="C1060" s="10" t="s">
        <v>9</v>
      </c>
      <c r="D1060" s="5" t="s">
        <v>1049</v>
      </c>
      <c r="E1060" s="1" t="str">
        <f ca="1">IFERROR(__xludf.DUMMYFUNCTION("GOOGLETRANSLATE(D1060, ""bn"", ""en"")"),"By noon, the protest turned violent. Businesses, homes and even temples of Hindus were attacked and looted with sticks from these processions.")</f>
        <v>By noon, the protest turned violent. Businesses, homes and even temples of Hindus were attacked and looted with sticks from these processions.</v>
      </c>
      <c r="F1060" s="1"/>
      <c r="G1060" s="1"/>
      <c r="H1060" s="1"/>
      <c r="I1060" s="1"/>
    </row>
    <row r="1061" spans="1:9" ht="15.6" x14ac:dyDescent="0.3">
      <c r="A1061" s="1" t="s">
        <v>4</v>
      </c>
      <c r="B1061" s="1" t="s">
        <v>4</v>
      </c>
      <c r="C1061" s="10" t="s">
        <v>4</v>
      </c>
      <c r="D1061" s="5" t="s">
        <v>1050</v>
      </c>
      <c r="E1061" s="1" t="str">
        <f ca="1">IFERROR(__xludf.DUMMYFUNCTION("GOOGLETRANSLATE(D1061, ""bn"", ""en"")"),"Where Hindus need to boycott, there is now a boycott of Indian products, and the product boycott is led by a Hindu who thinks that Hindus are allies of this boycott journey!")</f>
        <v>Where Hindus need to boycott, there is now a boycott of Indian products, and the product boycott is led by a Hindu who thinks that Hindus are allies of this boycott journey!</v>
      </c>
      <c r="F1061" s="1"/>
      <c r="G1061" s="1"/>
      <c r="H1061" s="1"/>
      <c r="I1061" s="1"/>
    </row>
    <row r="1062" spans="1:9" ht="15.6" x14ac:dyDescent="0.3">
      <c r="A1062" s="1" t="s">
        <v>4</v>
      </c>
      <c r="B1062" s="1" t="s">
        <v>4</v>
      </c>
      <c r="C1062" s="10" t="s">
        <v>4</v>
      </c>
      <c r="D1062" s="5" t="s">
        <v>1051</v>
      </c>
      <c r="E1062" s="1" t="str">
        <f ca="1">IFERROR(__xludf.DUMMYFUNCTION("GOOGLETRANSLATE(D1062, ""bn"", ""en"")"),"Hamas presents its fight as a fight for Islam. And so the Hindutvaists are standing by Israel from an anti-Islamic point of view.")</f>
        <v>Hamas presents its fight as a fight for Islam. And so the Hindutvaists are standing by Israel from an anti-Islamic point of view.</v>
      </c>
      <c r="F1062" s="1"/>
      <c r="G1062" s="1"/>
      <c r="H1062" s="1"/>
      <c r="I1062" s="1"/>
    </row>
    <row r="1063" spans="1:9" ht="15.6" x14ac:dyDescent="0.3">
      <c r="A1063" s="1" t="s">
        <v>7</v>
      </c>
      <c r="B1063" s="1" t="s">
        <v>7</v>
      </c>
      <c r="C1063" s="10" t="s">
        <v>7</v>
      </c>
      <c r="D1063" s="5" t="s">
        <v>1052</v>
      </c>
      <c r="E1063" s="1" t="str">
        <f ca="1">IFERROR(__xludf.DUMMYFUNCTION("GOOGLETRANSLATE(D1063, ""bn"", ""en"")"),"Meanwhile, a terrible incident of communal terrorism on October 30, 2020 shocked the entire Bangladesh. That evening Abu Yunus Md was beaten and burnt to death in Burimari market of Patgram Upazila of Lalmonirhat after raising allegations of 'desecration "&amp;"of Quran'. A person named Sahidunnabi Jewel.")</f>
        <v>Meanwhile, a terrible incident of communal terrorism on October 30, 2020 shocked the entire Bangladesh. That evening Abu Yunus Md was beaten and burnt to death in Burimari market of Patgram Upazila of Lalmonirhat after raising allegations of 'desecration of Quran'. A person named Sahidunnabi Jewel.</v>
      </c>
      <c r="F1063" s="1"/>
      <c r="G1063" s="1"/>
      <c r="H1063" s="1"/>
      <c r="I1063" s="1"/>
    </row>
    <row r="1064" spans="1:9" ht="15.6" x14ac:dyDescent="0.3">
      <c r="A1064" s="1" t="s">
        <v>9</v>
      </c>
      <c r="B1064" s="1" t="s">
        <v>9</v>
      </c>
      <c r="C1064" s="10" t="s">
        <v>9</v>
      </c>
      <c r="D1064" s="5" t="s">
        <v>1053</v>
      </c>
      <c r="E1064" s="1" t="str">
        <f ca="1">IFERROR(__xludf.DUMMYFUNCTION("GOOGLETRANSLATE(D1064, ""bn"", ""en"")"),"The houses of Digendra Sen, Gopesh Sen and Shiv Charan Das of Rukanpur village under Balaganj police station were ransacked and their family members were brutally beaten.")</f>
        <v>The houses of Digendra Sen, Gopesh Sen and Shiv Charan Das of Rukanpur village under Balaganj police station were ransacked and their family members were brutally beaten.</v>
      </c>
      <c r="F1064" s="1"/>
      <c r="G1064" s="1"/>
      <c r="H1064" s="1"/>
      <c r="I1064" s="1"/>
    </row>
    <row r="1065" spans="1:9" ht="15.6" x14ac:dyDescent="0.3">
      <c r="A1065" s="1" t="s">
        <v>7</v>
      </c>
      <c r="B1065" s="1" t="s">
        <v>5</v>
      </c>
      <c r="C1065" s="10" t="s">
        <v>7</v>
      </c>
      <c r="D1065" s="5" t="s">
        <v>1054</v>
      </c>
      <c r="E1065" s="1" t="str">
        <f ca="1">IFERROR(__xludf.DUMMYFUNCTION("GOOGLETRANSLATE(D1065, ""bn"", ""en"")"),"In 1971, the Bengali Hindus of the region started fleeing to India when the Pakistan Army started genocide. On April 27, thousands of refugees from different villages of the region came to Kaliganj market.")</f>
        <v>In 1971, the Bengali Hindus of the region started fleeing to India when the Pakistan Army started genocide. On April 27, thousands of refugees from different villages of the region came to Kaliganj market.</v>
      </c>
      <c r="F1065" s="1"/>
      <c r="G1065" s="1"/>
      <c r="H1065" s="1"/>
      <c r="I1065" s="1"/>
    </row>
    <row r="1066" spans="1:9" ht="15.6" x14ac:dyDescent="0.3">
      <c r="A1066" s="1" t="s">
        <v>5</v>
      </c>
      <c r="B1066" s="1" t="s">
        <v>5</v>
      </c>
      <c r="C1066" s="10" t="s">
        <v>5</v>
      </c>
      <c r="D1066" s="5" t="s">
        <v>1055</v>
      </c>
      <c r="E1066" s="1" t="str">
        <f ca="1">IFERROR(__xludf.DUMMYFUNCTION("GOOGLETRANSLATE(D1066, ""bn"", ""en"")"),"A psychologist's self-confidence is boosted when the Qur'an speaks with conviction about the supremacy of Allah Ta'ala.")</f>
        <v>A psychologist's self-confidence is boosted when the Qur'an speaks with conviction about the supremacy of Allah Ta'ala.</v>
      </c>
      <c r="F1066" s="1"/>
      <c r="G1066" s="1"/>
      <c r="H1066" s="1"/>
      <c r="I1066" s="1"/>
    </row>
    <row r="1067" spans="1:9" ht="15.6" x14ac:dyDescent="0.3">
      <c r="A1067" s="1" t="s">
        <v>7</v>
      </c>
      <c r="B1067" s="1" t="s">
        <v>4</v>
      </c>
      <c r="C1067" s="10" t="s">
        <v>7</v>
      </c>
      <c r="D1067" s="5" t="s">
        <v>1056</v>
      </c>
      <c r="E1067" s="1" t="str">
        <f ca="1">IFERROR(__xludf.DUMMYFUNCTION("GOOGLETRANSLATE(D1067, ""bn"", ""en"")"),"Hinduism and Jainism are notable for not only allowing but prescribing cremation. Shabadah is first attested in India in the Cemetery H culture (from ca. 1900 BC), which is considered to be the last phase of the Indus Valley Civilization and the beginning"&amp;" of the Vedic Civilization. Verse 10.15.14 of the Rigveda mentions the emerging practice, calling for both “burning” (agnidagdha) and “unburning” (anagnidagdha) ancestors.")</f>
        <v>Hinduism and Jainism are notable for not only allowing but prescribing cremation. Shabadah is first attested in India in the Cemetery H culture (from ca. 1900 BC), which is considered to be the last phase of the Indus Valley Civilization and the beginning of the Vedic Civilization. Verse 10.15.14 of the Rigveda mentions the emerging practice, calling for both “burning” (agnidagdha) and “unburning” (anagnidagdha) ancestors.</v>
      </c>
      <c r="F1067" s="1"/>
      <c r="G1067" s="1"/>
      <c r="H1067" s="1"/>
      <c r="I1067" s="1"/>
    </row>
    <row r="1068" spans="1:9" ht="15.6" x14ac:dyDescent="0.3">
      <c r="A1068" s="1" t="s">
        <v>9</v>
      </c>
      <c r="B1068" s="1" t="s">
        <v>9</v>
      </c>
      <c r="C1068" s="10" t="s">
        <v>9</v>
      </c>
      <c r="D1068" s="5" t="s">
        <v>1057</v>
      </c>
      <c r="E1068" s="1" t="str">
        <f ca="1">IFERROR(__xludf.DUMMYFUNCTION("GOOGLETRANSLATE(D1068, ""bn"", ""en"")"),"The survivors of Muladi and nearby villages spent the last two nights under the sky, in the forest and in houses burnt by the arson. The officer-in-charge announced on the morning of 20 February that a relief camp had been opened in the port area. [3] He "&amp;"seized all cash and jewelery from the Hindus who had gathered at the police station and marched them towards the port. At the port the Hindus were divided into three groups to be housed in three warehouses of the Panch Tahbil, one of which was Madhabalal "&amp;"Kundu and Sukhmoy Kundur.")</f>
        <v>The survivors of Muladi and nearby villages spent the last two nights under the sky, in the forest and in houses burnt by the arson. The officer-in-charge announced on the morning of 20 February that a relief camp had been opened in the port area. [3] He seized all cash and jewelery from the Hindus who had gathered at the police station and marched them towards the port. At the port the Hindus were divided into three groups to be housed in three warehouses of the Panch Tahbil, one of which was Madhabalal Kundu and Sukhmoy Kundur.</v>
      </c>
      <c r="F1068" s="1"/>
      <c r="G1068" s="1"/>
      <c r="H1068" s="1"/>
      <c r="I1068" s="1"/>
    </row>
    <row r="1069" spans="1:9" ht="15.6" x14ac:dyDescent="0.3">
      <c r="A1069" s="1" t="s">
        <v>4</v>
      </c>
      <c r="B1069" s="1" t="s">
        <v>5</v>
      </c>
      <c r="C1069" s="10" t="s">
        <v>4</v>
      </c>
      <c r="D1069" s="5" t="s">
        <v>1058</v>
      </c>
      <c r="E1069" s="1" t="str">
        <f ca="1">IFERROR(__xludf.DUMMYFUNCTION("GOOGLETRANSLATE(D1069, ""bn"", ""en"")"),"The fact that they base their religious beliefs on an abstract or imaginary character does not seem so complicated or difficult to me.")</f>
        <v>The fact that they base their religious beliefs on an abstract or imaginary character does not seem so complicated or difficult to me.</v>
      </c>
      <c r="F1069" s="1"/>
      <c r="G1069" s="1"/>
      <c r="H1069" s="1"/>
      <c r="I1069" s="1"/>
    </row>
    <row r="1070" spans="1:9" ht="15.6" x14ac:dyDescent="0.3">
      <c r="A1070" s="1" t="s">
        <v>5</v>
      </c>
      <c r="B1070" s="1" t="s">
        <v>5</v>
      </c>
      <c r="C1070" s="10" t="s">
        <v>5</v>
      </c>
      <c r="D1070" s="5" t="s">
        <v>1059</v>
      </c>
      <c r="E1070" s="1" t="str">
        <f ca="1">IFERROR(__xludf.DUMMYFUNCTION("GOOGLETRANSLATE(D1070, ""bn"", ""en"")"),"Hearty greetings and best wishes for Autumn Durga Puja to all. May your every hour be filled with joy.")</f>
        <v>Hearty greetings and best wishes for Autumn Durga Puja to all. May your every hour be filled with joy.</v>
      </c>
      <c r="F1070" s="1"/>
      <c r="G1070" s="1"/>
      <c r="H1070" s="1"/>
      <c r="I1070" s="1"/>
    </row>
    <row r="1071" spans="1:9" ht="15.6" x14ac:dyDescent="0.3">
      <c r="A1071" s="1" t="s">
        <v>7</v>
      </c>
      <c r="B1071" s="1" t="s">
        <v>7</v>
      </c>
      <c r="C1071" s="10" t="s">
        <v>7</v>
      </c>
      <c r="D1071" s="5" t="s">
        <v>1060</v>
      </c>
      <c r="E1071" s="1" t="str">
        <f ca="1">IFERROR(__xludf.DUMMYFUNCTION("GOOGLETRANSLATE(D1071, ""bn"", ""en"")"),"The Bariya massacre was a brutal massacre of unarmed Bengali Hindus by the Pakistan Army on 14 May 1971 in the Bariya village of present-day Gazipur Sadar Upazila in Bangladesh.")</f>
        <v>The Bariya massacre was a brutal massacre of unarmed Bengali Hindus by the Pakistan Army on 14 May 1971 in the Bariya village of present-day Gazipur Sadar Upazila in Bangladesh.</v>
      </c>
      <c r="F1071" s="1"/>
      <c r="G1071" s="1"/>
      <c r="H1071" s="1"/>
      <c r="I1071" s="1"/>
    </row>
    <row r="1072" spans="1:9" ht="15.6" x14ac:dyDescent="0.3">
      <c r="A1072" s="1" t="s">
        <v>4</v>
      </c>
      <c r="B1072" s="1" t="s">
        <v>4</v>
      </c>
      <c r="C1072" s="10" t="s">
        <v>4</v>
      </c>
      <c r="D1072" s="5" t="s">
        <v>1061</v>
      </c>
      <c r="E1072" s="1" t="str">
        <f ca="1">IFERROR(__xludf.DUMMYFUNCTION("GOOGLETRANSLATE(D1072, ""bn"", ""en"")"),"Hopefully, the administration will take the right decision by investigating the work of building a mosque on the land of Kantji temple, but nevertheless, through your post, you have shown that you are no less in the oil business that has been going on for"&amp;" ages.")</f>
        <v>Hopefully, the administration will take the right decision by investigating the work of building a mosque on the land of Kantji temple, but nevertheless, through your post, you have shown that you are no less in the oil business that has been going on for ages.</v>
      </c>
      <c r="F1072" s="1"/>
      <c r="G1072" s="1"/>
      <c r="H1072" s="1"/>
      <c r="I1072" s="1"/>
    </row>
    <row r="1073" spans="1:9" ht="15.6" x14ac:dyDescent="0.3">
      <c r="A1073" s="1" t="s">
        <v>7</v>
      </c>
      <c r="B1073" s="1" t="s">
        <v>7</v>
      </c>
      <c r="C1073" s="10" t="s">
        <v>7</v>
      </c>
      <c r="D1073" s="5" t="s">
        <v>1062</v>
      </c>
      <c r="E1073" s="1" t="str">
        <f ca="1">IFERROR(__xludf.DUMMYFUNCTION("GOOGLETRANSLATE(D1073, ""bn"", ""en"")"),"The multifaceted steps to turn Muslims into political targets by ignoring the tradition of communal coexistence and harmony of thousands of years have already been identified as a major violation of human rights in front of the world. The US-based organiz"&amp;"ation Genocide Watch has described Hindutva's extreme anti-Muslim hatred as a premonition of a Muslim genocide in India. ")</f>
        <v>The multifaceted steps to turn Muslims into political targets by ignoring the tradition of communal coexistence and harmony of thousands of years have already been identified as a major violation of human rights in front of the world. The US-based organization Genocide Watch has described Hindutva's extreme anti-Muslim hatred as a premonition of a Muslim genocide in India. </v>
      </c>
      <c r="F1073" s="1"/>
      <c r="G1073" s="1"/>
      <c r="H1073" s="1"/>
      <c r="I1073" s="1"/>
    </row>
    <row r="1074" spans="1:9" ht="15.6" x14ac:dyDescent="0.3">
      <c r="A1074" s="1" t="s">
        <v>4</v>
      </c>
      <c r="B1074" s="1" t="s">
        <v>4</v>
      </c>
      <c r="C1074" s="10" t="s">
        <v>4</v>
      </c>
      <c r="D1074" s="5" t="s">
        <v>1063</v>
      </c>
      <c r="E1074" s="1" t="str">
        <f ca="1">IFERROR(__xludf.DUMMYFUNCTION("GOOGLETRANSLATE(D1074, ""bn"", ""en"")"),"If the holy religious books of Hindus, Christians or Jews are burned in this way, how will they get cost? We Muslims are getting the same cost. How can they call their religion big by belittling other religions like this and costing people of other religi"&amp;"ons like this?")</f>
        <v>If the holy religious books of Hindus, Christians or Jews are burned in this way, how will they get cost? We Muslims are getting the same cost. How can they call their religion big by belittling other religions like this and costing people of other religions like this?</v>
      </c>
      <c r="F1074" s="1"/>
      <c r="G1074" s="1"/>
      <c r="H1074" s="1"/>
      <c r="I1074" s="1"/>
    </row>
    <row r="1075" spans="1:9" ht="15.6" x14ac:dyDescent="0.3">
      <c r="A1075" s="4" t="s">
        <v>7</v>
      </c>
      <c r="B1075" s="4" t="s">
        <v>7</v>
      </c>
      <c r="C1075" s="11" t="s">
        <v>7</v>
      </c>
      <c r="D1075" s="5" t="s">
        <v>1064</v>
      </c>
      <c r="E1075" s="1" t="str">
        <f ca="1">IFERROR(__xludf.DUMMYFUNCTION("GOOGLETRANSLATE(D1075, ""bn"", ""en"")"),"On August 16, 1946, a communal riot and massacre took place in Calcutta, the capital of British India's Bengal province. This day was known as ""The Week of the Long Knives"".")</f>
        <v>On August 16, 1946, a communal riot and massacre took place in Calcutta, the capital of British India's Bengal province. This day was known as "The Week of the Long Knives".</v>
      </c>
      <c r="F1075" s="1"/>
      <c r="G1075" s="1"/>
      <c r="H1075" s="1"/>
      <c r="I1075" s="1"/>
    </row>
    <row r="1076" spans="1:9" ht="15.6" x14ac:dyDescent="0.3">
      <c r="A1076" s="1" t="s">
        <v>7</v>
      </c>
      <c r="B1076" s="1" t="s">
        <v>4</v>
      </c>
      <c r="C1076" s="10" t="s">
        <v>7</v>
      </c>
      <c r="D1076" s="5" t="s">
        <v>1065</v>
      </c>
      <c r="E1076" s="1" t="str">
        <f ca="1">IFERROR(__xludf.DUMMYFUNCTION("GOOGLETRANSLATE(D1076, ""bn"", ""en"")"),"A person who insults the Prophet (PBUH) with insulting comments, statements or makes fun of him and satirizes any religious rules will be considered as an apostate by the highest consensus of the Ummah. His punishment is death.")</f>
        <v>A person who insults the Prophet (PBUH) with insulting comments, statements or makes fun of him and satirizes any religious rules will be considered as an apostate by the highest consensus of the Ummah. His punishment is death.</v>
      </c>
      <c r="F1076" s="1"/>
      <c r="G1076" s="1"/>
      <c r="H1076" s="1"/>
      <c r="I1076" s="1"/>
    </row>
    <row r="1077" spans="1:9" ht="15.6" x14ac:dyDescent="0.3">
      <c r="A1077" s="1" t="s">
        <v>7</v>
      </c>
      <c r="B1077" s="1" t="s">
        <v>7</v>
      </c>
      <c r="C1077" s="10" t="s">
        <v>7</v>
      </c>
      <c r="D1077" s="5" t="s">
        <v>1066</v>
      </c>
      <c r="E1077" s="1" t="str">
        <f ca="1">IFERROR(__xludf.DUMMYFUNCTION("GOOGLETRANSLATE(D1077, ""bn"", ""en"")"),"""A little camphor should be added to the water during the last wash."" After bathing, the body of the deceased should be wiped off with water and put on a shroud.")</f>
        <v>"A little camphor should be added to the water during the last wash." After bathing, the body of the deceased should be wiped off with water and put on a shroud.</v>
      </c>
      <c r="F1077" s="1"/>
      <c r="G1077" s="1"/>
      <c r="H1077" s="1"/>
      <c r="I1077" s="1"/>
    </row>
    <row r="1078" spans="1:9" ht="15.6" x14ac:dyDescent="0.3">
      <c r="A1078" s="1" t="s">
        <v>4</v>
      </c>
      <c r="B1078" s="1" t="s">
        <v>4</v>
      </c>
      <c r="C1078" s="10" t="s">
        <v>4</v>
      </c>
      <c r="D1078" s="5" t="s">
        <v>1067</v>
      </c>
      <c r="E1078" s="1" t="str">
        <f ca="1">IFERROR(__xludf.DUMMYFUNCTION("GOOGLETRANSLATE(D1078, ""bn"", ""en"")"),"After twenty long years, the Taliban have occupied Afghanistan at the point of a gun. President Ghani has already fled. Women are trembling with fear, again the ban is issued to get out of the study, barely! I understand that you have to cover the hair fr"&amp;"om the toenails! Remembering the image of the nineties, where the Taliban are beating a woman wearing a veil! ")</f>
        <v xml:space="preserve">After twenty long years, the Taliban have occupied Afghanistan at the point of a gun. President Ghani has already fled. Women are trembling with fear, again the ban is issued to get out of the study, barely! I understand that you have to cover the hair from the toenails! Remembering the image of the nineties, where the Taliban are beating a woman wearing a veil! </v>
      </c>
      <c r="F1078" s="1"/>
      <c r="G1078" s="1"/>
      <c r="H1078" s="1"/>
      <c r="I1078" s="1"/>
    </row>
    <row r="1079" spans="1:9" ht="15.6" x14ac:dyDescent="0.3">
      <c r="A1079" s="1" t="s">
        <v>5</v>
      </c>
      <c r="B1079" s="1" t="s">
        <v>5</v>
      </c>
      <c r="C1079" s="10" t="s">
        <v>5</v>
      </c>
      <c r="D1079" s="5" t="s">
        <v>1068</v>
      </c>
      <c r="E1079" s="1" t="str">
        <f ca="1">IFERROR(__xludf.DUMMYFUNCTION("GOOGLETRANSLATE(D1079, ""bn"", ""en"")"),"But our religion of Islam teaches that we perform our worship discreetly, only for Allah, and should not reveal it.")</f>
        <v>But our religion of Islam teaches that we perform our worship discreetly, only for Allah, and should not reveal it.</v>
      </c>
      <c r="F1079" s="1"/>
      <c r="G1079" s="1"/>
      <c r="H1079" s="1"/>
      <c r="I1079" s="1"/>
    </row>
    <row r="1080" spans="1:9" ht="15.6" x14ac:dyDescent="0.3">
      <c r="A1080" s="1" t="s">
        <v>7</v>
      </c>
      <c r="B1080" s="1" t="s">
        <v>7</v>
      </c>
      <c r="C1080" s="10" t="s">
        <v>7</v>
      </c>
      <c r="D1080" s="5" t="s">
        <v>1069</v>
      </c>
      <c r="E1080" s="1" t="str">
        <f ca="1">IFERROR(__xludf.DUMMYFUNCTION("GOOGLETRANSLATE(D1080, ""bn"", ""en"")"),"Being realistic about death enables us to live full and meaningful lives. Instead of dying in fear, we can face death with happiness because then we will have used up most of our life.")</f>
        <v>Being realistic about death enables us to live full and meaningful lives. Instead of dying in fear, we can face death with happiness because then we will have used up most of our life.</v>
      </c>
      <c r="F1080" s="1"/>
      <c r="G1080" s="1"/>
      <c r="H1080" s="1"/>
      <c r="I1080" s="1"/>
    </row>
    <row r="1081" spans="1:9" ht="15.6" x14ac:dyDescent="0.3">
      <c r="A1081" s="1" t="s">
        <v>9</v>
      </c>
      <c r="B1081" s="1" t="s">
        <v>7</v>
      </c>
      <c r="C1081" s="10" t="s">
        <v>9</v>
      </c>
      <c r="D1081" s="5" t="s">
        <v>1070</v>
      </c>
      <c r="E1081" s="1" t="str">
        <f ca="1">IFERROR(__xludf.DUMMYFUNCTION("GOOGLETRANSLATE(D1081, ""bn"", ""en"")"),"At some point in the night, miscreants vandalized the 14 idols of eight temples in Sindurpindi area of ​​Dhantala union, three in Collegepara area of ​​Paria union and one in Sahbajpur Nathpara area of ​​Charol union.")</f>
        <v>At some point in the night, miscreants vandalized the 14 idols of eight temples in Sindurpindi area of ​​Dhantala union, three in Collegepara area of ​​Paria union and one in Sahbajpur Nathpara area of ​​Charol union.</v>
      </c>
      <c r="F1081" s="1"/>
      <c r="G1081" s="1"/>
      <c r="H1081" s="1"/>
      <c r="I1081" s="1"/>
    </row>
    <row r="1082" spans="1:9" ht="15.6" x14ac:dyDescent="0.3">
      <c r="A1082" s="1" t="s">
        <v>5</v>
      </c>
      <c r="B1082" s="1" t="s">
        <v>5</v>
      </c>
      <c r="C1082" s="10" t="s">
        <v>5</v>
      </c>
      <c r="D1082" s="5" t="s">
        <v>1071</v>
      </c>
      <c r="E1082" s="1" t="str">
        <f ca="1">IFERROR(__xludf.DUMMYFUNCTION("GOOGLETRANSLATE(D1082, ""bn"", ""en"")"),"Christianity says that love should make people's lives beautiful and meaningful, because true love does not cause harm or turmoil, rather it brings people together, helping to establish peace and unity.")</f>
        <v>Christianity says that love should make people's lives beautiful and meaningful, because true love does not cause harm or turmoil, rather it brings people together, helping to establish peace and unity.</v>
      </c>
      <c r="F1082" s="1"/>
      <c r="G1082" s="1"/>
      <c r="H1082" s="1"/>
      <c r="I1082" s="1"/>
    </row>
    <row r="1083" spans="1:9" ht="15.6" x14ac:dyDescent="0.3">
      <c r="A1083" s="1" t="s">
        <v>9</v>
      </c>
      <c r="B1083" s="1" t="s">
        <v>9</v>
      </c>
      <c r="C1083" s="10" t="s">
        <v>9</v>
      </c>
      <c r="D1083" s="5" t="s">
        <v>1072</v>
      </c>
      <c r="E1083" s="1" t="str">
        <f ca="1">IFERROR(__xludf.DUMMYFUNCTION("GOOGLETRANSLATE(D1083, ""bn"", ""en"")"),"Police prevented the rioters from setting fire to another temple.[17] Two Hindu monasteries were set on fire.[16] On March 1, miscreants set fire to a Hindu house in Char Sita area of ​​Ramgati Upazila.[18] On May 11, miscreants set fire to a Hindu temple"&amp;" in Ramganj Upazila.")</f>
        <v>Police prevented the rioters from setting fire to another temple.[17] Two Hindu monasteries were set on fire.[16] On March 1, miscreants set fire to a Hindu house in Char Sita area of ​​Ramgati Upazila.[18] On May 11, miscreants set fire to a Hindu temple in Ramganj Upazila.</v>
      </c>
      <c r="F1083" s="1"/>
      <c r="G1083" s="1"/>
      <c r="H1083" s="1"/>
      <c r="I1083" s="1"/>
    </row>
    <row r="1084" spans="1:9" ht="15.6" x14ac:dyDescent="0.3">
      <c r="A1084" s="1" t="s">
        <v>5</v>
      </c>
      <c r="B1084" s="1" t="s">
        <v>5</v>
      </c>
      <c r="C1084" s="10" t="s">
        <v>5</v>
      </c>
      <c r="D1084" s="5" t="s">
        <v>1073</v>
      </c>
      <c r="E1084" s="1" t="str">
        <f ca="1">IFERROR(__xludf.DUMMYFUNCTION("GOOGLETRANSLATE(D1084, ""bn"", ""en"")"),"In Sanatan Dharma no specific person defines Sanatan Dharma, only Vedavihit Dharma is Sanatan Dharma.")</f>
        <v>In Sanatan Dharma no specific person defines Sanatan Dharma, only Vedavihit Dharma is Sanatan Dharma.</v>
      </c>
      <c r="F1084" s="1"/>
      <c r="G1084" s="1"/>
      <c r="H1084" s="1"/>
      <c r="I1084" s="1"/>
    </row>
    <row r="1085" spans="1:9" ht="15.6" x14ac:dyDescent="0.3">
      <c r="A1085" s="1" t="s">
        <v>7</v>
      </c>
      <c r="B1085" s="1" t="s">
        <v>7</v>
      </c>
      <c r="C1085" s="10" t="s">
        <v>7</v>
      </c>
      <c r="D1085" s="5" t="s">
        <v>1074</v>
      </c>
      <c r="E1085" s="1" t="str">
        <f ca="1">IFERROR(__xludf.DUMMYFUNCTION("GOOGLETRANSLATE(D1085, ""bn"", ""en"")"),"Lack of tolerance and religious differences have divided people, resulting in the untimely loss of countless innocent lives.")</f>
        <v>Lack of tolerance and religious differences have divided people, resulting in the untimely loss of countless innocent lives.</v>
      </c>
      <c r="F1085" s="1"/>
      <c r="G1085" s="1"/>
      <c r="H1085" s="1"/>
      <c r="I1085" s="1"/>
    </row>
    <row r="1086" spans="1:9" ht="15.6" x14ac:dyDescent="0.3">
      <c r="A1086" s="1" t="s">
        <v>4</v>
      </c>
      <c r="B1086" s="1" t="s">
        <v>5</v>
      </c>
      <c r="C1086" s="10" t="s">
        <v>4</v>
      </c>
      <c r="D1086" s="5" t="s">
        <v>1075</v>
      </c>
      <c r="E1086" s="1" t="str">
        <f ca="1">IFERROR(__xludf.DUMMYFUNCTION("GOOGLETRANSLATE(D1086, ""bn"", ""en"")"),"Islam is never a militant religion, at the same time there is extremism and militancy in the name of religion, not only in Islam, but in all religions, then why is Islam and Kalema flag only used in the movie?""")</f>
        <v>Islam is never a militant religion, at the same time there is extremism and militancy in the name of religion, not only in Islam, but in all religions, then why is Islam and Kalema flag only used in the movie?"</v>
      </c>
      <c r="F1086" s="1"/>
      <c r="G1086" s="1"/>
      <c r="H1086" s="1"/>
      <c r="I1086" s="1"/>
    </row>
    <row r="1087" spans="1:9" ht="15.6" x14ac:dyDescent="0.3">
      <c r="A1087" s="1" t="s">
        <v>4</v>
      </c>
      <c r="B1087" s="1" t="s">
        <v>4</v>
      </c>
      <c r="C1087" s="10" t="s">
        <v>4</v>
      </c>
      <c r="D1087" s="5" t="s">
        <v>1076</v>
      </c>
      <c r="E1087" s="1" t="str">
        <f ca="1">IFERROR(__xludf.DUMMYFUNCTION("GOOGLETRANSLATE(D1087, ""bn"", ""en"")"),"The full meaning of Islam is to maintain peace and harmony, but some people use Islam for their own interests.")</f>
        <v>The full meaning of Islam is to maintain peace and harmony, but some people use Islam for their own interests.</v>
      </c>
      <c r="F1087" s="1"/>
      <c r="G1087" s="1"/>
      <c r="H1087" s="1"/>
      <c r="I1087" s="1"/>
    </row>
    <row r="1088" spans="1:9" ht="15.6" x14ac:dyDescent="0.3">
      <c r="A1088" s="1" t="s">
        <v>9</v>
      </c>
      <c r="B1088" s="1" t="s">
        <v>9</v>
      </c>
      <c r="C1088" s="10" t="s">
        <v>9</v>
      </c>
      <c r="D1088" s="5" t="s">
        <v>1077</v>
      </c>
      <c r="E1088" s="1" t="str">
        <f ca="1">IFERROR(__xludf.DUMMYFUNCTION("GOOGLETRANSLATE(D1088, ""bn"", ""en"")"),"Bikash Chandra Karmakar (36), accused of vandalizing six idols including Durga by beating an Ansar member of Gurdaspur, was arrested from Natore town on Saturday. The Ansar member who was on guard at the time of the incident was arrested after he confesse"&amp;"d in court.")</f>
        <v>Bikash Chandra Karmakar (36), accused of vandalizing six idols including Durga by beating an Ansar member of Gurdaspur, was arrested from Natore town on Saturday. The Ansar member who was on guard at the time of the incident was arrested after he confessed in court.</v>
      </c>
      <c r="F1088" s="1"/>
      <c r="G1088" s="1"/>
      <c r="H1088" s="1"/>
      <c r="I1088" s="1"/>
    </row>
    <row r="1089" spans="1:9" ht="17.399999999999999" x14ac:dyDescent="0.3">
      <c r="A1089" s="1" t="s">
        <v>7</v>
      </c>
      <c r="B1089" s="1" t="s">
        <v>7</v>
      </c>
      <c r="C1089" s="10" t="s">
        <v>7</v>
      </c>
      <c r="D1089" s="5" t="s">
        <v>3502</v>
      </c>
      <c r="E1089" s="1" t="str">
        <f ca="1">IFERROR(__xludf.DUMMYFUNCTION("GOOGLETRANSLATE(D1089, ""bn"", ""en"")"),"Bangladesh National Hindu Mahajot General Secretary Govinda Chandra Pramanik claimed that 79 people of the Hindu community were killed from January 1 to June 30.")</f>
        <v>Bangladesh National Hindu Mahajot General Secretary Govinda Chandra Pramanik claimed that 79 people of the Hindu community were killed from January 1 to June 30.</v>
      </c>
      <c r="F1089" s="1"/>
      <c r="G1089" s="1"/>
      <c r="H1089" s="1"/>
      <c r="I1089" s="1"/>
    </row>
    <row r="1090" spans="1:9" ht="15.6" x14ac:dyDescent="0.3">
      <c r="A1090" s="1" t="s">
        <v>9</v>
      </c>
      <c r="B1090" s="1" t="s">
        <v>9</v>
      </c>
      <c r="C1090" s="10" t="s">
        <v>9</v>
      </c>
      <c r="D1090" s="5" t="s">
        <v>1078</v>
      </c>
      <c r="E1090" s="1" t="str">
        <f ca="1">IFERROR(__xludf.DUMMYFUNCTION("GOOGLETRANSLATE(D1090, ""bn"", ""en"")"),"Barbaric attack by Israeli forces entering the mosque, bloody Al-Aqsa")</f>
        <v>Barbaric attack by Israeli forces entering the mosque, bloody Al-Aqsa</v>
      </c>
      <c r="F1090" s="1"/>
      <c r="G1090" s="1"/>
      <c r="H1090" s="1"/>
      <c r="I1090" s="1"/>
    </row>
    <row r="1091" spans="1:9" ht="15.6" x14ac:dyDescent="0.3">
      <c r="A1091" s="1" t="s">
        <v>7</v>
      </c>
      <c r="B1091" s="1" t="s">
        <v>7</v>
      </c>
      <c r="C1091" s="10" t="s">
        <v>7</v>
      </c>
      <c r="D1091" s="5" t="s">
        <v>1079</v>
      </c>
      <c r="E1091" s="1" t="str">
        <f ca="1">IFERROR(__xludf.DUMMYFUNCTION("GOOGLETRANSLATE(D1091, ""bn"", ""en"")"),"Rohingya Muslims have been widely persecuted by the army and Buddhist extremists in Myanmar's Rakhine state, killing and displacing thousands.")</f>
        <v>Rohingya Muslims have been widely persecuted by the army and Buddhist extremists in Myanmar's Rakhine state, killing and displacing thousands.</v>
      </c>
      <c r="F1091" s="1"/>
      <c r="G1091" s="1"/>
      <c r="H1091" s="1"/>
      <c r="I1091" s="1"/>
    </row>
    <row r="1092" spans="1:9" ht="15.6" x14ac:dyDescent="0.3">
      <c r="A1092" s="1" t="s">
        <v>5</v>
      </c>
      <c r="B1092" s="1" t="s">
        <v>5</v>
      </c>
      <c r="C1092" s="10" t="s">
        <v>5</v>
      </c>
      <c r="D1092" s="5" t="s">
        <v>1080</v>
      </c>
      <c r="E1092" s="1" t="str">
        <f ca="1">IFERROR(__xludf.DUMMYFUNCTION("GOOGLETRANSLATE(D1092, ""bn"", ""en"")"),"We are the Gaudiya Brahma Madhav community. The philosophy of ISKCON is that we spread the Vaishnava doctrine of this Bengal, that is, the Vaishnava style of the Gaur region, to the world.")</f>
        <v>We are the Gaudiya Brahma Madhav community. The philosophy of ISKCON is that we spread the Vaishnava doctrine of this Bengal, that is, the Vaishnava style of the Gaur region, to the world.</v>
      </c>
      <c r="F1092" s="1"/>
      <c r="G1092" s="1"/>
      <c r="H1092" s="1"/>
      <c r="I1092" s="1"/>
    </row>
    <row r="1093" spans="1:9" ht="15.6" x14ac:dyDescent="0.3">
      <c r="A1093" s="1" t="s">
        <v>4</v>
      </c>
      <c r="B1093" s="1" t="s">
        <v>4</v>
      </c>
      <c r="C1093" s="10" t="s">
        <v>4</v>
      </c>
      <c r="D1093" s="5" t="s">
        <v>1081</v>
      </c>
      <c r="E1093" s="1" t="str">
        <f ca="1">IFERROR(__xludf.DUMMYFUNCTION("GOOGLETRANSLATE(D1093, ""bn"", ""en"")"),"Dinkrishna Tagore's comments on Sanatan Dharma,")</f>
        <v>Dinkrishna Tagore's comments on Sanatan Dharma,</v>
      </c>
      <c r="F1093" s="1"/>
      <c r="G1093" s="1"/>
      <c r="H1093" s="1"/>
      <c r="I1093" s="1"/>
    </row>
    <row r="1094" spans="1:9" ht="15.6" x14ac:dyDescent="0.3">
      <c r="A1094" s="4" t="s">
        <v>7</v>
      </c>
      <c r="B1094" s="4" t="s">
        <v>7</v>
      </c>
      <c r="C1094" s="11" t="s">
        <v>7</v>
      </c>
      <c r="D1094" s="5" t="s">
        <v>3489</v>
      </c>
      <c r="E1094" s="1" t="str">
        <f ca="1">IFERROR(__xludf.DUMMYFUNCTION("GOOGLETRANSLATE(D1094, ""bn"", ""en"")"),"After the riots in Noakhali stopped, the Muslim League claimed that only 500 Hindus had died in the conflict, but survivors believe that more than 50,000 Hindus were killed. ")</f>
        <v>After the riots in Noakhali stopped, the Muslim League claimed that only 500 Hindus had died in the conflict, but survivors believe that more than 50,000 Hindus were killed. </v>
      </c>
      <c r="F1094" s="1"/>
      <c r="G1094" s="1"/>
      <c r="H1094" s="1"/>
      <c r="I1094" s="1"/>
    </row>
    <row r="1095" spans="1:9" ht="15.6" x14ac:dyDescent="0.3">
      <c r="A1095" s="1" t="s">
        <v>4</v>
      </c>
      <c r="B1095" s="1" t="s">
        <v>5</v>
      </c>
      <c r="C1095" s="10" t="s">
        <v>4</v>
      </c>
      <c r="D1095" s="5" t="s">
        <v>1082</v>
      </c>
      <c r="E1095" s="1" t="str">
        <f ca="1">IFERROR(__xludf.DUMMYFUNCTION("GOOGLETRANSLATE(D1095, ""bn"", ""en"")"),"What program do you want for holy Ramadan? If you have so many problems with freedom, go where you can find peace.")</f>
        <v>What program do you want for holy Ramadan? If you have so many problems with freedom, go where you can find peace.</v>
      </c>
      <c r="F1095" s="1"/>
      <c r="G1095" s="1"/>
      <c r="H1095" s="1"/>
      <c r="I1095" s="1"/>
    </row>
    <row r="1096" spans="1:9" ht="15.6" x14ac:dyDescent="0.3">
      <c r="A1096" s="1" t="s">
        <v>5</v>
      </c>
      <c r="B1096" s="1" t="s">
        <v>5</v>
      </c>
      <c r="C1096" s="10" t="s">
        <v>5</v>
      </c>
      <c r="D1096" s="5" t="s">
        <v>1083</v>
      </c>
      <c r="E1096" s="1" t="str">
        <f ca="1">IFERROR(__xludf.DUMMYFUNCTION("GOOGLETRANSLATE(D1096, ""bn"", ""en"")"),"Whoever follows Allah's guidance, his life is beautiful and successful, and Allah rewards him with peace in this world and in the Hereafter.")</f>
        <v>Whoever follows Allah's guidance, his life is beautiful and successful, and Allah rewards him with peace in this world and in the Hereafter.</v>
      </c>
      <c r="F1096" s="1"/>
      <c r="G1096" s="1"/>
      <c r="H1096" s="1"/>
      <c r="I1096" s="1"/>
    </row>
    <row r="1097" spans="1:9" ht="15.6" x14ac:dyDescent="0.3">
      <c r="A1097" s="1" t="s">
        <v>5</v>
      </c>
      <c r="B1097" s="1" t="s">
        <v>5</v>
      </c>
      <c r="C1097" s="10" t="s">
        <v>5</v>
      </c>
      <c r="D1097" s="5" t="s">
        <v>1084</v>
      </c>
      <c r="E1097" s="1" t="str">
        <f ca="1">IFERROR(__xludf.DUMMYFUNCTION("GOOGLETRANSLATE(D1097, ""bn"", ""en"")"),"Nil Prakash, who converted to IS from Buddhism, 'survives'")</f>
        <v>Nil Prakash, who converted to IS from Buddhism, 'survives'</v>
      </c>
      <c r="F1097" s="1"/>
      <c r="G1097" s="1"/>
      <c r="H1097" s="1"/>
      <c r="I1097" s="1"/>
    </row>
    <row r="1098" spans="1:9" ht="15.6" x14ac:dyDescent="0.3">
      <c r="A1098" s="1" t="s">
        <v>4</v>
      </c>
      <c r="B1098" s="1" t="s">
        <v>4</v>
      </c>
      <c r="C1098" s="10" t="s">
        <v>4</v>
      </c>
      <c r="D1098" s="5" t="s">
        <v>1085</v>
      </c>
      <c r="E1098" s="1" t="str">
        <f ca="1">IFERROR(__xludf.DUMMYFUNCTION("GOOGLETRANSLATE(D1098, ""bn"", ""en"")"),"Grandfather, read the basic things of our scriptures. It is necessary to have basic knowledge to know that the one who is giving knowledge has to ask questions and clarify all the issues in detail. I saw what you don't have. Read a little yourself. I see "&amp;"you don't even have the idea of ​​the world.")</f>
        <v>Grandfather, read the basic things of our scriptures. It is necessary to have basic knowledge to know that the one who is giving knowledge has to ask questions and clarify all the issues in detail. I saw what you don't have. Read a little yourself. I see you don't even have the idea of ​​the world.</v>
      </c>
      <c r="F1098" s="1"/>
      <c r="G1098" s="1"/>
      <c r="H1098" s="1"/>
      <c r="I1098" s="1"/>
    </row>
    <row r="1099" spans="1:9" ht="15.6" x14ac:dyDescent="0.3">
      <c r="A1099" s="1" t="s">
        <v>7</v>
      </c>
      <c r="B1099" s="1" t="s">
        <v>4</v>
      </c>
      <c r="C1099" s="10" t="s">
        <v>7</v>
      </c>
      <c r="D1099" s="5" t="s">
        <v>1086</v>
      </c>
      <c r="E1099" s="1" t="str">
        <f ca="1">IFERROR(__xludf.DUMMYFUNCTION("GOOGLETRANSLATE(D1099, ""bn"", ""en"")"),"While chanting the Bodhi, Shashanka uprooted the Bodhi tree – under which Gautama attained Bodhi by sitting and meditating. He removed the portrait of the Buddha in the nearby Buddhist monastery and replaced it with a portrait of Shiva. Later it is said t"&amp;"hat Shashanka indiscriminately killed all the Buddhist monks of Kushinagar.")</f>
        <v>While chanting the Bodhi, Shashanka uprooted the Bodhi tree – under which Gautama attained Bodhi by sitting and meditating. He removed the portrait of the Buddha in the nearby Buddhist monastery and replaced it with a portrait of Shiva. Later it is said that Shashanka indiscriminately killed all the Buddhist monks of Kushinagar.</v>
      </c>
      <c r="F1099" s="1"/>
      <c r="G1099" s="1"/>
      <c r="H1099" s="1"/>
      <c r="I1099" s="1"/>
    </row>
    <row r="1100" spans="1:9" ht="15.6" x14ac:dyDescent="0.3">
      <c r="A1100" s="1" t="s">
        <v>5</v>
      </c>
      <c r="B1100" s="1" t="s">
        <v>5</v>
      </c>
      <c r="C1100" s="10" t="s">
        <v>5</v>
      </c>
      <c r="D1100" s="5" t="s">
        <v>1087</v>
      </c>
      <c r="E1100" s="1" t="str">
        <f ca="1">IFERROR(__xludf.DUMMYFUNCTION("GOOGLETRANSLATE(D1100, ""bn"", ""en"")"),"True religion teaches us to be good people, to be compassionate towards others, and to work for the good of all.")</f>
        <v>True religion teaches us to be good people, to be compassionate towards others, and to work for the good of all.</v>
      </c>
      <c r="F1100" s="1"/>
      <c r="G1100" s="1"/>
      <c r="H1100" s="1"/>
      <c r="I1100" s="1"/>
    </row>
    <row r="1101" spans="1:9" ht="15.6" x14ac:dyDescent="0.3">
      <c r="A1101" s="1" t="s">
        <v>4</v>
      </c>
      <c r="B1101" s="1" t="s">
        <v>4</v>
      </c>
      <c r="C1101" s="10" t="s">
        <v>4</v>
      </c>
      <c r="D1101" s="5" t="s">
        <v>1088</v>
      </c>
      <c r="E1101" s="1" t="str">
        <f ca="1">IFERROR(__xludf.DUMMYFUNCTION("GOOGLETRANSLATE(D1101, ""bn"", ""en"")"),"Legal notices have been sent to those concerned to take measures to enact the maximum punishment for the offense of hurting religious sentiments and insulting the Holy Prophet Muhammad.")</f>
        <v>Legal notices have been sent to those concerned to take measures to enact the maximum punishment for the offense of hurting religious sentiments and insulting the Holy Prophet Muhammad.</v>
      </c>
      <c r="F1101" s="1"/>
      <c r="G1101" s="1"/>
      <c r="H1101" s="1"/>
      <c r="I1101" s="1"/>
    </row>
    <row r="1102" spans="1:9" ht="15.6" x14ac:dyDescent="0.3">
      <c r="A1102" s="1" t="s">
        <v>5</v>
      </c>
      <c r="B1102" s="1" t="s">
        <v>4</v>
      </c>
      <c r="C1102" s="10" t="s">
        <v>5</v>
      </c>
      <c r="D1102" s="5" t="s">
        <v>1089</v>
      </c>
      <c r="E1102" s="1" t="str">
        <f ca="1">IFERROR(__xludf.DUMMYFUNCTION("GOOGLETRANSLATE(D1102, ""bn"", ""en"")"),"Man can never be god no matter how powerful a man is in this world. If he does not match with God, then he is not God, God is above all.")</f>
        <v>Man can never be god no matter how powerful a man is in this world. If he does not match with God, then he is not God, God is above all.</v>
      </c>
      <c r="F1102" s="1"/>
      <c r="G1102" s="1"/>
      <c r="H1102" s="1"/>
      <c r="I1102" s="1"/>
    </row>
    <row r="1103" spans="1:9" ht="15.6" x14ac:dyDescent="0.3">
      <c r="A1103" s="1" t="s">
        <v>4</v>
      </c>
      <c r="B1103" s="1" t="s">
        <v>5</v>
      </c>
      <c r="C1103" s="10" t="s">
        <v>4</v>
      </c>
      <c r="D1103" s="5" t="s">
        <v>1090</v>
      </c>
      <c r="E1103" s="1" t="str">
        <f ca="1">IFERROR(__xludf.DUMMYFUNCTION("GOOGLETRANSLATE(D1103, ""bn"", ""en"")"),"We don't want to shout to you every day that we read clothes, or share Quranic hadiths, give pictures of Kaaba - we are not members of any religious party. ")</f>
        <v xml:space="preserve">We don't want to shout to you every day that we read clothes, or share Quranic hadiths, give pictures of Kaaba - we are not members of any religious party. </v>
      </c>
      <c r="F1103" s="1"/>
      <c r="G1103" s="1"/>
      <c r="H1103" s="1"/>
      <c r="I1103" s="1"/>
    </row>
    <row r="1104" spans="1:9" ht="15.6" x14ac:dyDescent="0.3">
      <c r="A1104" s="1" t="s">
        <v>7</v>
      </c>
      <c r="B1104" s="1" t="s">
        <v>7</v>
      </c>
      <c r="C1104" s="10" t="s">
        <v>7</v>
      </c>
      <c r="D1104" s="5" t="s">
        <v>1091</v>
      </c>
      <c r="E1104" s="1" t="str">
        <f ca="1">IFERROR(__xludf.DUMMYFUNCTION("GOOGLETRANSLATE(D1104, ""bn"", ""en"")"),"Lakshmi Rani was married in Dhaka and lived with her husband next to the Ramana Kali temple. The Pakistanis took Kishori Babu from his home, forced him to stand in line and shot him dead.")</f>
        <v>Lakshmi Rani was married in Dhaka and lived with her husband next to the Ramana Kali temple. The Pakistanis took Kishori Babu from his home, forced him to stand in line and shot him dead.</v>
      </c>
      <c r="F1104" s="1"/>
      <c r="G1104" s="1"/>
      <c r="H1104" s="1"/>
      <c r="I1104" s="1"/>
    </row>
    <row r="1105" spans="1:9" ht="15.6" x14ac:dyDescent="0.3">
      <c r="A1105" s="1" t="s">
        <v>7</v>
      </c>
      <c r="B1105" s="1" t="s">
        <v>7</v>
      </c>
      <c r="C1105" s="10" t="s">
        <v>7</v>
      </c>
      <c r="D1105" s="5" t="s">
        <v>1092</v>
      </c>
      <c r="E1105" s="1" t="str">
        <f ca="1">IFERROR(__xludf.DUMMYFUNCTION("GOOGLETRANSLATE(D1105, ""bn"", ""en"")"),"On April 21, 1971, after the Pakistan Army entered Faridpur, the Srinagar massacre was carried out. When the news spread throughout Faridpur, the Hindus panicked. The Hindus immediately left the city of Faridpur and went out in search of safe shelter else"&amp;"where in the district.")</f>
        <v>On April 21, 1971, after the Pakistan Army entered Faridpur, the Srinagar massacre was carried out. When the news spread throughout Faridpur, the Hindus panicked. The Hindus immediately left the city of Faridpur and went out in search of safe shelter elsewhere in the district.</v>
      </c>
      <c r="F1105" s="1"/>
      <c r="G1105" s="1"/>
      <c r="H1105" s="1"/>
      <c r="I1105" s="1"/>
    </row>
    <row r="1106" spans="1:9" ht="15.6" x14ac:dyDescent="0.3">
      <c r="A1106" s="1" t="s">
        <v>7</v>
      </c>
      <c r="B1106" s="1" t="s">
        <v>5</v>
      </c>
      <c r="C1106" s="10" t="s">
        <v>7</v>
      </c>
      <c r="D1106" s="5" t="s">
        <v>1093</v>
      </c>
      <c r="E1106" s="1" t="str">
        <f ca="1">IFERROR(__xludf.DUMMYFUNCTION("GOOGLETRANSLATE(D1106, ""bn"", ""en"")"),"According to an estimate by the Indian authorities, at least 1,35,000 Hindu refugees entered West Bengal alone. [39] At this critical moment, all the Hindus of Panam Nagar in Narayanganj fled to India.")</f>
        <v>According to an estimate by the Indian authorities, at least 1,35,000 Hindu refugees entered West Bengal alone. [39] At this critical moment, all the Hindus of Panam Nagar in Narayanganj fled to India.</v>
      </c>
      <c r="F1106" s="1"/>
      <c r="G1106" s="1"/>
      <c r="H1106" s="1"/>
      <c r="I1106" s="1"/>
    </row>
    <row r="1107" spans="1:9" ht="15.6" x14ac:dyDescent="0.3">
      <c r="A1107" s="1" t="s">
        <v>4</v>
      </c>
      <c r="B1107" s="1" t="s">
        <v>5</v>
      </c>
      <c r="C1107" s="10" t="s">
        <v>4</v>
      </c>
      <c r="D1107" s="5" t="s">
        <v>1094</v>
      </c>
      <c r="E1107" s="1" t="str">
        <f ca="1">IFERROR(__xludf.DUMMYFUNCTION("GOOGLETRANSLATE(D1107, ""bn"", ""en"")"),"Sweden and Turkey are at loggerheads over permission to burn the Holy Quran. Türkiye has strongly protested against the decision, demanding its annulment at any cost.")</f>
        <v>Sweden and Turkey are at loggerheads over permission to burn the Holy Quran. Türkiye has strongly protested against the decision, demanding its annulment at any cost.</v>
      </c>
      <c r="F1107" s="1"/>
      <c r="G1107" s="1"/>
      <c r="H1107" s="1"/>
      <c r="I1107" s="1"/>
    </row>
    <row r="1108" spans="1:9" ht="15.6" x14ac:dyDescent="0.3">
      <c r="A1108" s="1" t="s">
        <v>9</v>
      </c>
      <c r="B1108" s="1" t="s">
        <v>9</v>
      </c>
      <c r="C1108" s="10" t="s">
        <v>9</v>
      </c>
      <c r="D1108" s="5" t="s">
        <v>1095</v>
      </c>
      <c r="E1108" s="1" t="str">
        <f ca="1">IFERROR(__xludf.DUMMYFUNCTION("GOOGLETRANSLATE(D1108, ""bn"", ""en"")"),"Where Muslim leaders assured protection of Hindus and Christians. Despite the assurances, Kazirchar and Kasherhat were attacked on February 15. On the night of 16th, Satani village was attacked and set on fire.")</f>
        <v>Where Muslim leaders assured protection of Hindus and Christians. Despite the assurances, Kazirchar and Kasherhat were attacked on February 15. On the night of 16th, Satani village was attacked and set on fire.</v>
      </c>
      <c r="F1108" s="1"/>
      <c r="G1108" s="1"/>
      <c r="H1108" s="1"/>
      <c r="I1108" s="1"/>
    </row>
    <row r="1109" spans="1:9" ht="15.6" x14ac:dyDescent="0.3">
      <c r="A1109" s="1" t="s">
        <v>9</v>
      </c>
      <c r="B1109" s="1" t="s">
        <v>9</v>
      </c>
      <c r="C1109" s="10" t="s">
        <v>9</v>
      </c>
      <c r="D1109" s="5" t="s">
        <v>1096</v>
      </c>
      <c r="E1109" s="1" t="str">
        <f ca="1">IFERROR(__xludf.DUMMYFUNCTION("GOOGLETRANSLATE(D1109, ""bn"", ""en"")"),"Hindu girls are abducted by Muslims and many are forced into marriage. Harendranath Kar's daughter Mila Kar is abducted and forcibly married by a civil supply contractor named Sultan Mian.")</f>
        <v>Hindu girls are abducted by Muslims and many are forced into marriage. Harendranath Kar's daughter Mila Kar is abducted and forcibly married by a civil supply contractor named Sultan Mian.</v>
      </c>
      <c r="F1109" s="1"/>
      <c r="G1109" s="1"/>
      <c r="H1109" s="1"/>
      <c r="I1109" s="1"/>
    </row>
    <row r="1110" spans="1:9" ht="15.6" x14ac:dyDescent="0.3">
      <c r="A1110" s="1" t="s">
        <v>4</v>
      </c>
      <c r="B1110" s="1" t="s">
        <v>4</v>
      </c>
      <c r="C1110" s="10" t="s">
        <v>4</v>
      </c>
      <c r="D1110" s="5" t="s">
        <v>1097</v>
      </c>
      <c r="E1110" s="1" t="str">
        <f ca="1">IFERROR(__xludf.DUMMYFUNCTION("GOOGLETRANSLATE(D1110, ""bn"", ""en"")"),"Samuel Paty, a history and geography teacher at a school on the outskirts of Paris, was under threat after showing cartoons of the Prophet of Islam to teach freedom of expression in class.")</f>
        <v>Samuel Paty, a history and geography teacher at a school on the outskirts of Paris, was under threat after showing cartoons of the Prophet of Islam to teach freedom of expression in class.</v>
      </c>
      <c r="F1110" s="1"/>
      <c r="G1110" s="1"/>
      <c r="H1110" s="1"/>
      <c r="I1110" s="1"/>
    </row>
    <row r="1111" spans="1:9" ht="15.6" x14ac:dyDescent="0.3">
      <c r="A1111" s="1" t="s">
        <v>9</v>
      </c>
      <c r="B1111" s="1" t="s">
        <v>9</v>
      </c>
      <c r="C1111" s="10" t="s">
        <v>9</v>
      </c>
      <c r="D1111" s="5" t="s">
        <v>1098</v>
      </c>
      <c r="E1111" s="1" t="str">
        <f ca="1">IFERROR(__xludf.DUMMYFUNCTION("GOOGLETRANSLATE(D1111, ""bn"", ""en"")"),"Attacks on Hindus: Questions of Government Responsibility, Intelligence Failures and Sectarianism in Bangladesh")</f>
        <v>Attacks on Hindus: Questions of Government Responsibility, Intelligence Failures and Sectarianism in Bangladesh</v>
      </c>
      <c r="F1111" s="1"/>
      <c r="G1111" s="1"/>
      <c r="H1111" s="1"/>
      <c r="I1111" s="1"/>
    </row>
    <row r="1112" spans="1:9" ht="15.6" x14ac:dyDescent="0.3">
      <c r="A1112" s="1" t="s">
        <v>4</v>
      </c>
      <c r="B1112" s="1" t="s">
        <v>5</v>
      </c>
      <c r="C1112" s="10" t="s">
        <v>4</v>
      </c>
      <c r="D1112" s="5" t="s">
        <v>1099</v>
      </c>
      <c r="E1112" s="1" t="str">
        <f ca="1">IFERROR(__xludf.DUMMYFUNCTION("GOOGLETRANSLATE(D1112, ""bn"", ""en"")"),"I understand that Jagannath is for Sanatan religious people, Puja is done there. But no one wants to go to Jagannath Hall for Iftar party. It does not mean that Muslims can't do it anywhere else in Dubai.")</f>
        <v>I understand that Jagannath is for Sanatan religious people, Puja is done there. But no one wants to go to Jagannath Hall for Iftar party. It does not mean that Muslims can't do it anywhere else in Dubai.</v>
      </c>
      <c r="F1112" s="1"/>
      <c r="G1112" s="1"/>
      <c r="H1112" s="1"/>
      <c r="I1112" s="1"/>
    </row>
    <row r="1113" spans="1:9" ht="15.6" x14ac:dyDescent="0.3">
      <c r="A1113" s="1" t="s">
        <v>7</v>
      </c>
      <c r="B1113" s="1" t="s">
        <v>5</v>
      </c>
      <c r="C1113" s="10" t="s">
        <v>7</v>
      </c>
      <c r="D1113" s="5" t="s">
        <v>1100</v>
      </c>
      <c r="E1113" s="1" t="str">
        <f ca="1">IFERROR(__xludf.DUMMYFUNCTION("GOOGLETRANSLATE(D1113, ""bn"", ""en"")"),"After the massacre many Bengali Hindus were forced to leave the village. The families returned to their homes after Bangladesh became independent. On April 19, 1972, a survivor named Yajneshwar Barui filed a case in the Sub-Divisional Court of Pirojpur. 2"&amp;"59 accomplices have been named in this case with Abdul Jabbar Engineer as the main accused. ")</f>
        <v xml:space="preserve">After the massacre many Bengali Hindus were forced to leave the village. The families returned to their homes after Bangladesh became independent. On April 19, 1972, a survivor named Yajneshwar Barui filed a case in the Sub-Divisional Court of Pirojpur. 259 accomplices have been named in this case with Abdul Jabbar Engineer as the main accused. </v>
      </c>
      <c r="F1113" s="1"/>
      <c r="G1113" s="1"/>
      <c r="H1113" s="1"/>
      <c r="I1113" s="1"/>
    </row>
    <row r="1114" spans="1:9" ht="15.6" x14ac:dyDescent="0.3">
      <c r="A1114" s="1" t="s">
        <v>9</v>
      </c>
      <c r="B1114" s="1" t="s">
        <v>9</v>
      </c>
      <c r="C1114" s="10" t="s">
        <v>9</v>
      </c>
      <c r="D1114" s="5" t="s">
        <v>1101</v>
      </c>
      <c r="E1114" s="1" t="str">
        <f ca="1">IFERROR(__xludf.DUMMYFUNCTION("GOOGLETRANSLATE(D1114, ""bn"", ""en"")"),"Abhijit Mukherjee, a member of the Indian Lok Sabha and the son of the country's current president Pranab Mukherjee, does not think that minorities are being attacked for religious reasons in Bangladesh.")</f>
        <v>Abhijit Mukherjee, a member of the Indian Lok Sabha and the son of the country's current president Pranab Mukherjee, does not think that minorities are being attacked for religious reasons in Bangladesh.</v>
      </c>
      <c r="F1114" s="1"/>
      <c r="G1114" s="1"/>
      <c r="H1114" s="1"/>
      <c r="I1114" s="1"/>
    </row>
    <row r="1115" spans="1:9" ht="15.6" x14ac:dyDescent="0.3">
      <c r="A1115" s="1" t="s">
        <v>9</v>
      </c>
      <c r="B1115" s="1" t="s">
        <v>9</v>
      </c>
      <c r="C1115" s="10" t="s">
        <v>9</v>
      </c>
      <c r="D1115" s="5" t="s">
        <v>1102</v>
      </c>
      <c r="E1115" s="1" t="str">
        <f ca="1">IFERROR(__xludf.DUMMYFUNCTION("GOOGLETRANSLATE(D1115, ""bn"", ""en"")"),"Bangladesh's bloody war of independence proved that dividing the country due to bi-ethnicity was a wrong decision. Language, culture and history are the basic foundations of ethnicity. The first identity of a Bengali is that he is a Bengali.")</f>
        <v>Bangladesh's bloody war of independence proved that dividing the country due to bi-ethnicity was a wrong decision. Language, culture and history are the basic foundations of ethnicity. The first identity of a Bengali is that he is a Bengali.</v>
      </c>
      <c r="F1115" s="1"/>
      <c r="G1115" s="1"/>
      <c r="H1115" s="1"/>
      <c r="I1115" s="1"/>
    </row>
    <row r="1116" spans="1:9" ht="15.6" x14ac:dyDescent="0.3">
      <c r="A1116" s="1" t="s">
        <v>9</v>
      </c>
      <c r="B1116" s="1" t="s">
        <v>9</v>
      </c>
      <c r="C1116" s="10" t="s">
        <v>9</v>
      </c>
      <c r="D1116" s="5" t="s">
        <v>1103</v>
      </c>
      <c r="E1116" s="1" t="str">
        <f ca="1">IFERROR(__xludf.DUMMYFUNCTION("GOOGLETRANSLATE(D1116, ""bn"", ""en"")"),"On the night of February 28 miscreants vandalized a Hindu temple in Pinjaur village of Chindikhali union of Modelganj upazila of Bagerhat district. The Dumuria public temple in Ramchandrapur union was also set on fire.")</f>
        <v>On the night of February 28 miscreants vandalized a Hindu temple in Pinjaur village of Chindikhali union of Modelganj upazila of Bagerhat district. The Dumuria public temple in Ramchandrapur union was also set on fire.</v>
      </c>
      <c r="F1116" s="1"/>
      <c r="G1116" s="1"/>
      <c r="H1116" s="1"/>
      <c r="I1116" s="1"/>
    </row>
    <row r="1117" spans="1:9" ht="15.6" x14ac:dyDescent="0.3">
      <c r="A1117" s="1" t="s">
        <v>5</v>
      </c>
      <c r="B1117" s="1" t="s">
        <v>5</v>
      </c>
      <c r="C1117" s="10" t="s">
        <v>5</v>
      </c>
      <c r="D1117" s="5" t="s">
        <v>1104</v>
      </c>
      <c r="E1117" s="1" t="str">
        <f ca="1">IFERROR(__xludf.DUMMYFUNCTION("GOOGLETRANSLATE(D1117, ""bn"", ""en"")"),"Judaism never condones the harm or bloodshed of others, and the rabbinical voice of peaceful coexistence comes up again and again. Zionism, which came only a hundred and fifty years ago, established democracy - a political position, not a religion, he not"&amp;"ed.")</f>
        <v>Judaism never condones the harm or bloodshed of others, and the rabbinical voice of peaceful coexistence comes up again and again. Zionism, which came only a hundred and fifty years ago, established democracy - a political position, not a religion, he noted.</v>
      </c>
      <c r="F1117" s="1"/>
      <c r="G1117" s="1"/>
      <c r="H1117" s="1"/>
      <c r="I1117" s="1"/>
    </row>
    <row r="1118" spans="1:9" ht="15.6" x14ac:dyDescent="0.3">
      <c r="A1118" s="1" t="s">
        <v>9</v>
      </c>
      <c r="B1118" s="1" t="s">
        <v>9</v>
      </c>
      <c r="C1118" s="10" t="s">
        <v>9</v>
      </c>
      <c r="D1118" s="5" t="s">
        <v>1105</v>
      </c>
      <c r="E1118" s="1" t="str">
        <f ca="1">IFERROR(__xludf.DUMMYFUNCTION("GOOGLETRANSLATE(D1118, ""bn"", ""en"")"),"Three killed in Hindu-Muslim riots in India's Haryana, mosque set on fire")</f>
        <v>Three killed in Hindu-Muslim riots in India's Haryana, mosque set on fire</v>
      </c>
      <c r="F1118" s="1"/>
      <c r="G1118" s="1"/>
      <c r="H1118" s="1"/>
      <c r="I1118" s="1"/>
    </row>
    <row r="1119" spans="1:9" ht="15.6" x14ac:dyDescent="0.3">
      <c r="A1119" s="1" t="s">
        <v>5</v>
      </c>
      <c r="B1119" s="1" t="s">
        <v>5</v>
      </c>
      <c r="C1119" s="10" t="s">
        <v>5</v>
      </c>
      <c r="D1119" s="5" t="s">
        <v>1106</v>
      </c>
      <c r="E1119" s="1" t="str">
        <f ca="1">IFERROR(__xludf.DUMMYFUNCTION("GOOGLETRANSLATE(D1119, ""bn"", ""en"")"),"My point is that we have no objection to Hindu brothers celebrating their religion or festivals.")</f>
        <v>My point is that we have no objection to Hindu brothers celebrating their religion or festivals.</v>
      </c>
      <c r="F1119" s="1"/>
      <c r="G1119" s="1"/>
      <c r="H1119" s="1"/>
      <c r="I1119" s="1"/>
    </row>
    <row r="1120" spans="1:9" ht="15.6" x14ac:dyDescent="0.3">
      <c r="A1120" s="1" t="s">
        <v>4</v>
      </c>
      <c r="B1120" s="1" t="s">
        <v>5</v>
      </c>
      <c r="C1120" s="10" t="s">
        <v>4</v>
      </c>
      <c r="D1120" s="5" t="s">
        <v>1107</v>
      </c>
      <c r="E1120" s="1" t="str">
        <f ca="1">IFERROR(__xludf.DUMMYFUNCTION("GOOGLETRANSLATE(D1120, ""bn"", ""en"")"),"During the lifetime of the Prophet, may Allah bless him and grant him peace, they made fun of him, called him mad,")</f>
        <v>During the lifetime of the Prophet, may Allah bless him and grant him peace, they made fun of him, called him mad,</v>
      </c>
      <c r="F1120" s="1"/>
      <c r="G1120" s="1"/>
      <c r="H1120" s="1"/>
      <c r="I1120" s="1"/>
    </row>
    <row r="1121" spans="1:9" ht="15.6" x14ac:dyDescent="0.3">
      <c r="A1121" s="1" t="s">
        <v>4</v>
      </c>
      <c r="B1121" s="1" t="s">
        <v>4</v>
      </c>
      <c r="C1121" s="10" t="s">
        <v>4</v>
      </c>
      <c r="D1121" s="5" t="s">
        <v>1108</v>
      </c>
      <c r="E1121" s="1" t="str">
        <f ca="1">IFERROR(__xludf.DUMMYFUNCTION("GOOGLETRANSLATE(D1121, ""bn"", ""en"")"),"When the state or power is based on religion, criticism of the state is also considered blasphemy, that is, sometimes treason can also be blasphemy. ")</f>
        <v>When the state or power is based on religion, criticism of the state is also considered blasphemy, that is, sometimes treason can also be blasphemy. </v>
      </c>
      <c r="F1121" s="1"/>
      <c r="G1121" s="1"/>
      <c r="H1121" s="1"/>
      <c r="I1121" s="1"/>
    </row>
    <row r="1122" spans="1:9" ht="15.6" x14ac:dyDescent="0.3">
      <c r="A1122" s="1" t="s">
        <v>5</v>
      </c>
      <c r="B1122" s="1" t="s">
        <v>5</v>
      </c>
      <c r="C1122" s="10" t="s">
        <v>5</v>
      </c>
      <c r="D1122" s="5" t="s">
        <v>1109</v>
      </c>
      <c r="E1122" s="1" t="str">
        <f ca="1">IFERROR(__xludf.DUMMYFUNCTION("GOOGLETRANSLATE(D1122, ""bn"", ""en"")"),"Law student of Dhaka University, Musician and Judge and Magistrate appointed by Bangladesh Public Works Commission. He left that interesting career and entered the life of a monk")</f>
        <v>Law student of Dhaka University, Musician and Judge and Magistrate appointed by Bangladesh Public Works Commission. He left that interesting career and entered the life of a monk</v>
      </c>
      <c r="F1122" s="1"/>
      <c r="G1122" s="1"/>
      <c r="H1122" s="1"/>
      <c r="I1122" s="1"/>
    </row>
    <row r="1123" spans="1:9" ht="15.6" x14ac:dyDescent="0.3">
      <c r="A1123" s="1" t="s">
        <v>5</v>
      </c>
      <c r="B1123" s="1" t="s">
        <v>5</v>
      </c>
      <c r="C1123" s="10" t="s">
        <v>5</v>
      </c>
      <c r="D1123" s="5" t="s">
        <v>1110</v>
      </c>
      <c r="E1123" s="1" t="str">
        <f ca="1">IFERROR(__xludf.DUMMYFUNCTION("GOOGLETRANSLATE(D1123, ""bn"", ""en"")"),"There are many obstacles in good deeds since the beginning of the creation of the world, if that good is Islam, then there is no shortage of enemies, as you said, we should advance in more media... May Allah Ta'ala guide both of you to do good deeds, Amee"&amp;"n")</f>
        <v>There are many obstacles in good deeds since the beginning of the creation of the world, if that good is Islam, then there is no shortage of enemies, as you said, we should advance in more media... May Allah Ta'ala guide both of you to do good deeds, Ameen</v>
      </c>
      <c r="F1123" s="1"/>
      <c r="G1123" s="1"/>
      <c r="H1123" s="1"/>
      <c r="I1123" s="1"/>
    </row>
    <row r="1124" spans="1:9" ht="15.6" x14ac:dyDescent="0.3">
      <c r="A1124" s="1" t="s">
        <v>5</v>
      </c>
      <c r="B1124" s="1" t="s">
        <v>5</v>
      </c>
      <c r="C1124" s="10" t="s">
        <v>5</v>
      </c>
      <c r="D1124" s="5" t="s">
        <v>1111</v>
      </c>
      <c r="E1124" s="1" t="str">
        <f ca="1">IFERROR(__xludf.DUMMYFUNCTION("GOOGLETRANSLATE(D1124, ""bn"", ""en"")"),"Commented on 08/03/2023. When the next generation comes, if you are upset, listen to these words, inshallah your mind will be better. Always keep in mind that those who are successful are those who can go to heaven by the grace of Allah.")</f>
        <v>Commented on 08/03/2023. When the next generation comes, if you are upset, listen to these words, inshallah your mind will be better. Always keep in mind that those who are successful are those who can go to heaven by the grace of Allah.</v>
      </c>
      <c r="F1124" s="1"/>
      <c r="G1124" s="1"/>
      <c r="H1124" s="1"/>
      <c r="I1124" s="1"/>
    </row>
    <row r="1125" spans="1:9" ht="15.6" x14ac:dyDescent="0.3">
      <c r="A1125" s="1" t="s">
        <v>9</v>
      </c>
      <c r="B1125" s="1" t="s">
        <v>9</v>
      </c>
      <c r="C1125" s="10" t="s">
        <v>9</v>
      </c>
      <c r="D1125" s="5" t="s">
        <v>1112</v>
      </c>
      <c r="E1125" s="1" t="str">
        <f ca="1">IFERROR(__xludf.DUMMYFUNCTION("GOOGLETRANSLATE(D1125, ""bn"", ""en"")"),"Hundreds of Hindu houses were set on fire and many were displaced in Santhia, Pabna, on rumors of insulting Islam.")</f>
        <v>Hundreds of Hindu houses were set on fire and many were displaced in Santhia, Pabna, on rumors of insulting Islam.</v>
      </c>
      <c r="F1125" s="1"/>
      <c r="G1125" s="1"/>
      <c r="H1125" s="1"/>
      <c r="I1125" s="1"/>
    </row>
    <row r="1126" spans="1:9" ht="15.6" x14ac:dyDescent="0.3">
      <c r="A1126" s="1" t="s">
        <v>9</v>
      </c>
      <c r="B1126" s="1" t="s">
        <v>9</v>
      </c>
      <c r="C1126" s="10" t="s">
        <v>9</v>
      </c>
      <c r="D1126" s="5" t="s">
        <v>1113</v>
      </c>
      <c r="E1126" s="1" t="str">
        <f ca="1">IFERROR(__xludf.DUMMYFUNCTION("GOOGLETRANSLATE(D1126, ""bn"", ""en"")"),"A human chain was formed demanding the arrest of the accused in Ndhya. At around 7:30 in the evening, the opportunists gathered people from this Manbandhan and vandalized and looted more than 10 shops of the Hindu community in Dighlia Bazar.")</f>
        <v>A human chain was formed demanding the arrest of the accused in Ndhya. At around 7:30 in the evening, the opportunists gathered people from this Manbandhan and vandalized and looted more than 10 shops of the Hindu community in Dighlia Bazar.</v>
      </c>
      <c r="F1126" s="1"/>
      <c r="G1126" s="1"/>
      <c r="H1126" s="1"/>
      <c r="I1126" s="1"/>
    </row>
    <row r="1127" spans="1:9" ht="15.6" x14ac:dyDescent="0.3">
      <c r="A1127" s="1" t="s">
        <v>9</v>
      </c>
      <c r="B1127" s="1" t="s">
        <v>9</v>
      </c>
      <c r="C1127" s="10" t="s">
        <v>9</v>
      </c>
      <c r="D1127" s="5" t="s">
        <v>1114</v>
      </c>
      <c r="E1127" s="1" t="str">
        <f ca="1">IFERROR(__xludf.DUMMYFUNCTION("GOOGLETRANSLATE(D1127, ""bn"", ""en"")"),"India's Babri Masjid was demolished by Hindu extremists. The Taliban destroyed the historical Buddha statue in Bamiyan, Afghanistan. Now the Jamaat terrorists are breaking idols in Bengal as well.")</f>
        <v>India's Babri Masjid was demolished by Hindu extremists. The Taliban destroyed the historical Buddha statue in Bamiyan, Afghanistan. Now the Jamaat terrorists are breaking idols in Bengal as well.</v>
      </c>
      <c r="F1127" s="1"/>
      <c r="G1127" s="1"/>
      <c r="H1127" s="1"/>
      <c r="I1127" s="1"/>
    </row>
    <row r="1128" spans="1:9" ht="15.6" x14ac:dyDescent="0.3">
      <c r="A1128" s="1" t="s">
        <v>9</v>
      </c>
      <c r="B1128" s="1" t="s">
        <v>9</v>
      </c>
      <c r="C1128" s="10" t="s">
        <v>9</v>
      </c>
      <c r="D1128" s="5" t="s">
        <v>1115</v>
      </c>
      <c r="E1128" s="1" t="str">
        <f ca="1">IFERROR(__xludf.DUMMYFUNCTION("GOOGLETRANSLATE(D1128, ""bn"", ""en"")"),"The Indian state government of West Bengal strongly protested to the government of Pakistan against this heinous massacre. Indian Prime Minister Jawaharlal Nehru visited several refugee camps in Kolkata on 6 March and 16 March. He appealed to the then Pri"&amp;"me Minister of Pakistan Liaquat Ali Khan to stop this inhumane atrocity.")</f>
        <v>The Indian state government of West Bengal strongly protested to the government of Pakistan against this heinous massacre. Indian Prime Minister Jawaharlal Nehru visited several refugee camps in Kolkata on 6 March and 16 March. He appealed to the then Prime Minister of Pakistan Liaquat Ali Khan to stop this inhumane atrocity.</v>
      </c>
      <c r="F1128" s="1"/>
      <c r="G1128" s="1"/>
      <c r="H1128" s="1"/>
      <c r="I1128" s="1"/>
    </row>
    <row r="1129" spans="1:9" ht="15.6" x14ac:dyDescent="0.3">
      <c r="A1129" s="1" t="s">
        <v>4</v>
      </c>
      <c r="B1129" s="1" t="s">
        <v>4</v>
      </c>
      <c r="C1129" s="10" t="s">
        <v>4</v>
      </c>
      <c r="D1129" s="5" t="s">
        <v>1116</v>
      </c>
      <c r="E1129" s="1" t="str">
        <f ca="1">IFERROR(__xludf.DUMMYFUNCTION("GOOGLETRANSLATE(D1129, ""bn"", ""en"")"),"Insult to the Holy Quran Sharif in Comilla. Very rudely placing it at the feet of the deity.")</f>
        <v>Insult to the Holy Quran Sharif in Comilla. Very rudely placing it at the feet of the deity.</v>
      </c>
      <c r="F1129" s="1"/>
      <c r="G1129" s="1"/>
      <c r="H1129" s="1"/>
      <c r="I1129" s="1"/>
    </row>
    <row r="1130" spans="1:9" ht="15.6" x14ac:dyDescent="0.3">
      <c r="A1130" s="1" t="s">
        <v>4</v>
      </c>
      <c r="B1130" s="1" t="s">
        <v>5</v>
      </c>
      <c r="C1130" s="10" t="s">
        <v>4</v>
      </c>
      <c r="D1130" s="5" t="s">
        <v>1117</v>
      </c>
      <c r="E1130" s="1" t="str">
        <f ca="1">IFERROR(__xludf.DUMMYFUNCTION("GOOGLETRANSLATE(D1130, ""bn"", ""en"")"),"Some sectarian leaders argue that it is only an appeal to the common people to understand and comment or argue. Get to know each other as people. It is not right to do dirty religion politics with ordinary people.")</f>
        <v>Some sectarian leaders argue that it is only an appeal to the common people to understand and comment or argue. Get to know each other as people. It is not right to do dirty religion politics with ordinary people.</v>
      </c>
      <c r="F1130" s="1"/>
      <c r="G1130" s="1"/>
      <c r="H1130" s="1"/>
      <c r="I1130" s="1"/>
    </row>
    <row r="1131" spans="1:9" ht="15.6" x14ac:dyDescent="0.3">
      <c r="A1131" s="1" t="s">
        <v>4</v>
      </c>
      <c r="B1131" s="1" t="s">
        <v>4</v>
      </c>
      <c r="C1131" s="10" t="s">
        <v>4</v>
      </c>
      <c r="D1131" s="5" t="s">
        <v>1118</v>
      </c>
      <c r="E1131" s="1" t="str">
        <f ca="1">IFERROR(__xludf.DUMMYFUNCTION("GOOGLETRANSLATE(D1131, ""bn"", ""en"")"),"As the whole world has shown interest in Ukraine, they don't have so much headache about Palestinians because they are Muslims. As long as the attacks are on Muslims. May Allah protect the Palestinian brothers and sisters.")</f>
        <v>As the whole world has shown interest in Ukraine, they don't have so much headache about Palestinians because they are Muslims. As long as the attacks are on Muslims. May Allah protect the Palestinian brothers and sisters.</v>
      </c>
      <c r="F1131" s="1"/>
      <c r="G1131" s="1"/>
      <c r="H1131" s="1"/>
      <c r="I1131" s="1"/>
    </row>
    <row r="1132" spans="1:9" ht="15.6" x14ac:dyDescent="0.3">
      <c r="A1132" s="1" t="s">
        <v>9</v>
      </c>
      <c r="B1132" s="1" t="s">
        <v>9</v>
      </c>
      <c r="C1132" s="10" t="s">
        <v>9</v>
      </c>
      <c r="D1132" s="5" t="s">
        <v>1119</v>
      </c>
      <c r="E1132" s="1" t="str">
        <f ca="1">IFERROR(__xludf.DUMMYFUNCTION("GOOGLETRANSLATE(D1132, ""bn"", ""en"")"),"The authors show in the fourth chapter how the riots spread in East Bengal and in response to the riots against the minorities in West Bengal.")</f>
        <v>The authors show in the fourth chapter how the riots spread in East Bengal and in response to the riots against the minorities in West Bengal.</v>
      </c>
      <c r="F1132" s="1"/>
      <c r="G1132" s="1"/>
      <c r="H1132" s="1"/>
      <c r="I1132" s="1"/>
    </row>
    <row r="1133" spans="1:9" ht="15.6" x14ac:dyDescent="0.3">
      <c r="A1133" s="1" t="s">
        <v>4</v>
      </c>
      <c r="B1133" s="1" t="s">
        <v>4</v>
      </c>
      <c r="C1133" s="10" t="s">
        <v>4</v>
      </c>
      <c r="D1133" s="5" t="s">
        <v>1120</v>
      </c>
      <c r="E1133" s="1" t="str">
        <f ca="1">IFERROR(__xludf.DUMMYFUNCTION("GOOGLETRANSLATE(D1133, ""bn"", ""en"")"),"Many countries around the world have strict laws against religious blasphemy, especially against Islam. A 2017 report by the US Commission on International Religious Freedom listed 71 countries with blasphemy laws.")</f>
        <v>Many countries around the world have strict laws against religious blasphemy, especially against Islam. A 2017 report by the US Commission on International Religious Freedom listed 71 countries with blasphemy laws.</v>
      </c>
      <c r="F1133" s="1"/>
      <c r="G1133" s="1"/>
      <c r="H1133" s="1"/>
      <c r="I1133" s="1"/>
    </row>
    <row r="1134" spans="1:9" ht="15.6" x14ac:dyDescent="0.3">
      <c r="A1134" s="1" t="s">
        <v>7</v>
      </c>
      <c r="B1134" s="1" t="s">
        <v>7</v>
      </c>
      <c r="C1134" s="10" t="s">
        <v>7</v>
      </c>
      <c r="D1134" s="5" t="s">
        <v>1121</v>
      </c>
      <c r="E1134" s="1" t="str">
        <f ca="1">IFERROR(__xludf.DUMMYFUNCTION("GOOGLETRANSLATE(D1134, ""bn"", ""en"")"),"It is strange to give him a certificate of sin because a person is oppressed in a helpless situation and will give his life!")</f>
        <v>It is strange to give him a certificate of sin because a person is oppressed in a helpless situation and will give his life!</v>
      </c>
      <c r="F1134" s="1"/>
      <c r="G1134" s="1"/>
      <c r="H1134" s="1"/>
      <c r="I1134" s="1"/>
    </row>
    <row r="1135" spans="1:9" ht="15.6" x14ac:dyDescent="0.3">
      <c r="A1135" s="1" t="s">
        <v>9</v>
      </c>
      <c r="B1135" s="1" t="s">
        <v>4</v>
      </c>
      <c r="C1135" s="10" t="s">
        <v>9</v>
      </c>
      <c r="D1135" s="5" t="s">
        <v>1122</v>
      </c>
      <c r="E1135" s="1" t="str">
        <f ca="1">IFERROR(__xludf.DUMMYFUNCTION("GOOGLETRANSLATE(D1135, ""bn"", ""en"")"),"Bangladesh is a non-communal country, Muslims, Hindus and other religions have equal rights in this country. Why is there so much drama in the construction of a mosque in a country where 95% are Muslims? Today, those who are blocking the construction of a"&amp;" mosque are creating communal riots and hunting fish in the muddy water.")</f>
        <v>Bangladesh is a non-communal country, Muslims, Hindus and other religions have equal rights in this country. Why is there so much drama in the construction of a mosque in a country where 95% are Muslims? Today, those who are blocking the construction of a mosque are creating communal riots and hunting fish in the muddy water.</v>
      </c>
      <c r="F1135" s="1"/>
      <c r="G1135" s="1"/>
      <c r="H1135" s="1"/>
      <c r="I1135" s="1"/>
    </row>
    <row r="1136" spans="1:9" ht="15.6" x14ac:dyDescent="0.3">
      <c r="A1136" s="1" t="s">
        <v>9</v>
      </c>
      <c r="B1136" s="1" t="s">
        <v>9</v>
      </c>
      <c r="C1136" s="10" t="s">
        <v>9</v>
      </c>
      <c r="D1136" s="5" t="s">
        <v>1123</v>
      </c>
      <c r="E1136" s="1" t="str">
        <f ca="1">IFERROR(__xludf.DUMMYFUNCTION("GOOGLETRANSLATE(D1136, ""bn"", ""en"")"),"Standing on the stage of a religious event in Tamil Nadu, Udayanidhi was suddenly heard talking about eradicating Sanatan Dharma.")</f>
        <v>Standing on the stage of a religious event in Tamil Nadu, Udayanidhi was suddenly heard talking about eradicating Sanatan Dharma.</v>
      </c>
      <c r="F1136" s="1"/>
      <c r="G1136" s="1"/>
      <c r="H1136" s="1"/>
      <c r="I1136" s="1"/>
    </row>
    <row r="1137" spans="1:9" ht="15.6" x14ac:dyDescent="0.3">
      <c r="A1137" s="1" t="s">
        <v>9</v>
      </c>
      <c r="B1137" s="1" t="s">
        <v>9</v>
      </c>
      <c r="C1137" s="10" t="s">
        <v>9</v>
      </c>
      <c r="D1137" s="5" t="s">
        <v>1124</v>
      </c>
      <c r="E1137" s="1" t="str">
        <f ca="1">IFERROR(__xludf.DUMMYFUNCTION("GOOGLETRANSLATE(D1137, ""bn"", ""en"")"),", the riots paved the way for the partition of Bengal into Hindu-dominated West Bengal, including Calcutta, and Muslim-dominated East Bengal (present-day Bangladesh).")</f>
        <v>, the riots paved the way for the partition of Bengal into Hindu-dominated West Bengal, including Calcutta, and Muslim-dominated East Bengal (present-day Bangladesh).</v>
      </c>
      <c r="F1137" s="1"/>
      <c r="G1137" s="1"/>
      <c r="H1137" s="1"/>
      <c r="I1137" s="1"/>
    </row>
    <row r="1138" spans="1:9" ht="15.6" x14ac:dyDescent="0.3">
      <c r="A1138" s="1" t="s">
        <v>5</v>
      </c>
      <c r="B1138" s="1" t="s">
        <v>5</v>
      </c>
      <c r="C1138" s="10" t="s">
        <v>5</v>
      </c>
      <c r="D1138" s="5" t="s">
        <v>1125</v>
      </c>
      <c r="E1138" s="1" t="str">
        <f ca="1">IFERROR(__xludf.DUMMYFUNCTION("GOOGLETRANSLATE(D1138, ""bn"", ""en"")"),"When I am sad, I see darkness around, then I listen to his lectures. Alhamdulillah, I found the light of hope again. May Allah grant good life and good exchange to all those who are making perfect efforts to convey his words.")</f>
        <v>When I am sad, I see darkness around, then I listen to his lectures. Alhamdulillah, I found the light of hope again. May Allah grant good life and good exchange to all those who are making perfect efforts to convey his words.</v>
      </c>
      <c r="F1138" s="1"/>
      <c r="G1138" s="1"/>
      <c r="H1138" s="1"/>
      <c r="I1138" s="1"/>
    </row>
    <row r="1139" spans="1:9" ht="15.6" x14ac:dyDescent="0.3">
      <c r="A1139" s="1" t="s">
        <v>9</v>
      </c>
      <c r="B1139" s="1" t="s">
        <v>9</v>
      </c>
      <c r="C1139" s="10" t="s">
        <v>9</v>
      </c>
      <c r="D1139" s="5" t="s">
        <v>1126</v>
      </c>
      <c r="E1139" s="1" t="str">
        <f ca="1">IFERROR(__xludf.DUMMYFUNCTION("GOOGLETRANSLATE(D1139, ""bn"", ""en"")"),"The attack was carried out on 30 October 2016 by a Hindu jailer, Rasraj Das, who allegedly posted posts against Islam [2]. 19 temples were attacked")</f>
        <v>The attack was carried out on 30 October 2016 by a Hindu jailer, Rasraj Das, who allegedly posted posts against Islam [2]. 19 temples were attacked</v>
      </c>
      <c r="F1139" s="1"/>
      <c r="G1139" s="1"/>
      <c r="H1139" s="1"/>
      <c r="I1139" s="1"/>
    </row>
    <row r="1140" spans="1:9" ht="15.6" x14ac:dyDescent="0.3">
      <c r="A1140" s="1" t="s">
        <v>4</v>
      </c>
      <c r="B1140" s="1" t="s">
        <v>4</v>
      </c>
      <c r="C1140" s="10" t="s">
        <v>4</v>
      </c>
      <c r="D1140" s="5" t="s">
        <v>1127</v>
      </c>
      <c r="E1140" s="1" t="str">
        <f ca="1">IFERROR(__xludf.DUMMYFUNCTION("GOOGLETRANSLATE(D1140, ""bn"", ""en"")"),"Today we salute the great leaders of the Muslim world")</f>
        <v>Today we salute the great leaders of the Muslim world</v>
      </c>
      <c r="F1140" s="1"/>
      <c r="G1140" s="1"/>
      <c r="H1140" s="1"/>
      <c r="I1140" s="1"/>
    </row>
    <row r="1141" spans="1:9" ht="15.6" x14ac:dyDescent="0.3">
      <c r="A1141" s="1" t="s">
        <v>9</v>
      </c>
      <c r="B1141" s="1" t="s">
        <v>5</v>
      </c>
      <c r="C1141" s="10" t="s">
        <v>9</v>
      </c>
      <c r="D1141" s="5" t="s">
        <v>1128</v>
      </c>
      <c r="E1141" s="1" t="str">
        <f ca="1">IFERROR(__xludf.DUMMYFUNCTION("GOOGLETRANSLATE(D1141, ""bn"", ""en"")")," After a brutal massacre of Hindus in Feni town, it spread to the villages of Feni and Chhagalnaya police station areas where mainly the Hindu Nath community lived.")</f>
        <v> After a brutal massacre of Hindus in Feni town, it spread to the villages of Feni and Chhagalnaya police station areas where mainly the Hindu Nath community lived.</v>
      </c>
      <c r="F1141" s="1"/>
      <c r="G1141" s="1"/>
      <c r="H1141" s="1"/>
      <c r="I1141" s="1"/>
    </row>
    <row r="1142" spans="1:9" ht="15.6" x14ac:dyDescent="0.3">
      <c r="A1142" s="1" t="s">
        <v>5</v>
      </c>
      <c r="B1142" s="1" t="s">
        <v>5</v>
      </c>
      <c r="C1142" s="10" t="s">
        <v>5</v>
      </c>
      <c r="D1142" s="5" t="s">
        <v>1129</v>
      </c>
      <c r="E1142" s="1" t="str">
        <f ca="1">IFERROR(__xludf.DUMMYFUNCTION("GOOGLETRANSLATE(D1142, ""bn"", ""en"")"),"Dear Sheikh, I don't know how many times I have heard this video, the more I hear it, the more new it seems. The mind becomes good, the desire to do good works arises.")</f>
        <v>Dear Sheikh, I don't know how many times I have heard this video, the more I hear it, the more new it seems. The mind becomes good, the desire to do good works arises.</v>
      </c>
      <c r="F1142" s="1"/>
      <c r="G1142" s="1"/>
      <c r="H1142" s="1"/>
      <c r="I1142" s="1"/>
    </row>
    <row r="1143" spans="1:9" ht="15.6" x14ac:dyDescent="0.3">
      <c r="A1143" s="1" t="s">
        <v>5</v>
      </c>
      <c r="B1143" s="1" t="s">
        <v>5</v>
      </c>
      <c r="C1143" s="10" t="s">
        <v>5</v>
      </c>
      <c r="D1143" s="5" t="s">
        <v>1130</v>
      </c>
      <c r="E1143" s="1" t="str">
        <f ca="1">IFERROR(__xludf.DUMMYFUNCTION("GOOGLETRANSLATE(D1143, ""bn"", ""en"")"),"In the pagoda, all activities of the Buddhist Day celebrations continue in the pagoda. Besides, fairs are held on this day in different villages and villages. The largest fair is held in Vaidyapara village of Chittagong, popularly known as Bodhidrum Mela.")</f>
        <v>In the pagoda, all activities of the Buddhist Day celebrations continue in the pagoda. Besides, fairs are held on this day in different villages and villages. The largest fair is held in Vaidyapara village of Chittagong, popularly known as Bodhidrum Mela.</v>
      </c>
      <c r="F1143" s="1"/>
      <c r="G1143" s="1"/>
      <c r="H1143" s="1"/>
      <c r="I1143" s="1"/>
    </row>
    <row r="1144" spans="1:9" ht="15.6" x14ac:dyDescent="0.3">
      <c r="A1144" s="1" t="s">
        <v>5</v>
      </c>
      <c r="B1144" s="1" t="s">
        <v>5</v>
      </c>
      <c r="C1144" s="10" t="s">
        <v>5</v>
      </c>
      <c r="D1144" s="5" t="s">
        <v>1131</v>
      </c>
      <c r="E1144" s="1" t="str">
        <f ca="1">IFERROR(__xludf.DUMMYFUNCTION("GOOGLETRANSLATE(D1144, ""bn"", ""en"")"),"By obeying Allah's orders, every step in life is properly regulated, and we experience true happiness and peace.")</f>
        <v>By obeying Allah's orders, every step in life is properly regulated, and we experience true happiness and peace.</v>
      </c>
      <c r="F1144" s="1"/>
      <c r="G1144" s="1"/>
      <c r="H1144" s="1"/>
      <c r="I1144" s="1"/>
    </row>
    <row r="1145" spans="1:9" ht="15.6" x14ac:dyDescent="0.3">
      <c r="A1145" s="1" t="s">
        <v>4</v>
      </c>
      <c r="B1145" s="1" t="s">
        <v>4</v>
      </c>
      <c r="C1145" s="10" t="s">
        <v>4</v>
      </c>
      <c r="D1145" s="5" t="s">
        <v>1132</v>
      </c>
      <c r="E1145" s="1" t="str">
        <f ca="1">IFERROR(__xludf.DUMMYFUNCTION("GOOGLETRANSLATE(D1145, ""bn"", ""en"")"),"Be it Hindu or Muslim, there is no forgiveness for the oppressor, the Holy Qur'an has left the feet of Goddess Durga. In this country of harmony, those who want to riot, I want to beheaded.")</f>
        <v>Be it Hindu or Muslim, there is no forgiveness for the oppressor, the Holy Qur'an has left the feet of Goddess Durga. In this country of harmony, those who want to riot, I want to beheaded.</v>
      </c>
      <c r="F1145" s="1"/>
      <c r="G1145" s="1"/>
      <c r="H1145" s="1"/>
      <c r="I1145" s="1"/>
    </row>
    <row r="1146" spans="1:9" ht="15.6" x14ac:dyDescent="0.3">
      <c r="A1146" s="1" t="s">
        <v>4</v>
      </c>
      <c r="B1146" s="1" t="s">
        <v>5</v>
      </c>
      <c r="C1146" s="10" t="s">
        <v>4</v>
      </c>
      <c r="D1146" s="5" t="s">
        <v>1133</v>
      </c>
      <c r="E1146" s="1" t="str">
        <f ca="1">IFERROR(__xludf.DUMMYFUNCTION("GOOGLETRANSLATE(D1146, ""bn"", ""en"")"),"If religion is given priority then first of all profil pk should not use nude pictures")</f>
        <v>If religion is given priority then first of all profil pk should not use nude pictures</v>
      </c>
      <c r="F1146" s="1"/>
      <c r="G1146" s="1"/>
      <c r="H1146" s="1"/>
      <c r="I1146" s="1"/>
    </row>
    <row r="1147" spans="1:9" ht="15.6" x14ac:dyDescent="0.3">
      <c r="A1147" s="1" t="s">
        <v>7</v>
      </c>
      <c r="B1147" s="1" t="s">
        <v>7</v>
      </c>
      <c r="C1147" s="10" t="s">
        <v>7</v>
      </c>
      <c r="D1147" s="5" t="s">
        <v>1134</v>
      </c>
      <c r="E1147" s="1" t="str">
        <f ca="1">IFERROR(__xludf.DUMMYFUNCTION("GOOGLETRANSLATE(D1147, ""bn"", ""en"")"),"After Michael Jackson's death, there was a plan to bury his body with dancing and singing. But his brother stopped him It is inappropriate to perform a concert with a dead body. ")</f>
        <v xml:space="preserve">After Michael Jackson's death, there was a plan to bury his body with dancing and singing. But his brother stopped him It is inappropriate to perform a concert with a dead body. </v>
      </c>
      <c r="F1147" s="1"/>
      <c r="G1147" s="1"/>
      <c r="H1147" s="1"/>
      <c r="I1147" s="1"/>
    </row>
    <row r="1148" spans="1:9" ht="15.6" x14ac:dyDescent="0.3">
      <c r="A1148" s="1" t="s">
        <v>7</v>
      </c>
      <c r="B1148" s="1" t="s">
        <v>7</v>
      </c>
      <c r="C1148" s="10" t="s">
        <v>7</v>
      </c>
      <c r="D1148" s="5" t="s">
        <v>1135</v>
      </c>
      <c r="E1148" s="1" t="str">
        <f ca="1">IFERROR(__xludf.DUMMYFUNCTION("GOOGLETRANSLATE(D1148, ""bn"", ""en"")"),"Sri Angan Massacre refers to the massacre of Bengali Hindu monks at the Sri Angan Math in Faridpur on 21 April 1971. Eight monks were killed in a gruesome massacre by the Pakistani army.")</f>
        <v>Sri Angan Massacre refers to the massacre of Bengali Hindu monks at the Sri Angan Math in Faridpur on 21 April 1971. Eight monks were killed in a gruesome massacre by the Pakistani army.</v>
      </c>
      <c r="F1148" s="1"/>
      <c r="G1148" s="1"/>
      <c r="H1148" s="1"/>
      <c r="I1148" s="1"/>
    </row>
    <row r="1149" spans="1:9" ht="15.6" x14ac:dyDescent="0.3">
      <c r="A1149" s="1" t="s">
        <v>9</v>
      </c>
      <c r="B1149" s="1" t="s">
        <v>9</v>
      </c>
      <c r="C1149" s="10" t="s">
        <v>9</v>
      </c>
      <c r="D1149" s="5" t="s">
        <v>1136</v>
      </c>
      <c r="E1149" s="1" t="str">
        <f ca="1">IFERROR(__xludf.DUMMYFUNCTION("GOOGLETRANSLATE(D1149, ""bn"", ""en"")"),"On March 21, Monday afternoon, a radical Muslim man named Ejazul Islam Khan came on the gate top of Deva Mandir at Calvert Road No. 7 in Tilpapara, Khilgaon and vandalized the idol and destroyed the belongings. Later, the police analyzed the CCTV footage "&amp;"and other information and arrested Ijazul Islam Khan. The police also said that the attacker was mentally unstable.")</f>
        <v>On March 21, Monday afternoon, a radical Muslim man named Ejazul Islam Khan came on the gate top of Deva Mandir at Calvert Road No. 7 in Tilpapara, Khilgaon and vandalized the idol and destroyed the belongings. Later, the police analyzed the CCTV footage and other information and arrested Ijazul Islam Khan. The police also said that the attacker was mentally unstable.</v>
      </c>
      <c r="F1149" s="1"/>
      <c r="G1149" s="1"/>
      <c r="H1149" s="1"/>
      <c r="I1149" s="1"/>
    </row>
    <row r="1150" spans="1:9" ht="15.6" x14ac:dyDescent="0.3">
      <c r="A1150" s="1" t="s">
        <v>5</v>
      </c>
      <c r="B1150" s="1" t="s">
        <v>5</v>
      </c>
      <c r="C1150" s="10" t="s">
        <v>5</v>
      </c>
      <c r="D1150" s="5" t="s">
        <v>1137</v>
      </c>
      <c r="E1150" s="1" t="str">
        <f ca="1">IFERROR(__xludf.DUMMYFUNCTION("GOOGLETRANSLATE(D1150, ""bn"", ""en"")"),"Thank you very much for analyzing the scientific research of Al-Qur'an and the hadiths said by Rasulullah SAW and the data and analysis of the scientists of this era in such a beautiful and clear way. May Allah bless you with good health and good life, Am"&amp;"een.")</f>
        <v>Thank you very much for analyzing the scientific research of Al-Qur'an and the hadiths said by Rasulullah SAW and the data and analysis of the scientists of this era in such a beautiful and clear way. May Allah bless you with good health and good life, Ameen.</v>
      </c>
      <c r="F1150" s="1"/>
      <c r="G1150" s="1"/>
      <c r="H1150" s="1"/>
      <c r="I1150" s="1"/>
    </row>
    <row r="1151" spans="1:9" ht="15.6" x14ac:dyDescent="0.3">
      <c r="A1151" s="1" t="s">
        <v>7</v>
      </c>
      <c r="B1151" s="1" t="s">
        <v>7</v>
      </c>
      <c r="C1151" s="10" t="s">
        <v>7</v>
      </c>
      <c r="D1151" s="5" t="s">
        <v>1138</v>
      </c>
      <c r="E1151" s="1" t="str">
        <f ca="1">IFERROR(__xludf.DUMMYFUNCTION("GOOGLETRANSLATE(D1151, ""bn"", ""en"")"),"The word Sati is derived from the name of the goddess Sati, who committed suicide because she could not bear her father Daksha's insult to her husband Shiva.")</f>
        <v>The word Sati is derived from the name of the goddess Sati, who committed suicide because she could not bear her father Daksha's insult to her husband Shiva.</v>
      </c>
      <c r="F1151" s="1"/>
      <c r="G1151" s="1"/>
      <c r="H1151" s="1"/>
      <c r="I1151" s="1"/>
    </row>
    <row r="1152" spans="1:9" ht="15.6" x14ac:dyDescent="0.3">
      <c r="A1152" s="1" t="s">
        <v>9</v>
      </c>
      <c r="B1152" s="1" t="s">
        <v>9</v>
      </c>
      <c r="C1152" s="10" t="s">
        <v>9</v>
      </c>
      <c r="D1152" s="5" t="s">
        <v>1139</v>
      </c>
      <c r="E1152" s="1" t="str">
        <f ca="1">IFERROR(__xludf.DUMMYFUNCTION("GOOGLETRANSLATE(D1152, ""bn"", ""en"")"),"The Muslims forcibly abducted the daughters of many prominent Brahmin families from Dhaka South and Kachuari. All the members of Ketan Das, Ashwini Nath, Birendra Nath and many other unnamed Hindu families of the area under the control of Chunarghat Polic"&amp;"e Station of Habiganj sub-division were converted by the Muslims in a despicable manner.")</f>
        <v>The Muslims forcibly abducted the daughters of many prominent Brahmin families from Dhaka South and Kachuari. All the members of Ketan Das, Ashwini Nath, Birendra Nath and many other unnamed Hindu families of the area under the control of Chunarghat Police Station of Habiganj sub-division were converted by the Muslims in a despicable manner.</v>
      </c>
      <c r="F1152" s="1"/>
      <c r="G1152" s="1"/>
      <c r="H1152" s="1"/>
      <c r="I1152" s="1"/>
    </row>
    <row r="1153" spans="1:9" ht="15.6" x14ac:dyDescent="0.3">
      <c r="A1153" s="1" t="s">
        <v>9</v>
      </c>
      <c r="B1153" s="1" t="s">
        <v>5</v>
      </c>
      <c r="C1153" s="10" t="s">
        <v>9</v>
      </c>
      <c r="D1153" s="5" t="s">
        <v>1140</v>
      </c>
      <c r="E1153" s="1" t="str">
        <f ca="1">IFERROR(__xludf.DUMMYFUNCTION("GOOGLETRANSLATE(D1153, ""bn"", ""en"")"),"Kaushal Saran was found unconscious at Central and Ferry avenues near a city park and firehouse. He is a licensed physician in India awaiting licensure in the United States. He was later released from University Hospital in Newark. [60] The unprovoked att"&amp;"ack left him with severe skull and brain damage. As a result, he was in a partial coma for more than a week.")</f>
        <v>Kaushal Saran was found unconscious at Central and Ferry avenues near a city park and firehouse. He is a licensed physician in India awaiting licensure in the United States. He was later released from University Hospital in Newark. [60] The unprovoked attack left him with severe skull and brain damage. As a result, he was in a partial coma for more than a week.</v>
      </c>
      <c r="F1153" s="1"/>
      <c r="G1153" s="1"/>
      <c r="H1153" s="1"/>
      <c r="I1153" s="1"/>
    </row>
    <row r="1154" spans="1:9" ht="15.6" x14ac:dyDescent="0.3">
      <c r="A1154" s="1" t="s">
        <v>4</v>
      </c>
      <c r="B1154" s="1" t="s">
        <v>4</v>
      </c>
      <c r="C1154" s="10" t="s">
        <v>4</v>
      </c>
      <c r="D1154" s="5" t="s">
        <v>1141</v>
      </c>
      <c r="E1154" s="1" t="str">
        <f ca="1">IFERROR(__xludf.DUMMYFUNCTION("GOOGLETRANSLATE(D1154, ""bn"", ""en"")"),"O Allah protect the Holy Quran and send down your wrath on these infidels very soon.")</f>
        <v>O Allah protect the Holy Quran and send down your wrath on these infidels very soon.</v>
      </c>
      <c r="F1154" s="1"/>
      <c r="G1154" s="1"/>
      <c r="H1154" s="1"/>
      <c r="I1154" s="1"/>
    </row>
    <row r="1155" spans="1:9" ht="15.6" x14ac:dyDescent="0.3">
      <c r="A1155" s="1" t="s">
        <v>4</v>
      </c>
      <c r="B1155" s="1" t="s">
        <v>4</v>
      </c>
      <c r="C1155" s="10" t="s">
        <v>4</v>
      </c>
      <c r="D1155" s="5" t="s">
        <v>1142</v>
      </c>
      <c r="E1155" s="1" t="str">
        <f ca="1">IFERROR(__xludf.DUMMYFUNCTION("GOOGLETRANSLATE(D1155, ""bn"", ""en"")"),"They want to extinguish the light of Allah with their mouths, but Allah is the perfecter of His light. Although the infidels dislike it. It is He who has sent His Messenger with guidance and truth, so that he may make it victorious over all religions. Alt"&amp;"hough the polytheists dislike it.")</f>
        <v>They want to extinguish the light of Allah with their mouths, but Allah is the perfecter of His light. Although the infidels dislike it. It is He who has sent His Messenger with guidance and truth, so that he may make it victorious over all religions. Although the polytheists dislike it.</v>
      </c>
      <c r="F1155" s="1"/>
      <c r="G1155" s="1"/>
      <c r="H1155" s="1"/>
      <c r="I1155" s="1"/>
    </row>
    <row r="1156" spans="1:9" ht="15.6" x14ac:dyDescent="0.3">
      <c r="A1156" s="1" t="s">
        <v>9</v>
      </c>
      <c r="B1156" s="1" t="s">
        <v>5</v>
      </c>
      <c r="C1156" s="10" t="s">
        <v>9</v>
      </c>
      <c r="D1156" s="5" t="s">
        <v>1143</v>
      </c>
      <c r="E1156" s="1" t="str">
        <f ca="1">IFERROR(__xludf.DUMMYFUNCTION("GOOGLETRANSLATE(D1156, ""bn"", ""en"")"),"People started fleeing their homes as the Pakistani occupation forces spread from Dhaka to the rest of the districts as part of Operation Searchlight. Hindus started fleeing Bangladesh to neighboring India. ")</f>
        <v>People started fleeing their homes as the Pakistani occupation forces spread from Dhaka to the rest of the districts as part of Operation Searchlight. Hindus started fleeing Bangladesh to neighboring India. </v>
      </c>
      <c r="F1156" s="1"/>
      <c r="G1156" s="1"/>
      <c r="H1156" s="1"/>
      <c r="I1156" s="1"/>
    </row>
    <row r="1157" spans="1:9" ht="15.6" x14ac:dyDescent="0.3">
      <c r="A1157" s="1" t="s">
        <v>7</v>
      </c>
      <c r="B1157" s="1" t="s">
        <v>7</v>
      </c>
      <c r="C1157" s="10" t="s">
        <v>7</v>
      </c>
      <c r="D1157" s="5" t="s">
        <v>1144</v>
      </c>
      <c r="E1157" s="1" t="str">
        <f ca="1">IFERROR(__xludf.DUMMYFUNCTION("GOOGLETRANSLATE(D1157, ""bn"", ""en"")"),"Death and suicide are not the same thing.")</f>
        <v>Death and suicide are not the same thing.</v>
      </c>
      <c r="F1157" s="1"/>
      <c r="G1157" s="1"/>
      <c r="H1157" s="1"/>
      <c r="I1157" s="1"/>
    </row>
    <row r="1158" spans="1:9" ht="15.6" x14ac:dyDescent="0.3">
      <c r="A1158" s="1" t="s">
        <v>9</v>
      </c>
      <c r="B1158" s="1" t="s">
        <v>4</v>
      </c>
      <c r="C1158" s="10" t="s">
        <v>9</v>
      </c>
      <c r="D1158" s="5" t="s">
        <v>1145</v>
      </c>
      <c r="E1158" s="1" t="str">
        <f ca="1">IFERROR(__xludf.DUMMYFUNCTION("GOOGLETRANSLATE(D1158, ""bn"", ""en"")"),"Only self-reflection of false pride fights and fights!! Man is religion for man...for the Hereafter” and for the downfall of ego.")</f>
        <v>Only self-reflection of false pride fights and fights!! Man is religion for man...for the Hereafter” and for the downfall of ego.</v>
      </c>
      <c r="F1158" s="1"/>
      <c r="G1158" s="1"/>
      <c r="H1158" s="1"/>
      <c r="I1158" s="1"/>
    </row>
    <row r="1159" spans="1:9" ht="15.6" x14ac:dyDescent="0.3">
      <c r="A1159" s="1" t="s">
        <v>4</v>
      </c>
      <c r="B1159" s="1" t="s">
        <v>5</v>
      </c>
      <c r="C1159" s="10" t="s">
        <v>4</v>
      </c>
      <c r="D1159" s="5" t="s">
        <v>1146</v>
      </c>
      <c r="E1159" s="1" t="str">
        <f ca="1">IFERROR(__xludf.DUMMYFUNCTION("GOOGLETRANSLATE(D1159, ""bn"", ""en"")"),"Then I realized that it is foolish to keep pace with these secularists. This group is almost entirely itar, petty and just Islamophobic.")</f>
        <v>Then I realized that it is foolish to keep pace with these secularists. This group is almost entirely itar, petty and just Islamophobic.</v>
      </c>
      <c r="F1159" s="1"/>
      <c r="G1159" s="1"/>
      <c r="H1159" s="1"/>
      <c r="I1159" s="1"/>
    </row>
    <row r="1160" spans="1:9" ht="15.6" x14ac:dyDescent="0.3">
      <c r="A1160" s="1" t="s">
        <v>9</v>
      </c>
      <c r="B1160" s="1" t="s">
        <v>9</v>
      </c>
      <c r="C1160" s="10" t="s">
        <v>9</v>
      </c>
      <c r="D1160" s="5" t="s">
        <v>1147</v>
      </c>
      <c r="E1160" s="1" t="str">
        <f ca="1">IFERROR(__xludf.DUMMYFUNCTION("GOOGLETRANSLATE(D1160, ""bn"", ""en"")"),"On December 6, 1992, workers of the Vishwa Hindu Parishad and their affiliated organizations demolished the Babri Masjid. As a result riots spread throughout the Indian subcontinent. The riots left about 2,000 - 3,000 people dead across the subcontinent.")</f>
        <v>On December 6, 1992, workers of the Vishwa Hindu Parishad and their affiliated organizations demolished the Babri Masjid. As a result riots spread throughout the Indian subcontinent. The riots left about 2,000 - 3,000 people dead across the subcontinent.</v>
      </c>
      <c r="F1160" s="1"/>
      <c r="G1160" s="1"/>
      <c r="H1160" s="1"/>
      <c r="I1160" s="1"/>
    </row>
    <row r="1161" spans="1:9" ht="15.6" x14ac:dyDescent="0.3">
      <c r="A1161" s="1" t="s">
        <v>4</v>
      </c>
      <c r="B1161" s="1" t="s">
        <v>4</v>
      </c>
      <c r="C1161" s="10" t="s">
        <v>4</v>
      </c>
      <c r="D1161" s="5" t="s">
        <v>1148</v>
      </c>
      <c r="E1161" s="1" t="str">
        <f ca="1">IFERROR(__xludf.DUMMYFUNCTION("GOOGLETRANSLATE(D1161, ""bn"", ""en"")")," Those who want to destroy the harmony by creating disturbances here after a few days should be identified and brought under severe punishment. Muslims believe in peace, those who are trying to start a riot by insulting the Quran should be arrested and tr"&amp;"ied immediately.")</f>
        <v> Those who want to destroy the harmony by creating disturbances here after a few days should be identified and brought under severe punishment. Muslims believe in peace, those who are trying to start a riot by insulting the Quran should be arrested and tried immediately.</v>
      </c>
      <c r="F1161" s="1"/>
      <c r="G1161" s="1"/>
      <c r="H1161" s="1"/>
      <c r="I1161" s="1"/>
    </row>
    <row r="1162" spans="1:9" ht="15.6" x14ac:dyDescent="0.3">
      <c r="A1162" s="1" t="s">
        <v>7</v>
      </c>
      <c r="B1162" s="1" t="s">
        <v>7</v>
      </c>
      <c r="C1162" s="10" t="s">
        <v>7</v>
      </c>
      <c r="D1162" s="5" t="s">
        <v>1149</v>
      </c>
      <c r="E1162" s="1" t="str">
        <f ca="1">IFERROR(__xludf.DUMMYFUNCTION("GOOGLETRANSLATE(D1162, ""bn"", ""en"")"),"According to Minhaj-i-Siraj, the Buddhist monks who were killed were mistaken for Brahmins. [75] The walled city, Odantapuri Math was also conquered by his forces. Sumpa, based on the account of Shakyasrivhadra, who was in Magadha in 1200 AD, states that "&amp;"the Buddhist university complexes at Odantapuri and Vikramsila were also destroyed and the monks killed.")</f>
        <v>According to Minhaj-i-Siraj, the Buddhist monks who were killed were mistaken for Brahmins. [75] The walled city, Odantapuri Math was also conquered by his forces. Sumpa, based on the account of Shakyasrivhadra, who was in Magadha in 1200 AD, states that the Buddhist university complexes at Odantapuri and Vikramsila were also destroyed and the monks killed.</v>
      </c>
      <c r="F1162" s="1"/>
      <c r="G1162" s="1"/>
      <c r="H1162" s="1"/>
      <c r="I1162" s="1"/>
    </row>
    <row r="1163" spans="1:9" ht="15.6" x14ac:dyDescent="0.3">
      <c r="A1163" s="1" t="s">
        <v>4</v>
      </c>
      <c r="B1163" s="1" t="s">
        <v>4</v>
      </c>
      <c r="C1163" s="10" t="s">
        <v>4</v>
      </c>
      <c r="D1163" s="5" t="s">
        <v>1150</v>
      </c>
      <c r="E1163" s="1" t="str">
        <f ca="1">IFERROR(__xludf.DUMMYFUNCTION("GOOGLETRANSLATE(D1163, ""bn"", ""en"")"),"I think it is worse that he finds out the faults of others for his own sake and exposes them to the crowd.")</f>
        <v>I think it is worse that he finds out the faults of others for his own sake and exposes them to the crowd.</v>
      </c>
      <c r="F1163" s="1"/>
      <c r="G1163" s="1"/>
      <c r="H1163" s="1"/>
      <c r="I1163" s="1"/>
    </row>
    <row r="1164" spans="1:9" ht="15.6" x14ac:dyDescent="0.3">
      <c r="A1164" s="4" t="s">
        <v>7</v>
      </c>
      <c r="B1164" s="4" t="s">
        <v>7</v>
      </c>
      <c r="C1164" s="11" t="s">
        <v>7</v>
      </c>
      <c r="D1164" s="5" t="s">
        <v>1151</v>
      </c>
      <c r="E1164" s="1" t="str">
        <f ca="1">IFERROR(__xludf.DUMMYFUNCTION("GOOGLETRANSLATE(D1164, ""bn"", ""en"")"),"Direct Struggle Day (16 August 1946), also known as the Calcutta Massacre of 1946, was a day of nationwide communal riots. The worst of the killings took place during the day on August 17.")</f>
        <v>Direct Struggle Day (16 August 1946), also known as the Calcutta Massacre of 1946, was a day of nationwide communal riots. The worst of the killings took place during the day on August 17.</v>
      </c>
      <c r="F1164" s="1"/>
      <c r="G1164" s="1"/>
      <c r="H1164" s="1"/>
      <c r="I1164" s="1"/>
    </row>
    <row r="1165" spans="1:9" ht="15.6" x14ac:dyDescent="0.3">
      <c r="A1165" s="1" t="s">
        <v>9</v>
      </c>
      <c r="B1165" s="1" t="s">
        <v>5</v>
      </c>
      <c r="C1165" s="10" t="s">
        <v>9</v>
      </c>
      <c r="D1165" s="5" t="s">
        <v>1152</v>
      </c>
      <c r="E1165" s="1" t="str">
        <f ca="1">IFERROR(__xludf.DUMMYFUNCTION("GOOGLETRANSLATE(D1165, ""bn"", ""en"")"),"O Allah, who has burnt Your Holy Qur'an Sharif in the fire, do the works of the Qur'an by him. May Allah guide him. Amen")</f>
        <v>O Allah, who has burnt Your Holy Qur'an Sharif in the fire, do the works of the Qur'an by him. May Allah guide him. Amen</v>
      </c>
      <c r="F1165" s="1"/>
      <c r="G1165" s="1"/>
      <c r="H1165" s="1"/>
      <c r="I1165" s="1"/>
    </row>
    <row r="1166" spans="1:9" ht="15.6" x14ac:dyDescent="0.3">
      <c r="A1166" s="1" t="s">
        <v>5</v>
      </c>
      <c r="B1166" s="1" t="s">
        <v>5</v>
      </c>
      <c r="C1166" s="10" t="s">
        <v>5</v>
      </c>
      <c r="D1166" s="5" t="s">
        <v>1153</v>
      </c>
      <c r="E1166" s="1" t="str">
        <f ca="1">IFERROR(__xludf.DUMMYFUNCTION("GOOGLETRANSLATE(D1166, ""bn"", ""en"")"),"I don't think any person from Hindu community is involved in this act, but if someone is found to be involved, then there are law, police and intelligence agencies in the country to find out the truth and bring the culprit to justice, that should be it.")</f>
        <v>I don't think any person from Hindu community is involved in this act, but if someone is found to be involved, then there are law, police and intelligence agencies in the country to find out the truth and bring the culprit to justice, that should be it.</v>
      </c>
      <c r="F1166" s="1"/>
      <c r="G1166" s="1"/>
      <c r="H1166" s="1"/>
      <c r="I1166" s="1"/>
    </row>
    <row r="1167" spans="1:9" ht="15.6" x14ac:dyDescent="0.3">
      <c r="A1167" s="1" t="s">
        <v>9</v>
      </c>
      <c r="B1167" s="1" t="s">
        <v>9</v>
      </c>
      <c r="C1167" s="10" t="s">
        <v>9</v>
      </c>
      <c r="D1167" s="5" t="s">
        <v>1154</v>
      </c>
      <c r="E1167" s="1" t="str">
        <f ca="1">IFERROR(__xludf.DUMMYFUNCTION("GOOGLETRANSLATE(D1167, ""bn"", ""en"")"),"On the night of April 24, Pakistan Army arrived by train from Santahar and occupied the Jaipurhat Sub-Divisional headquarters. From the morning of 25th April, the soldiers started killing and looting and arson.")</f>
        <v>On the night of April 24, Pakistan Army arrived by train from Santahar and occupied the Jaipurhat Sub-Divisional headquarters. From the morning of 25th April, the soldiers started killing and looting and arson.</v>
      </c>
      <c r="F1167" s="1"/>
      <c r="G1167" s="1"/>
      <c r="H1167" s="1"/>
      <c r="I1167" s="1"/>
    </row>
    <row r="1168" spans="1:9" ht="15.6" x14ac:dyDescent="0.3">
      <c r="A1168" s="1" t="s">
        <v>7</v>
      </c>
      <c r="B1168" s="1" t="s">
        <v>7</v>
      </c>
      <c r="C1168" s="10" t="s">
        <v>7</v>
      </c>
      <c r="D1168" s="5" t="s">
        <v>1155</v>
      </c>
      <c r="E1168" s="1" t="str">
        <f ca="1">IFERROR(__xludf.DUMMYFUNCTION("GOOGLETRANSLATE(D1168, ""bn"", ""en"")"),"And no one knows what he will earn tomorrow and no one knows on what soil he will die. Surely Allah is All-Knowing, All-Aware.' ")</f>
        <v>And no one knows what he will earn tomorrow and no one knows on what soil he will die. Surely Allah is All-Knowing, All-Aware.' </v>
      </c>
      <c r="F1168" s="1"/>
      <c r="G1168" s="1"/>
      <c r="H1168" s="1"/>
      <c r="I1168" s="1"/>
    </row>
    <row r="1169" spans="1:9" ht="15.6" x14ac:dyDescent="0.3">
      <c r="A1169" s="1" t="s">
        <v>9</v>
      </c>
      <c r="B1169" s="1" t="s">
        <v>4</v>
      </c>
      <c r="C1169" s="10" t="s">
        <v>9</v>
      </c>
      <c r="D1169" s="5" t="s">
        <v>1156</v>
      </c>
      <c r="E1169" s="1" t="str">
        <f ca="1">IFERROR(__xludf.DUMMYFUNCTION("GOOGLETRANSLATE(D1169, ""bn"", ""en"")"),"The incident of attack and arson was led by SM Saikat Mondal (24), a post-graduate student of philosophy department of Rangpur Carmichael College and the 1st vice-president of the Chhatra League committee in that department. However, when his involvement "&amp;"came to light, he was released on October 18 and the issue of impunity was publicized after his arrest.")</f>
        <v>The incident of attack and arson was led by SM Saikat Mondal (24), a post-graduate student of philosophy department of Rangpur Carmichael College and the 1st vice-president of the Chhatra League committee in that department. However, when his involvement came to light, he was released on October 18 and the issue of impunity was publicized after his arrest.</v>
      </c>
      <c r="F1169" s="1"/>
      <c r="G1169" s="1"/>
      <c r="H1169" s="1"/>
      <c r="I1169" s="1"/>
    </row>
    <row r="1170" spans="1:9" ht="15.6" x14ac:dyDescent="0.3">
      <c r="A1170" s="1" t="s">
        <v>7</v>
      </c>
      <c r="B1170" s="1" t="s">
        <v>7</v>
      </c>
      <c r="C1170" s="10" t="s">
        <v>7</v>
      </c>
      <c r="D1170" s="5" t="s">
        <v>1157</v>
      </c>
      <c r="E1170" s="1" t="str">
        <f ca="1">IFERROR(__xludf.DUMMYFUNCTION("GOOGLETRANSLATE(D1170, ""bn"", ""en"")"),"The killing of Junaid Khan last week is proof that the government order to ban cow slaughter across the country has further encouraged the extremists. Junaid was returning home from the Eid market With brothers and family people At first they were abused "&amp;"as 'cow eaters' and 'traitors' After that the heavy beating started At one time, 16-year-old Junayed was stabbed with a knife")</f>
        <v>The killing of Junaid Khan last week is proof that the government order to ban cow slaughter across the country has further encouraged the extremists. Junaid was returning home from the Eid market With brothers and family people At first they were abused as 'cow eaters' and 'traitors' After that the heavy beating started At one time, 16-year-old Junayed was stabbed with a knife</v>
      </c>
      <c r="F1170" s="1"/>
      <c r="G1170" s="1"/>
      <c r="H1170" s="1"/>
      <c r="I1170" s="1"/>
    </row>
    <row r="1171" spans="1:9" ht="15.6" x14ac:dyDescent="0.3">
      <c r="A1171" s="1" t="s">
        <v>5</v>
      </c>
      <c r="B1171" s="1" t="s">
        <v>5</v>
      </c>
      <c r="C1171" s="10" t="s">
        <v>5</v>
      </c>
      <c r="D1171" s="5" t="s">
        <v>1158</v>
      </c>
      <c r="E1171" s="1" t="str">
        <f ca="1">IFERROR(__xludf.DUMMYFUNCTION("GOOGLETRANSLATE(D1171, ""bn"", ""en"")"),"We never discuss Hindu-Muslim. My wife is a Hindu, I am a Muslim.")</f>
        <v>We never discuss Hindu-Muslim. My wife is a Hindu, I am a Muslim.</v>
      </c>
      <c r="F1171" s="1"/>
      <c r="G1171" s="1"/>
      <c r="H1171" s="1"/>
      <c r="I1171" s="1"/>
    </row>
    <row r="1172" spans="1:9" ht="15.6" x14ac:dyDescent="0.3">
      <c r="A1172" s="1" t="s">
        <v>4</v>
      </c>
      <c r="B1172" s="1" t="s">
        <v>4</v>
      </c>
      <c r="C1172" s="10" t="s">
        <v>4</v>
      </c>
      <c r="D1172" s="5" t="s">
        <v>1159</v>
      </c>
      <c r="E1172" s="1" t="str">
        <f ca="1">IFERROR(__xludf.DUMMYFUNCTION("GOOGLETRANSLATE(D1172, ""bn"", ""en"")"),"Does the teacher say that it suits you to exaggerate my religion? And was it just an exaggeration?? When he made fun of the Messenger of Allah")</f>
        <v>Does the teacher say that it suits you to exaggerate my religion? And was it just an exaggeration?? When he made fun of the Messenger of Allah</v>
      </c>
      <c r="F1172" s="1"/>
      <c r="G1172" s="1"/>
      <c r="H1172" s="1"/>
      <c r="I1172" s="1"/>
    </row>
    <row r="1173" spans="1:9" ht="15.6" x14ac:dyDescent="0.3">
      <c r="A1173" s="1" t="s">
        <v>5</v>
      </c>
      <c r="B1173" s="1" t="s">
        <v>5</v>
      </c>
      <c r="C1173" s="10" t="s">
        <v>5</v>
      </c>
      <c r="D1173" s="5" t="s">
        <v>1160</v>
      </c>
      <c r="E1173" s="1" t="str">
        <f ca="1">IFERROR(__xludf.DUMMYFUNCTION("GOOGLETRANSLATE(D1173, ""bn"", ""en"")"),"According to the teachings of Allah, the main purpose of religion is to establish peace in the hearts of people and to find the right path in their lives, so that they can love and cooperate with each other, it is never intended to force or attack others.")</f>
        <v>According to the teachings of Allah, the main purpose of religion is to establish peace in the hearts of people and to find the right path in their lives, so that they can love and cooperate with each other, it is never intended to force or attack others.</v>
      </c>
      <c r="F1173" s="1"/>
      <c r="G1173" s="1"/>
      <c r="H1173" s="1"/>
      <c r="I1173" s="1"/>
    </row>
    <row r="1174" spans="1:9" ht="15.6" x14ac:dyDescent="0.3">
      <c r="A1174" s="1" t="s">
        <v>4</v>
      </c>
      <c r="B1174" s="1" t="s">
        <v>5</v>
      </c>
      <c r="C1174" s="10" t="s">
        <v>4</v>
      </c>
      <c r="D1174" s="5" t="s">
        <v>1161</v>
      </c>
      <c r="E1174" s="1" t="str">
        <f ca="1">IFERROR(__xludf.DUMMYFUNCTION("GOOGLETRANSLATE(D1174, ""bn"", ""en"")"),"Abusing the Prophet (peace be upon him). There will be protests about this. People are posting videos on Facebook. Saying that this is not good.")</f>
        <v>Abusing the Prophet (peace be upon him). There will be protests about this. People are posting videos on Facebook. Saying that this is not good.</v>
      </c>
      <c r="F1174" s="1"/>
      <c r="G1174" s="1"/>
      <c r="H1174" s="1"/>
      <c r="I1174" s="1"/>
    </row>
    <row r="1175" spans="1:9" ht="15.6" x14ac:dyDescent="0.3">
      <c r="A1175" s="1" t="s">
        <v>4</v>
      </c>
      <c r="B1175" s="1" t="s">
        <v>5</v>
      </c>
      <c r="C1175" s="10" t="s">
        <v>4</v>
      </c>
      <c r="D1175" s="5" t="s">
        <v>1162</v>
      </c>
      <c r="E1175" s="1" t="str">
        <f ca="1">IFERROR(__xludf.DUMMYFUNCTION("GOOGLETRANSLATE(D1175, ""bn"", ""en"")"),"Removal of social media accused of baseless posts with extremist views on the holy religion of Islam.")</f>
        <v>Removal of social media accused of baseless posts with extremist views on the holy religion of Islam.</v>
      </c>
      <c r="F1175" s="1"/>
      <c r="G1175" s="1"/>
      <c r="H1175" s="1"/>
      <c r="I1175" s="1"/>
    </row>
    <row r="1176" spans="1:9" ht="15.6" x14ac:dyDescent="0.3">
      <c r="A1176" s="1" t="s">
        <v>4</v>
      </c>
      <c r="B1176" s="1" t="s">
        <v>5</v>
      </c>
      <c r="C1176" s="10" t="s">
        <v>4</v>
      </c>
      <c r="D1176" s="5" t="s">
        <v>1163</v>
      </c>
      <c r="E1176" s="1" t="str">
        <f ca="1">IFERROR(__xludf.DUMMYFUNCTION("GOOGLETRANSLATE(D1176, ""bn"", ""en"")"),"Muslims in Muslim countries seem to be suffering from an identity crisis! If we all do not resist the government of Hindutvaism, there will be more danger ahead.")</f>
        <v>Muslims in Muslim countries seem to be suffering from an identity crisis! If we all do not resist the government of Hindutvaism, there will be more danger ahead.</v>
      </c>
      <c r="F1176" s="1"/>
      <c r="G1176" s="1"/>
      <c r="H1176" s="1"/>
      <c r="I1176" s="1"/>
    </row>
    <row r="1177" spans="1:9" ht="15.6" x14ac:dyDescent="0.3">
      <c r="A1177" s="1" t="s">
        <v>9</v>
      </c>
      <c r="B1177" s="1" t="s">
        <v>9</v>
      </c>
      <c r="C1177" s="10" t="s">
        <v>9</v>
      </c>
      <c r="D1177" s="5" t="s">
        <v>1164</v>
      </c>
      <c r="E1177" s="1" t="str">
        <f ca="1">IFERROR(__xludf.DUMMYFUNCTION("GOOGLETRANSLATE(D1177, ""bn"", ""en"")"),"At the same time, he said that in the village where the attack took place, there was a conflict in their party regarding the candidacy for the Union Parishad elections in Dighlia village.")</f>
        <v>At the same time, he said that in the village where the attack took place, there was a conflict in their party regarding the candidacy for the Union Parishad elections in Dighlia village.</v>
      </c>
      <c r="F1177" s="1"/>
      <c r="G1177" s="1"/>
      <c r="H1177" s="1"/>
      <c r="I1177" s="1"/>
    </row>
    <row r="1178" spans="1:9" ht="15.6" x14ac:dyDescent="0.3">
      <c r="A1178" s="1" t="s">
        <v>5</v>
      </c>
      <c r="B1178" s="1" t="s">
        <v>5</v>
      </c>
      <c r="C1178" s="10" t="s">
        <v>5</v>
      </c>
      <c r="D1178" s="5" t="s">
        <v>1165</v>
      </c>
      <c r="E1178" s="1" t="str">
        <f ca="1">IFERROR(__xludf.DUMMYFUNCTION("GOOGLETRANSLATE(D1178, ""bn"", ""en"")"),"The more people stand beside others in danger, take responsibility for solving it, the more miraculous peace will come from within and depression will disappear. He will also be grateful to God that he is not in such danger or that many people are in much"&amp;" more difficult situations than he can understand. Islam is a complete way of life.")</f>
        <v>The more people stand beside others in danger, take responsibility for solving it, the more miraculous peace will come from within and depression will disappear. He will also be grateful to God that he is not in such danger or that many people are in much more difficult situations than he can understand. Islam is a complete way of life.</v>
      </c>
      <c r="F1178" s="1"/>
      <c r="G1178" s="1"/>
      <c r="H1178" s="1"/>
      <c r="I1178" s="1"/>
    </row>
    <row r="1179" spans="1:9" ht="15.6" x14ac:dyDescent="0.3">
      <c r="A1179" s="1" t="s">
        <v>4</v>
      </c>
      <c r="B1179" s="1" t="s">
        <v>4</v>
      </c>
      <c r="C1179" s="10" t="s">
        <v>4</v>
      </c>
      <c r="D1179" s="5" t="s">
        <v>1166</v>
      </c>
      <c r="E1179" s="1" t="str">
        <f ca="1">IFERROR(__xludf.DUMMYFUNCTION("GOOGLETRANSLATE(D1179, ""bn"", ""en"")"),"In this country now, no one raises a voice to practice different religions, insult, joke, tease, humiliate - it has been legalized - Anjan Dutt, Munni Saha, Shyamal Dutt, Rana Das Gupta, Govinda Autnik and other organizers and media workers are responsibl"&amp;"e for this situation today.")</f>
        <v>In this country now, no one raises a voice to practice different religions, insult, joke, tease, humiliate - it has been legalized - Anjan Dutt, Munni Saha, Shyamal Dutt, Rana Das Gupta, Govinda Autnik and other organizers and media workers are responsible for this situation today.</v>
      </c>
      <c r="F1179" s="1"/>
      <c r="G1179" s="1"/>
      <c r="H1179" s="1"/>
      <c r="I1179" s="1"/>
    </row>
    <row r="1180" spans="1:9" ht="15.6" x14ac:dyDescent="0.3">
      <c r="A1180" s="1" t="s">
        <v>4</v>
      </c>
      <c r="B1180" s="1" t="s">
        <v>5</v>
      </c>
      <c r="C1180" s="10" t="s">
        <v>4</v>
      </c>
      <c r="D1180" s="5" t="s">
        <v>1167</v>
      </c>
      <c r="E1180" s="1" t="str">
        <f ca="1">IFERROR(__xludf.DUMMYFUNCTION("GOOGLETRANSLATE(D1180, ""bn"", ""en"")"),"Now I ask him, how is he sure that someone from the Hindu community has insulted Islam on Facebook?")</f>
        <v>Now I ask him, how is he sure that someone from the Hindu community has insulted Islam on Facebook?</v>
      </c>
      <c r="F1180" s="1"/>
      <c r="G1180" s="1"/>
      <c r="H1180" s="1"/>
      <c r="I1180" s="1"/>
    </row>
    <row r="1181" spans="1:9" ht="15.6" x14ac:dyDescent="0.3">
      <c r="A1181" s="1" t="s">
        <v>4</v>
      </c>
      <c r="B1181" s="1" t="s">
        <v>4</v>
      </c>
      <c r="C1181" s="10" t="s">
        <v>4</v>
      </c>
      <c r="D1181" s="5" t="s">
        <v>1168</v>
      </c>
      <c r="E1181" s="1" t="str">
        <f ca="1">IFERROR(__xludf.DUMMYFUNCTION("GOOGLETRANSLATE(D1181, ""bn"", ""en"")"),"I don't see any post, protest or exaggeration of these little fish or masters about celebrating birthday, thirty fast night, usury-bribe, dowry etc.")</f>
        <v>I don't see any post, protest or exaggeration of these little fish or masters about celebrating birthday, thirty fast night, usury-bribe, dowry etc.</v>
      </c>
      <c r="F1181" s="1"/>
      <c r="G1181" s="1"/>
      <c r="H1181" s="1"/>
      <c r="I1181" s="1"/>
    </row>
    <row r="1182" spans="1:9" ht="15.6" x14ac:dyDescent="0.3">
      <c r="A1182" s="1" t="s">
        <v>5</v>
      </c>
      <c r="B1182" s="1" t="s">
        <v>4</v>
      </c>
      <c r="C1182" s="10" t="s">
        <v>5</v>
      </c>
      <c r="D1182" s="5" t="s">
        <v>1169</v>
      </c>
      <c r="E1182" s="1" t="str">
        <f ca="1">IFERROR(__xludf.DUMMYFUNCTION("GOOGLETRANSLATE(D1182, ""bn"", ""en"")"),"The Hindu Sringeri Math was built on the site of the Buddhist ashram occupied by Adi Shankara. Many of Ayodhya's Hindu pilgrimage sites, such as Sabarimala, Badrinath or the famous Brahminical temples of Puri, were originally Buddhist temples.")</f>
        <v>The Hindu Sringeri Math was built on the site of the Buddhist ashram occupied by Adi Shankara. Many of Ayodhya's Hindu pilgrimage sites, such as Sabarimala, Badrinath or the famous Brahminical temples of Puri, were originally Buddhist temples.</v>
      </c>
      <c r="F1182" s="1"/>
      <c r="G1182" s="1"/>
      <c r="H1182" s="1"/>
      <c r="I1182" s="1"/>
    </row>
    <row r="1183" spans="1:9" ht="15.6" x14ac:dyDescent="0.3">
      <c r="A1183" s="1" t="s">
        <v>4</v>
      </c>
      <c r="B1183" s="1" t="s">
        <v>4</v>
      </c>
      <c r="C1183" s="10" t="s">
        <v>4</v>
      </c>
      <c r="D1183" s="5" t="s">
        <v>1170</v>
      </c>
      <c r="E1183" s="1" t="str">
        <f ca="1">IFERROR(__xludf.DUMMYFUNCTION("GOOGLETRANSLATE(D1183, ""bn"", ""en"")"),"Morocco's concern is good, the country has taken a step besides condemning, here it is no use just condemning, action should also be taken against Sweden.")</f>
        <v>Morocco's concern is good, the country has taken a step besides condemning, here it is no use just condemning, action should also be taken against Sweden.</v>
      </c>
      <c r="F1183" s="1"/>
      <c r="G1183" s="1"/>
      <c r="H1183" s="1"/>
      <c r="I1183" s="1"/>
    </row>
    <row r="1184" spans="1:9" ht="15.6" x14ac:dyDescent="0.3">
      <c r="A1184" s="1" t="s">
        <v>7</v>
      </c>
      <c r="B1184" s="1" t="s">
        <v>7</v>
      </c>
      <c r="C1184" s="10" t="s">
        <v>7</v>
      </c>
      <c r="D1184" s="5" t="s">
        <v>1171</v>
      </c>
      <c r="E1184" s="1" t="str">
        <f ca="1">IFERROR(__xludf.DUMMYFUNCTION("GOOGLETRANSLATE(D1184, ""bn"", ""en"")"),"An 18-year-old youth named Abdulakh A died in police firing on Friday. 14 other people including the father of this young Muslim of Chechen origin have been detained.")</f>
        <v>An 18-year-old youth named Abdulakh A died in police firing on Friday. 14 other people including the father of this young Muslim of Chechen origin have been detained.</v>
      </c>
      <c r="F1184" s="1"/>
      <c r="G1184" s="1"/>
      <c r="H1184" s="1"/>
      <c r="I1184" s="1"/>
    </row>
    <row r="1185" spans="1:9" ht="15.6" x14ac:dyDescent="0.3">
      <c r="A1185" s="1" t="s">
        <v>5</v>
      </c>
      <c r="B1185" s="1" t="s">
        <v>5</v>
      </c>
      <c r="C1185" s="10" t="s">
        <v>5</v>
      </c>
      <c r="D1185" s="5" t="s">
        <v>1172</v>
      </c>
      <c r="E1185" s="1" t="str">
        <f ca="1">IFERROR(__xludf.DUMMYFUNCTION("GOOGLETRANSLATE(D1185, ""bn"", ""en"")"),"In the language of the Assyrian Christians, the Aramaic word for God or Creator is ʼĔlāhā, or en:Alaha. Arabic-speaking people of all Abrahamic religions, including Christians and Jews, use the word Allah to refer to God.")</f>
        <v>In the language of the Assyrian Christians, the Aramaic word for God or Creator is ʼĔlāhā, or en:Alaha. Arabic-speaking people of all Abrahamic religions, including Christians and Jews, use the word Allah to refer to God.</v>
      </c>
      <c r="F1185" s="1"/>
      <c r="G1185" s="1"/>
      <c r="H1185" s="1"/>
      <c r="I1185" s="1"/>
    </row>
    <row r="1186" spans="1:9" ht="15.6" x14ac:dyDescent="0.3">
      <c r="A1186" s="1" t="s">
        <v>7</v>
      </c>
      <c r="B1186" s="1" t="s">
        <v>7</v>
      </c>
      <c r="C1186" s="10" t="s">
        <v>7</v>
      </c>
      <c r="D1186" s="5" t="s">
        <v>1173</v>
      </c>
      <c r="E1186" s="1" t="str">
        <f ca="1">IFERROR(__xludf.DUMMYFUNCTION("GOOGLETRANSLATE(D1186, ""bn"", ""en"")"),"In Hubli, Hindu-Muslim clashes broke out over the ownership of the Eidgah Maidan and many people were injured.")</f>
        <v>In Hubli, Hindu-Muslim clashes broke out over the ownership of the Eidgah Maidan and many people were injured.</v>
      </c>
      <c r="F1186" s="1"/>
      <c r="G1186" s="1"/>
      <c r="H1186" s="1"/>
      <c r="I1186" s="1"/>
    </row>
    <row r="1187" spans="1:9" ht="15.6" x14ac:dyDescent="0.3">
      <c r="A1187" s="1" t="s">
        <v>5</v>
      </c>
      <c r="B1187" s="1" t="s">
        <v>5</v>
      </c>
      <c r="C1187" s="10" t="s">
        <v>5</v>
      </c>
      <c r="D1187" s="5" t="s">
        <v>1174</v>
      </c>
      <c r="E1187" s="1" t="str">
        <f ca="1">IFERROR(__xludf.DUMMYFUNCTION("GOOGLETRANSLATE(D1187, ""bn"", ""en"")"),"Allah is not to inform you of the unseen; But Allah chooses whom He wills among His Messengers.")</f>
        <v>Allah is not to inform you of the unseen; But Allah chooses whom He wills among His Messengers.</v>
      </c>
      <c r="F1187" s="1"/>
      <c r="G1187" s="1"/>
      <c r="H1187" s="1"/>
      <c r="I1187" s="1"/>
    </row>
    <row r="1188" spans="1:9" ht="15.6" x14ac:dyDescent="0.3">
      <c r="A1188" s="1" t="s">
        <v>9</v>
      </c>
      <c r="B1188" s="1" t="s">
        <v>4</v>
      </c>
      <c r="C1188" s="10" t="s">
        <v>9</v>
      </c>
      <c r="D1188" s="5" t="s">
        <v>1175</v>
      </c>
      <c r="E1188" s="1" t="str">
        <f ca="1">IFERROR(__xludf.DUMMYFUNCTION("GOOGLETRANSLATE(D1188, ""bn"", ""en"")"),"Ashutosh Lahiri, general secretary of the Hindu Mahasabha, rushed to Chandpur after hearing the news of the helplessness of the Hindus of Noakhali at the hands of the Muslim rioters.")</f>
        <v>Ashutosh Lahiri, general secretary of the Hindu Mahasabha, rushed to Chandpur after hearing the news of the helplessness of the Hindus of Noakhali at the hands of the Muslim rioters.</v>
      </c>
      <c r="F1188" s="1"/>
      <c r="G1188" s="1"/>
      <c r="H1188" s="1"/>
      <c r="I1188" s="1"/>
    </row>
    <row r="1189" spans="1:9" ht="15.6" x14ac:dyDescent="0.3">
      <c r="A1189" s="1" t="s">
        <v>7</v>
      </c>
      <c r="B1189" s="1" t="s">
        <v>4</v>
      </c>
      <c r="C1189" s="10" t="s">
        <v>7</v>
      </c>
      <c r="D1189" s="5" t="s">
        <v>1176</v>
      </c>
      <c r="E1189" s="1" t="str">
        <f ca="1">IFERROR(__xludf.DUMMYFUNCTION("GOOGLETRANSLATE(D1189, ""bn"", ""en"")"),"When Navadwip Chandra Nath, a well-known local businessman, finally refused to leave the police station, the Muslims dragged him out of the police station. He was brutally beaten and stabbed to death there in public and his body was dragged to the north w"&amp;"ith his body tied on a rope.")</f>
        <v>When Navadwip Chandra Nath, a well-known local businessman, finally refused to leave the police station, the Muslims dragged him out of the police station. He was brutally beaten and stabbed to death there in public and his body was dragged to the north with his body tied on a rope.</v>
      </c>
      <c r="F1189" s="1"/>
      <c r="G1189" s="1"/>
      <c r="H1189" s="1"/>
      <c r="I1189" s="1"/>
    </row>
    <row r="1190" spans="1:9" ht="15.6" x14ac:dyDescent="0.3">
      <c r="A1190" s="1" t="s">
        <v>5</v>
      </c>
      <c r="B1190" s="1" t="s">
        <v>5</v>
      </c>
      <c r="C1190" s="10" t="s">
        <v>5</v>
      </c>
      <c r="D1190" s="5" t="s">
        <v>1177</v>
      </c>
      <c r="E1190" s="1" t="str">
        <f ca="1">IFERROR(__xludf.DUMMYFUNCTION("GOOGLETRANSLATE(D1190, ""bn"", ""en"")"),"""Recently several incidents related to religion have made the situation in India the focus of discussion.""")</f>
        <v>"Recently several incidents related to religion have made the situation in India the focus of discussion."</v>
      </c>
      <c r="F1190" s="1"/>
      <c r="G1190" s="1"/>
      <c r="H1190" s="1"/>
      <c r="I1190" s="1"/>
    </row>
    <row r="1191" spans="1:9" ht="15.6" x14ac:dyDescent="0.3">
      <c r="A1191" s="1" t="s">
        <v>4</v>
      </c>
      <c r="B1191" s="1" t="s">
        <v>4</v>
      </c>
      <c r="C1191" s="10" t="s">
        <v>4</v>
      </c>
      <c r="D1191" s="5" t="s">
        <v>1178</v>
      </c>
      <c r="E1191" s="1" t="str">
        <f ca="1">IFERROR(__xludf.DUMMYFUNCTION("GOOGLETRANSLATE(D1191, ""bn"", ""en"")"),"There was a very noble Hindu guru named Vasudev Sharma, who was highly respected by thousands of Hindu workers there. On the day of Eid-ul-Fitr, this innocent man was forced by the Muslims to eat beef.")</f>
        <v>There was a very noble Hindu guru named Vasudev Sharma, who was highly respected by thousands of Hindu workers there. On the day of Eid-ul-Fitr, this innocent man was forced by the Muslims to eat beef.</v>
      </c>
      <c r="F1191" s="1"/>
      <c r="G1191" s="1"/>
      <c r="H1191" s="1"/>
      <c r="I1191" s="1"/>
    </row>
    <row r="1192" spans="1:9" ht="15.6" x14ac:dyDescent="0.3">
      <c r="A1192" s="1" t="s">
        <v>7</v>
      </c>
      <c r="B1192" s="1" t="s">
        <v>7</v>
      </c>
      <c r="C1192" s="10" t="s">
        <v>7</v>
      </c>
      <c r="D1192" s="5" t="s">
        <v>1179</v>
      </c>
      <c r="E1192" s="1" t="str">
        <f ca="1">IFERROR(__xludf.DUMMYFUNCTION("GOOGLETRANSLATE(D1192, ""bn"", ""en"")")," Islamic laws and regulations prohibit suicide and consequently state that the suffering of the suicidal person will be continued according to the manner in which he commits suicide. ")</f>
        <v> Islamic laws and regulations prohibit suicide and consequently state that the suffering of the suicidal person will be continued according to the manner in which he commits suicide. </v>
      </c>
      <c r="F1192" s="1"/>
      <c r="G1192" s="1"/>
      <c r="H1192" s="1"/>
      <c r="I1192" s="1"/>
    </row>
    <row r="1193" spans="1:9" ht="15.6" x14ac:dyDescent="0.3">
      <c r="A1193" s="1" t="s">
        <v>9</v>
      </c>
      <c r="B1193" s="1" t="s">
        <v>4</v>
      </c>
      <c r="C1193" s="10" t="s">
        <v>9</v>
      </c>
      <c r="D1193" s="5" t="s">
        <v>1180</v>
      </c>
      <c r="E1193" s="1" t="str">
        <f ca="1">IFERROR(__xludf.DUMMYFUNCTION("GOOGLETRANSLATE(D1193, ""bn"", ""en"")"),"If you look into the matter, you will understand - maximum provocations are given by ambitious, civilized and demanding Maha Madrasodha. They are mostly Muslims. They are not satisfied with selling their own chutki (in pure language - buttocks) to enslave"&amp;" a special group, they are very enthusiastic about religious riots. ")</f>
        <v xml:space="preserve">If you look into the matter, you will understand - maximum provocations are given by ambitious, civilized and demanding Maha Madrasodha. They are mostly Muslims. They are not satisfied with selling their own chutki (in pure language - buttocks) to enslave a special group, they are very enthusiastic about religious riots. </v>
      </c>
      <c r="F1193" s="1"/>
      <c r="G1193" s="1"/>
      <c r="H1193" s="1"/>
      <c r="I1193" s="1"/>
    </row>
    <row r="1194" spans="1:9" ht="15.6" x14ac:dyDescent="0.3">
      <c r="A1194" s="1" t="s">
        <v>9</v>
      </c>
      <c r="B1194" s="1" t="s">
        <v>9</v>
      </c>
      <c r="C1194" s="10" t="s">
        <v>9</v>
      </c>
      <c r="D1194" s="5" t="s">
        <v>1181</v>
      </c>
      <c r="E1194" s="1" t="str">
        <f ca="1">IFERROR(__xludf.DUMMYFUNCTION("GOOGLETRANSLATE(D1194, ""bn"", ""en"")"),"What should be set fire to the house of the minority Hindu community? In fact, none can be truly human works Communal harmony between people of both Hindu and Muslim religions is being destroyed because of those who create little chaos.")</f>
        <v>What should be set fire to the house of the minority Hindu community? In fact, none can be truly human works Communal harmony between people of both Hindu and Muslim religions is being destroyed because of those who create little chaos.</v>
      </c>
      <c r="F1194" s="1"/>
      <c r="G1194" s="1"/>
      <c r="H1194" s="1"/>
      <c r="I1194" s="1"/>
    </row>
    <row r="1195" spans="1:9" ht="15.6" x14ac:dyDescent="0.3">
      <c r="A1195" s="1" t="s">
        <v>4</v>
      </c>
      <c r="B1195" s="1" t="s">
        <v>5</v>
      </c>
      <c r="C1195" s="10" t="s">
        <v>4</v>
      </c>
      <c r="D1195" s="5" t="s">
        <v>1182</v>
      </c>
      <c r="E1195" s="1" t="str">
        <f ca="1">IFERROR(__xludf.DUMMYFUNCTION("GOOGLETRANSLATE(D1195, ""bn"", ""en"")"),"In this movie, it will be shown that hero Dev has appeared in the fight against Islamic militancy. And as a symbol of militants, the flag covered with ink has been used. Islam is clearly being demonized here. Islam has been made a villain. which is delibe"&amp;"rate Islamophobia”.")</f>
        <v>In this movie, it will be shown that hero Dev has appeared in the fight against Islamic militancy. And as a symbol of militants, the flag covered with ink has been used. Islam is clearly being demonized here. Islam has been made a villain. which is deliberate Islamophobia”.</v>
      </c>
      <c r="F1195" s="1"/>
      <c r="G1195" s="1"/>
      <c r="H1195" s="1"/>
      <c r="I1195" s="1"/>
    </row>
    <row r="1196" spans="1:9" ht="15.6" x14ac:dyDescent="0.3">
      <c r="A1196" s="1" t="s">
        <v>7</v>
      </c>
      <c r="B1196" s="1" t="s">
        <v>7</v>
      </c>
      <c r="C1196" s="10" t="s">
        <v>7</v>
      </c>
      <c r="D1196" s="5" t="s">
        <v>1183</v>
      </c>
      <c r="E1196" s="1" t="str">
        <f ca="1">IFERROR(__xludf.DUMMYFUNCTION("GOOGLETRANSLATE(D1196, ""bn"", ""en"")"),"Within a few days of becoming a Muslim, the mother died of cancer. But Islam helps me to be patient. We can only turn to Allah in times of pain. Islam is the ultimate truth and complete way of life. It is the last truth and the last opportunity sent by Al"&amp;"lah to mankind.")</f>
        <v>Within a few days of becoming a Muslim, the mother died of cancer. But Islam helps me to be patient. We can only turn to Allah in times of pain. Islam is the ultimate truth and complete way of life. It is the last truth and the last opportunity sent by Allah to mankind.</v>
      </c>
      <c r="F1196" s="1"/>
      <c r="G1196" s="1"/>
      <c r="H1196" s="1"/>
      <c r="I1196" s="1"/>
    </row>
    <row r="1197" spans="1:9" ht="15.6" x14ac:dyDescent="0.3">
      <c r="A1197" s="1" t="s">
        <v>5</v>
      </c>
      <c r="B1197" s="1" t="s">
        <v>5</v>
      </c>
      <c r="C1197" s="10" t="s">
        <v>5</v>
      </c>
      <c r="D1197" s="5" t="s">
        <v>1184</v>
      </c>
      <c r="E1197" s="1" t="str">
        <f ca="1">IFERROR(__xludf.DUMMYFUNCTION("GOOGLETRANSLATE(D1197, ""bn"", ""en"")"),"Despite religious differences, if Hindus and Muslims live together in peace, they can respect each other's culture and traditions and create an atmosphere of harmony and harmony in the society.")</f>
        <v>Despite religious differences, if Hindus and Muslims live together in peace, they can respect each other's culture and traditions and create an atmosphere of harmony and harmony in the society.</v>
      </c>
      <c r="F1197" s="1"/>
      <c r="G1197" s="1"/>
      <c r="H1197" s="1"/>
      <c r="I1197" s="1"/>
    </row>
    <row r="1198" spans="1:9" ht="15.6" x14ac:dyDescent="0.3">
      <c r="A1198" s="1" t="s">
        <v>4</v>
      </c>
      <c r="B1198" s="1" t="s">
        <v>4</v>
      </c>
      <c r="C1198" s="10" t="s">
        <v>4</v>
      </c>
      <c r="D1198" s="5" t="s">
        <v>1185</v>
      </c>
      <c r="E1198" s="1" t="str">
        <f ca="1">IFERROR(__xludf.DUMMYFUNCTION("GOOGLETRANSLATE(D1198, ""bn"", ""en"")"),"This is the biggest lie because 99% Hindus of Bangladesh want Bangladesh to become part of India. They are in favor of India in everything.")</f>
        <v>This is the biggest lie because 99% Hindus of Bangladesh want Bangladesh to become part of India. They are in favor of India in everything.</v>
      </c>
      <c r="F1198" s="1"/>
      <c r="G1198" s="1"/>
      <c r="H1198" s="1"/>
      <c r="I1198" s="1"/>
    </row>
    <row r="1199" spans="1:9" ht="15.6" x14ac:dyDescent="0.3">
      <c r="A1199" s="1" t="s">
        <v>7</v>
      </c>
      <c r="B1199" s="1" t="s">
        <v>7</v>
      </c>
      <c r="C1199" s="10" t="s">
        <v>7</v>
      </c>
      <c r="D1199" s="5" t="s">
        <v>1186</v>
      </c>
      <c r="E1199" s="1" t="str">
        <f ca="1">IFERROR(__xludf.DUMMYFUNCTION("GOOGLETRANSLATE(D1199, ""bn"", ""en"")"),"They captured and brutally killed a woman named Bimala Sundari Pal. [32] Maiman Union Parishad President Barda Prasad Roy and 16 members of his family were brutally killed by the mad Muslims.[")</f>
        <v>They captured and brutally killed a woman named Bimala Sundari Pal. [32] Maiman Union Parishad President Barda Prasad Roy and 16 members of his family were brutally killed by the mad Muslims.[</v>
      </c>
      <c r="F1199" s="1"/>
      <c r="G1199" s="1"/>
      <c r="H1199" s="1"/>
      <c r="I1199" s="1"/>
    </row>
    <row r="1200" spans="1:9" ht="15.6" x14ac:dyDescent="0.3">
      <c r="A1200" s="1" t="s">
        <v>9</v>
      </c>
      <c r="B1200" s="1" t="s">
        <v>9</v>
      </c>
      <c r="C1200" s="10" t="s">
        <v>9</v>
      </c>
      <c r="D1200" s="5" t="s">
        <v>1187</v>
      </c>
      <c r="E1200" s="1" t="str">
        <f ca="1">IFERROR(__xludf.DUMMYFUNCTION("GOOGLETRANSLATE(D1200, ""bn"", ""en"")"),"May Allah guide those who have read our Holy Qur'an or destroy them with wrath")</f>
        <v>May Allah guide those who have read our Holy Qur'an or destroy them with wrath</v>
      </c>
      <c r="F1200" s="1"/>
      <c r="G1200" s="1"/>
      <c r="H1200" s="1"/>
      <c r="I1200" s="1"/>
    </row>
    <row r="1201" spans="1:9" ht="15.6" x14ac:dyDescent="0.3">
      <c r="A1201" s="1" t="s">
        <v>7</v>
      </c>
      <c r="B1201" s="1" t="s">
        <v>7</v>
      </c>
      <c r="C1201" s="10" t="s">
        <v>7</v>
      </c>
      <c r="D1201" s="5" t="s">
        <v>1188</v>
      </c>
      <c r="E1201" s="1" t="str">
        <f ca="1">IFERROR(__xludf.DUMMYFUNCTION("GOOGLETRANSLATE(D1201, ""bn"", ""en"")"),"The Muslim League side's view, partially upheld in Bangladesh, the successor state of East Pakistan, is that in reality the Congress and Hindus used the opportunity offered by Sangmar Day to directly teach Muslims in Calcutta and massacre them in large nu"&amp;"mbers.")</f>
        <v>The Muslim League side's view, partially upheld in Bangladesh, the successor state of East Pakistan, is that in reality the Congress and Hindus used the opportunity offered by Sangmar Day to directly teach Muslims in Calcutta and massacre them in large numbers.</v>
      </c>
      <c r="F1201" s="1"/>
      <c r="G1201" s="1"/>
      <c r="H1201" s="1"/>
      <c r="I1201" s="1"/>
    </row>
    <row r="1202" spans="1:9" ht="15.6" x14ac:dyDescent="0.3">
      <c r="A1202" s="1" t="s">
        <v>7</v>
      </c>
      <c r="B1202" s="1" t="s">
        <v>7</v>
      </c>
      <c r="C1202" s="10" t="s">
        <v>7</v>
      </c>
      <c r="D1202" s="5" t="s">
        <v>1189</v>
      </c>
      <c r="E1202" s="1" t="str">
        <f ca="1">IFERROR(__xludf.DUMMYFUNCTION("GOOGLETRANSLATE(D1202, ""bn"", ""en"")"),"He wrote, ""Communal terrorists who killed Advocate Saiful Islam Alif must be severely punished."" The interim government has since the beginning seriously considered the demands of the minority communities. But Chinmoy Krishna Das was trying to create co"&amp;"mmunal division by making false and inflammatory statements in various meetings.'")</f>
        <v>He wrote, "Communal terrorists who killed Advocate Saiful Islam Alif must be severely punished." The interim government has since the beginning seriously considered the demands of the minority communities. But Chinmoy Krishna Das was trying to create communal division by making false and inflammatory statements in various meetings.'</v>
      </c>
      <c r="F1202" s="1"/>
      <c r="G1202" s="1"/>
      <c r="H1202" s="1"/>
      <c r="I1202" s="1"/>
    </row>
    <row r="1203" spans="1:9" ht="15.6" x14ac:dyDescent="0.3">
      <c r="A1203" s="1" t="s">
        <v>9</v>
      </c>
      <c r="B1203" s="1" t="s">
        <v>9</v>
      </c>
      <c r="C1203" s="10" t="s">
        <v>9</v>
      </c>
      <c r="D1203" s="5" t="s">
        <v>1190</v>
      </c>
      <c r="E1203" s="1" t="str">
        <f ca="1">IFERROR(__xludf.DUMMYFUNCTION("GOOGLETRANSLATE(D1203, ""bn"", ""en"")"),"One after another, people turned out to be a crowd in a large area from Dainik Bangla Mor to Paltan to Vijay Nagar. Some organizations have made temporary stages on the road and gathered at different ends of the road. The marchers were saying that they ar"&amp;"e not willing to accept the insult of the Prophet of Islam in any way.")</f>
        <v>One after another, people turned out to be a crowd in a large area from Dainik Bangla Mor to Paltan to Vijay Nagar. Some organizations have made temporary stages on the road and gathered at different ends of the road. The marchers were saying that they are not willing to accept the insult of the Prophet of Islam in any way.</v>
      </c>
      <c r="F1203" s="1"/>
      <c r="G1203" s="1"/>
      <c r="H1203" s="1"/>
      <c r="I1203" s="1"/>
    </row>
    <row r="1204" spans="1:9" ht="15.6" x14ac:dyDescent="0.3">
      <c r="A1204" s="1" t="s">
        <v>7</v>
      </c>
      <c r="B1204" s="1" t="s">
        <v>7</v>
      </c>
      <c r="C1204" s="10" t="s">
        <v>7</v>
      </c>
      <c r="D1204" s="5" t="s">
        <v>1191</v>
      </c>
      <c r="E1204" s="1" t="str">
        <f ca="1">IFERROR(__xludf.DUMMYFUNCTION("GOOGLETRANSLATE(D1204, ""bn"", ""en"")"),"Six people were killed in an explosion outside a mosque in Maharashtra's Malegaon, which an investigation revealed was carried out by members of a Hindutva outfit.")</f>
        <v>Six people were killed in an explosion outside a mosque in Maharashtra's Malegaon, which an investigation revealed was carried out by members of a Hindutva outfit.</v>
      </c>
      <c r="F1204" s="1"/>
      <c r="G1204" s="1"/>
      <c r="H1204" s="1"/>
      <c r="I1204" s="1"/>
    </row>
    <row r="1205" spans="1:9" ht="15.6" x14ac:dyDescent="0.3">
      <c r="A1205" s="1" t="s">
        <v>4</v>
      </c>
      <c r="B1205" s="1" t="s">
        <v>5</v>
      </c>
      <c r="C1205" s="10" t="s">
        <v>4</v>
      </c>
      <c r="D1205" s="5" t="s">
        <v>1192</v>
      </c>
      <c r="E1205" s="1" t="str">
        <f ca="1">IFERROR(__xludf.DUMMYFUNCTION("GOOGLETRANSLATE(D1205, ""bn"", ""en"")"),"In the media world, feminism is presented as a radical subculture to young women. Due to which mixed culture is created. Selling identity or individuality and borrowing this bad culture is the business policy of the West.")</f>
        <v>In the media world, feminism is presented as a radical subculture to young women. Due to which mixed culture is created. Selling identity or individuality and borrowing this bad culture is the business policy of the West.</v>
      </c>
      <c r="F1205" s="1"/>
      <c r="G1205" s="1"/>
      <c r="H1205" s="1"/>
      <c r="I1205" s="1"/>
    </row>
    <row r="1206" spans="1:9" ht="15.6" x14ac:dyDescent="0.3">
      <c r="A1206" s="1" t="s">
        <v>9</v>
      </c>
      <c r="B1206" s="1" t="s">
        <v>9</v>
      </c>
      <c r="C1206" s="10" t="s">
        <v>9</v>
      </c>
      <c r="D1206" s="5" t="s">
        <v>1193</v>
      </c>
      <c r="E1206" s="1" t="str">
        <f ca="1">IFERROR(__xludf.DUMMYFUNCTION("GOOGLETRANSLATE(D1206, ""bn"", ""en"")"),"Tensions have spread across the city, with shops being forced to close, and reports of stone and brick pelting and stabbings. These incidents were mainly concentrated in the north-central parts of the city like Rajabazar, Kalabagan, College Street, Harris"&amp;"on Road (now Mahatma Gandhi Road), Kolutola and Barbazar.")</f>
        <v>Tensions have spread across the city, with shops being forced to close, and reports of stone and brick pelting and stabbings. These incidents were mainly concentrated in the north-central parts of the city like Rajabazar, Kalabagan, College Street, Harrison Road (now Mahatma Gandhi Road), Kolutola and Barbazar.</v>
      </c>
      <c r="F1206" s="1"/>
      <c r="G1206" s="1"/>
      <c r="H1206" s="1"/>
      <c r="I1206" s="1"/>
    </row>
    <row r="1207" spans="1:9" ht="15.6" x14ac:dyDescent="0.3">
      <c r="A1207" s="1" t="s">
        <v>9</v>
      </c>
      <c r="B1207" s="1" t="s">
        <v>4</v>
      </c>
      <c r="C1207" s="10" t="s">
        <v>9</v>
      </c>
      <c r="D1207" s="5" t="s">
        <v>1194</v>
      </c>
      <c r="E1207" s="1" t="str">
        <f ca="1">IFERROR(__xludf.DUMMYFUNCTION("GOOGLETRANSLATE(D1207, ""bn"", ""en"")"),"In Western India, there are many examples of mosques-madrasas being bulldozed even when the papers are in order. In the same way, in Bangladesh even though the documents are correct, Muslims are not able to protect their mosques.")</f>
        <v>In Western India, there are many examples of mosques-madrasas being bulldozed even when the papers are in order. In the same way, in Bangladesh even though the documents are correct, Muslims are not able to protect their mosques.</v>
      </c>
      <c r="F1207" s="1"/>
      <c r="G1207" s="1"/>
      <c r="H1207" s="1"/>
      <c r="I1207" s="1"/>
    </row>
    <row r="1208" spans="1:9" ht="15.6" x14ac:dyDescent="0.3">
      <c r="A1208" s="1" t="s">
        <v>4</v>
      </c>
      <c r="B1208" s="1" t="s">
        <v>4</v>
      </c>
      <c r="C1208" s="10" t="s">
        <v>4</v>
      </c>
      <c r="D1208" s="5" t="s">
        <v>1195</v>
      </c>
      <c r="E1208" s="1" t="str">
        <f ca="1">IFERROR(__xludf.DUMMYFUNCTION("GOOGLETRANSLATE(D1208, ""bn"", ""en"")"),"The telecommunications regulatory authority in Pakistan has blocked the website for allegedly failing to remove defamatory content from the online encyclopedia Wikipedia.")</f>
        <v>The telecommunications regulatory authority in Pakistan has blocked the website for allegedly failing to remove defamatory content from the online encyclopedia Wikipedia.</v>
      </c>
      <c r="F1208" s="1"/>
      <c r="G1208" s="1"/>
      <c r="H1208" s="1"/>
      <c r="I1208" s="1"/>
    </row>
    <row r="1209" spans="1:9" ht="15.6" x14ac:dyDescent="0.3">
      <c r="A1209" s="1" t="s">
        <v>9</v>
      </c>
      <c r="B1209" s="1" t="s">
        <v>5</v>
      </c>
      <c r="C1209" s="10" t="s">
        <v>9</v>
      </c>
      <c r="D1209" s="5" t="s">
        <v>1196</v>
      </c>
      <c r="E1209" s="1" t="str">
        <f ca="1">IFERROR(__xludf.DUMMYFUNCTION("GOOGLETRANSLATE(D1209, ""bn"", ""en"")"),"'Modi has destroyed more temples than Aurangzeb'")</f>
        <v>'Modi has destroyed more temples than Aurangzeb'</v>
      </c>
      <c r="F1209" s="1"/>
      <c r="G1209" s="1"/>
      <c r="H1209" s="1"/>
      <c r="I1209" s="1"/>
    </row>
    <row r="1210" spans="1:9" ht="15.6" x14ac:dyDescent="0.3">
      <c r="A1210" s="1" t="s">
        <v>7</v>
      </c>
      <c r="B1210" s="1" t="s">
        <v>7</v>
      </c>
      <c r="C1210" s="10" t="s">
        <v>7</v>
      </c>
      <c r="D1210" s="5" t="s">
        <v>1197</v>
      </c>
      <c r="E1210" s="1" t="str">
        <f ca="1">IFERROR(__xludf.DUMMYFUNCTION("GOOGLETRANSLATE(D1210, ""bn"", ""en"")"),"ISIS militants carried out a massacre of the Yazidi community, killing thousands and enslaving many women.")</f>
        <v>ISIS militants carried out a massacre of the Yazidi community, killing thousands and enslaving many women.</v>
      </c>
      <c r="F1210" s="1"/>
      <c r="G1210" s="1"/>
      <c r="H1210" s="1"/>
      <c r="I1210" s="1"/>
    </row>
    <row r="1211" spans="1:9" ht="15.6" x14ac:dyDescent="0.3">
      <c r="A1211" s="4" t="s">
        <v>7</v>
      </c>
      <c r="B1211" s="4" t="s">
        <v>7</v>
      </c>
      <c r="C1211" s="11" t="s">
        <v>7</v>
      </c>
      <c r="D1211" s="5" t="s">
        <v>1198</v>
      </c>
      <c r="E1211" s="1" t="str">
        <f ca="1">IFERROR(__xludf.DUMMYFUNCTION("GOOGLETRANSLATE(D1211, ""bn"", ""en"")")," Other reports put the death toll at around 100 and suggested more than 40 women were sexually assaulted and many Christians were forced to convert to Hinduism under threats of violence.")</f>
        <v xml:space="preserve"> Other reports put the death toll at around 100 and suggested more than 40 women were sexually assaulted and many Christians were forced to convert to Hinduism under threats of violence.</v>
      </c>
      <c r="F1211" s="1"/>
      <c r="G1211" s="1"/>
      <c r="H1211" s="1"/>
      <c r="I1211" s="1"/>
    </row>
    <row r="1212" spans="1:9" ht="15.6" x14ac:dyDescent="0.3">
      <c r="A1212" s="1" t="s">
        <v>9</v>
      </c>
      <c r="B1212" s="1" t="s">
        <v>9</v>
      </c>
      <c r="C1212" s="10" t="s">
        <v>9</v>
      </c>
      <c r="D1212" s="5" t="s">
        <v>1199</v>
      </c>
      <c r="E1212" s="1" t="str">
        <f ca="1">IFERROR(__xludf.DUMMYFUNCTION("GOOGLETRANSLATE(D1212, ""bn"", ""en"")"),"If there is any misdeed, everyone will protest against it. Any drunken chat, robbery, rape will be publicly protested. But no one should be prevented from practicing religion.")</f>
        <v>If there is any misdeed, everyone will protest against it. Any drunken chat, robbery, rape will be publicly protested. But no one should be prevented from practicing religion.</v>
      </c>
      <c r="F1212" s="1"/>
      <c r="G1212" s="1"/>
      <c r="H1212" s="1"/>
      <c r="I1212" s="1"/>
    </row>
    <row r="1213" spans="1:9" ht="15.6" x14ac:dyDescent="0.3">
      <c r="A1213" s="1" t="s">
        <v>5</v>
      </c>
      <c r="B1213" s="1" t="s">
        <v>5</v>
      </c>
      <c r="C1213" s="10" t="s">
        <v>5</v>
      </c>
      <c r="D1213" s="5" t="s">
        <v>1200</v>
      </c>
      <c r="E1213" s="1" t="str">
        <f ca="1">IFERROR(__xludf.DUMMYFUNCTION("GOOGLETRANSLATE(D1213, ""bn"", ""en"")"),"According to Allah's law, animals should be cared for, as they benefit humans by providing food, transport and companionship.")</f>
        <v>According to Allah's law, animals should be cared for, as they benefit humans by providing food, transport and companionship.</v>
      </c>
      <c r="F1213" s="1"/>
      <c r="G1213" s="1"/>
      <c r="H1213" s="1"/>
      <c r="I1213" s="1"/>
    </row>
    <row r="1214" spans="1:9" ht="15.6" x14ac:dyDescent="0.3">
      <c r="A1214" s="1" t="s">
        <v>5</v>
      </c>
      <c r="B1214" s="1" t="s">
        <v>5</v>
      </c>
      <c r="C1214" s="10" t="s">
        <v>5</v>
      </c>
      <c r="D1214" s="5" t="s">
        <v>1201</v>
      </c>
      <c r="E1214" s="1" t="str">
        <f ca="1">IFERROR(__xludf.DUMMYFUNCTION("GOOGLETRANSLATE(D1214, ""bn"", ""en"")"),"Messiah, according to the Cambridge Dictionary, refers to a Jewish king sent by God. For Christians, the Messiah is Jesus Christ, who is known to Muslims as Prophet Jesus (PBUH).")</f>
        <v>Messiah, according to the Cambridge Dictionary, refers to a Jewish king sent by God. For Christians, the Messiah is Jesus Christ, who is known to Muslims as Prophet Jesus (PBUH).</v>
      </c>
      <c r="F1214" s="1"/>
      <c r="G1214" s="1"/>
      <c r="H1214" s="1"/>
      <c r="I1214" s="1"/>
    </row>
    <row r="1215" spans="1:9" ht="15.6" x14ac:dyDescent="0.3">
      <c r="A1215" s="1" t="s">
        <v>9</v>
      </c>
      <c r="B1215" s="1" t="s">
        <v>9</v>
      </c>
      <c r="C1215" s="10" t="s">
        <v>9</v>
      </c>
      <c r="D1215" s="5" t="s">
        <v>1202</v>
      </c>
      <c r="E1215" s="1" t="str">
        <f ca="1">IFERROR(__xludf.DUMMYFUNCTION("GOOGLETRANSLATE(D1215, ""bn"", ""en"")"),"The soil of the earth does not accept unjust tyranny for long. Any oppressed people and nation will not stupidly accept unjust oppression until they have a drop of blood in their body.")</f>
        <v>The soil of the earth does not accept unjust tyranny for long. Any oppressed people and nation will not stupidly accept unjust oppression until they have a drop of blood in their body.</v>
      </c>
      <c r="F1215" s="1"/>
      <c r="G1215" s="1"/>
      <c r="H1215" s="1"/>
      <c r="I1215" s="1"/>
    </row>
    <row r="1216" spans="1:9" ht="15.6" x14ac:dyDescent="0.3">
      <c r="A1216" s="1" t="s">
        <v>9</v>
      </c>
      <c r="B1216" s="1" t="s">
        <v>9</v>
      </c>
      <c r="C1216" s="10" t="s">
        <v>9</v>
      </c>
      <c r="D1216" s="5" t="s">
        <v>1203</v>
      </c>
      <c r="E1216" s="1" t="str">
        <f ca="1">IFERROR(__xludf.DUMMYFUNCTION("GOOGLETRANSLATE(D1216, ""bn"", ""en"")"),"In 1990, large-scale communal riots broke out in the Gonda district of Uttar Pradesh, India, over disputes over mosques and temples.")</f>
        <v>In 1990, large-scale communal riots broke out in the Gonda district of Uttar Pradesh, India, over disputes over mosques and temples.</v>
      </c>
      <c r="F1216" s="1"/>
      <c r="G1216" s="1"/>
      <c r="H1216" s="1"/>
      <c r="I1216" s="1"/>
    </row>
    <row r="1217" spans="1:9" ht="15.6" x14ac:dyDescent="0.3">
      <c r="A1217" s="1" t="s">
        <v>4</v>
      </c>
      <c r="B1217" s="1" t="s">
        <v>4</v>
      </c>
      <c r="C1217" s="10" t="s">
        <v>4</v>
      </c>
      <c r="D1217" s="5" t="s">
        <v>1204</v>
      </c>
      <c r="E1217" s="1" t="str">
        <f ca="1">IFERROR(__xludf.DUMMYFUNCTION("GOOGLETRANSLATE(D1217, ""bn"", ""en"")"),"The way the man in the temple told his father that you are not his father. Even they wanted to take the body to Benares. Many questions remain unanswered.")</f>
        <v>The way the man in the temple told his father that you are not his father. Even they wanted to take the body to Benares. Many questions remain unanswered.</v>
      </c>
      <c r="F1217" s="1"/>
      <c r="G1217" s="1"/>
      <c r="H1217" s="1"/>
      <c r="I1217" s="1"/>
    </row>
    <row r="1218" spans="1:9" ht="62.4" x14ac:dyDescent="0.3">
      <c r="A1218" s="1" t="s">
        <v>9</v>
      </c>
      <c r="B1218" s="1" t="s">
        <v>9</v>
      </c>
      <c r="C1218" s="10" t="s">
        <v>9</v>
      </c>
      <c r="D1218" s="6" t="s">
        <v>3994</v>
      </c>
      <c r="E1218" s="1" t="str">
        <f ca="1">IFERROR(__xludf.DUMMYFUNCTION("GOOGLETRANSLATE(D1218, ""bn"", ""en"")"),"On the night of October 13, 7 temples of Gunaigach, Ulipur Upazila of Kurigram, Thetrai Union, Nefra Sri Sri Durga Mandir, Hokdanga Bharatpara Universal Durga Temple, West Kaludanga Brahmanpara Durga Temple, West Kaludanga Universal Durga Temple, Thetrai "&amp;"Fasidah Bazar Universal Durga Mandir, Old Hatia, alleging desecration of Quran at Comilla's pujamandap. Muslim extremists attacked, vandalized and set fire to Anantapur Bazar Sarvajanin Durga Mandir and Hatia Bhavesh Namadas Para Durga Sarvajanin Temple.")</f>
        <v>On the night of October 13, 7 temples of Gunaigach, Ulipur Upazila of Kurigram, Thetrai Union, Nefra Sri Sri Durga Mandir, Hokdanga Bharatpara Universal Durga Temple, West Kaludanga Brahmanpara Durga Temple, West Kaludanga Universal Durga Temple, Thetrai Fasidah Bazar Universal Durga Mandir, Old Hatia, alleging desecration of Quran at Comilla's pujamandap. Muslim extremists attacked, vandalized and set fire to Anantapur Bazar Sarvajanin Durga Mandir and Hatia Bhavesh Namadas Para Durga Sarvajanin Temple.</v>
      </c>
      <c r="F1218" s="1"/>
      <c r="G1218" s="1"/>
      <c r="H1218" s="1"/>
      <c r="I1218" s="1"/>
    </row>
    <row r="1219" spans="1:9" ht="31.2" x14ac:dyDescent="0.3">
      <c r="A1219" s="1" t="s">
        <v>9</v>
      </c>
      <c r="B1219" s="1" t="s">
        <v>9</v>
      </c>
      <c r="C1219" s="10" t="s">
        <v>9</v>
      </c>
      <c r="D1219" s="6" t="s">
        <v>3993</v>
      </c>
      <c r="E1219" s="1" t="str">
        <f ca="1">IFERROR(__xludf.DUMMYFUNCTION("GOOGLETRANSLATE(D1219, ""bn"", ""en"")"),"Activists of Jamaat-e-Islami and its student wing Islami Chhatra Shibir attacked a Hindu temple and destroyed Hindu-owned businesses in Gaibandha district on 28 February.")</f>
        <v>Activists of Jamaat-e-Islami and its student wing Islami Chhatra Shibir attacked a Hindu temple and destroyed Hindu-owned businesses in Gaibandha district on 28 February.</v>
      </c>
      <c r="F1219" s="1"/>
      <c r="G1219" s="1"/>
      <c r="H1219" s="1"/>
      <c r="I1219" s="1"/>
    </row>
    <row r="1220" spans="1:9" ht="31.2" x14ac:dyDescent="0.3">
      <c r="A1220" s="1" t="s">
        <v>7</v>
      </c>
      <c r="B1220" s="1" t="s">
        <v>7</v>
      </c>
      <c r="C1220" s="10" t="s">
        <v>7</v>
      </c>
      <c r="D1220" s="6" t="s">
        <v>3992</v>
      </c>
      <c r="E1220" s="1" t="str">
        <f ca="1">IFERROR(__xludf.DUMMYFUNCTION("GOOGLETRANSLATE(D1220, ""bn"", ""en"")"),"98 citizens of religious minorities were brutally killed in the outgoing year. The number of injured is 357. Bangladesh National Hindu Mahazot published this information a day before the end of the year after reviewing and analyzing the information publis"&amp;"hed in the media.")</f>
        <v>98 citizens of religious minorities were brutally killed in the outgoing year. The number of injured is 357. Bangladesh National Hindu Mahazot published this information a day before the end of the year after reviewing and analyzing the information published in the media.</v>
      </c>
      <c r="F1220" s="1"/>
      <c r="G1220" s="1"/>
      <c r="H1220" s="1"/>
      <c r="I1220" s="1"/>
    </row>
    <row r="1221" spans="1:9" ht="15.6" x14ac:dyDescent="0.3">
      <c r="A1221" s="1" t="s">
        <v>7</v>
      </c>
      <c r="B1221" s="1" t="s">
        <v>7</v>
      </c>
      <c r="C1221" s="10" t="s">
        <v>7</v>
      </c>
      <c r="D1221" s="5" t="s">
        <v>1205</v>
      </c>
      <c r="E1221" s="1" t="str">
        <f ca="1">IFERROR(__xludf.DUMMYFUNCTION("GOOGLETRANSLATE(D1221, ""bn"", ""en"")"),"Death is the end of worldly life and the gateway to the Hereafter.")</f>
        <v>Death is the end of worldly life and the gateway to the Hereafter.</v>
      </c>
      <c r="F1221" s="1"/>
      <c r="G1221" s="1"/>
      <c r="H1221" s="1"/>
      <c r="I1221" s="1"/>
    </row>
    <row r="1222" spans="1:9" ht="31.2" x14ac:dyDescent="0.3">
      <c r="A1222" s="1" t="s">
        <v>5</v>
      </c>
      <c r="B1222" s="1" t="s">
        <v>5</v>
      </c>
      <c r="C1222" s="10" t="s">
        <v>5</v>
      </c>
      <c r="D1222" s="6" t="s">
        <v>3991</v>
      </c>
      <c r="E1222" s="1" t="str">
        <f ca="1">IFERROR(__xludf.DUMMYFUNCTION("GOOGLETRANSLATE(D1222, ""bn"", ""en"")"),"In Jewish scriptures, the word Elohim is used as a descriptive name for God (called Yahweh or Jehova in Judaism). At the same time, the term has also been used over time to refer to pagan gods.")</f>
        <v>In Jewish scriptures, the word Elohim is used as a descriptive name for God (called Yahweh or Jehova in Judaism). At the same time, the term has also been used over time to refer to pagan gods.</v>
      </c>
      <c r="F1222" s="1"/>
      <c r="G1222" s="1"/>
      <c r="H1222" s="1"/>
      <c r="I1222" s="1"/>
    </row>
    <row r="1223" spans="1:9" ht="15.6" x14ac:dyDescent="0.3">
      <c r="A1223" s="1" t="s">
        <v>4</v>
      </c>
      <c r="B1223" s="1" t="s">
        <v>5</v>
      </c>
      <c r="C1223" s="10" t="s">
        <v>4</v>
      </c>
      <c r="D1223" s="5" t="s">
        <v>1206</v>
      </c>
      <c r="E1223" s="1" t="str">
        <f ca="1">IFERROR(__xludf.DUMMYFUNCTION("GOOGLETRANSLATE(D1223, ""bn"", ""en"")"),"Atheists slander another woman as the handmaiden of Muhammad (pbuh). She is the mother of all Muslims, Hazrat Rayhana (RA). ")</f>
        <v xml:space="preserve">Atheists slander another woman as the handmaiden of Muhammad (pbuh). She is the mother of all Muslims, Hazrat Rayhana (RA). </v>
      </c>
      <c r="F1223" s="1"/>
      <c r="G1223" s="1"/>
      <c r="H1223" s="1"/>
      <c r="I1223" s="1"/>
    </row>
    <row r="1224" spans="1:9" ht="15.6" x14ac:dyDescent="0.3">
      <c r="A1224" s="1" t="s">
        <v>7</v>
      </c>
      <c r="B1224" s="1" t="s">
        <v>7</v>
      </c>
      <c r="C1224" s="10" t="s">
        <v>7</v>
      </c>
      <c r="D1224" s="5" t="s">
        <v>1207</v>
      </c>
      <c r="E1224" s="1" t="str">
        <f ca="1">IFERROR(__xludf.DUMMYFUNCTION("GOOGLETRANSLATE(D1224, ""bn"", ""en"")"),"Islamic State militants killed 32 people in suicide attacks at the Brussels airport and metro station.")</f>
        <v>Islamic State militants killed 32 people in suicide attacks at the Brussels airport and metro station.</v>
      </c>
      <c r="F1224" s="1"/>
      <c r="G1224" s="1"/>
      <c r="H1224" s="1"/>
      <c r="I1224" s="1"/>
    </row>
    <row r="1225" spans="1:9" ht="46.8" x14ac:dyDescent="0.3">
      <c r="A1225" s="1" t="s">
        <v>9</v>
      </c>
      <c r="B1225" s="1" t="s">
        <v>9</v>
      </c>
      <c r="C1225" s="10" t="s">
        <v>9</v>
      </c>
      <c r="D1225" s="6" t="s">
        <v>3990</v>
      </c>
      <c r="E1225" s="1" t="str">
        <f ca="1">IFERROR(__xludf.DUMMYFUNCTION("GOOGLETRANSLATE(D1225, ""bn"", ""en"")"),"After the fall of Sheikh Hasina's government, besides Awami League's Hindu leaders and activists, hundreds of minority families have been attacked. Communal attacks in the capital, Chittagong metropolis and divisional cities are not much, but in the rural"&amp;" areas, especially Jessore, Khulna, Bagerhat, Satkhira districts, there has been torture and persecution.")</f>
        <v>After the fall of Sheikh Hasina's government, besides Awami League's Hindu leaders and activists, hundreds of minority families have been attacked. Communal attacks in the capital, Chittagong metropolis and divisional cities are not much, but in the rural areas, especially Jessore, Khulna, Bagerhat, Satkhira districts, there has been torture and persecution.</v>
      </c>
      <c r="F1225" s="1"/>
      <c r="G1225" s="1"/>
      <c r="H1225" s="1"/>
      <c r="I1225" s="1"/>
    </row>
    <row r="1226" spans="1:9" ht="15.6" x14ac:dyDescent="0.3">
      <c r="A1226" s="1" t="s">
        <v>4</v>
      </c>
      <c r="B1226" s="1" t="s">
        <v>5</v>
      </c>
      <c r="C1226" s="10" t="s">
        <v>4</v>
      </c>
      <c r="D1226" s="5" t="s">
        <v>1208</v>
      </c>
      <c r="E1226" s="1" t="str">
        <f ca="1">IFERROR(__xludf.DUMMYFUNCTION("GOOGLETRANSLATE(D1226, ""bn"", ""en"")"),"It is a humble request to all respected members that we will try not to share any controversial religious posts here, be it of any religion.")</f>
        <v>It is a humble request to all respected members that we will try not to share any controversial religious posts here, be it of any religion.</v>
      </c>
      <c r="F1226" s="1"/>
      <c r="G1226" s="1"/>
      <c r="H1226" s="1"/>
      <c r="I1226" s="1"/>
    </row>
    <row r="1227" spans="1:9" ht="17.399999999999999" x14ac:dyDescent="0.3">
      <c r="A1227" s="1" t="s">
        <v>5</v>
      </c>
      <c r="B1227" s="1" t="s">
        <v>5</v>
      </c>
      <c r="C1227" s="10" t="s">
        <v>5</v>
      </c>
      <c r="D1227" s="5" t="s">
        <v>3503</v>
      </c>
      <c r="E1227" s="1" t="str">
        <f ca="1">IFERROR(__xludf.DUMMYFUNCTION("GOOGLETRANSLATE(D1227, ""bn"", ""en"")"),"The name Muhammad is derived from the Arabic word ""hamd"", meaning ""praise"".[26] ""Muhammad"" means ""praised"", ""one who receives praise"", ""one who is worthy of praise"".[25] Muslims also call him ""Mustafa"", ""Mahmud"" and ""Ahmad"".")</f>
        <v>The name Muhammad is derived from the Arabic word "hamd", meaning "praise".[26] "Muhammad" means "praised", "one who receives praise", "one who is worthy of praise".[25] Muslims also call him "Mustafa", "Mahmud" and "Ahmad".</v>
      </c>
      <c r="F1227" s="1"/>
      <c r="G1227" s="1"/>
      <c r="H1227" s="1"/>
      <c r="I1227" s="1"/>
    </row>
    <row r="1228" spans="1:9" ht="15.6" x14ac:dyDescent="0.3">
      <c r="A1228" s="1" t="s">
        <v>7</v>
      </c>
      <c r="B1228" s="1" t="s">
        <v>7</v>
      </c>
      <c r="C1228" s="10" t="s">
        <v>7</v>
      </c>
      <c r="D1228" s="5" t="s">
        <v>1209</v>
      </c>
      <c r="E1228" s="1" t="str">
        <f ca="1">IFERROR(__xludf.DUMMYFUNCTION("GOOGLETRANSLATE(D1228, ""bn"", ""en"")"),"Bangladesh Hindu Buddhist Christian Oikya Parishad recently held a press conference on the information given by the Bangladesh Hindu Buddhist Christian Oikya Parishad that 23 people were killed in communal violence in the last five months. It was claimed "&amp;"that the details of an incident were not available")</f>
        <v>Bangladesh Hindu Buddhist Christian Oikya Parishad recently held a press conference on the information given by the Bangladesh Hindu Buddhist Christian Oikya Parishad that 23 people were killed in communal violence in the last five months. It was claimed that the details of an incident were not available</v>
      </c>
      <c r="F1228" s="1"/>
      <c r="G1228" s="1"/>
      <c r="H1228" s="1"/>
      <c r="I1228" s="1"/>
    </row>
    <row r="1229" spans="1:9" ht="62.4" x14ac:dyDescent="0.3">
      <c r="A1229" s="1" t="s">
        <v>7</v>
      </c>
      <c r="B1229" s="1" t="s">
        <v>4</v>
      </c>
      <c r="C1229" s="10" t="s">
        <v>7</v>
      </c>
      <c r="D1229" s="6" t="s">
        <v>3987</v>
      </c>
      <c r="E1229" s="1" t="str">
        <f ca="1">IFERROR(__xludf.DUMMYFUNCTION("GOOGLETRANSLATE(D1229, ""bn"", ""en"")"),"The worst of the massacres took place during the day on 17th August. By late afternoon, troops had taken control of the worst-hit areas, and the military expanded its hold overnight. At that time, law and order was deteriorating and riots were increasing "&amp;"hour by hour in the slums and other areas that were out of military control. Buses and taxis filled with Sikhs and Hindus launched a resistance attack on the morning of August 18 with swords, iron rods and firearms.")</f>
        <v>The worst of the massacres took place during the day on 17th August. By late afternoon, troops had taken control of the worst-hit areas, and the military expanded its hold overnight. At that time, law and order was deteriorating and riots were increasing hour by hour in the slums and other areas that were out of military control. Buses and taxis filled with Sikhs and Hindus launched a resistance attack on the morning of August 18 with swords, iron rods and firearms.</v>
      </c>
      <c r="F1229" s="1"/>
      <c r="G1229" s="1"/>
      <c r="H1229" s="1"/>
      <c r="I1229" s="1"/>
    </row>
    <row r="1230" spans="1:9" ht="15.6" x14ac:dyDescent="0.3">
      <c r="A1230" s="1" t="s">
        <v>5</v>
      </c>
      <c r="B1230" s="1" t="s">
        <v>5</v>
      </c>
      <c r="C1230" s="10" t="s">
        <v>5</v>
      </c>
      <c r="D1230" s="5" t="s">
        <v>1210</v>
      </c>
      <c r="E1230" s="1" t="str">
        <f ca="1">IFERROR(__xludf.DUMMYFUNCTION("GOOGLETRANSLATE(D1230, ""bn"", ""en"")"),"In the eighth month of the first year of Hijri, i.e. the month of Shaban, the verse was revealed to make fasting compulsory, and then in the ninth month, i.e. the month of Ramadan, fasting for one month is obligatory.")</f>
        <v>In the eighth month of the first year of Hijri, i.e. the month of Shaban, the verse was revealed to make fasting compulsory, and then in the ninth month, i.e. the month of Ramadan, fasting for one month is obligatory.</v>
      </c>
      <c r="F1230" s="1"/>
      <c r="G1230" s="1"/>
      <c r="H1230" s="1"/>
      <c r="I1230" s="1"/>
    </row>
    <row r="1231" spans="1:9" ht="15.6" x14ac:dyDescent="0.3">
      <c r="A1231" s="1" t="s">
        <v>9</v>
      </c>
      <c r="B1231" s="1" t="s">
        <v>5</v>
      </c>
      <c r="C1231" s="10" t="s">
        <v>9</v>
      </c>
      <c r="D1231" s="5" t="s">
        <v>1211</v>
      </c>
      <c r="E1231" s="1" t="str">
        <f ca="1">IFERROR(__xludf.DUMMYFUNCTION("GOOGLETRANSLATE(D1231, ""bn"", ""en"")"),"The protest must come first from the country's overwhelming majority of Muslims, then the oppressed will have the courage to live anew in this terrible darkness.")</f>
        <v>The protest must come first from the country's overwhelming majority of Muslims, then the oppressed will have the courage to live anew in this terrible darkness.</v>
      </c>
      <c r="F1231" s="1"/>
      <c r="G1231" s="1"/>
      <c r="H1231" s="1"/>
      <c r="I1231" s="1"/>
    </row>
    <row r="1232" spans="1:9" ht="15.6" x14ac:dyDescent="0.3">
      <c r="A1232" s="1" t="s">
        <v>5</v>
      </c>
      <c r="B1232" s="1" t="s">
        <v>5</v>
      </c>
      <c r="C1232" s="10" t="s">
        <v>5</v>
      </c>
      <c r="D1232" s="5" t="s">
        <v>1212</v>
      </c>
      <c r="E1232" s="1" t="str">
        <f ca="1">IFERROR(__xludf.DUMMYFUNCTION("GOOGLETRANSLATE(D1232, ""bn"", ""en"")"),"All animals are given equal respect in Hinduism, which exemplifies the path of love and kindness towards animals.")</f>
        <v>All animals are given equal respect in Hinduism, which exemplifies the path of love and kindness towards animals.</v>
      </c>
      <c r="F1232" s="1"/>
      <c r="G1232" s="1"/>
      <c r="H1232" s="1"/>
      <c r="I1232" s="1"/>
    </row>
    <row r="1233" spans="1:9" ht="15.6" x14ac:dyDescent="0.3">
      <c r="A1233" s="1" t="s">
        <v>7</v>
      </c>
      <c r="B1233" s="1" t="s">
        <v>7</v>
      </c>
      <c r="C1233" s="10" t="s">
        <v>7</v>
      </c>
      <c r="D1233" s="5" t="s">
        <v>1213</v>
      </c>
      <c r="E1233" s="1" t="str">
        <f ca="1">IFERROR(__xludf.DUMMYFUNCTION("GOOGLETRANSLATE(D1233, ""bn"", ""en"")"),"Osama bin Laden declared a holy war against the United States, and investigating officials cited bin Laden and others' signing of a 1998 fatwa to retaliatory killing of Americans as his motive.")</f>
        <v>Osama bin Laden declared a holy war against the United States, and investigating officials cited bin Laden and others' signing of a 1998 fatwa to retaliatory killing of Americans as his motive.</v>
      </c>
      <c r="F1233" s="1"/>
      <c r="G1233" s="1"/>
      <c r="H1233" s="1"/>
      <c r="I1233" s="1"/>
    </row>
    <row r="1234" spans="1:9" ht="15.6" x14ac:dyDescent="0.3">
      <c r="A1234" s="4" t="s">
        <v>7</v>
      </c>
      <c r="B1234" s="4" t="s">
        <v>7</v>
      </c>
      <c r="C1234" s="11" t="s">
        <v>7</v>
      </c>
      <c r="D1234" s="5" t="s">
        <v>1214</v>
      </c>
      <c r="E1234" s="1" t="str">
        <f ca="1">IFERROR(__xludf.DUMMYFUNCTION("GOOGLETRANSLATE(D1234, ""bn"", ""en"")"),"These patterns of conflict have been well established since partition, with dozens of studies documenting incidents of mass violence against minority groups. [16] More than 10,000 people have died in Hindu-Muslim communal violence since 1950.")</f>
        <v>These patterns of conflict have been well established since partition, with dozens of studies documenting incidents of mass violence against minority groups. [16] More than 10,000 people have died in Hindu-Muslim communal violence since 1950.</v>
      </c>
      <c r="F1234" s="1"/>
      <c r="G1234" s="1"/>
      <c r="H1234" s="1"/>
      <c r="I1234" s="1"/>
    </row>
    <row r="1235" spans="1:9" ht="62.4" x14ac:dyDescent="0.3">
      <c r="A1235" s="1" t="s">
        <v>5</v>
      </c>
      <c r="B1235" s="1" t="s">
        <v>4</v>
      </c>
      <c r="C1235" s="10" t="s">
        <v>5</v>
      </c>
      <c r="D1235" s="6" t="s">
        <v>3988</v>
      </c>
      <c r="E1235" s="1" t="str">
        <f ca="1">IFERROR(__xludf.DUMMYFUNCTION("GOOGLETRANSLATE(D1235, ""bn"", ""en"")"),"Alhamdulillah, I wish you a good life by Allah, Amen, I love you for the sake of Allah, Inshallah, may Allah be merciful, guide those who do not want to understand the Holy Qur'an, O our Lord, have mercy, save us from the fire of hell, Amen Amen Amen, acc"&amp;"ept us as full believers, Amen Amen Amen.")</f>
        <v>Alhamdulillah, I wish you a good life by Allah, Amen, I love you for the sake of Allah, Inshallah, may Allah be merciful, guide those who do not want to understand the Holy Qur'an, O our Lord, have mercy, save us from the fire of hell, Amen Amen Amen, accept us as full believers, Amen Amen Amen.</v>
      </c>
      <c r="F1235" s="1"/>
      <c r="G1235" s="1"/>
      <c r="H1235" s="1"/>
      <c r="I1235" s="1"/>
    </row>
    <row r="1236" spans="1:9" ht="46.8" x14ac:dyDescent="0.3">
      <c r="A1236" s="1" t="s">
        <v>4</v>
      </c>
      <c r="B1236" s="1" t="s">
        <v>4</v>
      </c>
      <c r="C1236" s="10" t="s">
        <v>4</v>
      </c>
      <c r="D1236" s="6" t="s">
        <v>3989</v>
      </c>
      <c r="E1236" s="1" t="str">
        <f ca="1">IFERROR(__xludf.DUMMYFUNCTION("GOOGLETRANSLATE(D1236, ""bn"", ""en"")"),"Buddhism, which had flourished for centuries, was therefore slowly weakened by the contamination of the Sangha family, factional strife, and failure to curry favor with the ruling class – thus failing to compete with reformed Hinduism. Thus Buddhism disap"&amp;"peared from the whole of India. ")</f>
        <v>Buddhism, which had flourished for centuries, was therefore slowly weakened by the contamination of the Sangha family, factional strife, and failure to curry favor with the ruling class – thus failing to compete with reformed Hinduism. Thus Buddhism disappeared from the whole of India. </v>
      </c>
      <c r="F1236" s="1"/>
      <c r="G1236" s="1"/>
      <c r="H1236" s="1"/>
      <c r="I1236" s="1"/>
    </row>
    <row r="1237" spans="1:9" ht="15.6" x14ac:dyDescent="0.3">
      <c r="A1237" s="1" t="s">
        <v>4</v>
      </c>
      <c r="B1237" s="1" t="s">
        <v>4</v>
      </c>
      <c r="C1237" s="10" t="s">
        <v>4</v>
      </c>
      <c r="D1237" s="5" t="s">
        <v>1215</v>
      </c>
      <c r="E1237" s="1" t="str">
        <f ca="1">IFERROR(__xludf.DUMMYFUNCTION("GOOGLETRANSLATE(D1237, ""bn"", ""en"")"),"Why make a video, say again, God is God or Buddhist God? What does one say, he is crazy?")</f>
        <v>Why make a video, say again, God is God or Buddhist God? What does one say, he is crazy?</v>
      </c>
      <c r="F1237" s="1"/>
      <c r="G1237" s="1"/>
      <c r="H1237" s="1"/>
      <c r="I1237" s="1"/>
    </row>
    <row r="1238" spans="1:9" ht="15.6" x14ac:dyDescent="0.3">
      <c r="A1238" s="1" t="s">
        <v>4</v>
      </c>
      <c r="B1238" s="1" t="s">
        <v>4</v>
      </c>
      <c r="C1238" s="10" t="s">
        <v>4</v>
      </c>
      <c r="D1238" s="5" t="s">
        <v>1216</v>
      </c>
      <c r="E1238" s="1" t="str">
        <f ca="1">IFERROR(__xludf.DUMMYFUNCTION("GOOGLETRANSLATE(D1238, ""bn"", ""en"")"),"First of all, we do not support anything that insults Hazrat Muhammad Mustafa (PBUH). This hurt the sentiments of devout Muslims.")</f>
        <v>First of all, we do not support anything that insults Hazrat Muhammad Mustafa (PBUH). This hurt the sentiments of devout Muslims.</v>
      </c>
      <c r="F1238" s="1"/>
      <c r="G1238" s="1"/>
      <c r="H1238" s="1"/>
      <c r="I1238" s="1"/>
    </row>
    <row r="1239" spans="1:9" ht="15.6" x14ac:dyDescent="0.3">
      <c r="A1239" s="1" t="s">
        <v>4</v>
      </c>
      <c r="B1239" s="1" t="s">
        <v>4</v>
      </c>
      <c r="C1239" s="10" t="s">
        <v>4</v>
      </c>
      <c r="D1239" s="5" t="s">
        <v>1217</v>
      </c>
      <c r="E1239" s="1" t="str">
        <f ca="1">IFERROR(__xludf.DUMMYFUNCTION("GOOGLETRANSLATE(D1239, ""bn"", ""en"")"),"I strongly condemn and protest against the desecration of the Holy Quran in the Pujamandap in Comilla. I also demand exemplary punishment for those involved. It is the religious responsibility of our Muslims to protect the sanctity of the Qur'an.")</f>
        <v>I strongly condemn and protest against the desecration of the Holy Quran in the Pujamandap in Comilla. I also demand exemplary punishment for those involved. It is the religious responsibility of our Muslims to protect the sanctity of the Qur'an.</v>
      </c>
      <c r="F1239" s="1"/>
      <c r="G1239" s="1"/>
      <c r="H1239" s="1"/>
      <c r="I1239" s="1"/>
    </row>
    <row r="1240" spans="1:9" ht="15.6" x14ac:dyDescent="0.3">
      <c r="A1240" s="1" t="s">
        <v>4</v>
      </c>
      <c r="B1240" s="1" t="s">
        <v>5</v>
      </c>
      <c r="C1240" s="10" t="s">
        <v>4</v>
      </c>
      <c r="D1240" s="5" t="s">
        <v>1218</v>
      </c>
      <c r="E1240" s="1" t="str">
        <f ca="1">IFERROR(__xludf.DUMMYFUNCTION("GOOGLETRANSLATE(D1240, ""bn"", ""en"")"),"Did the Jews tell us to run Facebook to promote any religion? I have not seen any such conditions Show if you have read")</f>
        <v>Did the Jews tell us to run Facebook to promote any religion? I have not seen any such conditions Show if you have read</v>
      </c>
      <c r="F1240" s="1"/>
      <c r="G1240" s="1"/>
      <c r="H1240" s="1"/>
      <c r="I1240" s="1"/>
    </row>
    <row r="1241" spans="1:9" ht="15.6" x14ac:dyDescent="0.3">
      <c r="A1241" s="1" t="s">
        <v>9</v>
      </c>
      <c r="B1241" s="1" t="s">
        <v>9</v>
      </c>
      <c r="C1241" s="10" t="s">
        <v>9</v>
      </c>
      <c r="D1241" s="5" t="s">
        <v>1219</v>
      </c>
      <c r="E1241" s="1" t="str">
        <f ca="1">IFERROR(__xludf.DUMMYFUNCTION("GOOGLETRANSLATE(D1241, ""bn"", ""en"")"),"In Bandarban upazila of Pirojpur district, Islamic fundamentalists set fire to the ancient Durga temple on the 12th after the January 5 national elections. Those fundamentalists burnt down the temple.")</f>
        <v>In Bandarban upazila of Pirojpur district, Islamic fundamentalists set fire to the ancient Durga temple on the 12th after the January 5 national elections. Those fundamentalists burnt down the temple.</v>
      </c>
      <c r="F1241" s="1"/>
      <c r="G1241" s="1"/>
      <c r="H1241" s="1"/>
      <c r="I1241" s="1"/>
    </row>
    <row r="1242" spans="1:9" ht="15.6" x14ac:dyDescent="0.3">
      <c r="A1242" s="1" t="s">
        <v>9</v>
      </c>
      <c r="B1242" s="1" t="s">
        <v>5</v>
      </c>
      <c r="C1242" s="10" t="s">
        <v>9</v>
      </c>
      <c r="D1242" s="5" t="s">
        <v>1220</v>
      </c>
      <c r="E1242" s="1" t="str">
        <f ca="1">IFERROR(__xludf.DUMMYFUNCTION("GOOGLETRANSLATE(D1242, ""bn"", ""en"")"),"After the Palas, the Hindu Sena kings (1097–1203) ruled Bengal before the 13th century Bakhtiyar Khilji took over Bengal. And during the time of the Senas, the Saiva Hindus got the favor of the rulers, while the Buddhists were pushed towards Tibet. A litt"&amp;"le research into the ancient texts reveals how these Brahminical narratives are full of puns and indescribable linguistic barbarism towards the Buddhists, portraying the Buddhists as harmful and terrible.")</f>
        <v>After the Palas, the Hindu Sena kings (1097–1203) ruled Bengal before the 13th century Bakhtiyar Khilji took over Bengal. And during the time of the Senas, the Saiva Hindus got the favor of the rulers, while the Buddhists were pushed towards Tibet. A little research into the ancient texts reveals how these Brahminical narratives are full of puns and indescribable linguistic barbarism towards the Buddhists, portraying the Buddhists as harmful and terrible.</v>
      </c>
      <c r="F1242" s="1"/>
      <c r="G1242" s="1"/>
      <c r="H1242" s="1"/>
      <c r="I1242" s="1"/>
    </row>
    <row r="1243" spans="1:9" ht="15.6" x14ac:dyDescent="0.3">
      <c r="A1243" s="1" t="s">
        <v>4</v>
      </c>
      <c r="B1243" s="1" t="s">
        <v>4</v>
      </c>
      <c r="C1243" s="10" t="s">
        <v>4</v>
      </c>
      <c r="D1243" s="5" t="s">
        <v>1221</v>
      </c>
      <c r="E1243" s="1" t="str">
        <f ca="1">IFERROR(__xludf.DUMMYFUNCTION("GOOGLETRANSLATE(D1243, ""bn"", ""en"")"),"Even if it is not faith, but for the sake of humanity, Israeli products should be boycotted. And it is obligatory to boycott Indian products for one's own sake.")</f>
        <v>Even if it is not faith, but for the sake of humanity, Israeli products should be boycotted. And it is obligatory to boycott Indian products for one's own sake.</v>
      </c>
      <c r="F1243" s="1"/>
      <c r="G1243" s="1"/>
      <c r="H1243" s="1"/>
      <c r="I1243" s="1"/>
    </row>
    <row r="1244" spans="1:9" ht="15.6" x14ac:dyDescent="0.3">
      <c r="A1244" s="1" t="s">
        <v>5</v>
      </c>
      <c r="B1244" s="1" t="s">
        <v>5</v>
      </c>
      <c r="C1244" s="10" t="s">
        <v>5</v>
      </c>
      <c r="D1244" s="5" t="s">
        <v>1222</v>
      </c>
      <c r="E1244" s="1" t="str">
        <f ca="1">IFERROR(__xludf.DUMMYFUNCTION("GOOGLETRANSLATE(D1244, ""bn"", ""en"")"),"Whereas the Holy Prophet (SAW) himself said that those who would harm the innocent or non-majority infidels, I myself would complain to Allah against them or seek redress against them.")</f>
        <v>Whereas the Holy Prophet (SAW) himself said that those who would harm the innocent or non-majority infidels, I myself would complain to Allah against them or seek redress against them.</v>
      </c>
      <c r="F1244" s="1"/>
      <c r="G1244" s="1"/>
      <c r="H1244" s="1"/>
      <c r="I1244" s="1"/>
    </row>
    <row r="1245" spans="1:9" ht="15.6" x14ac:dyDescent="0.3">
      <c r="A1245" s="1" t="s">
        <v>5</v>
      </c>
      <c r="B1245" s="1" t="s">
        <v>5</v>
      </c>
      <c r="C1245" s="10" t="s">
        <v>5</v>
      </c>
      <c r="D1245" s="5" t="s">
        <v>1223</v>
      </c>
      <c r="E1245" s="1" t="str">
        <f ca="1">IFERROR(__xludf.DUMMYFUNCTION("GOOGLETRANSLATE(D1245, ""bn"", ""en"")"),"Although Bangladesh has a Muslim majority, there is an influence of secularism, where the government and administration operate within certain constraints.")</f>
        <v>Although Bangladesh has a Muslim majority, there is an influence of secularism, where the government and administration operate within certain constraints.</v>
      </c>
      <c r="F1245" s="1"/>
      <c r="G1245" s="1"/>
      <c r="H1245" s="1"/>
      <c r="I1245" s="1"/>
    </row>
    <row r="1246" spans="1:9" ht="15.6" x14ac:dyDescent="0.3">
      <c r="A1246" s="1" t="s">
        <v>9</v>
      </c>
      <c r="B1246" s="1" t="s">
        <v>9</v>
      </c>
      <c r="C1246" s="10" t="s">
        <v>9</v>
      </c>
      <c r="D1246" s="5" t="s">
        <v>1224</v>
      </c>
      <c r="E1246" s="1" t="str">
        <f ca="1">IFERROR(__xludf.DUMMYFUNCTION("GOOGLETRANSLATE(D1246, ""bn"", ""en"")"),"""Four mosques, 37 houses, 46 shops and 35 cars were vandalized and set on fire,"" a local official told the BBC.")</f>
        <v>"Four mosques, 37 houses, 46 shops and 35 cars were vandalized and set on fire," a local official told the BBC.</v>
      </c>
      <c r="F1246" s="1"/>
      <c r="G1246" s="1"/>
      <c r="H1246" s="1"/>
      <c r="I1246" s="1"/>
    </row>
    <row r="1247" spans="1:9" ht="15.6" x14ac:dyDescent="0.3">
      <c r="A1247" s="1" t="s">
        <v>9</v>
      </c>
      <c r="B1247" s="1" t="s">
        <v>9</v>
      </c>
      <c r="C1247" s="10" t="s">
        <v>9</v>
      </c>
      <c r="D1247" s="5" t="s">
        <v>1225</v>
      </c>
      <c r="E1247" s="1" t="str">
        <f ca="1">IFERROR(__xludf.DUMMYFUNCTION("GOOGLETRANSLATE(D1247, ""bn"", ""en"")"),"India's bulls will not only stand for Israel, where Muslims are oppressed, they will side with the oppressors, so it doesn't matter to Muslims whether the bulls go or not, because all non-Muslims have the same root.")</f>
        <v>India's bulls will not only stand for Israel, where Muslims are oppressed, they will side with the oppressors, so it doesn't matter to Muslims whether the bulls go or not, because all non-Muslims have the same root.</v>
      </c>
      <c r="F1247" s="1"/>
      <c r="G1247" s="1"/>
      <c r="H1247" s="1"/>
      <c r="I1247" s="1"/>
    </row>
    <row r="1248" spans="1:9" ht="15.6" x14ac:dyDescent="0.3">
      <c r="A1248" s="1" t="s">
        <v>9</v>
      </c>
      <c r="B1248" s="1" t="s">
        <v>9</v>
      </c>
      <c r="C1248" s="10" t="s">
        <v>9</v>
      </c>
      <c r="D1248" s="5" t="s">
        <v>1226</v>
      </c>
      <c r="E1248" s="1" t="str">
        <f ca="1">IFERROR(__xludf.DUMMYFUNCTION("GOOGLETRANSLATE(D1248, ""bn"", ""en"")"),"Israel has suffered heavy losses due to Hamas rockets and sudden guerrilla attacks by Palestinian fighters. Hamas fired about 5,000 rockets at Jewish settlements on Saturday.")</f>
        <v>Israel has suffered heavy losses due to Hamas rockets and sudden guerrilla attacks by Palestinian fighters. Hamas fired about 5,000 rockets at Jewish settlements on Saturday.</v>
      </c>
      <c r="F1248" s="1"/>
      <c r="G1248" s="1"/>
      <c r="H1248" s="1"/>
      <c r="I1248" s="1"/>
    </row>
    <row r="1249" spans="1:9" ht="15.6" x14ac:dyDescent="0.3">
      <c r="A1249" s="1" t="s">
        <v>9</v>
      </c>
      <c r="B1249" s="1" t="s">
        <v>4</v>
      </c>
      <c r="C1249" s="10" t="s">
        <v>9</v>
      </c>
      <c r="D1249" s="5" t="s">
        <v>1001</v>
      </c>
      <c r="E1249" s="1" t="str">
        <f ca="1">IFERROR(__xludf.DUMMYFUNCTION("GOOGLETRANSLATE(D1249, ""bn"", ""en"")"),"The country or the state or the people will be raped by them, killed, confirmed, the new Pakistan will be established - but the people of the country will still spend their days between compromise with religious blindness or the satisfaction of being aliv"&amp;"e.")</f>
        <v>The country or the state or the people will be raped by them, killed, confirmed, the new Pakistan will be established - but the people of the country will still spend their days between compromise with religious blindness or the satisfaction of being alive.</v>
      </c>
      <c r="F1249" s="1"/>
      <c r="G1249" s="1"/>
      <c r="H1249" s="1"/>
      <c r="I1249" s="1"/>
    </row>
    <row r="1250" spans="1:9" ht="15.6" x14ac:dyDescent="0.3">
      <c r="A1250" s="1" t="s">
        <v>4</v>
      </c>
      <c r="B1250" s="1" t="s">
        <v>4</v>
      </c>
      <c r="C1250" s="10" t="s">
        <v>4</v>
      </c>
      <c r="D1250" s="5" t="s">
        <v>1227</v>
      </c>
      <c r="E1250" s="1" t="str">
        <f ca="1">IFERROR(__xludf.DUMMYFUNCTION("GOOGLETRANSLATE(D1250, ""bn"", ""en"")"),"After Kushtia, the second incident of violence took place in Jaipurhat. Bangladesh Hindu Oikya Parishad questioned the strength of Bangladesh's law and order system while registering a second incident in the same week.")</f>
        <v>After Kushtia, the second incident of violence took place in Jaipurhat. Bangladesh Hindu Oikya Parishad questioned the strength of Bangladesh's law and order system while registering a second incident in the same week.</v>
      </c>
      <c r="F1250" s="1"/>
      <c r="G1250" s="1"/>
      <c r="H1250" s="1"/>
      <c r="I1250" s="1"/>
    </row>
    <row r="1251" spans="1:9" ht="15.6" x14ac:dyDescent="0.3">
      <c r="A1251" s="1" t="s">
        <v>9</v>
      </c>
      <c r="B1251" s="1" t="s">
        <v>9</v>
      </c>
      <c r="C1251" s="10" t="s">
        <v>9</v>
      </c>
      <c r="D1251" s="5" t="s">
        <v>1228</v>
      </c>
      <c r="E1251" s="1" t="str">
        <f ca="1">IFERROR(__xludf.DUMMYFUNCTION("GOOGLETRANSLATE(D1251, ""bn"", ""en"")"),"His point is that where they have been living in harmony for ages, such an attack cannot happen based on a Facebook post. The incident has been planned using his concept - religion.")</f>
        <v>His point is that where they have been living in harmony for ages, such an attack cannot happen based on a Facebook post. The incident has been planned using his concept - religion.</v>
      </c>
      <c r="F1251" s="1"/>
      <c r="G1251" s="1"/>
      <c r="H1251" s="1"/>
      <c r="I1251" s="1"/>
    </row>
    <row r="1252" spans="1:9" ht="17.399999999999999" x14ac:dyDescent="0.3">
      <c r="A1252" s="1" t="s">
        <v>7</v>
      </c>
      <c r="B1252" s="1" t="s">
        <v>7</v>
      </c>
      <c r="C1252" s="10" t="s">
        <v>7</v>
      </c>
      <c r="D1252" s="5" t="s">
        <v>3504</v>
      </c>
      <c r="E1252" s="1" t="str">
        <f ca="1">IFERROR(__xludf.DUMMYFUNCTION("GOOGLETRANSLATE(D1252, ""bn"", ""en"")"),"Muhammad was born in the city of Mecca around 570 AD. [7] His father's name was Abdullah ibn Abdul Muttalib and his mother was Amina bint Wahhab. Before Muhammad was born, his father Abdullah died.")</f>
        <v>Muhammad was born in the city of Mecca around 570 AD. [7] His father's name was Abdullah ibn Abdul Muttalib and his mother was Amina bint Wahhab. Before Muhammad was born, his father Abdullah died.</v>
      </c>
      <c r="F1252" s="1"/>
      <c r="G1252" s="1"/>
      <c r="H1252" s="1"/>
      <c r="I1252" s="1"/>
    </row>
    <row r="1253" spans="1:9" ht="15.6" x14ac:dyDescent="0.3">
      <c r="A1253" s="1" t="s">
        <v>5</v>
      </c>
      <c r="B1253" s="1" t="s">
        <v>5</v>
      </c>
      <c r="C1253" s="10" t="s">
        <v>5</v>
      </c>
      <c r="D1253" s="5" t="s">
        <v>1229</v>
      </c>
      <c r="E1253" s="1" t="str">
        <f ca="1">IFERROR(__xludf.DUMMYFUNCTION("GOOGLETRANSLATE(D1253, ""bn"", ""en"")"),"When a Hindu girl converts and becomes a Muslim, then when she dies, you want the girl to be buried. And if a Muslim girl converts and follows Hindu or Hindu customs, then why don't they want her to be cremated!")</f>
        <v>When a Hindu girl converts and becomes a Muslim, then when she dies, you want the girl to be buried. And if a Muslim girl converts and follows Hindu or Hindu customs, then why don't they want her to be cremated!</v>
      </c>
      <c r="F1253" s="1"/>
      <c r="G1253" s="1"/>
      <c r="H1253" s="1"/>
      <c r="I1253" s="1"/>
    </row>
    <row r="1254" spans="1:9" ht="15.6" x14ac:dyDescent="0.3">
      <c r="A1254" s="1" t="s">
        <v>5</v>
      </c>
      <c r="B1254" s="1" t="s">
        <v>5</v>
      </c>
      <c r="C1254" s="10" t="s">
        <v>5</v>
      </c>
      <c r="D1254" s="5" t="s">
        <v>1230</v>
      </c>
      <c r="E1254" s="1" t="str">
        <f ca="1">IFERROR(__xludf.DUMMYFUNCTION("GOOGLETRANSLATE(D1254, ""bn"", ""en"")"),"""People often ask me when and how I became a Muslim,"" he wrote in his autobiography.")</f>
        <v>"People often ask me when and how I became a Muslim," he wrote in his autobiography.</v>
      </c>
      <c r="F1254" s="1"/>
      <c r="G1254" s="1"/>
      <c r="H1254" s="1"/>
      <c r="I1254" s="1"/>
    </row>
    <row r="1255" spans="1:9" ht="15.6" x14ac:dyDescent="0.3">
      <c r="A1255" s="1" t="s">
        <v>7</v>
      </c>
      <c r="B1255" s="1" t="s">
        <v>7</v>
      </c>
      <c r="C1255" s="10" t="s">
        <v>7</v>
      </c>
      <c r="D1255" s="5" t="s">
        <v>1231</v>
      </c>
      <c r="E1255" s="1" t="str">
        <f ca="1">IFERROR(__xludf.DUMMYFUNCTION("GOOGLETRANSLATE(D1255, ""bn"", ""en"")"),"The Kadai Kadipur massacre was a massacre of unarmed Hindu Bengalis by the Pakistan Army and Razakars on 26 April 1971. [1][2][3] About 370 Hindus in Kadai, Kadipur and surrounding villages lost their lives in the massacre.")</f>
        <v>The Kadai Kadipur massacre was a massacre of unarmed Hindu Bengalis by the Pakistan Army and Razakars on 26 April 1971. [1][2][3] About 370 Hindus in Kadai, Kadipur and surrounding villages lost their lives in the massacre.</v>
      </c>
      <c r="F1255" s="1"/>
      <c r="G1255" s="1"/>
      <c r="H1255" s="1"/>
      <c r="I1255" s="1"/>
    </row>
    <row r="1256" spans="1:9" ht="15.6" x14ac:dyDescent="0.3">
      <c r="A1256" s="1" t="s">
        <v>4</v>
      </c>
      <c r="B1256" s="1" t="s">
        <v>5</v>
      </c>
      <c r="C1256" s="10" t="s">
        <v>4</v>
      </c>
      <c r="D1256" s="5" t="s">
        <v>1232</v>
      </c>
      <c r="E1256" s="1" t="str">
        <f ca="1">IFERROR(__xludf.DUMMYFUNCTION("GOOGLETRANSLATE(D1256, ""bn"", ""en"")"),"They have failed in trying to write you against a bunch of people or religion")</f>
        <v>They have failed in trying to write you against a bunch of people or religion</v>
      </c>
      <c r="F1256" s="1"/>
      <c r="G1256" s="1"/>
      <c r="H1256" s="1"/>
      <c r="I1256" s="1"/>
    </row>
    <row r="1257" spans="1:9" ht="15.6" x14ac:dyDescent="0.3">
      <c r="A1257" s="1" t="s">
        <v>7</v>
      </c>
      <c r="B1257" s="1" t="s">
        <v>7</v>
      </c>
      <c r="C1257" s="10" t="s">
        <v>7</v>
      </c>
      <c r="D1257" s="5" t="s">
        <v>1233</v>
      </c>
      <c r="E1257" s="1" t="str">
        <f ca="1">IFERROR(__xludf.DUMMYFUNCTION("GOOGLETRANSLATE(D1257, ""bn"", ""en"")"),"Pilgrims were attacked by the Ansar when they reached Chatgaon before going to Sitakund. [2] By the evening of 14 February, all the pilgrims in Chattgaon were killed. [2] On the morning of 15 February, many pilgrims arrived at Sitakund station. As soon as"&amp;" they got down, the Ansar attacked them.")</f>
        <v>Pilgrims were attacked by the Ansar when they reached Chatgaon before going to Sitakund. [2] By the evening of 14 February, all the pilgrims in Chattgaon were killed. [2] On the morning of 15 February, many pilgrims arrived at Sitakund station. As soon as they got down, the Ansar attacked them.</v>
      </c>
      <c r="F1257" s="1"/>
      <c r="G1257" s="1"/>
      <c r="H1257" s="1"/>
      <c r="I1257" s="1"/>
    </row>
    <row r="1258" spans="1:9" ht="15.6" x14ac:dyDescent="0.3">
      <c r="A1258" s="1" t="s">
        <v>4</v>
      </c>
      <c r="B1258" s="1" t="s">
        <v>4</v>
      </c>
      <c r="C1258" s="10" t="s">
        <v>4</v>
      </c>
      <c r="D1258" s="5" t="s">
        <v>1234</v>
      </c>
      <c r="E1258" s="1" t="str">
        <f ca="1">IFERROR(__xludf.DUMMYFUNCTION("GOOGLETRANSLATE(D1258, ""bn"", ""en"")"),"Qur'an is our life and soul Allah destroy those who insult Qur'an save our Holy Qur'an from Jewish hands Amen.")</f>
        <v>Qur'an is our life and soul Allah destroy those who insult Qur'an save our Holy Qur'an from Jewish hands Amen.</v>
      </c>
      <c r="F1258" s="1"/>
      <c r="G1258" s="1"/>
      <c r="H1258" s="1"/>
      <c r="I1258" s="1"/>
    </row>
    <row r="1259" spans="1:9" ht="15.6" x14ac:dyDescent="0.3">
      <c r="A1259" s="1" t="s">
        <v>4</v>
      </c>
      <c r="B1259" s="1" t="s">
        <v>5</v>
      </c>
      <c r="C1259" s="10" t="s">
        <v>4</v>
      </c>
      <c r="D1259" s="5" t="s">
        <v>1235</v>
      </c>
      <c r="E1259" s="1" t="str">
        <f ca="1">IFERROR(__xludf.DUMMYFUNCTION("GOOGLETRANSLATE(D1259, ""bn"", ""en"")"),"On Facebook, many people try to read Shaikhul Hadith or Purohit Pandit or Father, but in reality, many of us have very limited knowledge about religion. ")</f>
        <v xml:space="preserve">On Facebook, many people try to read Shaikhul Hadith or Purohit Pandit or Father, but in reality, many of us have very limited knowledge about religion. </v>
      </c>
      <c r="F1259" s="1"/>
      <c r="G1259" s="1"/>
      <c r="H1259" s="1"/>
      <c r="I1259" s="1"/>
    </row>
    <row r="1260" spans="1:9" ht="15.6" x14ac:dyDescent="0.3">
      <c r="A1260" s="1" t="s">
        <v>5</v>
      </c>
      <c r="B1260" s="1" t="s">
        <v>5</v>
      </c>
      <c r="C1260" s="10" t="s">
        <v>5</v>
      </c>
      <c r="D1260" s="5" t="s">
        <v>1236</v>
      </c>
      <c r="E1260" s="1" t="str">
        <f ca="1">IFERROR(__xludf.DUMMYFUNCTION("GOOGLETRANSLATE(D1260, ""bn"", ""en"")"),"Countries that do not adopt religion are much better off. They are the developed nation in the world today. The simple truth is that the irreligious are humane and kindhearted.")</f>
        <v>Countries that do not adopt religion are much better off. They are the developed nation in the world today. The simple truth is that the irreligious are humane and kindhearted.</v>
      </c>
      <c r="F1260" s="1"/>
      <c r="G1260" s="1"/>
      <c r="H1260" s="1"/>
      <c r="I1260" s="1"/>
    </row>
    <row r="1261" spans="1:9" ht="15.6" x14ac:dyDescent="0.3">
      <c r="A1261" s="1" t="s">
        <v>7</v>
      </c>
      <c r="B1261" s="1" t="s">
        <v>7</v>
      </c>
      <c r="C1261" s="10" t="s">
        <v>7</v>
      </c>
      <c r="D1261" s="5" t="s">
        <v>1237</v>
      </c>
      <c r="E1261" s="1" t="str">
        <f ca="1">IFERROR(__xludf.DUMMYFUNCTION("GOOGLETRANSLATE(D1261, ""bn"", ""en"")"),"8 people were killed in police firing in Chandpur, Hajiganj. O Allah, give the 8 brothers who were martyred for the sake of the Qur'an a high place in heaven.")</f>
        <v>8 people were killed in police firing in Chandpur, Hajiganj. O Allah, give the 8 brothers who were martyred for the sake of the Qur'an a high place in heaven.</v>
      </c>
      <c r="F1261" s="1"/>
      <c r="G1261" s="1"/>
      <c r="H1261" s="1"/>
      <c r="I1261" s="1"/>
    </row>
    <row r="1262" spans="1:9" ht="15.6" x14ac:dyDescent="0.3">
      <c r="A1262" s="1" t="s">
        <v>9</v>
      </c>
      <c r="B1262" s="1" t="s">
        <v>9</v>
      </c>
      <c r="C1262" s="10" t="s">
        <v>9</v>
      </c>
      <c r="D1262" s="5" t="s">
        <v>1238</v>
      </c>
      <c r="E1262" s="1" t="str">
        <f ca="1">IFERROR(__xludf.DUMMYFUNCTION("GOOGLETRANSLATE(D1262, ""bn"", ""en"")"),"The attackers vandalized and looted more than 30 Hindu shops and more than 5 houses. They threw brickbats and injured 50 Hindus. The attack lasted for 5 hours from 10 am to 3 pm.")</f>
        <v>The attackers vandalized and looted more than 30 Hindu shops and more than 5 houses. They threw brickbats and injured 50 Hindus. The attack lasted for 5 hours from 10 am to 3 pm.</v>
      </c>
      <c r="F1262" s="1"/>
      <c r="G1262" s="1"/>
      <c r="H1262" s="1"/>
      <c r="I1262" s="1"/>
    </row>
    <row r="1263" spans="1:9" ht="15.6" x14ac:dyDescent="0.3">
      <c r="A1263" s="1" t="s">
        <v>5</v>
      </c>
      <c r="B1263" s="1" t="s">
        <v>5</v>
      </c>
      <c r="C1263" s="10" t="s">
        <v>5</v>
      </c>
      <c r="D1263" s="5" t="s">
        <v>1239</v>
      </c>
      <c r="E1263" s="1" t="str">
        <f ca="1">IFERROR(__xludf.DUMMYFUNCTION("GOOGLETRANSLATE(D1263, ""bn"", ""en"")"),"Residents of temples and ashrams that horror of the previous night, we common people can help for Palestine, we can express our stand peacefully by boycotting them.")</f>
        <v>Residents of temples and ashrams that horror of the previous night, we common people can help for Palestine, we can express our stand peacefully by boycotting them.</v>
      </c>
      <c r="F1263" s="1"/>
      <c r="G1263" s="1"/>
      <c r="H1263" s="1"/>
      <c r="I1263" s="1"/>
    </row>
    <row r="1264" spans="1:9" ht="15.6" x14ac:dyDescent="0.3">
      <c r="A1264" s="1" t="s">
        <v>4</v>
      </c>
      <c r="B1264" s="1" t="s">
        <v>4</v>
      </c>
      <c r="C1264" s="10" t="s">
        <v>4</v>
      </c>
      <c r="D1264" s="5" t="s">
        <v>1240</v>
      </c>
      <c r="E1264" s="1" t="str">
        <f ca="1">IFERROR(__xludf.DUMMYFUNCTION("GOOGLETRANSLATE(D1264, ""bn"", ""en"")"),"First tell the Taliban to be correct, the Taliban are to blame and the Hindus are to blame, this law does not work in Bangladesh, and if Hindus are religiously attacked, what will be the judgement, should they continue as madmen?")</f>
        <v>First tell the Taliban to be correct, the Taliban are to blame and the Hindus are to blame, this law does not work in Bangladesh, and if Hindus are religiously attacked, what will be the judgement, should they continue as madmen?</v>
      </c>
      <c r="F1264" s="1"/>
      <c r="G1264" s="1"/>
      <c r="H1264" s="1"/>
      <c r="I1264" s="1"/>
    </row>
    <row r="1265" spans="1:9" ht="15.6" x14ac:dyDescent="0.3">
      <c r="A1265" s="1" t="s">
        <v>5</v>
      </c>
      <c r="B1265" s="1" t="s">
        <v>5</v>
      </c>
      <c r="C1265" s="10" t="s">
        <v>5</v>
      </c>
      <c r="D1265" s="5" t="s">
        <v>1241</v>
      </c>
      <c r="E1265" s="1" t="str">
        <f ca="1">IFERROR(__xludf.DUMMYFUNCTION("GOOGLETRANSLATE(D1265, ""bn"", ""en"")"),"May Allah bless you with many blessings. To give such a beautiful class and presented it very nicely.")</f>
        <v>May Allah bless you with many blessings. To give such a beautiful class and presented it very nicely.</v>
      </c>
      <c r="F1265" s="1"/>
      <c r="G1265" s="1"/>
      <c r="H1265" s="1"/>
      <c r="I1265" s="1"/>
    </row>
    <row r="1266" spans="1:9" ht="15.6" x14ac:dyDescent="0.3">
      <c r="A1266" s="1" t="s">
        <v>4</v>
      </c>
      <c r="B1266" s="1" t="s">
        <v>4</v>
      </c>
      <c r="C1266" s="10" t="s">
        <v>4</v>
      </c>
      <c r="D1266" s="5" t="s">
        <v>1242</v>
      </c>
      <c r="E1266" s="1" t="str">
        <f ca="1">IFERROR(__xludf.DUMMYFUNCTION("GOOGLETRANSLATE(D1266, ""bn"", ""en"")"),"Stop political use of Islam. Stop religious coercion. - Then we won't say anything more. Keep religion as a secular matter and a purely personal matter. ")</f>
        <v xml:space="preserve">Stop political use of Islam. Stop religious coercion. - Then we won't say anything more. Keep religion as a secular matter and a purely personal matter. </v>
      </c>
      <c r="F1266" s="1"/>
      <c r="G1266" s="1"/>
      <c r="H1266" s="1"/>
      <c r="I1266" s="1"/>
    </row>
    <row r="1267" spans="1:9" ht="15.6" x14ac:dyDescent="0.3">
      <c r="A1267" s="1" t="s">
        <v>5</v>
      </c>
      <c r="B1267" s="1" t="s">
        <v>5</v>
      </c>
      <c r="C1267" s="10" t="s">
        <v>5</v>
      </c>
      <c r="D1267" s="5" t="s">
        <v>1243</v>
      </c>
      <c r="E1267" s="1" t="str">
        <f ca="1">IFERROR(__xludf.DUMMYFUNCTION("GOOGLETRANSLATE(D1267, ""bn"", ""en"")"),"Conch will be played during puja, Azaan will be called during prayer, communal harmony will prevail, the soul of Bengali will remain. His religion, his festival, this will be the principle, religion is the place of religion, recently in humanity")</f>
        <v>Conch will be played during puja, Azaan will be called during prayer, communal harmony will prevail, the soul of Bengali will remain. His religion, his festival, this will be the principle, religion is the place of religion, recently in humanity</v>
      </c>
      <c r="F1267" s="1"/>
      <c r="G1267" s="1"/>
      <c r="H1267" s="1"/>
      <c r="I1267" s="1"/>
    </row>
    <row r="1268" spans="1:9" ht="15.6" x14ac:dyDescent="0.3">
      <c r="A1268" s="1" t="s">
        <v>7</v>
      </c>
      <c r="B1268" s="1" t="s">
        <v>4</v>
      </c>
      <c r="C1268" s="10" t="s">
        <v>7</v>
      </c>
      <c r="D1268" s="5" t="s">
        <v>1244</v>
      </c>
      <c r="E1268" s="1" t="str">
        <f ca="1">IFERROR(__xludf.DUMMYFUNCTION("GOOGLETRANSLATE(D1268, ""bn"", ""en"")"),"Police could not identify the killer of Renuka Bala: Hindus in the area are in panic")</f>
        <v>Police could not identify the killer of Renuka Bala: Hindus in the area are in panic</v>
      </c>
      <c r="F1268" s="1"/>
      <c r="G1268" s="1"/>
      <c r="H1268" s="1"/>
      <c r="I1268" s="1"/>
    </row>
    <row r="1269" spans="1:9" ht="15.6" x14ac:dyDescent="0.3">
      <c r="A1269" s="1" t="s">
        <v>4</v>
      </c>
      <c r="B1269" s="1" t="s">
        <v>4</v>
      </c>
      <c r="C1269" s="10" t="s">
        <v>4</v>
      </c>
      <c r="D1269" s="5" t="s">
        <v>1245</v>
      </c>
      <c r="E1269" s="1" t="str">
        <f ca="1">IFERROR(__xludf.DUMMYFUNCTION("GOOGLETRANSLATE(D1269, ""bn"", ""en"")"),"Anti-Semitism refers to prejudice, discrimination, and religious bigotry against Jews that has existed among many for centuries.")</f>
        <v>Anti-Semitism refers to prejudice, discrimination, and religious bigotry against Jews that has existed among many for centuries.</v>
      </c>
      <c r="F1269" s="1"/>
      <c r="G1269" s="1"/>
      <c r="H1269" s="1"/>
      <c r="I1269" s="1"/>
    </row>
    <row r="1270" spans="1:9" ht="15.6" x14ac:dyDescent="0.3">
      <c r="A1270" s="1" t="s">
        <v>9</v>
      </c>
      <c r="B1270" s="1" t="s">
        <v>9</v>
      </c>
      <c r="C1270" s="10" t="s">
        <v>9</v>
      </c>
      <c r="D1270" s="5" t="s">
        <v>1246</v>
      </c>
      <c r="E1270" s="1" t="str">
        <f ca="1">IFERROR(__xludf.DUMMYFUNCTION("GOOGLETRANSLATE(D1270, ""bn"", ""en"")"),"During the attack, idols, pujamandap were vandalized and Hindus were beaten.[7][8][9] The attackers threw the Durga idol of the Pujamandapam at Uttarpar Nanua Dighi in Comilla into a nearby pond on Wednesday evening.")</f>
        <v>During the attack, idols, pujamandap were vandalized and Hindus were beaten.[7][8][9] The attackers threw the Durga idol of the Pujamandapam at Uttarpar Nanua Dighi in Comilla into a nearby pond on Wednesday evening.</v>
      </c>
      <c r="F1270" s="1"/>
      <c r="G1270" s="1"/>
      <c r="H1270" s="1"/>
      <c r="I1270" s="1"/>
    </row>
    <row r="1271" spans="1:9" ht="15.6" x14ac:dyDescent="0.3">
      <c r="A1271" s="1" t="s">
        <v>7</v>
      </c>
      <c r="B1271" s="1" t="s">
        <v>7</v>
      </c>
      <c r="C1271" s="10" t="s">
        <v>7</v>
      </c>
      <c r="D1271" s="5" t="s">
        <v>1247</v>
      </c>
      <c r="E1271" s="1" t="str">
        <f ca="1">IFERROR(__xludf.DUMMYFUNCTION("GOOGLETRANSLATE(D1271, ""bn"", ""en"")")," By the nineteenth century satidah was believed to be supported by Hindu scriptures; Satidah was encouraged by unscrupulous neighbors ")</f>
        <v> By the nineteenth century satidah was believed to be supported by Hindu scriptures; Satidah was encouraged by unscrupulous neighbors </v>
      </c>
      <c r="F1271" s="1"/>
      <c r="G1271" s="1"/>
      <c r="H1271" s="1"/>
      <c r="I1271" s="1"/>
    </row>
    <row r="1272" spans="1:9" ht="15.6" x14ac:dyDescent="0.3">
      <c r="A1272" s="1" t="s">
        <v>5</v>
      </c>
      <c r="B1272" s="1" t="s">
        <v>5</v>
      </c>
      <c r="C1272" s="10" t="s">
        <v>5</v>
      </c>
      <c r="D1272" s="5" t="s">
        <v>1248</v>
      </c>
      <c r="E1272" s="1" t="str">
        <f ca="1">IFERROR(__xludf.DUMMYFUNCTION("GOOGLETRANSLATE(D1272, ""bn"", ""en"")"),"I believe every word of Buddhism and Gautama Buddha is true which makes our life much easier. Saint, saint, saint. Long live the reign of the Buddha.")</f>
        <v>I believe every word of Buddhism and Gautama Buddha is true which makes our life much easier. Saint, saint, saint. Long live the reign of the Buddha.</v>
      </c>
      <c r="F1272" s="1"/>
      <c r="G1272" s="1"/>
      <c r="H1272" s="1"/>
      <c r="I1272" s="1"/>
    </row>
    <row r="1273" spans="1:9" ht="15.6" x14ac:dyDescent="0.3">
      <c r="A1273" s="1" t="s">
        <v>5</v>
      </c>
      <c r="B1273" s="1" t="s">
        <v>5</v>
      </c>
      <c r="C1273" s="10" t="s">
        <v>5</v>
      </c>
      <c r="D1273" s="5" t="s">
        <v>1249</v>
      </c>
      <c r="E1273" s="1" t="str">
        <f ca="1">IFERROR(__xludf.DUMMYFUNCTION("GOOGLETRANSLATE(D1273, ""bn"", ""en"")"),"""And in a little while the Muslims of Bengal will come forward with the same courage and compassion as the Palestinians.""")</f>
        <v>"And in a little while the Muslims of Bengal will come forward with the same courage and compassion as the Palestinians."</v>
      </c>
      <c r="F1273" s="1"/>
      <c r="G1273" s="1"/>
      <c r="H1273" s="1"/>
      <c r="I1273" s="1"/>
    </row>
    <row r="1274" spans="1:9" ht="15.6" x14ac:dyDescent="0.3">
      <c r="A1274" s="1" t="s">
        <v>4</v>
      </c>
      <c r="B1274" s="1" t="s">
        <v>4</v>
      </c>
      <c r="C1274" s="10" t="s">
        <v>4</v>
      </c>
      <c r="D1274" s="5" t="s">
        <v>1250</v>
      </c>
      <c r="E1274" s="1" t="str">
        <f ca="1">IFERROR(__xludf.DUMMYFUNCTION("GOOGLETRANSLATE(D1274, ""bn"", ""en"")"),"Where was the freedom of religion then. But now they are turning the country upside down with a few comments. The problem of the so-called non-sectarian civils is actually in Islam. In the country of 90% Muslims, you cannot directly say this")</f>
        <v>Where was the freedom of religion then. But now they are turning the country upside down with a few comments. The problem of the so-called non-sectarian civils is actually in Islam. In the country of 90% Muslims, you cannot directly say this</v>
      </c>
      <c r="F1274" s="1"/>
      <c r="G1274" s="1"/>
      <c r="H1274" s="1"/>
      <c r="I1274" s="1"/>
    </row>
    <row r="1275" spans="1:9" ht="15.6" x14ac:dyDescent="0.3">
      <c r="A1275" s="1" t="s">
        <v>9</v>
      </c>
      <c r="B1275" s="1" t="s">
        <v>5</v>
      </c>
      <c r="C1275" s="10" t="s">
        <v>9</v>
      </c>
      <c r="D1275" s="5" t="s">
        <v>1251</v>
      </c>
      <c r="E1275" s="1" t="str">
        <f ca="1">IFERROR(__xludf.DUMMYFUNCTION("GOOGLETRANSLATE(D1275, ""bn"", ""en"")"),"More religious riots erupted in Noakhali, Bihar, United Pradesh (now Uttar Pradesh), Punjab and the North-West Frontier Province. These events eventually sowed the seeds of the Partition of India.")</f>
        <v>More religious riots erupted in Noakhali, Bihar, United Pradesh (now Uttar Pradesh), Punjab and the North-West Frontier Province. These events eventually sowed the seeds of the Partition of India.</v>
      </c>
      <c r="F1275" s="1"/>
      <c r="G1275" s="1"/>
      <c r="H1275" s="1"/>
      <c r="I1275" s="1"/>
    </row>
    <row r="1276" spans="1:9" ht="15.6" x14ac:dyDescent="0.3">
      <c r="A1276" s="1" t="s">
        <v>4</v>
      </c>
      <c r="B1276" s="1" t="s">
        <v>4</v>
      </c>
      <c r="C1276" s="10" t="s">
        <v>4</v>
      </c>
      <c r="D1276" s="5" t="s">
        <v>1252</v>
      </c>
      <c r="E1276" s="1" t="str">
        <f ca="1">IFERROR(__xludf.DUMMYFUNCTION("GOOGLETRANSLATE(D1276, ""bn"", ""en"")"),"If a ""Bar"" could be opened instead of a program of recitation of the Quran under the banyan tree, then consciousness would have been saved! There was no need to be ashamed.")</f>
        <v>If a "Bar" could be opened instead of a program of recitation of the Quran under the banyan tree, then consciousness would have been saved! There was no need to be ashamed.</v>
      </c>
      <c r="F1276" s="1"/>
      <c r="G1276" s="1"/>
      <c r="H1276" s="1"/>
      <c r="I1276" s="1"/>
    </row>
    <row r="1277" spans="1:9" ht="15.6" x14ac:dyDescent="0.3">
      <c r="A1277" s="1" t="s">
        <v>9</v>
      </c>
      <c r="B1277" s="1" t="s">
        <v>9</v>
      </c>
      <c r="C1277" s="10" t="s">
        <v>9</v>
      </c>
      <c r="D1277" s="5" t="s">
        <v>1253</v>
      </c>
      <c r="E1277" s="1" t="str">
        <f ca="1">IFERROR(__xludf.DUMMYFUNCTION("GOOGLETRANSLATE(D1277, ""bn"", ""en"")"),"At that time, four fully prepared Kalimurtis and 49 more Saraswati idols kept for color polishing were broken. According to the police, the culprit could not be identified.")</f>
        <v>At that time, four fully prepared Kalimurtis and 49 more Saraswati idols kept for color polishing were broken. According to the police, the culprit could not be identified.</v>
      </c>
      <c r="F1277" s="1"/>
      <c r="G1277" s="1"/>
      <c r="H1277" s="1"/>
      <c r="I1277" s="1"/>
    </row>
    <row r="1278" spans="1:9" ht="15.6" x14ac:dyDescent="0.3">
      <c r="A1278" s="1" t="s">
        <v>9</v>
      </c>
      <c r="B1278" s="1" t="s">
        <v>9</v>
      </c>
      <c r="C1278" s="10" t="s">
        <v>9</v>
      </c>
      <c r="D1278" s="5" t="s">
        <v>1254</v>
      </c>
      <c r="E1278" s="1" t="str">
        <f ca="1">IFERROR(__xludf.DUMMYFUNCTION("GOOGLETRANSLATE(D1278, ""bn"", ""en"")"),"In addition, 96 people of the community were arrested, dismissed, fired and fined in jail in false cases, 802 families were blocked, 57 religious institutions were desecrated, 60 religious ceremonies were prevented, 100 people were fed religiously prohibi"&amp;"ted beef. A total of 638 separate incidents caused a loss of Tk 152 crore 35 lakh 55 thousand.")</f>
        <v>In addition, 96 people of the community were arrested, dismissed, fired and fined in jail in false cases, 802 families were blocked, 57 religious institutions were desecrated, 60 religious ceremonies were prevented, 100 people were fed religiously prohibited beef. A total of 638 separate incidents caused a loss of Tk 152 crore 35 lakh 55 thousand.</v>
      </c>
      <c r="F1278" s="1"/>
      <c r="G1278" s="1"/>
      <c r="H1278" s="1"/>
      <c r="I1278" s="1"/>
    </row>
    <row r="1279" spans="1:9" ht="15.6" x14ac:dyDescent="0.3">
      <c r="A1279" s="1" t="s">
        <v>9</v>
      </c>
      <c r="B1279" s="1" t="s">
        <v>9</v>
      </c>
      <c r="C1279" s="10" t="s">
        <v>9</v>
      </c>
      <c r="D1279" s="5" t="s">
        <v>1255</v>
      </c>
      <c r="E1279" s="1" t="str">
        <f ca="1">IFERROR(__xludf.DUMMYFUNCTION("GOOGLETRANSLATE(D1279, ""bn"", ""en"")"),"On March 7, an idol of the Hindu goddess Kali was vandalized and a Hindu temple set on fire in Hatibandha upazila of Lalmonirhat.")</f>
        <v>On March 7, an idol of the Hindu goddess Kali was vandalized and a Hindu temple set on fire in Hatibandha upazila of Lalmonirhat.</v>
      </c>
      <c r="F1279" s="1"/>
      <c r="G1279" s="1"/>
      <c r="H1279" s="1"/>
      <c r="I1279" s="1"/>
    </row>
    <row r="1280" spans="1:9" ht="15.6" x14ac:dyDescent="0.3">
      <c r="A1280" s="1" t="s">
        <v>5</v>
      </c>
      <c r="B1280" s="1" t="s">
        <v>5</v>
      </c>
      <c r="C1280" s="10" t="s">
        <v>5</v>
      </c>
      <c r="D1280" s="5" t="s">
        <v>1256</v>
      </c>
      <c r="E1280" s="1" t="str">
        <f ca="1">IFERROR(__xludf.DUMMYFUNCTION("GOOGLETRANSLATE(D1280, ""bn"", ""en"")"),"Allah testifies that there is no god but Him. The angels and the righteous wise have also testified that there is no god but Him. He is mighty wise.")</f>
        <v>Allah testifies that there is no god but Him. The angels and the righteous wise have also testified that there is no god but Him. He is mighty wise.</v>
      </c>
      <c r="F1280" s="1"/>
      <c r="G1280" s="1"/>
      <c r="H1280" s="1"/>
      <c r="I1280" s="1"/>
    </row>
    <row r="1281" spans="1:9" ht="15.6" x14ac:dyDescent="0.3">
      <c r="A1281" s="1" t="s">
        <v>5</v>
      </c>
      <c r="B1281" s="1" t="s">
        <v>5</v>
      </c>
      <c r="C1281" s="10" t="s">
        <v>5</v>
      </c>
      <c r="D1281" s="5" t="s">
        <v>1257</v>
      </c>
      <c r="E1281" s="1" t="str">
        <f ca="1">IFERROR(__xludf.DUMMYFUNCTION("GOOGLETRANSLATE(D1281, ""bn"", ""en"")"),"It is the duty of individuals and communities or their children and families to enlighten their families with the light of the Quran. Today, every able-bodied Muslim can make a firm determination to establish a Quranic school in their own area and devote "&amp;"themselves to all-out efforts to spread Quranic education. ")</f>
        <v xml:space="preserve">It is the duty of individuals and communities or their children and families to enlighten their families with the light of the Quran. Today, every able-bodied Muslim can make a firm determination to establish a Quranic school in their own area and devote themselves to all-out efforts to spread Quranic education. </v>
      </c>
      <c r="F1281" s="1"/>
      <c r="G1281" s="1"/>
      <c r="H1281" s="1"/>
      <c r="I1281" s="1"/>
    </row>
    <row r="1282" spans="1:9" ht="15.6" x14ac:dyDescent="0.3">
      <c r="A1282" s="1" t="s">
        <v>9</v>
      </c>
      <c r="B1282" s="1" t="s">
        <v>9</v>
      </c>
      <c r="C1282" s="10" t="s">
        <v>9</v>
      </c>
      <c r="D1282" s="5" t="s">
        <v>1258</v>
      </c>
      <c r="E1282" s="1" t="str">
        <f ca="1">IFERROR(__xludf.DUMMYFUNCTION("GOOGLETRANSLATE(D1282, ""bn"", ""en"")"),"Self-inquiry: Despite having so many countries, so much wealth, being the second largest religious community in the world, why are we repeatedly oppressed, oppressed, defeated in Palestine, Kashmir, Chechnya, Bosnia, Myanmar, China—at the ends of the eart"&amp;"h?")</f>
        <v>Self-inquiry: Despite having so many countries, so much wealth, being the second largest religious community in the world, why are we repeatedly oppressed, oppressed, defeated in Palestine, Kashmir, Chechnya, Bosnia, Myanmar, China—at the ends of the earth?</v>
      </c>
      <c r="F1282" s="1"/>
      <c r="G1282" s="1"/>
      <c r="H1282" s="1"/>
      <c r="I1282" s="1"/>
    </row>
    <row r="1283" spans="1:9" ht="15.6" x14ac:dyDescent="0.3">
      <c r="A1283" s="1" t="s">
        <v>7</v>
      </c>
      <c r="B1283" s="1" t="s">
        <v>7</v>
      </c>
      <c r="C1283" s="10" t="s">
        <v>7</v>
      </c>
      <c r="D1283" s="5" t="s">
        <v>1259</v>
      </c>
      <c r="E1283" s="1" t="str">
        <f ca="1">IFERROR(__xludf.DUMMYFUNCTION("GOOGLETRANSLATE(D1283, ""bn"", ""en"")"),"The starting point of the incident was the Godra train burning which was allegedly committed by Muslims. [76] During these incidents, young girls were sexually assaulted, burned or hacked to death.")</f>
        <v>The starting point of the incident was the Godra train burning which was allegedly committed by Muslims. [76] During these incidents, young girls were sexually assaulted, burned or hacked to death.</v>
      </c>
      <c r="F1283" s="1"/>
      <c r="G1283" s="1"/>
      <c r="H1283" s="1"/>
      <c r="I1283" s="1"/>
    </row>
    <row r="1284" spans="1:9" ht="15.6" x14ac:dyDescent="0.3">
      <c r="A1284" s="1" t="s">
        <v>5</v>
      </c>
      <c r="B1284" s="1" t="s">
        <v>5</v>
      </c>
      <c r="C1284" s="10" t="s">
        <v>5</v>
      </c>
      <c r="D1284" s="5" t="s">
        <v>1260</v>
      </c>
      <c r="E1284" s="1" t="str">
        <f ca="1">IFERROR(__xludf.DUMMYFUNCTION("GOOGLETRANSLATE(D1284, ""bn"", ""en"")"),"On the eve of his return to Islamabad, President of Pakistan Ayub Khan announced at Dhaka Airport that any feelings arising among Muslims in Pakistan in the wake of the Hazratbal incident should be expressed peacefully and with restraint.")</f>
        <v>On the eve of his return to Islamabad, President of Pakistan Ayub Khan announced at Dhaka Airport that any feelings arising among Muslims in Pakistan in the wake of the Hazratbal incident should be expressed peacefully and with restraint.</v>
      </c>
      <c r="F1284" s="1"/>
      <c r="G1284" s="1"/>
      <c r="H1284" s="1"/>
      <c r="I1284" s="1"/>
    </row>
    <row r="1285" spans="1:9" ht="15.6" x14ac:dyDescent="0.3">
      <c r="A1285" s="1" t="s">
        <v>4</v>
      </c>
      <c r="B1285" s="1" t="s">
        <v>5</v>
      </c>
      <c r="C1285" s="10" t="s">
        <v>4</v>
      </c>
      <c r="D1285" s="5" t="s">
        <v>1261</v>
      </c>
      <c r="E1285" s="1" t="str">
        <f ca="1">IFERROR(__xludf.DUMMYFUNCTION("GOOGLETRANSLATE(D1285, ""bn"", ""en"")"),"They are not religious people, they are always emotional, not on the edge of logic, innocent of the whole world. It is possible to stop the extremists of the people united.")</f>
        <v>They are not religious people, they are always emotional, not on the edge of logic, innocent of the whole world. It is possible to stop the extremists of the people united.</v>
      </c>
      <c r="F1285" s="1"/>
      <c r="G1285" s="1"/>
      <c r="H1285" s="1"/>
      <c r="I1285" s="1"/>
    </row>
    <row r="1286" spans="1:9" ht="15.6" x14ac:dyDescent="0.3">
      <c r="A1286" s="1" t="s">
        <v>7</v>
      </c>
      <c r="B1286" s="1" t="s">
        <v>7</v>
      </c>
      <c r="C1286" s="10" t="s">
        <v>7</v>
      </c>
      <c r="D1286" s="5" t="s">
        <v>1262</v>
      </c>
      <c r="E1286" s="1" t="str">
        <f ca="1">IFERROR(__xludf.DUMMYFUNCTION("GOOGLETRANSLATE(D1286, ""bn"", ""en"")"),"Many people are committing suicide due to various reasons such as poor performance in studies, job loss, emotional stress, failure in love. It has increased especially after the start of the corona pandemic. To survive this, family ties are a big issue.")</f>
        <v>Many people are committing suicide due to various reasons such as poor performance in studies, job loss, emotional stress, failure in love. It has increased especially after the start of the corona pandemic. To survive this, family ties are a big issue.</v>
      </c>
      <c r="F1286" s="1"/>
      <c r="G1286" s="1"/>
      <c r="H1286" s="1"/>
      <c r="I1286" s="1"/>
    </row>
    <row r="1287" spans="1:9" ht="15.6" x14ac:dyDescent="0.3">
      <c r="A1287" s="1" t="s">
        <v>7</v>
      </c>
      <c r="B1287" s="1" t="s">
        <v>7</v>
      </c>
      <c r="C1287" s="10" t="s">
        <v>7</v>
      </c>
      <c r="D1287" s="5" t="s">
        <v>1263</v>
      </c>
      <c r="E1287" s="1" t="str">
        <f ca="1">IFERROR(__xludf.DUMMYFUNCTION("GOOGLETRANSLATE(D1287, ""bn"", ""en"")"),"Khairun Nahar, a college teacher who was married to a student in Natore, committed suicide. ")</f>
        <v xml:space="preserve">Khairun Nahar, a college teacher who was married to a student in Natore, committed suicide. </v>
      </c>
      <c r="F1287" s="1"/>
      <c r="G1287" s="1"/>
      <c r="H1287" s="1"/>
      <c r="I1287" s="1"/>
    </row>
    <row r="1288" spans="1:9" ht="15.6" x14ac:dyDescent="0.3">
      <c r="A1288" s="1" t="s">
        <v>7</v>
      </c>
      <c r="B1288" s="1" t="s">
        <v>7</v>
      </c>
      <c r="C1288" s="10" t="s">
        <v>7</v>
      </c>
      <c r="D1288" s="5" t="s">
        <v>1264</v>
      </c>
      <c r="E1288" s="1" t="str">
        <f ca="1">IFERROR(__xludf.DUMMYFUNCTION("GOOGLETRANSLATE(D1288, ""bn"", ""en"")"),"Zandi Genocide is a massacre committed against Bengali Hindus by Pakistan Army with the help of local Rajakars in Zandi village of Faridpur during the independence war of Bangladesh.")</f>
        <v>Zandi Genocide is a massacre committed against Bengali Hindus by Pakistan Army with the help of local Rajakars in Zandi village of Faridpur during the independence war of Bangladesh.</v>
      </c>
      <c r="F1288" s="1"/>
      <c r="G1288" s="1"/>
      <c r="H1288" s="1"/>
      <c r="I1288" s="1"/>
    </row>
    <row r="1289" spans="1:9" ht="15.6" x14ac:dyDescent="0.3">
      <c r="A1289" s="1" t="s">
        <v>5</v>
      </c>
      <c r="B1289" s="1" t="s">
        <v>5</v>
      </c>
      <c r="C1289" s="10" t="s">
        <v>5</v>
      </c>
      <c r="D1289" s="5" t="s">
        <v>1265</v>
      </c>
      <c r="E1289" s="1" t="str">
        <f ca="1">IFERROR(__xludf.DUMMYFUNCTION("GOOGLETRANSLATE(D1289, ""bn"", ""en"")"),"""A religion that divides people, a religion that breeds a sense of superiority in itself, you cannot prove yourself a good man by that religion. You should rather stand for the true and the beautiful.""")</f>
        <v>"A religion that divides people, a religion that breeds a sense of superiority in itself, you cannot prove yourself a good man by that religion. You should rather stand for the true and the beautiful."</v>
      </c>
      <c r="F1289" s="1"/>
      <c r="G1289" s="1"/>
      <c r="H1289" s="1"/>
      <c r="I1289" s="1"/>
    </row>
    <row r="1290" spans="1:9" ht="15.6" x14ac:dyDescent="0.3">
      <c r="A1290" s="1" t="s">
        <v>7</v>
      </c>
      <c r="B1290" s="1" t="s">
        <v>7</v>
      </c>
      <c r="C1290" s="10" t="s">
        <v>7</v>
      </c>
      <c r="D1290" s="5" t="s">
        <v>1266</v>
      </c>
      <c r="E1290" s="1" t="str">
        <f ca="1">IFERROR(__xludf.DUMMYFUNCTION("GOOGLETRANSLATE(D1290, ""bn"", ""en"")"),"In the mid-nineteenth century on the island of Lombok, today Indonesia, the local Balinese elite practiced widow suicide; But only widows of royal descent could burn themselves alive (others were first stabbed to death with a kirich).")</f>
        <v>In the mid-nineteenth century on the island of Lombok, today Indonesia, the local Balinese elite practiced widow suicide; But only widows of royal descent could burn themselves alive (others were first stabbed to death with a kirich).</v>
      </c>
      <c r="F1290" s="1"/>
      <c r="G1290" s="1"/>
      <c r="H1290" s="1"/>
      <c r="I1290" s="1"/>
    </row>
    <row r="1291" spans="1:9" ht="15.6" x14ac:dyDescent="0.3">
      <c r="A1291" s="1" t="s">
        <v>7</v>
      </c>
      <c r="B1291" s="1" t="s">
        <v>7</v>
      </c>
      <c r="C1291" s="10" t="s">
        <v>7</v>
      </c>
      <c r="D1291" s="5" t="s">
        <v>1267</v>
      </c>
      <c r="E1291" s="1" t="str">
        <f ca="1">IFERROR(__xludf.DUMMYFUNCTION("GOOGLETRANSLATE(D1291, ""bn"", ""en"")"),"1 thousand and 45 incidents of communal violence-persecution-persecution have occurred in the last one year across the country. 45 people from religious and ethnic minority communities have been killed in these incidents.")</f>
        <v>1 thousand and 45 incidents of communal violence-persecution-persecution have occurred in the last one year across the country. 45 people from religious and ethnic minority communities have been killed in these incidents.</v>
      </c>
      <c r="F1291" s="1"/>
      <c r="G1291" s="1"/>
      <c r="H1291" s="1"/>
      <c r="I1291" s="1"/>
    </row>
    <row r="1292" spans="1:9" ht="15.6" x14ac:dyDescent="0.3">
      <c r="A1292" s="1" t="s">
        <v>4</v>
      </c>
      <c r="B1292" s="1" t="s">
        <v>4</v>
      </c>
      <c r="C1292" s="10" t="s">
        <v>4</v>
      </c>
      <c r="D1292" s="5" t="s">
        <v>1268</v>
      </c>
      <c r="E1292" s="1" t="str">
        <f ca="1">IFERROR(__xludf.DUMMYFUNCTION("GOOGLETRANSLATE(D1292, ""bn"", ""en"")"),"That bastard's purpose will succeed (we believe that Allah forgives, but does not release) find the real culprit and punish him as a traitor for insulting both religions and creating anarchy in the country. Finally I will say that Islam is a religion of p"&amp;"eace, it is forbidden to hurt others because of one's fault.")</f>
        <v>That bastard's purpose will succeed (we believe that Allah forgives, but does not release) find the real culprit and punish him as a traitor for insulting both religions and creating anarchy in the country. Finally I will say that Islam is a religion of peace, it is forbidden to hurt others because of one's fault.</v>
      </c>
      <c r="F1292" s="1"/>
      <c r="G1292" s="1"/>
      <c r="H1292" s="1"/>
      <c r="I1292" s="1"/>
    </row>
    <row r="1293" spans="1:9" ht="15.6" x14ac:dyDescent="0.3">
      <c r="A1293" s="1" t="s">
        <v>7</v>
      </c>
      <c r="B1293" s="1" t="s">
        <v>7</v>
      </c>
      <c r="C1293" s="10" t="s">
        <v>7</v>
      </c>
      <c r="D1293" s="5" t="s">
        <v>1269</v>
      </c>
      <c r="E1293" s="1" t="str">
        <f ca="1">IFERROR(__xludf.DUMMYFUNCTION("GOOGLETRANSLATE(D1293, ""bn"", ""en"")"),"On 2 May 1971, Pakistani forces and local allies reached Jandi village and surrounded the village to prevent the villagers from escaping. All the Hindus in the village were caught, the men were killed by brushfire and the women were raped and killed.")</f>
        <v>On 2 May 1971, Pakistani forces and local allies reached Jandi village and surrounded the village to prevent the villagers from escaping. All the Hindus in the village were caught, the men were killed by brushfire and the women were raped and killed.</v>
      </c>
      <c r="F1293" s="1"/>
      <c r="G1293" s="1"/>
      <c r="H1293" s="1"/>
      <c r="I1293" s="1"/>
    </row>
    <row r="1294" spans="1:9" ht="15.6" x14ac:dyDescent="0.3">
      <c r="A1294" s="1" t="s">
        <v>4</v>
      </c>
      <c r="B1294" s="1" t="s">
        <v>4</v>
      </c>
      <c r="C1294" s="10" t="s">
        <v>4</v>
      </c>
      <c r="D1294" s="5" t="s">
        <v>1270</v>
      </c>
      <c r="E1294" s="1" t="str">
        <f ca="1">IFERROR(__xludf.DUMMYFUNCTION("GOOGLETRANSLATE(D1294, ""bn"", ""en"")"),"Common people rely on the traditional ideas of the religious fundamentalist political leader's misdeeds, fall in love with evil and get involved in incidents like violence, hatred. It is connected with personal aspirations, trying to find one's own existe"&amp;"nce.")</f>
        <v>Common people rely on the traditional ideas of the religious fundamentalist political leader's misdeeds, fall in love with evil and get involved in incidents like violence, hatred. It is connected with personal aspirations, trying to find one's own existence.</v>
      </c>
      <c r="F1294" s="1"/>
      <c r="G1294" s="1"/>
      <c r="H1294" s="1"/>
      <c r="I1294" s="1"/>
    </row>
    <row r="1295" spans="1:9" ht="15.6" x14ac:dyDescent="0.3">
      <c r="A1295" s="1" t="s">
        <v>4</v>
      </c>
      <c r="B1295" s="1" t="s">
        <v>4</v>
      </c>
      <c r="C1295" s="10" t="s">
        <v>4</v>
      </c>
      <c r="D1295" s="5" t="s">
        <v>1271</v>
      </c>
      <c r="E1295" s="1" t="str">
        <f ca="1">IFERROR(__xludf.DUMMYFUNCTION("GOOGLETRANSLATE(D1295, ""bn"", ""en"")"),"Insulting the Prophet is deserving of contempt and hatred from all sides. It is a crime for which Allah has taken His own punishment. Therefore, Allah Ta'ala has not given anyone the right to punish anyone externally because of this crime.")</f>
        <v>Insulting the Prophet is deserving of contempt and hatred from all sides. It is a crime for which Allah has taken His own punishment. Therefore, Allah Ta'ala has not given anyone the right to punish anyone externally because of this crime.</v>
      </c>
      <c r="F1295" s="1"/>
      <c r="G1295" s="1"/>
      <c r="H1295" s="1"/>
      <c r="I1295" s="1"/>
    </row>
    <row r="1296" spans="1:9" ht="15.6" x14ac:dyDescent="0.3">
      <c r="A1296" s="1" t="s">
        <v>5</v>
      </c>
      <c r="B1296" s="1" t="s">
        <v>5</v>
      </c>
      <c r="C1296" s="10" t="s">
        <v>5</v>
      </c>
      <c r="D1296" s="5" t="s">
        <v>1272</v>
      </c>
      <c r="E1296" s="1" t="str">
        <f ca="1">IFERROR(__xludf.DUMMYFUNCTION("GOOGLETRANSLATE(D1296, ""bn"", ""en"")"),"Hinduism emphasizes fair treatment and benevolent attitude towards the earth and living beings.")</f>
        <v>Hinduism emphasizes fair treatment and benevolent attitude towards the earth and living beings.</v>
      </c>
      <c r="F1296" s="1"/>
      <c r="G1296" s="1"/>
      <c r="H1296" s="1"/>
      <c r="I1296" s="1"/>
    </row>
    <row r="1297" spans="1:9" ht="15.6" x14ac:dyDescent="0.3">
      <c r="A1297" s="1" t="s">
        <v>5</v>
      </c>
      <c r="B1297" s="1" t="s">
        <v>5</v>
      </c>
      <c r="C1297" s="10" t="s">
        <v>5</v>
      </c>
      <c r="D1297" s="5" t="s">
        <v>1273</v>
      </c>
      <c r="E1297" s="1" t="str">
        <f ca="1">IFERROR(__xludf.DUMMYFUNCTION("GOOGLETRANSLATE(D1297, ""bn"", ""en"")"),"Gautama Buddha did not realize the existence of God from his practical life and his own reality")</f>
        <v>Gautama Buddha did not realize the existence of God from his practical life and his own reality</v>
      </c>
      <c r="F1297" s="1"/>
      <c r="G1297" s="1"/>
      <c r="H1297" s="1"/>
      <c r="I1297" s="1"/>
    </row>
    <row r="1298" spans="1:9" ht="15.6" x14ac:dyDescent="0.3">
      <c r="A1298" s="1" t="s">
        <v>7</v>
      </c>
      <c r="B1298" s="1" t="s">
        <v>7</v>
      </c>
      <c r="C1298" s="10" t="s">
        <v>7</v>
      </c>
      <c r="D1298" s="5" t="s">
        <v>1274</v>
      </c>
      <c r="E1298" s="1" t="str">
        <f ca="1">IFERROR(__xludf.DUMMYFUNCTION("GOOGLETRANSLATE(D1298, ""bn"", ""en"")"),"Hindu temples, homes and businesses were attacked across the country, killing several, following rumors that Milla had kept the Koran in a shrine.")</f>
        <v>Hindu temples, homes and businesses were attacked across the country, killing several, following rumors that Milla had kept the Koran in a shrine.</v>
      </c>
      <c r="F1298" s="1"/>
      <c r="G1298" s="1"/>
      <c r="H1298" s="1"/>
      <c r="I1298" s="1"/>
    </row>
    <row r="1299" spans="1:9" ht="46.8" x14ac:dyDescent="0.3">
      <c r="A1299" s="1" t="s">
        <v>9</v>
      </c>
      <c r="B1299" s="1" t="s">
        <v>9</v>
      </c>
      <c r="C1299" s="10" t="s">
        <v>9</v>
      </c>
      <c r="D1299" s="6" t="s">
        <v>3986</v>
      </c>
      <c r="E1299" s="1" t="str">
        <f ca="1">IFERROR(__xludf.DUMMYFUNCTION("GOOGLETRANSLATE(D1299, ""bn"", ""en"")")," They tried to defend themselves when the allies opened fire on them. Fifteen were shot and the rest retreated. Abdul Jabbar the engineer himself shot and killed Sakhnath Kharati on the spot. An associate named Lalu Khan was killed. The aides dragged the "&amp;"bodies of the villagers and dumped them in the canal. After this murder, the accomplices looted 80 Bengali Hindu families and set them on fire.")</f>
        <v> They tried to defend themselves when the allies opened fire on them. Fifteen were shot and the rest retreated. Abdul Jabbar the engineer himself shot and killed Sakhnath Kharati on the spot. An associate named Lalu Khan was killed. The aides dragged the bodies of the villagers and dumped them in the canal. After this murder, the accomplices looted 80 Bengali Hindu families and set them on fire.</v>
      </c>
      <c r="F1299" s="1"/>
      <c r="G1299" s="1"/>
      <c r="H1299" s="1"/>
      <c r="I1299" s="1"/>
    </row>
    <row r="1300" spans="1:9" ht="15.6" x14ac:dyDescent="0.3">
      <c r="A1300" s="1" t="s">
        <v>5</v>
      </c>
      <c r="B1300" s="1" t="s">
        <v>5</v>
      </c>
      <c r="C1300" s="10" t="s">
        <v>5</v>
      </c>
      <c r="D1300" s="5" t="s">
        <v>1275</v>
      </c>
      <c r="E1300" s="1" t="str">
        <f ca="1">IFERROR(__xludf.DUMMYFUNCTION("GOOGLETRANSLATE(D1300, ""bn"", ""en"")"),"Any and all information collected about members of the Baha'i Faith. The letter was brought to the attention of the international community in a press release on 20 March 2006, which cited Asma Jahangir, Special Rapporteur of the United Nations Commission"&amp;" on Human Rights on Freedom of Religion or Belief.")</f>
        <v>Any and all information collected about members of the Baha'i Faith. The letter was brought to the attention of the international community in a press release on 20 March 2006, which cited Asma Jahangir, Special Rapporteur of the United Nations Commission on Human Rights on Freedom of Religion or Belief.</v>
      </c>
      <c r="F1300" s="1"/>
      <c r="G1300" s="1"/>
      <c r="H1300" s="1"/>
      <c r="I1300" s="1"/>
    </row>
    <row r="1301" spans="1:9" ht="15.6" x14ac:dyDescent="0.3">
      <c r="A1301" s="1" t="s">
        <v>5</v>
      </c>
      <c r="B1301" s="1" t="s">
        <v>5</v>
      </c>
      <c r="C1301" s="10" t="s">
        <v>5</v>
      </c>
      <c r="D1301" s="5" t="s">
        <v>1276</v>
      </c>
      <c r="E1301" s="1" t="str">
        <f ca="1">IFERROR(__xludf.DUMMYFUNCTION("GOOGLETRANSLATE(D1301, ""bn"", ""en"")"),"Religion inculcates moral values ​​in human life and through it inspires people to follow the right path.")</f>
        <v>Religion inculcates moral values ​​in human life and through it inspires people to follow the right path.</v>
      </c>
      <c r="F1301" s="1"/>
      <c r="G1301" s="1"/>
      <c r="H1301" s="1"/>
      <c r="I1301" s="1"/>
    </row>
    <row r="1302" spans="1:9" ht="15.6" x14ac:dyDescent="0.3">
      <c r="A1302" s="1" t="s">
        <v>7</v>
      </c>
      <c r="B1302" s="1" t="s">
        <v>7</v>
      </c>
      <c r="C1302" s="10" t="s">
        <v>7</v>
      </c>
      <c r="D1302" s="5" t="s">
        <v>1277</v>
      </c>
      <c r="E1302" s="1" t="str">
        <f ca="1">IFERROR(__xludf.DUMMYFUNCTION("GOOGLETRANSLATE(D1302, ""bn"", ""en"")"),"Age can be determined by post mortem of dead people. Gender can be determined.")</f>
        <v>Age can be determined by post mortem of dead people. Gender can be determined.</v>
      </c>
      <c r="F1302" s="1"/>
      <c r="G1302" s="1"/>
      <c r="H1302" s="1"/>
      <c r="I1302" s="1"/>
    </row>
    <row r="1303" spans="1:9" ht="15.6" x14ac:dyDescent="0.3">
      <c r="A1303" s="1" t="s">
        <v>4</v>
      </c>
      <c r="B1303" s="1" t="s">
        <v>4</v>
      </c>
      <c r="C1303" s="10" t="s">
        <v>4</v>
      </c>
      <c r="D1303" s="5" t="s">
        <v>1278</v>
      </c>
      <c r="E1303" s="1" t="str">
        <f ca="1">IFERROR(__xludf.DUMMYFUNCTION("GOOGLETRANSLATE(D1303, ""bn"", ""en"")"),"According to demographer Ashish Basu, with the rise of Islamic fundamentalism in Afghanistan after the 1980s, Hindus became the target of ""intense hatred"". ")</f>
        <v>According to demographer Ashish Basu, with the rise of Islamic fundamentalism in Afghanistan after the 1980s, Hindus became the target of "intense hatred". </v>
      </c>
      <c r="F1303" s="1"/>
      <c r="G1303" s="1"/>
      <c r="H1303" s="1"/>
      <c r="I1303" s="1"/>
    </row>
    <row r="1304" spans="1:9" ht="15.6" x14ac:dyDescent="0.3">
      <c r="A1304" s="1" t="s">
        <v>9</v>
      </c>
      <c r="B1304" s="1" t="s">
        <v>9</v>
      </c>
      <c r="C1304" s="10" t="s">
        <v>9</v>
      </c>
      <c r="D1304" s="5" t="s">
        <v>1279</v>
      </c>
      <c r="E1304" s="1" t="str">
        <f ca="1">IFERROR(__xludf.DUMMYFUNCTION("GOOGLETRANSLATE(D1304, ""bn"", ""en"")"),"The situation began to deteriorate further when on 16th December, Hindus were indiscriminately killed, looted and set on fire in Gournadi, Jhalkathi, Nalchiti sub-divisions of Barisal district.")</f>
        <v>The situation began to deteriorate further when on 16th December, Hindus were indiscriminately killed, looted and set on fire in Gournadi, Jhalkathi, Nalchiti sub-divisions of Barisal district.</v>
      </c>
      <c r="F1304" s="1"/>
      <c r="G1304" s="1"/>
      <c r="H1304" s="1"/>
      <c r="I1304" s="1"/>
    </row>
    <row r="1305" spans="1:9" ht="15.6" x14ac:dyDescent="0.3">
      <c r="A1305" s="1" t="s">
        <v>4</v>
      </c>
      <c r="B1305" s="1" t="s">
        <v>4</v>
      </c>
      <c r="C1305" s="10" t="s">
        <v>4</v>
      </c>
      <c r="D1305" s="5" t="s">
        <v>1280</v>
      </c>
      <c r="E1305" s="1" t="str">
        <f ca="1">IFERROR(__xludf.DUMMYFUNCTION("GOOGLETRANSLATE(D1305, ""bn"", ""en"")"),"May Allah protect our Holy Qur'an and punish the wrongdoers who are trying to burn our Holy Qur'an more and more hard.")</f>
        <v>May Allah protect our Holy Qur'an and punish the wrongdoers who are trying to burn our Holy Qur'an more and more hard.</v>
      </c>
      <c r="F1305" s="1"/>
      <c r="G1305" s="1"/>
      <c r="H1305" s="1"/>
      <c r="I1305" s="1"/>
    </row>
    <row r="1306" spans="1:9" ht="15.6" x14ac:dyDescent="0.3">
      <c r="A1306" s="1" t="s">
        <v>9</v>
      </c>
      <c r="B1306" s="1" t="s">
        <v>9</v>
      </c>
      <c r="C1306" s="10" t="s">
        <v>9</v>
      </c>
      <c r="D1306" s="5" t="s">
        <v>1281</v>
      </c>
      <c r="E1306" s="1" t="str">
        <f ca="1">IFERROR(__xludf.DUMMYFUNCTION("GOOGLETRANSLATE(D1306, ""bn"", ""en"")")," Soon after the independence of Bangladesh, persecution of Hindus started again in that country. After 1971 many Bengali Hindus came to India as refugees unable to bear the persecution of Muslims.")</f>
        <v> Soon after the independence of Bangladesh, persecution of Hindus started again in that country. After 1971 many Bengali Hindus came to India as refugees unable to bear the persecution of Muslims.</v>
      </c>
      <c r="F1306" s="1"/>
      <c r="G1306" s="1"/>
      <c r="H1306" s="1"/>
      <c r="I1306" s="1"/>
    </row>
    <row r="1307" spans="1:9" ht="15.6" x14ac:dyDescent="0.3">
      <c r="A1307" s="1" t="s">
        <v>7</v>
      </c>
      <c r="B1307" s="1" t="s">
        <v>7</v>
      </c>
      <c r="C1307" s="10" t="s">
        <v>7</v>
      </c>
      <c r="D1307" s="5" t="s">
        <v>1282</v>
      </c>
      <c r="E1307" s="1" t="str">
        <f ca="1">IFERROR(__xludf.DUMMYFUNCTION("GOOGLETRANSLATE(D1307, ""bn"", ""en"")"),"Following Iran's Islamic Revolution, many dissidents and dissenting ideologues were executed, reflecting religious repression.")</f>
        <v>Following Iran's Islamic Revolution, many dissidents and dissenting ideologues were executed, reflecting religious repression.</v>
      </c>
      <c r="F1307" s="1"/>
      <c r="G1307" s="1"/>
      <c r="H1307" s="1"/>
      <c r="I1307" s="1"/>
    </row>
    <row r="1308" spans="1:9" ht="15.6" x14ac:dyDescent="0.3">
      <c r="A1308" s="1" t="s">
        <v>5</v>
      </c>
      <c r="B1308" s="1" t="s">
        <v>5</v>
      </c>
      <c r="C1308" s="10" t="s">
        <v>5</v>
      </c>
      <c r="D1308" s="5" t="s">
        <v>1283</v>
      </c>
      <c r="E1308" s="1" t="str">
        <f ca="1">IFERROR(__xludf.DUMMYFUNCTION("GOOGLETRANSLATE(D1308, ""bn"", ""en"")"),"Pooja does not involve political activity, but iftar parties do. So there is no need to create a communal clash over it from a religious point of view.")</f>
        <v>Pooja does not involve political activity, but iftar parties do. So there is no need to create a communal clash over it from a religious point of view.</v>
      </c>
      <c r="F1308" s="1"/>
      <c r="G1308" s="1"/>
      <c r="H1308" s="1"/>
      <c r="I1308" s="1"/>
    </row>
    <row r="1309" spans="1:9" ht="15.6" x14ac:dyDescent="0.3">
      <c r="A1309" s="1" t="s">
        <v>5</v>
      </c>
      <c r="B1309" s="1" t="s">
        <v>5</v>
      </c>
      <c r="C1309" s="10" t="s">
        <v>5</v>
      </c>
      <c r="D1309" s="5" t="s">
        <v>1284</v>
      </c>
      <c r="E1309" s="1" t="str">
        <f ca="1">IFERROR(__xludf.DUMMYFUNCTION("GOOGLETRANSLATE(D1309, ""bn"", ""en"")"),"In the teachings of Islam, Allah says that in the Hereafter, every human being will be held accountable for their deeds, and that the righteous will be rewarded.")</f>
        <v>In the teachings of Islam, Allah says that in the Hereafter, every human being will be held accountable for their deeds, and that the righteous will be rewarded.</v>
      </c>
      <c r="F1309" s="1"/>
      <c r="G1309" s="1"/>
      <c r="H1309" s="1"/>
      <c r="I1309" s="1"/>
    </row>
    <row r="1310" spans="1:9" ht="15.6" x14ac:dyDescent="0.3">
      <c r="A1310" s="1" t="s">
        <v>5</v>
      </c>
      <c r="B1310" s="1" t="s">
        <v>5</v>
      </c>
      <c r="C1310" s="10" t="s">
        <v>5</v>
      </c>
      <c r="D1310" s="5" t="s">
        <v>1285</v>
      </c>
      <c r="E1310" s="1" t="str">
        <f ca="1">IFERROR(__xludf.DUMMYFUNCTION("GOOGLETRANSLATE(D1310, ""bn"", ""en"")"),"Obey religion for yourself, for your family, for society and for the state. ok,,,,")</f>
        <v>Obey religion for yourself, for your family, for society and for the state. ok,,,,</v>
      </c>
      <c r="F1310" s="1"/>
      <c r="G1310" s="1"/>
      <c r="H1310" s="1"/>
      <c r="I1310" s="1"/>
    </row>
    <row r="1311" spans="1:9" ht="15.6" x14ac:dyDescent="0.3">
      <c r="A1311" s="1" t="s">
        <v>9</v>
      </c>
      <c r="B1311" s="1" t="s">
        <v>9</v>
      </c>
      <c r="C1311" s="10" t="s">
        <v>9</v>
      </c>
      <c r="D1311" s="5" t="s">
        <v>1286</v>
      </c>
      <c r="E1311" s="1" t="str">
        <f ca="1">IFERROR(__xludf.DUMMYFUNCTION("GOOGLETRANSLATE(D1311, ""bn"", ""en"")"),"Al-Aqsa is bloody again. Israeli forces entered the mosque after dawn and attacked the worshipers. Clashes are going on from time to time. More than 150 Palestinians were injured. About 400 people were arrested from the mosque premises. Al-Aqsa authoritie"&amp;"s accused the attack of planning to destroy the sanctity of Ramadan")</f>
        <v>Al-Aqsa is bloody again. Israeli forces entered the mosque after dawn and attacked the worshipers. Clashes are going on from time to time. More than 150 Palestinians were injured. About 400 people were arrested from the mosque premises. Al-Aqsa authorities accused the attack of planning to destroy the sanctity of Ramadan</v>
      </c>
      <c r="F1311" s="1"/>
      <c r="G1311" s="1"/>
      <c r="H1311" s="1"/>
      <c r="I1311" s="1"/>
    </row>
    <row r="1312" spans="1:9" ht="15.6" x14ac:dyDescent="0.3">
      <c r="A1312" s="1" t="s">
        <v>4</v>
      </c>
      <c r="B1312" s="1" t="s">
        <v>4</v>
      </c>
      <c r="C1312" s="10" t="s">
        <v>4</v>
      </c>
      <c r="D1312" s="5" t="s">
        <v>1287</v>
      </c>
      <c r="E1312" s="1" t="str">
        <f ca="1">IFERROR(__xludf.DUMMYFUNCTION("GOOGLETRANSLATE(D1312, ""bn"", ""en"")"),"India does not work through here. Hinduism is being established by Hindus. Therefore, if India opposes, Hindu opposition will also be needed here.")</f>
        <v>India does not work through here. Hinduism is being established by Hindus. Therefore, if India opposes, Hindu opposition will also be needed here.</v>
      </c>
      <c r="F1312" s="1"/>
      <c r="G1312" s="1"/>
      <c r="H1312" s="1"/>
      <c r="I1312" s="1"/>
    </row>
    <row r="1313" spans="1:9" ht="15.6" x14ac:dyDescent="0.3">
      <c r="A1313" s="1" t="s">
        <v>9</v>
      </c>
      <c r="B1313" s="1" t="s">
        <v>9</v>
      </c>
      <c r="C1313" s="10" t="s">
        <v>9</v>
      </c>
      <c r="D1313" s="5" t="s">
        <v>1288</v>
      </c>
      <c r="E1313" s="1" t="str">
        <f ca="1">IFERROR(__xludf.DUMMYFUNCTION("GOOGLETRANSLATE(D1313, ""bn"", ""en"")"),"Communal attack for 10 rupees! That is also possible in this country. The incident happened again on January 10, Bangabandhu's homecoming day. Matwara country to celebrate the day, in the evening it is known, communal attack in Barisal.")</f>
        <v>Communal attack for 10 rupees! That is also possible in this country. The incident happened again on January 10, Bangabandhu's homecoming day. Matwara country to celebrate the day, in the evening it is known, communal attack in Barisal.</v>
      </c>
      <c r="F1313" s="1"/>
      <c r="G1313" s="1"/>
      <c r="H1313" s="1"/>
      <c r="I1313" s="1"/>
    </row>
    <row r="1314" spans="1:9" ht="15.6" x14ac:dyDescent="0.3">
      <c r="A1314" s="1" t="s">
        <v>4</v>
      </c>
      <c r="B1314" s="1" t="s">
        <v>5</v>
      </c>
      <c r="C1314" s="10" t="s">
        <v>4</v>
      </c>
      <c r="D1314" s="5" t="s">
        <v>1289</v>
      </c>
      <c r="E1314" s="1" t="str">
        <f ca="1">IFERROR(__xludf.DUMMYFUNCTION("GOOGLETRANSLATE(D1314, ""bn"", ""en"")"),"But so that no radical fanatic group can try to take the matter in a different direction around this Ramadhan or Iftar, so the discussion meetings of those people who are born with political motives and trying to rescue him through religion are trying to "&amp;"control the matter.")</f>
        <v>But so that no radical fanatic group can try to take the matter in a different direction around this Ramadhan or Iftar, so the discussion meetings of those people who are born with political motives and trying to rescue him through religion are trying to control the matter.</v>
      </c>
      <c r="F1314" s="1"/>
      <c r="G1314" s="1"/>
      <c r="H1314" s="1"/>
      <c r="I1314" s="1"/>
    </row>
    <row r="1315" spans="1:9" ht="15.6" x14ac:dyDescent="0.3">
      <c r="A1315" s="1" t="s">
        <v>4</v>
      </c>
      <c r="B1315" s="1" t="s">
        <v>4</v>
      </c>
      <c r="C1315" s="10" t="s">
        <v>4</v>
      </c>
      <c r="D1315" s="5" t="s">
        <v>1290</v>
      </c>
      <c r="E1315" s="1" t="str">
        <f ca="1">IFERROR(__xludf.DUMMYFUNCTION("GOOGLETRANSLATE(D1315, ""bn"", ""en"")"),"This is the only thing that comes to mind. Why this Taliban regime, who are the patrons of this hideous Muslim fundamentalism. More disappointing - not a single country in the entire developed world has taken any action against it.")</f>
        <v>This is the only thing that comes to mind. Why this Taliban regime, who are the patrons of this hideous Muslim fundamentalism. More disappointing - not a single country in the entire developed world has taken any action against it.</v>
      </c>
      <c r="F1315" s="1"/>
      <c r="G1315" s="1"/>
      <c r="H1315" s="1"/>
      <c r="I1315" s="1"/>
    </row>
    <row r="1316" spans="1:9" ht="15.6" x14ac:dyDescent="0.3">
      <c r="A1316" s="1" t="s">
        <v>9</v>
      </c>
      <c r="B1316" s="1" t="s">
        <v>9</v>
      </c>
      <c r="C1316" s="10" t="s">
        <v>9</v>
      </c>
      <c r="D1316" s="5" t="s">
        <v>1291</v>
      </c>
      <c r="E1316" s="1" t="str">
        <f ca="1">IFERROR(__xludf.DUMMYFUNCTION("GOOGLETRANSLATE(D1316, ""bn"", ""en"")"),"Terrorists burnt the Kali Temple in Rajapur")</f>
        <v>Terrorists burnt the Kali Temple in Rajapur</v>
      </c>
      <c r="F1316" s="1"/>
      <c r="G1316" s="1"/>
      <c r="H1316" s="1"/>
      <c r="I1316" s="1"/>
    </row>
    <row r="1317" spans="1:9" ht="15.6" x14ac:dyDescent="0.3">
      <c r="A1317" s="1" t="s">
        <v>4</v>
      </c>
      <c r="B1317" s="1" t="s">
        <v>4</v>
      </c>
      <c r="C1317" s="10" t="s">
        <v>4</v>
      </c>
      <c r="D1317" s="5" t="s">
        <v>1292</v>
      </c>
      <c r="E1317" s="1" t="str">
        <f ca="1">IFERROR(__xludf.DUMMYFUNCTION("GOOGLETRANSLATE(D1317, ""bn"", ""en"")"),"He is neither a Hindu nor a human being. The principle of all religions is to love people, not by hurting someone, win his heart with love. He is defaming the name of Hinduism.")</f>
        <v>He is neither a Hindu nor a human being. The principle of all religions is to love people, not by hurting someone, win his heart with love. He is defaming the name of Hinduism.</v>
      </c>
      <c r="F1317" s="1"/>
      <c r="G1317" s="1"/>
      <c r="H1317" s="1"/>
      <c r="I1317" s="1"/>
    </row>
    <row r="1318" spans="1:9" ht="15.6" x14ac:dyDescent="0.3">
      <c r="A1318" s="1" t="s">
        <v>4</v>
      </c>
      <c r="B1318" s="1" t="s">
        <v>4</v>
      </c>
      <c r="C1318" s="10" t="s">
        <v>4</v>
      </c>
      <c r="D1318" s="5" t="s">
        <v>1293</v>
      </c>
      <c r="E1318" s="1" t="str">
        <f ca="1">IFERROR(__xludf.DUMMYFUNCTION("GOOGLETRANSLATE(D1318, ""bn"", ""en"")"),"I strongly demand to punish those who insult the Qur'an more severely. As if no one else could show such courage.")</f>
        <v>I strongly demand to punish those who insult the Qur'an more severely. As if no one else could show such courage.</v>
      </c>
      <c r="F1318" s="1"/>
      <c r="G1318" s="1"/>
      <c r="H1318" s="1"/>
      <c r="I1318" s="1"/>
    </row>
    <row r="1319" spans="1:9" ht="15.6" x14ac:dyDescent="0.3">
      <c r="A1319" s="1" t="s">
        <v>4</v>
      </c>
      <c r="B1319" s="1" t="s">
        <v>5</v>
      </c>
      <c r="C1319" s="10" t="s">
        <v>4</v>
      </c>
      <c r="D1319" s="5" t="s">
        <v>1294</v>
      </c>
      <c r="E1319" s="1" t="str">
        <f ca="1">IFERROR(__xludf.DUMMYFUNCTION("GOOGLETRANSLATE(D1319, ""bn"", ""en"")"),"It remains to be seen how long our campus will be favored by the amount of Islamophobia that has infiltrated all around")</f>
        <v>It remains to be seen how long our campus will be favored by the amount of Islamophobia that has infiltrated all around</v>
      </c>
      <c r="F1319" s="1"/>
      <c r="G1319" s="1"/>
      <c r="H1319" s="1"/>
      <c r="I1319" s="1"/>
    </row>
    <row r="1320" spans="1:9" ht="15.6" x14ac:dyDescent="0.3">
      <c r="A1320" s="1" t="s">
        <v>4</v>
      </c>
      <c r="B1320" s="1" t="s">
        <v>4</v>
      </c>
      <c r="C1320" s="10" t="s">
        <v>4</v>
      </c>
      <c r="D1320" s="5" t="s">
        <v>1295</v>
      </c>
      <c r="E1320" s="1" t="str">
        <f ca="1">IFERROR(__xludf.DUMMYFUNCTION("GOOGLETRANSLATE(D1320, ""bn"", ""en"")"),"There is an uproar around the world due to the disrespectful and sarcastic comments made by the spokespersons of India's ruling BJP towards the greatest human being of all time, the last prophet of Islam, Hazrat Muhammad (PBUH). But our government is sile"&amp;"nt. We do not want to compromise on this matter. Because they hurt our hearts.")</f>
        <v>There is an uproar around the world due to the disrespectful and sarcastic comments made by the spokespersons of India's ruling BJP towards the greatest human being of all time, the last prophet of Islam, Hazrat Muhammad (PBUH). But our government is silent. We do not want to compromise on this matter. Because they hurt our hearts.</v>
      </c>
      <c r="F1320" s="1"/>
      <c r="G1320" s="1"/>
      <c r="H1320" s="1"/>
      <c r="I1320" s="1"/>
    </row>
    <row r="1321" spans="1:9" ht="15.6" x14ac:dyDescent="0.3">
      <c r="A1321" s="1" t="s">
        <v>4</v>
      </c>
      <c r="B1321" s="1" t="s">
        <v>4</v>
      </c>
      <c r="C1321" s="10" t="s">
        <v>4</v>
      </c>
      <c r="D1321" s="5" t="s">
        <v>1296</v>
      </c>
      <c r="E1321" s="1" t="str">
        <f ca="1">IFERROR(__xludf.DUMMYFUNCTION("GOOGLETRANSLATE(D1321, ""bn"", ""en"")"),"Woe to every grievous liar who listens to the recitation of Allah's verses but remains arrogant. As if he hadn't heard. So give him the glad tidings of grievous punishment.")</f>
        <v>Woe to every grievous liar who listens to the recitation of Allah's verses but remains arrogant. As if he hadn't heard. So give him the glad tidings of grievous punishment.</v>
      </c>
      <c r="F1321" s="1"/>
      <c r="G1321" s="1"/>
      <c r="H1321" s="1"/>
      <c r="I1321" s="1"/>
    </row>
    <row r="1322" spans="1:9" ht="15.6" x14ac:dyDescent="0.3">
      <c r="A1322" s="1" t="s">
        <v>7</v>
      </c>
      <c r="B1322" s="1" t="s">
        <v>7</v>
      </c>
      <c r="C1322" s="10" t="s">
        <v>7</v>
      </c>
      <c r="D1322" s="5" t="s">
        <v>1297</v>
      </c>
      <c r="E1322" s="1" t="str">
        <f ca="1">IFERROR(__xludf.DUMMYFUNCTION("GOOGLETRANSLATE(D1322, ""bn"", ""en"")"),"Thousands of Palestinians have sacrificed their lives for freedom in Sabra and Shatila over the ages, but will the Muslim world silently accept this insult to Islam at the hands of the Jews?")</f>
        <v>Thousands of Palestinians have sacrificed their lives for freedom in Sabra and Shatila over the ages, but will the Muslim world silently accept this insult to Islam at the hands of the Jews?</v>
      </c>
      <c r="F1322" s="1"/>
      <c r="G1322" s="1"/>
      <c r="H1322" s="1"/>
      <c r="I1322" s="1"/>
    </row>
    <row r="1323" spans="1:9" ht="15.6" x14ac:dyDescent="0.3">
      <c r="A1323" s="1" t="s">
        <v>5</v>
      </c>
      <c r="B1323" s="1" t="s">
        <v>5</v>
      </c>
      <c r="C1323" s="10" t="s">
        <v>5</v>
      </c>
      <c r="D1323" s="5" t="s">
        <v>1298</v>
      </c>
      <c r="E1323" s="1" t="str">
        <f ca="1">IFERROR(__xludf.DUMMYFUNCTION("GOOGLETRANSLATE(D1323, ""bn"", ""en"")"),"Religion has long been an important issue in Indian politics in many states. But in West Bengal, a stronghold of the Left, the influence of religion on politics was rare in the state.")</f>
        <v>Religion has long been an important issue in Indian politics in many states. But in West Bengal, a stronghold of the Left, the influence of religion on politics was rare in the state.</v>
      </c>
      <c r="F1323" s="1"/>
      <c r="G1323" s="1"/>
      <c r="H1323" s="1"/>
      <c r="I1323" s="1"/>
    </row>
    <row r="1324" spans="1:9" ht="15.6" x14ac:dyDescent="0.3">
      <c r="A1324" s="1" t="s">
        <v>9</v>
      </c>
      <c r="B1324" s="1" t="s">
        <v>9</v>
      </c>
      <c r="C1324" s="10" t="s">
        <v>9</v>
      </c>
      <c r="D1324" s="5" t="s">
        <v>1299</v>
      </c>
      <c r="E1324" s="1" t="str">
        <f ca="1">IFERROR(__xludf.DUMMYFUNCTION("GOOGLETRANSLATE(D1324, ""bn"", ""en"")"),"Tragically, the Hindu Chief Minister of Bihar at that time refused to allow British troops to play a role in suppressing the rioting Hindu extremists, and even an inquiry committee was not formed into the heinous incident. ")</f>
        <v>Tragically, the Hindu Chief Minister of Bihar at that time refused to allow British troops to play a role in suppressing the rioting Hindu extremists, and even an inquiry committee was not formed into the heinous incident. </v>
      </c>
      <c r="F1324" s="1"/>
      <c r="G1324" s="1"/>
      <c r="H1324" s="1"/>
      <c r="I1324" s="1"/>
    </row>
    <row r="1325" spans="1:9" ht="15.6" x14ac:dyDescent="0.3">
      <c r="A1325" s="1" t="s">
        <v>5</v>
      </c>
      <c r="B1325" s="1" t="s">
        <v>5</v>
      </c>
      <c r="C1325" s="10" t="s">
        <v>5</v>
      </c>
      <c r="D1325" s="5" t="s">
        <v>1300</v>
      </c>
      <c r="E1325" s="1" t="str">
        <f ca="1">IFERROR(__xludf.DUMMYFUNCTION("GOOGLETRANSLATE(D1325, ""bn"", ""en"")"),"According to Hinduism, when eating with people of other faiths, it is often recommended to cook in separate utensils and eat in separate places, to ensure a suitable environment for all.")</f>
        <v>According to Hinduism, when eating with people of other faiths, it is often recommended to cook in separate utensils and eat in separate places, to ensure a suitable environment for all.</v>
      </c>
      <c r="F1325" s="1"/>
      <c r="G1325" s="1"/>
      <c r="H1325" s="1"/>
      <c r="I1325" s="1"/>
    </row>
    <row r="1326" spans="1:9" ht="15.6" x14ac:dyDescent="0.3">
      <c r="A1326" s="1" t="s">
        <v>7</v>
      </c>
      <c r="B1326" s="1" t="s">
        <v>7</v>
      </c>
      <c r="C1326" s="10" t="s">
        <v>7</v>
      </c>
      <c r="D1326" s="5" t="s">
        <v>1301</v>
      </c>
      <c r="E1326" s="1" t="str">
        <f ca="1">IFERROR(__xludf.DUMMYFUNCTION("GOOGLETRANSLATE(D1326, ""bn"", ""en"")"),"These patterns of conflict have been well established since partition, with dozens of studies documenting incidents of mass violence against minority groups. [16] More than 10,000 people have died in Hindu-Muslim communal violence since 1950.")</f>
        <v>These patterns of conflict have been well established since partition, with dozens of studies documenting incidents of mass violence against minority groups. [16] More than 10,000 people have died in Hindu-Muslim communal violence since 1950.</v>
      </c>
      <c r="F1326" s="1"/>
      <c r="G1326" s="1"/>
      <c r="H1326" s="1"/>
      <c r="I1326" s="1"/>
    </row>
    <row r="1327" spans="1:9" ht="15.6" x14ac:dyDescent="0.3">
      <c r="A1327" s="1" t="s">
        <v>9</v>
      </c>
      <c r="B1327" s="1" t="s">
        <v>9</v>
      </c>
      <c r="C1327" s="10" t="s">
        <v>9</v>
      </c>
      <c r="D1327" s="5" t="s">
        <v>1302</v>
      </c>
      <c r="E1327" s="1" t="str">
        <f ca="1">IFERROR(__xludf.DUMMYFUNCTION("GOOGLETRANSLATE(D1327, ""bn"", ""en"")"),"On the morning of Saturday 18th February, many Hindus and Christians returned to their looted, destroyed and burnt homes. In the evening, they gathered again at the police station. This time they were allowed inside in exchange for cash and jewellery. In "&amp;"the meantime, the Ansar announced over loudspeakers in Muladi asking the Hindus to gather at the Muladi police station. ")</f>
        <v>On the morning of Saturday 18th February, many Hindus and Christians returned to their looted, destroyed and burnt homes. In the evening, they gathered again at the police station. This time they were allowed inside in exchange for cash and jewellery. In the meantime, the Ansar announced over loudspeakers in Muladi asking the Hindus to gather at the Muladi police station. </v>
      </c>
      <c r="F1327" s="1"/>
      <c r="G1327" s="1"/>
      <c r="H1327" s="1"/>
      <c r="I1327" s="1"/>
    </row>
    <row r="1328" spans="1:9" ht="15.6" x14ac:dyDescent="0.3">
      <c r="A1328" s="1" t="s">
        <v>7</v>
      </c>
      <c r="B1328" s="1" t="s">
        <v>7</v>
      </c>
      <c r="C1328" s="10" t="s">
        <v>7</v>
      </c>
      <c r="D1328" s="5" t="s">
        <v>1303</v>
      </c>
      <c r="E1328" s="1" t="str">
        <f ca="1">IFERROR(__xludf.DUMMYFUNCTION("GOOGLETRANSLATE(D1328, ""bn"", ""en"")")," Muslim students loyal to Jamaat-i-Islam openly called Hindu students Indian followers and started cultivating hatred among ordinary Muslims. On January 16, Krishna Dey working at Central Bank, Pran Kumar Dey working at United Industrial Bank, another Hin"&amp;"du officer working at Barda Bank were killed by Muslims when they stopped their car and fled in a car after hiding in the bank premises for two days.[")</f>
        <v> Muslim students loyal to Jamaat-i-Islam openly called Hindu students Indian followers and started cultivating hatred among ordinary Muslims. On January 16, Krishna Dey working at Central Bank, Pran Kumar Dey working at United Industrial Bank, another Hindu officer working at Barda Bank were killed by Muslims when they stopped their car and fled in a car after hiding in the bank premises for two days.[</v>
      </c>
      <c r="F1328" s="1"/>
      <c r="G1328" s="1"/>
      <c r="H1328" s="1"/>
      <c r="I1328" s="1"/>
    </row>
    <row r="1329" spans="1:9" ht="15.6" x14ac:dyDescent="0.3">
      <c r="A1329" s="1" t="s">
        <v>4</v>
      </c>
      <c r="B1329" s="1" t="s">
        <v>5</v>
      </c>
      <c r="C1329" s="10" t="s">
        <v>4</v>
      </c>
      <c r="D1329" s="5" t="s">
        <v>1304</v>
      </c>
      <c r="E1329" s="1" t="str">
        <f ca="1">IFERROR(__xludf.DUMMYFUNCTION("GOOGLETRANSLATE(D1329, ""bn"", ""en"")"),"If you want a grave, first buy a place yourself or make sure where to put your body, make a hole and eat poison and lie down. Others have almost the same request. ")</f>
        <v xml:space="preserve">If you want a grave, first buy a place yourself or make sure where to put your body, make a hole and eat poison and lie down. Others have almost the same request. </v>
      </c>
      <c r="F1329" s="1"/>
      <c r="G1329" s="1"/>
      <c r="H1329" s="1"/>
      <c r="I1329" s="1"/>
    </row>
    <row r="1330" spans="1:9" ht="15.6" x14ac:dyDescent="0.3">
      <c r="A1330" s="1" t="s">
        <v>4</v>
      </c>
      <c r="B1330" s="1" t="s">
        <v>4</v>
      </c>
      <c r="C1330" s="10" t="s">
        <v>4</v>
      </c>
      <c r="D1330" s="5" t="s">
        <v>1305</v>
      </c>
      <c r="E1330" s="1" t="str">
        <f ca="1">IFERROR(__xludf.DUMMYFUNCTION("GOOGLETRANSLATE(D1330, ""bn"", ""en"")"),"They spend more on puja than iftar. Don't buy the idol with millions of rupees and give it to the poor.")</f>
        <v>They spend more on puja than iftar. Don't buy the idol with millions of rupees and give it to the poor.</v>
      </c>
      <c r="F1330" s="1"/>
      <c r="G1330" s="1"/>
      <c r="H1330" s="1"/>
      <c r="I1330" s="1"/>
    </row>
    <row r="1331" spans="1:9" ht="15.6" x14ac:dyDescent="0.3">
      <c r="A1331" s="1" t="s">
        <v>5</v>
      </c>
      <c r="B1331" s="1" t="s">
        <v>5</v>
      </c>
      <c r="C1331" s="10" t="s">
        <v>5</v>
      </c>
      <c r="D1331" s="5" t="s">
        <v>1306</v>
      </c>
      <c r="E1331" s="1" t="str">
        <f ca="1">IFERROR(__xludf.DUMMYFUNCTION("GOOGLETRANSLATE(D1331, ""bn"", ""en"")"),"Around this festival, the Buddhist monasteries are decorated in a new style. In the evening, lanterns are flown in the neighborhood in a festive atmosphere. ")</f>
        <v>Around this festival, the Buddhist monasteries are decorated in a new style. In the evening, lanterns are flown in the neighborhood in a festive atmosphere. </v>
      </c>
      <c r="F1331" s="1"/>
      <c r="G1331" s="1"/>
      <c r="H1331" s="1"/>
      <c r="I1331" s="1"/>
    </row>
    <row r="1332" spans="1:9" ht="15.6" x14ac:dyDescent="0.3">
      <c r="A1332" s="1" t="s">
        <v>4</v>
      </c>
      <c r="B1332" s="1" t="s">
        <v>4</v>
      </c>
      <c r="C1332" s="10" t="s">
        <v>4</v>
      </c>
      <c r="D1332" s="5" t="s">
        <v>1307</v>
      </c>
      <c r="E1332" s="1" t="str">
        <f ca="1">IFERROR(__xludf.DUMMYFUNCTION("GOOGLETRANSLATE(D1332, ""bn"", ""en"")"),"Judaeo-Christian history says that anything that shows any kind of criticism of God and His Word is a blasphemy or blasphemy crime.")</f>
        <v>Judaeo-Christian history says that anything that shows any kind of criticism of God and His Word is a blasphemy or blasphemy crime.</v>
      </c>
      <c r="F1332" s="1"/>
      <c r="G1332" s="1"/>
      <c r="H1332" s="1"/>
      <c r="I1332" s="1"/>
    </row>
    <row r="1333" spans="1:9" ht="15.6" x14ac:dyDescent="0.3">
      <c r="A1333" s="4" t="s">
        <v>7</v>
      </c>
      <c r="B1333" s="4" t="s">
        <v>7</v>
      </c>
      <c r="C1333" s="11" t="s">
        <v>7</v>
      </c>
      <c r="D1333" s="5" t="s">
        <v>1308</v>
      </c>
      <c r="E1333" s="1" t="str">
        <f ca="1">IFERROR(__xludf.DUMMYFUNCTION("GOOGLETRANSLATE(D1333, ""bn"", ""en"")")," But in the end it turned into an all-out massacre against the Cham Muslims by order of Palpat. Australian professor Paul R. According to Paul R. Bartrop, this genocidal campaign would have wiped out the entire Cham Muslim minority, had the Khmer Rouge go"&amp;"vernment not been overthrown in Cambodia in 1979.")</f>
        <v xml:space="preserve"> But in the end it turned into an all-out massacre against the Cham Muslims by order of Palpat. Australian professor Paul R. According to Paul R. Bartrop, this genocidal campaign would have wiped out the entire Cham Muslim minority, had the Khmer Rouge government not been overthrown in Cambodia in 1979.</v>
      </c>
      <c r="F1333" s="1"/>
      <c r="G1333" s="1"/>
      <c r="H1333" s="1"/>
      <c r="I1333" s="1"/>
    </row>
    <row r="1334" spans="1:9" ht="15.6" x14ac:dyDescent="0.3">
      <c r="A1334" s="1" t="s">
        <v>4</v>
      </c>
      <c r="B1334" s="1" t="s">
        <v>4</v>
      </c>
      <c r="C1334" s="10" t="s">
        <v>4</v>
      </c>
      <c r="D1334" s="5" t="s">
        <v>1309</v>
      </c>
      <c r="E1334" s="1" t="str">
        <f ca="1">IFERROR(__xludf.DUMMYFUNCTION("GOOGLETRANSLATE(D1334, ""bn"", ""en"")"),"It will be a scandalous chapter for the Bangladeshi Buddhist community (the court ruled that the Buddhist association is not the one to manage the Bihar). Let the illegal occupying organization Buddhist Samiti fall down by occupying Bihar!")</f>
        <v>It will be a scandalous chapter for the Bangladeshi Buddhist community (the court ruled that the Buddhist association is not the one to manage the Bihar). Let the illegal occupying organization Buddhist Samiti fall down by occupying Bihar!</v>
      </c>
      <c r="F1334" s="1"/>
      <c r="G1334" s="1"/>
      <c r="H1334" s="1"/>
      <c r="I1334" s="1"/>
    </row>
    <row r="1335" spans="1:9" ht="15.6" x14ac:dyDescent="0.3">
      <c r="A1335" s="1" t="s">
        <v>5</v>
      </c>
      <c r="B1335" s="1" t="s">
        <v>5</v>
      </c>
      <c r="C1335" s="10" t="s">
        <v>5</v>
      </c>
      <c r="D1335" s="5" t="s">
        <v>1310</v>
      </c>
      <c r="E1335" s="1" t="str">
        <f ca="1">IFERROR(__xludf.DUMMYFUNCTION("GOOGLETRANSLATE(D1335, ""bn"", ""en"")"),"""I can only say in reply that I really do not know when the light of Islam first touched me.""")</f>
        <v>"I can only say in reply that I really do not know when the light of Islam first touched me."</v>
      </c>
      <c r="F1335" s="1"/>
      <c r="G1335" s="1"/>
      <c r="H1335" s="1"/>
      <c r="I1335" s="1"/>
    </row>
    <row r="1336" spans="1:9" ht="15.6" x14ac:dyDescent="0.3">
      <c r="A1336" s="1" t="s">
        <v>4</v>
      </c>
      <c r="B1336" s="1" t="s">
        <v>5</v>
      </c>
      <c r="C1336" s="10" t="s">
        <v>4</v>
      </c>
      <c r="D1336" s="5" t="s">
        <v>1311</v>
      </c>
      <c r="E1336" s="1" t="str">
        <f ca="1">IFERROR(__xludf.DUMMYFUNCTION("GOOGLETRANSLATE(D1336, ""bn"", ""en"")"),"Just like that, Dami Dami Apu talks like a prostitute in the name of modernity and it is often seen that she is a university educated person.")</f>
        <v>Just like that, Dami Dami Apu talks like a prostitute in the name of modernity and it is often seen that she is a university educated person.</v>
      </c>
      <c r="F1336" s="1"/>
      <c r="G1336" s="1"/>
      <c r="H1336" s="1"/>
      <c r="I1336" s="1"/>
    </row>
    <row r="1337" spans="1:9" ht="15.6" x14ac:dyDescent="0.3">
      <c r="A1337" s="1" t="s">
        <v>5</v>
      </c>
      <c r="B1337" s="1" t="s">
        <v>5</v>
      </c>
      <c r="C1337" s="10" t="s">
        <v>5</v>
      </c>
      <c r="D1337" s="5" t="s">
        <v>1312</v>
      </c>
      <c r="E1337" s="1" t="str">
        <f ca="1">IFERROR(__xludf.DUMMYFUNCTION("GOOGLETRANSLATE(D1337, ""bn"", ""en"")"),"You can do one thing first get knowledge about Hindu scriptures then learn Islamic scriptures then analyze yourself which religion is true")</f>
        <v>You can do one thing first get knowledge about Hindu scriptures then learn Islamic scriptures then analyze yourself which religion is true</v>
      </c>
      <c r="F1337" s="1"/>
      <c r="G1337" s="1"/>
      <c r="H1337" s="1"/>
      <c r="I1337" s="1"/>
    </row>
    <row r="1338" spans="1:9" ht="15.6" x14ac:dyDescent="0.3">
      <c r="A1338" s="1" t="s">
        <v>9</v>
      </c>
      <c r="B1338" s="1" t="s">
        <v>5</v>
      </c>
      <c r="C1338" s="10" t="s">
        <v>9</v>
      </c>
      <c r="D1338" s="5" t="s">
        <v>1313</v>
      </c>
      <c r="E1338" s="1" t="str">
        <f ca="1">IFERROR(__xludf.DUMMYFUNCTION("GOOGLETRANSLATE(D1338, ""bn"", ""en"")"),"2 police officers killed in Australia were victims of 'religious extremist' attacks")</f>
        <v>2 police officers killed in Australia were victims of 'religious extremist' attacks</v>
      </c>
      <c r="F1338" s="1"/>
      <c r="G1338" s="1"/>
      <c r="H1338" s="1"/>
      <c r="I1338" s="1"/>
    </row>
    <row r="1339" spans="1:9" ht="15.6" x14ac:dyDescent="0.3">
      <c r="A1339" s="1" t="s">
        <v>4</v>
      </c>
      <c r="B1339" s="1" t="s">
        <v>4</v>
      </c>
      <c r="C1339" s="10" t="s">
        <v>4</v>
      </c>
      <c r="D1339" s="5" t="s">
        <v>1314</v>
      </c>
      <c r="E1339" s="1" t="str">
        <f ca="1">IFERROR(__xludf.DUMMYFUNCTION("GOOGLETRANSLATE(D1339, ""bn"", ""en"")"),"Hindus and Muslims will spread the poison of hatred, the more they move away from each other, the more they will fall to the edge of the abyss. ")</f>
        <v xml:space="preserve">Hindus and Muslims will spread the poison of hatred, the more they move away from each other, the more they will fall to the edge of the abyss. </v>
      </c>
      <c r="F1339" s="1"/>
      <c r="G1339" s="1"/>
      <c r="H1339" s="1"/>
      <c r="I1339" s="1"/>
    </row>
    <row r="1340" spans="1:9" ht="15.6" x14ac:dyDescent="0.3">
      <c r="A1340" s="1" t="s">
        <v>7</v>
      </c>
      <c r="B1340" s="1" t="s">
        <v>7</v>
      </c>
      <c r="C1340" s="10" t="s">
        <v>7</v>
      </c>
      <c r="D1340" s="5" t="s">
        <v>1315</v>
      </c>
      <c r="E1340" s="1" t="str">
        <f ca="1">IFERROR(__xludf.DUMMYFUNCTION("GOOGLETRANSLATE(D1340, ""bn"", ""en"")"),"The Secretary General of Bangladesh National Hindu Mahazot Govinda Chandra Pramanik claimed that 79 people of the minority Hindu community of the country have been killed till June 30 of this year. During this time, 620 people have been threatened to kill"&amp;", 145 people have been tried to kill, 183 people have been injured and 32 people have gone missing.")</f>
        <v>The Secretary General of Bangladesh National Hindu Mahazot Govinda Chandra Pramanik claimed that 79 people of the minority Hindu community of the country have been killed till June 30 of this year. During this time, 620 people have been threatened to kill, 145 people have been tried to kill, 183 people have been injured and 32 people have gone missing.</v>
      </c>
      <c r="F1340" s="1"/>
      <c r="G1340" s="1"/>
      <c r="H1340" s="1"/>
      <c r="I1340" s="1"/>
    </row>
    <row r="1341" spans="1:9" ht="15.6" x14ac:dyDescent="0.3">
      <c r="A1341" s="1" t="s">
        <v>5</v>
      </c>
      <c r="B1341" s="1" t="s">
        <v>5</v>
      </c>
      <c r="C1341" s="10" t="s">
        <v>5</v>
      </c>
      <c r="D1341" s="5" t="s">
        <v>1316</v>
      </c>
      <c r="E1341" s="1" t="str">
        <f ca="1">IFERROR(__xludf.DUMMYFUNCTION("GOOGLETRANSLATE(D1341, ""bn"", ""en"")"),"A pious person always prioritizes the Hereafter above everything else. He learns to despise worldly life. He learns to realize that human creation is only for the pleasure of Allah Ta'ala and all worldly affairs are secondary.")</f>
        <v>A pious person always prioritizes the Hereafter above everything else. He learns to despise worldly life. He learns to realize that human creation is only for the pleasure of Allah Ta'ala and all worldly affairs are secondary.</v>
      </c>
      <c r="F1341" s="1"/>
      <c r="G1341" s="1"/>
      <c r="H1341" s="1"/>
      <c r="I1341" s="1"/>
    </row>
    <row r="1342" spans="1:9" ht="15.6" x14ac:dyDescent="0.3">
      <c r="A1342" s="1" t="s">
        <v>4</v>
      </c>
      <c r="B1342" s="1" t="s">
        <v>4</v>
      </c>
      <c r="C1342" s="10" t="s">
        <v>4</v>
      </c>
      <c r="D1342" s="5" t="s">
        <v>1317</v>
      </c>
      <c r="E1342" s="1" t="str">
        <f ca="1">IFERROR(__xludf.DUMMYFUNCTION("GOOGLETRANSLATE(D1342, ""bn"", ""en"")"),"BBC Bangla News reflects the divisive mindset by providing religious controversial status. Everyone is abusing and arguing about these statuses, nothing else...")</f>
        <v>BBC Bangla News reflects the divisive mindset by providing religious controversial status. Everyone is abusing and arguing about these statuses, nothing else...</v>
      </c>
      <c r="F1342" s="1"/>
      <c r="G1342" s="1"/>
      <c r="H1342" s="1"/>
      <c r="I1342" s="1"/>
    </row>
    <row r="1343" spans="1:9" ht="17.399999999999999" x14ac:dyDescent="0.3">
      <c r="A1343" s="1" t="s">
        <v>7</v>
      </c>
      <c r="B1343" s="1" t="s">
        <v>7</v>
      </c>
      <c r="C1343" s="10" t="s">
        <v>7</v>
      </c>
      <c r="D1343" s="5" t="s">
        <v>3505</v>
      </c>
      <c r="E1343" s="1" t="str">
        <f ca="1">IFERROR(__xludf.DUMMYFUNCTION("GOOGLETRANSLATE(D1343, ""bn"", ""en"")"),"The death toll statistics put 2,000 Muslims dead, including 790 Muslims and 254 Hindus, according to official figures. [80] Later, Chief Minister Narendra Modi was also accused of initiating and reporting the violence,")</f>
        <v>The death toll statistics put 2,000 Muslims dead, including 790 Muslims and 254 Hindus, according to official figures. [80] Later, Chief Minister Narendra Modi was also accused of initiating and reporting the violence,</v>
      </c>
      <c r="F1343" s="1"/>
      <c r="G1343" s="1"/>
      <c r="H1343" s="1"/>
      <c r="I1343" s="1"/>
    </row>
    <row r="1344" spans="1:9" ht="15.6" x14ac:dyDescent="0.3">
      <c r="A1344" s="1" t="s">
        <v>9</v>
      </c>
      <c r="B1344" s="1" t="s">
        <v>4</v>
      </c>
      <c r="C1344" s="10" t="s">
        <v>9</v>
      </c>
      <c r="D1344" s="5" t="s">
        <v>1318</v>
      </c>
      <c r="E1344" s="1" t="str">
        <f ca="1">IFERROR(__xludf.DUMMYFUNCTION("GOOGLETRANSLATE(D1344, ""bn"", ""en"")"),"India's Mahatma Gandhi and Juhur Lal Nehru divided the country like this in secret alliance with the British. As a result, such brutal Hindu Muslim riots did not happen anywhere else during the partition of the world. Which India's Grandfather Babu made H"&amp;"indu Muslim riots today to make greater India. ")</f>
        <v xml:space="preserve">India's Mahatma Gandhi and Juhur Lal Nehru divided the country like this in secret alliance with the British. As a result, such brutal Hindu Muslim riots did not happen anywhere else during the partition of the world. Which India's Grandfather Babu made Hindu Muslim riots today to make greater India. </v>
      </c>
      <c r="F1344" s="1"/>
      <c r="G1344" s="1"/>
      <c r="H1344" s="1"/>
      <c r="I1344" s="1"/>
    </row>
    <row r="1345" spans="1:9" ht="15.6" x14ac:dyDescent="0.3">
      <c r="A1345" s="1" t="s">
        <v>7</v>
      </c>
      <c r="B1345" s="1" t="s">
        <v>7</v>
      </c>
      <c r="C1345" s="10" t="s">
        <v>7</v>
      </c>
      <c r="D1345" s="5" t="s">
        <v>1319</v>
      </c>
      <c r="E1345" s="1" t="str">
        <f ca="1">IFERROR(__xludf.DUMMYFUNCTION("GOOGLETRANSLATE(D1345, ""bn"", ""en"")"),"Many people have been subjected to hate attacks for being heterosexual, which remains a brutal chapter in history.")</f>
        <v>Many people have been subjected to hate attacks for being heterosexual, which remains a brutal chapter in history.</v>
      </c>
      <c r="F1345" s="1"/>
      <c r="G1345" s="1"/>
      <c r="H1345" s="1"/>
      <c r="I1345" s="1"/>
    </row>
    <row r="1346" spans="1:9" ht="15.6" x14ac:dyDescent="0.3">
      <c r="A1346" s="1" t="s">
        <v>4</v>
      </c>
      <c r="B1346" s="1" t="s">
        <v>4</v>
      </c>
      <c r="C1346" s="10" t="s">
        <v>4</v>
      </c>
      <c r="D1346" s="5" t="s">
        <v>1320</v>
      </c>
      <c r="E1346" s="1" t="str">
        <f ca="1">IFERROR(__xludf.DUMMYFUNCTION("GOOGLETRANSLATE(D1346, ""bn"", ""en"")"),"repayment Burning flags and scriptures is the same crime. Now if you talk excessively about the scriptures, you will understand that Muslims are really fanatics")</f>
        <v>repayment Burning flags and scriptures is the same crime. Now if you talk excessively about the scriptures, you will understand that Muslims are really fanatics</v>
      </c>
      <c r="F1346" s="1"/>
      <c r="G1346" s="1"/>
      <c r="H1346" s="1"/>
      <c r="I1346" s="1"/>
    </row>
    <row r="1347" spans="1:9" ht="15.6" x14ac:dyDescent="0.3">
      <c r="A1347" s="1" t="s">
        <v>5</v>
      </c>
      <c r="B1347" s="1" t="s">
        <v>5</v>
      </c>
      <c r="C1347" s="10" t="s">
        <v>5</v>
      </c>
      <c r="D1347" s="5" t="s">
        <v>1321</v>
      </c>
      <c r="E1347" s="1" t="str">
        <f ca="1">IFERROR(__xludf.DUMMYFUNCTION("GOOGLETRANSLATE(D1347, ""bn"", ""en"")"),"In all adverse situations, he had strong morale, strong faith and rare bravery. His heroism throughout his life was natural. The display of heroism at every level was unimaginable. Participated in Fizer's War with uncles as a teenager.")</f>
        <v>In all adverse situations, he had strong morale, strong faith and rare bravery. His heroism throughout his life was natural. The display of heroism at every level was unimaginable. Participated in Fizer's War with uncles as a teenager.</v>
      </c>
      <c r="F1347" s="1"/>
      <c r="G1347" s="1"/>
      <c r="H1347" s="1"/>
      <c r="I1347" s="1"/>
    </row>
    <row r="1348" spans="1:9" ht="15.6" x14ac:dyDescent="0.3">
      <c r="A1348" s="1" t="s">
        <v>5</v>
      </c>
      <c r="B1348" s="1" t="s">
        <v>5</v>
      </c>
      <c r="C1348" s="10" t="s">
        <v>5</v>
      </c>
      <c r="D1348" s="5" t="s">
        <v>1322</v>
      </c>
      <c r="E1348" s="1" t="str">
        <f ca="1">IFERROR(__xludf.DUMMYFUNCTION("GOOGLETRANSLATE(D1348, ""bn"", ""en"")"),"Religion develops morality and ideals in people. It helps him to stay on the right path and be aware of life.")</f>
        <v>Religion develops morality and ideals in people. It helps him to stay on the right path and be aware of life.</v>
      </c>
      <c r="F1348" s="1"/>
      <c r="G1348" s="1"/>
      <c r="H1348" s="1"/>
      <c r="I1348" s="1"/>
    </row>
    <row r="1349" spans="1:9" ht="15.6" x14ac:dyDescent="0.3">
      <c r="A1349" s="1" t="s">
        <v>7</v>
      </c>
      <c r="B1349" s="1" t="s">
        <v>7</v>
      </c>
      <c r="C1349" s="10" t="s">
        <v>7</v>
      </c>
      <c r="D1349" s="5" t="s">
        <v>1323</v>
      </c>
      <c r="E1349" s="1" t="str">
        <f ca="1">IFERROR(__xludf.DUMMYFUNCTION("GOOGLETRANSLATE(D1349, ""bn"", ""en"")"),"Police have arrested three people in Rangamati communal violence and Anik Kumar Chakma murder case. On Friday (October 4), one of the arrested accused gave a confessional statement when he was brought to court. ")</f>
        <v>Police have arrested three people in Rangamati communal violence and Anik Kumar Chakma murder case. On Friday (October 4), one of the arrested accused gave a confessional statement when he was brought to court. </v>
      </c>
      <c r="F1349" s="1"/>
      <c r="G1349" s="1"/>
      <c r="H1349" s="1"/>
      <c r="I1349" s="1"/>
    </row>
    <row r="1350" spans="1:9" ht="15.6" x14ac:dyDescent="0.3">
      <c r="A1350" s="1" t="s">
        <v>4</v>
      </c>
      <c r="B1350" s="1" t="s">
        <v>4</v>
      </c>
      <c r="C1350" s="10" t="s">
        <v>4</v>
      </c>
      <c r="D1350" s="5" t="s">
        <v>1324</v>
      </c>
      <c r="E1350" s="1" t="str">
        <f ca="1">IFERROR(__xludf.DUMMYFUNCTION("GOOGLETRANSLATE(D1350, ""bn"", ""en"")"),"Some people burn when they see the truth of all the facts of the science of Islam.")</f>
        <v>Some people burn when they see the truth of all the facts of the science of Islam.</v>
      </c>
      <c r="F1350" s="1"/>
      <c r="G1350" s="1"/>
      <c r="H1350" s="1"/>
      <c r="I1350" s="1"/>
    </row>
    <row r="1351" spans="1:9" ht="15.6" x14ac:dyDescent="0.3">
      <c r="A1351" s="1" t="s">
        <v>9</v>
      </c>
      <c r="B1351" s="1" t="s">
        <v>9</v>
      </c>
      <c r="C1351" s="10" t="s">
        <v>9</v>
      </c>
      <c r="D1351" s="5" t="s">
        <v>1325</v>
      </c>
      <c r="E1351" s="1" t="str">
        <f ca="1">IFERROR(__xludf.DUMMYFUNCTION("GOOGLETRANSLATE(D1351, ""bn"", ""en"")"),"Mehdi Ghezali and Murat Qurnaj were among the Muslims held at the Guantanamo Bay detention camp, but they were not found to have any links to terrorism, as they had previously traveled to Afghanistan and Pakistan for their religious interests.")</f>
        <v>Mehdi Ghezali and Murat Qurnaj were among the Muslims held at the Guantanamo Bay detention camp, but they were not found to have any links to terrorism, as they had previously traveled to Afghanistan and Pakistan for their religious interests.</v>
      </c>
      <c r="F1351" s="1"/>
      <c r="G1351" s="1"/>
      <c r="H1351" s="1"/>
      <c r="I1351" s="1"/>
    </row>
    <row r="1352" spans="1:9" ht="15.6" x14ac:dyDescent="0.3">
      <c r="A1352" s="1" t="s">
        <v>7</v>
      </c>
      <c r="B1352" s="1" t="s">
        <v>4</v>
      </c>
      <c r="C1352" s="10" t="s">
        <v>7</v>
      </c>
      <c r="D1352" s="5" t="s">
        <v>1326</v>
      </c>
      <c r="E1352" s="1" t="str">
        <f ca="1">IFERROR(__xludf.DUMMYFUNCTION("GOOGLETRANSLATE(D1352, ""bn"", ""en"")"),"The surviving Hindus left Noakhali and Tripura (present day Comilla) in two stages. As massacres, rapes and forced conversions began, Hindus initially fled Calcutta.")</f>
        <v>The surviving Hindus left Noakhali and Tripura (present day Comilla) in two stages. As massacres, rapes and forced conversions began, Hindus initially fled Calcutta.</v>
      </c>
      <c r="F1352" s="1"/>
      <c r="G1352" s="1"/>
      <c r="H1352" s="1"/>
      <c r="I1352" s="1"/>
    </row>
    <row r="1353" spans="1:9" ht="15.6" x14ac:dyDescent="0.3">
      <c r="A1353" s="1" t="s">
        <v>4</v>
      </c>
      <c r="B1353" s="1" t="s">
        <v>4</v>
      </c>
      <c r="C1353" s="10" t="s">
        <v>4</v>
      </c>
      <c r="D1353" s="5" t="s">
        <v>1327</v>
      </c>
      <c r="E1353" s="1" t="str">
        <f ca="1">IFERROR(__xludf.DUMMYFUNCTION("GOOGLETRANSLATE(D1353, ""bn"", ""en"")"),"We do not insult the scriptures of Christians or other religions but why do you show audacity???")</f>
        <v>We do not insult the scriptures of Christians or other religions but why do you show audacity???</v>
      </c>
      <c r="F1353" s="1"/>
      <c r="G1353" s="1"/>
      <c r="H1353" s="1"/>
      <c r="I1353" s="1"/>
    </row>
    <row r="1354" spans="1:9" ht="15.6" x14ac:dyDescent="0.3">
      <c r="A1354" s="1" t="s">
        <v>9</v>
      </c>
      <c r="B1354" s="1" t="s">
        <v>5</v>
      </c>
      <c r="C1354" s="10" t="s">
        <v>9</v>
      </c>
      <c r="D1354" s="5" t="s">
        <v>1328</v>
      </c>
      <c r="E1354" s="1" t="str">
        <f ca="1">IFERROR(__xludf.DUMMYFUNCTION("GOOGLETRANSLATE(D1354, ""bn"", ""en"")"),"The exodus of the oppressed minority Christian ethnic group to India was a sensational event in global politics at the time. [39] The Pakistani government realized the global consequences of the brutal Muslim persecution of the Christian tribal population"&amp;". ")</f>
        <v>The exodus of the oppressed minority Christian ethnic group to India was a sensational event in global politics at the time. [39] The Pakistani government realized the global consequences of the brutal Muslim persecution of the Christian tribal population. </v>
      </c>
      <c r="F1354" s="1"/>
      <c r="G1354" s="1"/>
      <c r="H1354" s="1"/>
      <c r="I1354" s="1"/>
    </row>
    <row r="1355" spans="1:9" ht="15.6" x14ac:dyDescent="0.3">
      <c r="A1355" s="1" t="s">
        <v>9</v>
      </c>
      <c r="B1355" s="1" t="s">
        <v>9</v>
      </c>
      <c r="C1355" s="10" t="s">
        <v>9</v>
      </c>
      <c r="D1355" s="5" t="s">
        <v>1329</v>
      </c>
      <c r="E1355" s="1" t="str">
        <f ca="1">IFERROR(__xludf.DUMMYFUNCTION("GOOGLETRANSLATE(D1355, ""bn"", ""en"")"),"I was not surprised to know that miscreants entered the house of Dinajpur's Ghoraghat Upazila Nirbahi Officer and hacked him and his father. I will not say that if miscreants can attack the government house of a UNO, then where are we the common people sa"&amp;"fe? Because, the justice system of our country is not proper.")</f>
        <v>I was not surprised to know that miscreants entered the house of Dinajpur's Ghoraghat Upazila Nirbahi Officer and hacked him and his father. I will not say that if miscreants can attack the government house of a UNO, then where are we the common people safe? Because, the justice system of our country is not proper.</v>
      </c>
      <c r="F1355" s="1"/>
      <c r="G1355" s="1"/>
      <c r="H1355" s="1"/>
      <c r="I1355" s="1"/>
    </row>
    <row r="1356" spans="1:9" ht="15.6" x14ac:dyDescent="0.3">
      <c r="A1356" s="1" t="s">
        <v>4</v>
      </c>
      <c r="B1356" s="1" t="s">
        <v>4</v>
      </c>
      <c r="C1356" s="10" t="s">
        <v>4</v>
      </c>
      <c r="D1356" s="5" t="s">
        <v>1330</v>
      </c>
      <c r="E1356" s="1" t="str">
        <f ca="1">IFERROR(__xludf.DUMMYFUNCTION("GOOGLETRANSLATE(D1356, ""bn"", ""en"")"),"Brother, don't ever comment with little knowledge, this Aurangzeb was not a perfect Muslim ruler, look at our Muslim rulers, they never killed a single subject let alone their own people.")</f>
        <v>Brother, don't ever comment with little knowledge, this Aurangzeb was not a perfect Muslim ruler, look at our Muslim rulers, they never killed a single subject let alone their own people.</v>
      </c>
      <c r="F1356" s="1"/>
      <c r="G1356" s="1"/>
      <c r="H1356" s="1"/>
      <c r="I1356" s="1"/>
    </row>
    <row r="1357" spans="1:9" ht="15.6" x14ac:dyDescent="0.3">
      <c r="A1357" s="1" t="s">
        <v>4</v>
      </c>
      <c r="B1357" s="1" t="s">
        <v>4</v>
      </c>
      <c r="C1357" s="10" t="s">
        <v>4</v>
      </c>
      <c r="D1357" s="5" t="s">
        <v>1331</v>
      </c>
      <c r="E1357" s="1" t="str">
        <f ca="1">IFERROR(__xludf.DUMMYFUNCTION("GOOGLETRANSLATE(D1357, ""bn"", ""en"")"),"Muslims believe that Al-Injil was distorted or changed to form the Christian New Testament. ")</f>
        <v>Muslims believe that Al-Injil was distorted or changed to form the Christian New Testament. </v>
      </c>
      <c r="F1357" s="1"/>
      <c r="G1357" s="1"/>
      <c r="H1357" s="1"/>
      <c r="I1357" s="1"/>
    </row>
    <row r="1358" spans="1:9" ht="15.6" x14ac:dyDescent="0.3">
      <c r="A1358" s="1" t="s">
        <v>5</v>
      </c>
      <c r="B1358" s="1" t="s">
        <v>5</v>
      </c>
      <c r="C1358" s="10" t="s">
        <v>5</v>
      </c>
      <c r="D1358" s="5" t="s">
        <v>1332</v>
      </c>
      <c r="E1358" s="1" t="str">
        <f ca="1">IFERROR(__xludf.DUMMYFUNCTION("GOOGLETRANSLATE(D1358, ""bn"", ""en"")"),"1400 years of Muslim history did not progress at an even pace. Sometimes Muslims were victorious, sometimes defeated. In books we only read the history of the victorious Muslim nations. There are two aspects to this book. The rise and fall of the Muslims."&amp;" The book 'Rise and Fall in Muslim History' translated from Dr. Yasir Qadi's lecture to know where the Muslim nation stands today, how this history is real.")</f>
        <v>1400 years of Muslim history did not progress at an even pace. Sometimes Muslims were victorious, sometimes defeated. In books we only read the history of the victorious Muslim nations. There are two aspects to this book. The rise and fall of the Muslims. The book 'Rise and Fall in Muslim History' translated from Dr. Yasir Qadi's lecture to know where the Muslim nation stands today, how this history is real.</v>
      </c>
      <c r="F1358" s="1"/>
      <c r="G1358" s="1"/>
      <c r="H1358" s="1"/>
      <c r="I1358" s="1"/>
    </row>
    <row r="1359" spans="1:9" ht="15.6" x14ac:dyDescent="0.3">
      <c r="A1359" s="1" t="s">
        <v>9</v>
      </c>
      <c r="B1359" s="1" t="s">
        <v>9</v>
      </c>
      <c r="C1359" s="10" t="s">
        <v>9</v>
      </c>
      <c r="D1359" s="5" t="s">
        <v>1333</v>
      </c>
      <c r="E1359" s="1" t="str">
        <f ca="1">IFERROR(__xludf.DUMMYFUNCTION("GOOGLETRANSLATE(D1359, ""bn"", ""en"")"),"Hindu genocide is the systematic and varied mistreatment or persecution of Hindus (individuals or groups) because of their religious beliefs.")</f>
        <v>Hindu genocide is the systematic and varied mistreatment or persecution of Hindus (individuals or groups) because of their religious beliefs.</v>
      </c>
      <c r="F1359" s="1"/>
      <c r="G1359" s="1"/>
      <c r="H1359" s="1"/>
      <c r="I1359" s="1"/>
    </row>
    <row r="1360" spans="1:9" ht="15.6" x14ac:dyDescent="0.3">
      <c r="A1360" s="1" t="s">
        <v>4</v>
      </c>
      <c r="B1360" s="1" t="s">
        <v>4</v>
      </c>
      <c r="C1360" s="10" t="s">
        <v>4</v>
      </c>
      <c r="D1360" s="5" t="s">
        <v>1334</v>
      </c>
      <c r="E1360" s="1" t="str">
        <f ca="1">IFERROR(__xludf.DUMMYFUNCTION("GOOGLETRANSLATE(D1360, ""bn"", ""en"")"),"Still, have the leaders of the Hindu community of this country preserved the courtesy of expressing grief? Did anyone tell them that these are the work of some lustful miscreants, that there is no support from the larger Hindu society in two sentences?")</f>
        <v>Still, have the leaders of the Hindu community of this country preserved the courtesy of expressing grief? Did anyone tell them that these are the work of some lustful miscreants, that there is no support from the larger Hindu society in two sentences?</v>
      </c>
      <c r="F1360" s="1"/>
      <c r="G1360" s="1"/>
      <c r="H1360" s="1"/>
      <c r="I1360" s="1"/>
    </row>
    <row r="1361" spans="1:9" ht="15.6" x14ac:dyDescent="0.3">
      <c r="A1361" s="1" t="s">
        <v>7</v>
      </c>
      <c r="B1361" s="1" t="s">
        <v>7</v>
      </c>
      <c r="C1361" s="10" t="s">
        <v>7</v>
      </c>
      <c r="D1361" s="5" t="s">
        <v>1335</v>
      </c>
      <c r="E1361" s="1" t="str">
        <f ca="1">IFERROR(__xludf.DUMMYFUNCTION("GOOGLETRANSLATE(D1361, ""bn"", ""en"")"),"On 10th February the massacre of Hindus in Noakhali district started. On the afternoon of 13th February, brutal atrocities were committed on the Hindus of Feni district in broad daylight; Although only 200 yards (600 feet) away was Feni's SDO police stati"&amp;"on and court.")</f>
        <v>On 10th February the massacre of Hindus in Noakhali district started. On the afternoon of 13th February, brutal atrocities were committed on the Hindus of Feni district in broad daylight; Although only 200 yards (600 feet) away was Feni's SDO police station and court.</v>
      </c>
      <c r="F1361" s="1"/>
      <c r="G1361" s="1"/>
      <c r="H1361" s="1"/>
      <c r="I1361" s="1"/>
    </row>
    <row r="1362" spans="1:9" ht="15.6" x14ac:dyDescent="0.3">
      <c r="A1362" s="1" t="s">
        <v>7</v>
      </c>
      <c r="B1362" s="1" t="s">
        <v>7</v>
      </c>
      <c r="C1362" s="10" t="s">
        <v>7</v>
      </c>
      <c r="D1362" s="5" t="s">
        <v>1336</v>
      </c>
      <c r="E1362" s="1" t="str">
        <f ca="1">IFERROR(__xludf.DUMMYFUNCTION("GOOGLETRANSLATE(D1362, ""bn"", ""en"")"),"Let the children of man's death be forgiven, and let them sacrifice themselves to the Lord.")</f>
        <v>Let the children of man's death be forgiven, and let them sacrifice themselves to the Lord.</v>
      </c>
      <c r="F1362" s="1"/>
      <c r="G1362" s="1"/>
      <c r="H1362" s="1"/>
      <c r="I1362" s="1"/>
    </row>
    <row r="1363" spans="1:9" ht="15.6" x14ac:dyDescent="0.3">
      <c r="A1363" s="1" t="s">
        <v>7</v>
      </c>
      <c r="B1363" s="1" t="s">
        <v>7</v>
      </c>
      <c r="C1363" s="10" t="s">
        <v>7</v>
      </c>
      <c r="D1363" s="5" t="s">
        <v>1337</v>
      </c>
      <c r="E1363" s="1" t="str">
        <f ca="1">IFERROR(__xludf.DUMMYFUNCTION("GOOGLETRANSLATE(D1363, ""bn"", ""en"")"),"The Bakchar massacre was a massacre of Bengali Hindus by the Razakar forces led by Ali Ahsan Muhammad Mujahid in the village of Bakchar in Faridpur district of East Pakistan on 13 May 1971. ")</f>
        <v>The Bakchar massacre was a massacre of Bengali Hindus by the Razakar forces led by Ali Ahsan Muhammad Mujahid in the village of Bakchar in Faridpur district of East Pakistan on 13 May 1971. </v>
      </c>
      <c r="F1363" s="1"/>
      <c r="G1363" s="1"/>
      <c r="H1363" s="1"/>
      <c r="I1363" s="1"/>
    </row>
    <row r="1364" spans="1:9" ht="15.6" x14ac:dyDescent="0.3">
      <c r="A1364" s="1" t="s">
        <v>7</v>
      </c>
      <c r="B1364" s="1" t="s">
        <v>7</v>
      </c>
      <c r="C1364" s="10" t="s">
        <v>7</v>
      </c>
      <c r="D1364" s="5" t="s">
        <v>1338</v>
      </c>
      <c r="E1364" s="1" t="str">
        <f ca="1">IFERROR(__xludf.DUMMYFUNCTION("GOOGLETRANSLATE(D1364, ""bn"", ""en"")"),"The fleeing Hindus were killed in a special manner on the bridge. Ansar used to board the train from Bhairab Bazar Junction or Ashuganj station on either side of the bridge. The train was hijacked and the doors and windows were closed from inside. The dri"&amp;"ver would stop the train when it was completely on the bridge. Then the Ansar would drag out every Hindu one by one and kill them and throw the dead body from the bridge into the river.[")</f>
        <v>The fleeing Hindus were killed in a special manner on the bridge. Ansar used to board the train from Bhairab Bazar Junction or Ashuganj station on either side of the bridge. The train was hijacked and the doors and windows were closed from inside. The driver would stop the train when it was completely on the bridge. Then the Ansar would drag out every Hindu one by one and kill them and throw the dead body from the bridge into the river.[</v>
      </c>
      <c r="F1364" s="1"/>
      <c r="G1364" s="1"/>
      <c r="H1364" s="1"/>
      <c r="I1364" s="1"/>
    </row>
    <row r="1365" spans="1:9" ht="15.6" x14ac:dyDescent="0.3">
      <c r="A1365" s="1" t="s">
        <v>5</v>
      </c>
      <c r="B1365" s="1" t="s">
        <v>5</v>
      </c>
      <c r="C1365" s="10" t="s">
        <v>5</v>
      </c>
      <c r="D1365" s="5" t="s">
        <v>1339</v>
      </c>
      <c r="E1365" s="1" t="str">
        <f ca="1">IFERROR(__xludf.DUMMYFUNCTION("GOOGLETRANSLATE(D1365, ""bn"", ""en"")"),"As a result of obeying Allah's commandments, our path to success in this world and Paradise in the Hereafter is opened.")</f>
        <v>As a result of obeying Allah's commandments, our path to success in this world and Paradise in the Hereafter is opened.</v>
      </c>
      <c r="F1365" s="1"/>
      <c r="G1365" s="1"/>
      <c r="H1365" s="1"/>
      <c r="I1365" s="1"/>
    </row>
    <row r="1366" spans="1:9" ht="15.6" x14ac:dyDescent="0.3">
      <c r="A1366" s="1" t="s">
        <v>9</v>
      </c>
      <c r="B1366" s="1" t="s">
        <v>7</v>
      </c>
      <c r="C1366" s="10" t="s">
        <v>9</v>
      </c>
      <c r="D1366" s="5" t="s">
        <v>1340</v>
      </c>
      <c r="E1366" s="1" t="str">
        <f ca="1">IFERROR(__xludf.DUMMYFUNCTION("GOOGLETRANSLATE(D1366, ""bn"", ""en"")"),"Since 2008 till date there has been continuous communal violence in Bangladesh, property of Hindus has been encroached upon. And all this was done by the leaders of Awami League.")</f>
        <v>Since 2008 till date there has been continuous communal violence in Bangladesh, property of Hindus has been encroached upon. And all this was done by the leaders of Awami League.</v>
      </c>
      <c r="F1366" s="1"/>
      <c r="G1366" s="1"/>
      <c r="H1366" s="1"/>
      <c r="I1366" s="1"/>
    </row>
    <row r="1367" spans="1:9" ht="15.6" x14ac:dyDescent="0.3">
      <c r="A1367" s="1" t="s">
        <v>5</v>
      </c>
      <c r="B1367" s="1" t="s">
        <v>5</v>
      </c>
      <c r="C1367" s="10" t="s">
        <v>5</v>
      </c>
      <c r="D1367" s="5" t="s">
        <v>1341</v>
      </c>
      <c r="E1367" s="1" t="str">
        <f ca="1">IFERROR(__xludf.DUMMYFUNCTION("GOOGLETRANSLATE(D1367, ""bn"", ""en"")"),"Temple priest Parmananda Giri blessed and assured the residents of the temple and ashram that this sacred and spiritual place would remain safe. There will be no problem here. He hoped the Pakistani army of 71 would protect the temples.")</f>
        <v>Temple priest Parmananda Giri blessed and assured the residents of the temple and ashram that this sacred and spiritual place would remain safe. There will be no problem here. He hoped the Pakistani army of 71 would protect the temples.</v>
      </c>
      <c r="F1367" s="1"/>
      <c r="G1367" s="1"/>
      <c r="H1367" s="1"/>
      <c r="I1367" s="1"/>
    </row>
    <row r="1368" spans="1:9" ht="15.6" x14ac:dyDescent="0.3">
      <c r="A1368" s="1" t="s">
        <v>9</v>
      </c>
      <c r="B1368" s="1" t="s">
        <v>9</v>
      </c>
      <c r="C1368" s="10" t="s">
        <v>9</v>
      </c>
      <c r="D1368" s="5" t="s">
        <v>1342</v>
      </c>
      <c r="E1368" s="1" t="str">
        <f ca="1">IFERROR(__xludf.DUMMYFUNCTION("GOOGLETRANSLATE(D1368, ""bn"", ""en"")"),"In 2022, they attacked Dhaka University, the highest university in Bangladesh, on Qawwali evening. ")</f>
        <v xml:space="preserve">In 2022, they attacked Dhaka University, the highest university in Bangladesh, on Qawwali evening. </v>
      </c>
      <c r="F1368" s="1"/>
      <c r="G1368" s="1"/>
      <c r="H1368" s="1"/>
      <c r="I1368" s="1"/>
    </row>
    <row r="1369" spans="1:9" ht="15.6" x14ac:dyDescent="0.3">
      <c r="A1369" s="1" t="s">
        <v>4</v>
      </c>
      <c r="B1369" s="1" t="s">
        <v>5</v>
      </c>
      <c r="C1369" s="10" t="s">
        <v>4</v>
      </c>
      <c r="D1369" s="5" t="s">
        <v>1343</v>
      </c>
      <c r="E1369" s="1" t="str">
        <f ca="1">IFERROR(__xludf.DUMMYFUNCTION("GOOGLETRANSLATE(D1369, ""bn"", ""en"")"),"Today is not the first time anyone has been affected by communalism, racism and extremism in this country. But the noteworthy thing is that standing by the side of those affected by this bad habit, being sympathetic has become a selective matter.")</f>
        <v>Today is not the first time anyone has been affected by communalism, racism and extremism in this country. But the noteworthy thing is that standing by the side of those affected by this bad habit, being sympathetic has become a selective matter.</v>
      </c>
      <c r="F1369" s="1"/>
      <c r="G1369" s="1"/>
      <c r="H1369" s="1"/>
      <c r="I1369" s="1"/>
    </row>
    <row r="1370" spans="1:9" ht="15.6" x14ac:dyDescent="0.3">
      <c r="A1370" s="1" t="s">
        <v>4</v>
      </c>
      <c r="B1370" s="1" t="s">
        <v>4</v>
      </c>
      <c r="C1370" s="10" t="s">
        <v>4</v>
      </c>
      <c r="D1370" s="5" t="s">
        <v>1344</v>
      </c>
      <c r="E1370" s="1" t="str">
        <f ca="1">IFERROR(__xludf.DUMMYFUNCTION("GOOGLETRANSLATE(D1370, ""bn"", ""en"")"),"Tell me a little about what the Bangladesh government has done. But we are Muslim or Muslim majority country!!! I strongly condemn and protest this incident.")</f>
        <v>Tell me a little about what the Bangladesh government has done. But we are Muslim or Muslim majority country!!! I strongly condemn and protest this incident.</v>
      </c>
      <c r="F1370" s="1"/>
      <c r="G1370" s="1"/>
      <c r="H1370" s="1"/>
      <c r="I1370" s="1"/>
    </row>
    <row r="1371" spans="1:9" ht="15.6" x14ac:dyDescent="0.3">
      <c r="A1371" s="1" t="s">
        <v>5</v>
      </c>
      <c r="B1371" s="1" t="s">
        <v>5</v>
      </c>
      <c r="C1371" s="10" t="s">
        <v>5</v>
      </c>
      <c r="D1371" s="5" t="s">
        <v>1345</v>
      </c>
      <c r="E1371" s="1" t="str">
        <f ca="1">IFERROR(__xludf.DUMMYFUNCTION("GOOGLETRANSLATE(D1371, ""bn"", ""en"")"),"As if with time, the friendship continued to change! Our identity has changed. From friends we became Hindu-Muslim! Although we are friends from the heart, the society started pointing fingers in our eyes and our identities are different. Eid-Pujo remaine"&amp;"d the same, only people separated and transformed it from a social to a religious festival!")</f>
        <v>As if with time, the friendship continued to change! Our identity has changed. From friends we became Hindu-Muslim! Although we are friends from the heart, the society started pointing fingers in our eyes and our identities are different. Eid-Pujo remained the same, only people separated and transformed it from a social to a religious festival!</v>
      </c>
      <c r="F1371" s="1"/>
      <c r="G1371" s="1"/>
      <c r="H1371" s="1"/>
      <c r="I1371" s="1"/>
    </row>
    <row r="1372" spans="1:9" ht="15.6" x14ac:dyDescent="0.3">
      <c r="A1372" s="1" t="s">
        <v>9</v>
      </c>
      <c r="B1372" s="1" t="s">
        <v>9</v>
      </c>
      <c r="C1372" s="10" t="s">
        <v>9</v>
      </c>
      <c r="D1372" s="5" t="s">
        <v>1346</v>
      </c>
      <c r="E1372" s="1" t="str">
        <f ca="1">IFERROR(__xludf.DUMMYFUNCTION("GOOGLETRANSLATE(D1372, ""bn"", ""en"")"),"On December 8, Hindus of Kutubdia Upazila of Cox's Bazar district were attacked. 14 Hindu temples were looted, set on fire and destroyed. 51 Hindu houses were destroyed in Ali Akbar Dal and 30 were destroyed in Chowfaldani. ")</f>
        <v>On December 8, Hindus of Kutubdia Upazila of Cox's Bazar district were attacked. 14 Hindu temples were looted, set on fire and destroyed. 51 Hindu houses were destroyed in Ali Akbar Dal and 30 were destroyed in Chowfaldani. </v>
      </c>
      <c r="F1372" s="1"/>
      <c r="G1372" s="1"/>
      <c r="H1372" s="1"/>
      <c r="I1372" s="1"/>
    </row>
    <row r="1373" spans="1:9" ht="15.6" x14ac:dyDescent="0.3">
      <c r="A1373" s="1" t="s">
        <v>5</v>
      </c>
      <c r="B1373" s="1" t="s">
        <v>5</v>
      </c>
      <c r="C1373" s="10" t="s">
        <v>5</v>
      </c>
      <c r="D1373" s="5" t="s">
        <v>1347</v>
      </c>
      <c r="E1373" s="1" t="str">
        <f ca="1">IFERROR(__xludf.DUMMYFUNCTION("GOOGLETRANSLATE(D1373, ""bn"", ""en"")"),"Through religion man gains knowledge about the purpose of life and purposeful living, which guides him in the right direction.")</f>
        <v>Through religion man gains knowledge about the purpose of life and purposeful living, which guides him in the right direction.</v>
      </c>
      <c r="F1373" s="1"/>
      <c r="G1373" s="1"/>
      <c r="H1373" s="1"/>
      <c r="I1373" s="1"/>
    </row>
    <row r="1374" spans="1:9" ht="15.6" x14ac:dyDescent="0.3">
      <c r="A1374" s="1" t="s">
        <v>5</v>
      </c>
      <c r="B1374" s="1" t="s">
        <v>5</v>
      </c>
      <c r="C1374" s="10" t="s">
        <v>5</v>
      </c>
      <c r="D1374" s="5" t="s">
        <v>1348</v>
      </c>
      <c r="E1374" s="1" t="str">
        <f ca="1">IFERROR(__xludf.DUMMYFUNCTION("GOOGLETRANSLATE(D1374, ""bn"", ""en"")"),"Humans are not meant to destroy anything, but to protect creation. The responsibility of every human being is protection of life, protection of property, protection of knowledge, protection of sanctity of generations or protection of posterity and protect"&amp;"ion of religious humanitarian law or protection of human rights. ")</f>
        <v xml:space="preserve">Humans are not meant to destroy anything, but to protect creation. The responsibility of every human being is protection of life, protection of property, protection of knowledge, protection of sanctity of generations or protection of posterity and protection of religious humanitarian law or protection of human rights. </v>
      </c>
      <c r="F1374" s="1"/>
      <c r="G1374" s="1"/>
      <c r="H1374" s="1"/>
      <c r="I1374" s="1"/>
    </row>
    <row r="1375" spans="1:9" ht="15.6" x14ac:dyDescent="0.3">
      <c r="A1375" s="1" t="s">
        <v>5</v>
      </c>
      <c r="B1375" s="1" t="s">
        <v>5</v>
      </c>
      <c r="C1375" s="10" t="s">
        <v>5</v>
      </c>
      <c r="D1375" s="5" t="s">
        <v>1349</v>
      </c>
      <c r="E1375" s="1" t="str">
        <f ca="1">IFERROR(__xludf.DUMMYFUNCTION("GOOGLETRANSLATE(D1375, ""bn"", ""en"")"),"I come from a Jewish family in New York. My mother came to the United States from South Africa. But he was Jewish. He was not comfortable giving anyone a Jewish identity. After my father died she married a Catholic and was converted to Christianity. He al"&amp;"so made us Christians. ")</f>
        <v>I come from a Jewish family in New York. My mother came to the United States from South Africa. But he was Jewish. He was not comfortable giving anyone a Jewish identity. After my father died she married a Catholic and was converted to Christianity. He also made us Christians. </v>
      </c>
      <c r="F1375" s="1"/>
      <c r="G1375" s="1"/>
      <c r="H1375" s="1"/>
      <c r="I1375" s="1"/>
    </row>
    <row r="1376" spans="1:9" ht="15.6" x14ac:dyDescent="0.3">
      <c r="A1376" s="1" t="s">
        <v>9</v>
      </c>
      <c r="B1376" s="1" t="s">
        <v>9</v>
      </c>
      <c r="C1376" s="10" t="s">
        <v>9</v>
      </c>
      <c r="D1376" s="5" t="s">
        <v>1350</v>
      </c>
      <c r="E1376" s="1" t="str">
        <f ca="1">IFERROR(__xludf.DUMMYFUNCTION("GOOGLETRANSLATE(D1376, ""bn"", ""en"")")," Muzaffarabad was one of the major Hindu villages. On April 1, Pakistani invasion forces bombed Patia and subsequently took control of the southern part of Chittagong district. They camped at Dohazari and Patia. The Pakistani occupying forces camped at th"&amp;"e Basic Training Institute in Patia. Unarmed villagers were arrested and burned in camps. Many were killed and buried under the PTI grounds.")</f>
        <v> Muzaffarabad was one of the major Hindu villages. On April 1, Pakistani invasion forces bombed Patia and subsequently took control of the southern part of Chittagong district. They camped at Dohazari and Patia. The Pakistani occupying forces camped at the Basic Training Institute in Patia. Unarmed villagers were arrested and burned in camps. Many were killed and buried under the PTI grounds.</v>
      </c>
      <c r="F1376" s="1"/>
      <c r="G1376" s="1"/>
      <c r="H1376" s="1"/>
      <c r="I1376" s="1"/>
    </row>
    <row r="1377" spans="1:9" ht="15.6" x14ac:dyDescent="0.3">
      <c r="A1377" s="1" t="s">
        <v>4</v>
      </c>
      <c r="B1377" s="1" t="s">
        <v>4</v>
      </c>
      <c r="C1377" s="10" t="s">
        <v>4</v>
      </c>
      <c r="D1377" s="5" t="s">
        <v>1351</v>
      </c>
      <c r="E1377" s="1" t="str">
        <f ca="1">IFERROR(__xludf.DUMMYFUNCTION("GOOGLETRANSLATE(D1377, ""bn"", ""en"")"),"Why are people so itchy about religion or religious practices, brother? Life became miserable because of them.")</f>
        <v>Why are people so itchy about religion or religious practices, brother? Life became miserable because of them.</v>
      </c>
      <c r="F1377" s="1"/>
      <c r="G1377" s="1"/>
      <c r="H1377" s="1"/>
      <c r="I1377" s="1"/>
    </row>
    <row r="1378" spans="1:9" ht="15.6" x14ac:dyDescent="0.3">
      <c r="A1378" s="1" t="s">
        <v>5</v>
      </c>
      <c r="B1378" s="1" t="s">
        <v>5</v>
      </c>
      <c r="C1378" s="10" t="s">
        <v>5</v>
      </c>
      <c r="D1378" s="5" t="s">
        <v>1352</v>
      </c>
      <c r="E1378" s="1" t="str">
        <f ca="1">IFERROR(__xludf.DUMMYFUNCTION("GOOGLETRANSLATE(D1378, ""bn"", ""en"")"),"Freedom of religion is a basic framework guaranteed by the constitution of Bangladesh, which calls for equal rights for all citizens regardless of religious differences and prohibits discrimination of religion in various fields. ")</f>
        <v>Freedom of religion is a basic framework guaranteed by the constitution of Bangladesh, which calls for equal rights for all citizens regardless of religious differences and prohibits discrimination of religion in various fields. </v>
      </c>
      <c r="F1378" s="1"/>
      <c r="G1378" s="1"/>
      <c r="H1378" s="1"/>
      <c r="I1378" s="1"/>
    </row>
    <row r="1379" spans="1:9" ht="15.6" x14ac:dyDescent="0.3">
      <c r="A1379" s="1" t="s">
        <v>7</v>
      </c>
      <c r="B1379" s="1" t="s">
        <v>7</v>
      </c>
      <c r="C1379" s="10" t="s">
        <v>7</v>
      </c>
      <c r="D1379" s="5" t="s">
        <v>1353</v>
      </c>
      <c r="E1379" s="1" t="str">
        <f ca="1">IFERROR(__xludf.DUMMYFUNCTION("GOOGLETRANSLATE(D1379, ""bn"", ""en"")"),"Rape rates in Bangladesh would drop by 90% if the maximum penalty was imposed on criminals such as spectators. And if those who insult religion are brought under appropriate punishment")</f>
        <v>Rape rates in Bangladesh would drop by 90% if the maximum penalty was imposed on criminals such as spectators. And if those who insult religion are brought under appropriate punishment</v>
      </c>
      <c r="F1379" s="1"/>
      <c r="G1379" s="1"/>
      <c r="H1379" s="1"/>
      <c r="I1379" s="1"/>
    </row>
    <row r="1380" spans="1:9" ht="15.6" x14ac:dyDescent="0.3">
      <c r="A1380" s="1" t="s">
        <v>4</v>
      </c>
      <c r="B1380" s="1" t="s">
        <v>4</v>
      </c>
      <c r="C1380" s="10" t="s">
        <v>4</v>
      </c>
      <c r="D1380" s="5" t="s">
        <v>1354</v>
      </c>
      <c r="E1380" s="1" t="str">
        <f ca="1">IFERROR(__xludf.DUMMYFUNCTION("GOOGLETRANSLATE(D1380, ""bn"", ""en"")"),"No matter how convincing or prohibitive it may be, some people will draw upon their storehouses of religious knowledge.")</f>
        <v>No matter how convincing or prohibitive it may be, some people will draw upon their storehouses of religious knowledge.</v>
      </c>
      <c r="F1380" s="1"/>
      <c r="G1380" s="1"/>
      <c r="H1380" s="1"/>
      <c r="I1380" s="1"/>
    </row>
    <row r="1381" spans="1:9" ht="15.6" x14ac:dyDescent="0.3">
      <c r="A1381" s="1" t="s">
        <v>7</v>
      </c>
      <c r="B1381" s="1" t="s">
        <v>7</v>
      </c>
      <c r="C1381" s="10" t="s">
        <v>7</v>
      </c>
      <c r="D1381" s="5" t="s">
        <v>1355</v>
      </c>
      <c r="E1381" s="1" t="str">
        <f ca="1">IFERROR(__xludf.DUMMYFUNCTION("GOOGLETRANSLATE(D1381, ""bn"", ""en"")"),"Some beasts will force a helpless person to commit suicide. And it is a great sin if someone commits suicide because of shame and humiliation after admitting oppression! Strange!")</f>
        <v>Some beasts will force a helpless person to commit suicide. And it is a great sin if someone commits suicide because of shame and humiliation after admitting oppression! Strange!</v>
      </c>
      <c r="F1381" s="1"/>
      <c r="G1381" s="1"/>
      <c r="H1381" s="1"/>
      <c r="I1381" s="1"/>
    </row>
    <row r="1382" spans="1:9" ht="15.6" x14ac:dyDescent="0.3">
      <c r="A1382" s="1" t="s">
        <v>7</v>
      </c>
      <c r="B1382" s="1" t="s">
        <v>4</v>
      </c>
      <c r="C1382" s="10" t="s">
        <v>7</v>
      </c>
      <c r="D1382" s="5" t="s">
        <v>1356</v>
      </c>
      <c r="E1382" s="1" t="str">
        <f ca="1">IFERROR(__xludf.DUMMYFUNCTION("GOOGLETRANSLATE(D1382, ""bn"", ""en"")"),"The Golahat massacre was a brutal massacre organized on 13 June 1971 during the Bangladesh Liberation War in which 447 Hindu Marwari women were indiscriminately killed by the Pakistani army and their allies, the non-Bengali Bihari and Bengali Razakar, Alb"&amp;" Dara, Al Shams forces.")</f>
        <v>The Golahat massacre was a brutal massacre organized on 13 June 1971 during the Bangladesh Liberation War in which 447 Hindu Marwari women were indiscriminately killed by the Pakistani army and their allies, the non-Bengali Bihari and Bengali Razakar, Alb Dara, Al Shams forces.</v>
      </c>
      <c r="F1382" s="1"/>
      <c r="G1382" s="1"/>
      <c r="H1382" s="1"/>
      <c r="I1382" s="1"/>
    </row>
    <row r="1383" spans="1:9" ht="15.6" x14ac:dyDescent="0.3">
      <c r="A1383" s="1" t="s">
        <v>5</v>
      </c>
      <c r="B1383" s="1" t="s">
        <v>5</v>
      </c>
      <c r="C1383" s="10" t="s">
        <v>5</v>
      </c>
      <c r="D1383" s="5" t="s">
        <v>1357</v>
      </c>
      <c r="E1383" s="1" t="str">
        <f ca="1">IFERROR(__xludf.DUMMYFUNCTION("GOOGLETRANSLATE(D1383, ""bn"", ""en"")"),"In the Qur'an, Allah commands people to respect and help each other, including non-believers, in order to foster love and compassion among people.")</f>
        <v>In the Qur'an, Allah commands people to respect and help each other, including non-believers, in order to foster love and compassion among people.</v>
      </c>
      <c r="F1383" s="1"/>
      <c r="G1383" s="1"/>
      <c r="H1383" s="1"/>
      <c r="I1383" s="1"/>
    </row>
    <row r="1384" spans="1:9" ht="15.6" x14ac:dyDescent="0.3">
      <c r="A1384" s="1" t="s">
        <v>9</v>
      </c>
      <c r="B1384" s="1" t="s">
        <v>4</v>
      </c>
      <c r="C1384" s="10" t="s">
        <v>9</v>
      </c>
      <c r="D1384" s="5" t="s">
        <v>1358</v>
      </c>
      <c r="E1384" s="1" t="str">
        <f ca="1">IFERROR(__xludf.DUMMYFUNCTION("GOOGLETRANSLATE(D1384, ""bn"", ""en"")"),"Attack on teacher's house on charges of 'hurting religious sentiments', HRFB worries")</f>
        <v>Attack on teacher's house on charges of 'hurting religious sentiments', HRFB worries</v>
      </c>
      <c r="F1384" s="1"/>
      <c r="G1384" s="1"/>
      <c r="H1384" s="1"/>
      <c r="I1384" s="1"/>
    </row>
    <row r="1385" spans="1:9" ht="15.6" x14ac:dyDescent="0.3">
      <c r="A1385" s="1" t="s">
        <v>5</v>
      </c>
      <c r="B1385" s="1" t="s">
        <v>5</v>
      </c>
      <c r="C1385" s="10" t="s">
        <v>5</v>
      </c>
      <c r="D1385" s="5" t="s">
        <v>1359</v>
      </c>
      <c r="E1385" s="1" t="str">
        <f ca="1">IFERROR(__xludf.DUMMYFUNCTION("GOOGLETRANSLATE(D1385, ""bn"", ""en"")"),"Read the Gita as the word of God as the way to the liberation of man and all living beings. And the Vedas are Sanatan and the main means of knowing God for Hindus.")</f>
        <v>Read the Gita as the word of God as the way to the liberation of man and all living beings. And the Vedas are Sanatan and the main means of knowing God for Hindus.</v>
      </c>
      <c r="F1385" s="1"/>
      <c r="G1385" s="1"/>
      <c r="H1385" s="1"/>
      <c r="I1385" s="1"/>
    </row>
    <row r="1386" spans="1:9" ht="15.6" x14ac:dyDescent="0.3">
      <c r="A1386" s="1" t="s">
        <v>4</v>
      </c>
      <c r="B1386" s="1" t="s">
        <v>4</v>
      </c>
      <c r="C1386" s="10" t="s">
        <v>4</v>
      </c>
      <c r="D1386" s="5" t="s">
        <v>1360</v>
      </c>
      <c r="E1386" s="1" t="str">
        <f ca="1">IFERROR(__xludf.DUMMYFUNCTION("GOOGLETRANSLATE(D1386, ""bn"", ""en"")"),"Lately, some non-Muslims have opened Facebook IDs with Muslim names and are making various negative comments about anti-Islam propaganda and posts about Islam.")</f>
        <v>Lately, some non-Muslims have opened Facebook IDs with Muslim names and are making various negative comments about anti-Islam propaganda and posts about Islam.</v>
      </c>
      <c r="F1386" s="1"/>
      <c r="G1386" s="1"/>
      <c r="H1386" s="1"/>
      <c r="I1386" s="1"/>
    </row>
    <row r="1387" spans="1:9" ht="15.6" x14ac:dyDescent="0.3">
      <c r="A1387" s="1" t="s">
        <v>9</v>
      </c>
      <c r="B1387" s="1" t="s">
        <v>4</v>
      </c>
      <c r="C1387" s="10" t="s">
        <v>9</v>
      </c>
      <c r="D1387" s="5" t="s">
        <v>1361</v>
      </c>
      <c r="E1387" s="1" t="str">
        <f ca="1">IFERROR(__xludf.DUMMYFUNCTION("GOOGLETRANSLATE(D1387, ""bn"", ""en"")"),"The president of the consumer association of Subang and Shah Alam in Selangor state helped local authorities in the Muslim-majority town of Shah Alam demolish a 107-year-old Hindu temple. The increasing Islamization of Malaysia is a cause of concern for m"&amp;"any Malaysians who follow minority religions such as Hinduism.")</f>
        <v>The president of the consumer association of Subang and Shah Alam in Selangor state helped local authorities in the Muslim-majority town of Shah Alam demolish a 107-year-old Hindu temple. The increasing Islamization of Malaysia is a cause of concern for many Malaysians who follow minority religions such as Hinduism.</v>
      </c>
      <c r="F1387" s="1"/>
      <c r="G1387" s="1"/>
      <c r="H1387" s="1"/>
      <c r="I1387" s="1"/>
    </row>
    <row r="1388" spans="1:9" ht="15.6" x14ac:dyDescent="0.3">
      <c r="A1388" s="1" t="s">
        <v>4</v>
      </c>
      <c r="B1388" s="1" t="s">
        <v>5</v>
      </c>
      <c r="C1388" s="10" t="s">
        <v>4</v>
      </c>
      <c r="D1388" s="5" t="s">
        <v>1362</v>
      </c>
      <c r="E1388" s="1" t="str">
        <f ca="1">IFERROR(__xludf.DUMMYFUNCTION("GOOGLETRANSLATE(D1388, ""bn"", ""en"")"),"In protest of President Emmanuel Macron's recent statements about Islam and the Prophet's cartoon in France, many Islamist organizations have held a mass march and rally after Friday prayers in the capital of Bangladesh, Dhaka.")</f>
        <v>In protest of President Emmanuel Macron's recent statements about Islam and the Prophet's cartoon in France, many Islamist organizations have held a mass march and rally after Friday prayers in the capital of Bangladesh, Dhaka.</v>
      </c>
      <c r="F1388" s="1"/>
      <c r="G1388" s="1"/>
      <c r="H1388" s="1"/>
      <c r="I1388" s="1"/>
    </row>
    <row r="1389" spans="1:9" ht="15.6" x14ac:dyDescent="0.3">
      <c r="A1389" s="1" t="s">
        <v>5</v>
      </c>
      <c r="B1389" s="1" t="s">
        <v>5</v>
      </c>
      <c r="C1389" s="10" t="s">
        <v>5</v>
      </c>
      <c r="D1389" s="5" t="s">
        <v>1363</v>
      </c>
      <c r="E1389" s="1" t="str">
        <f ca="1">IFERROR(__xludf.DUMMYFUNCTION("GOOGLETRANSLATE(D1389, ""bn"", ""en"")"),"When Hindus and Muslims live peacefully together, they create an open, friendly and peaceful environment that respects their religious identities.")</f>
        <v>When Hindus and Muslims live peacefully together, they create an open, friendly and peaceful environment that respects their religious identities.</v>
      </c>
      <c r="F1389" s="1"/>
      <c r="G1389" s="1"/>
      <c r="H1389" s="1"/>
      <c r="I1389" s="1"/>
    </row>
    <row r="1390" spans="1:9" ht="15.6" x14ac:dyDescent="0.3">
      <c r="A1390" s="4" t="s">
        <v>7</v>
      </c>
      <c r="B1390" s="4" t="s">
        <v>7</v>
      </c>
      <c r="C1390" s="11" t="s">
        <v>7</v>
      </c>
      <c r="D1390" s="5" t="s">
        <v>1364</v>
      </c>
      <c r="E1390" s="1" t="str">
        <f ca="1">IFERROR(__xludf.DUMMYFUNCTION("GOOGLETRANSLATE(D1390, ""bn"", ""en"")"),"Seventy-six to seventy-seven years ago, as the freedom movement, Tevaga movement took root across India, the spirit of communal hatred also began to grow among a section of people. It is in this situation that 'The Great Calcutta Killing' took place from "&amp;"August 16 to August 20. ")</f>
        <v xml:space="preserve">Seventy-six to seventy-seven years ago, as the freedom movement, Tevaga movement took root across India, the spirit of communal hatred also began to grow among a section of people. It is in this situation that 'The Great Calcutta Killing' took place from August 16 to August 20. </v>
      </c>
      <c r="F1390" s="1"/>
      <c r="G1390" s="1"/>
      <c r="H1390" s="1"/>
      <c r="I1390" s="1"/>
    </row>
    <row r="1391" spans="1:9" ht="15.6" x14ac:dyDescent="0.3">
      <c r="A1391" s="1" t="s">
        <v>4</v>
      </c>
      <c r="B1391" s="1" t="s">
        <v>4</v>
      </c>
      <c r="C1391" s="10" t="s">
        <v>4</v>
      </c>
      <c r="D1391" s="5" t="s">
        <v>1365</v>
      </c>
      <c r="E1391" s="1" t="str">
        <f ca="1">IFERROR(__xludf.DUMMYFUNCTION("GOOGLETRANSLATE(D1391, ""bn"", ""en"")"),"Insult as a Muslim cannot be accepted at all.I strongly condemn placing the Holy Quran at the foot of the idol in the worship hall in Comilla, and demand exemplary punishment.")</f>
        <v>Insult as a Muslim cannot be accepted at all.I strongly condemn placing the Holy Quran at the foot of the idol in the worship hall in Comilla, and demand exemplary punishment.</v>
      </c>
      <c r="F1391" s="1"/>
      <c r="G1391" s="1"/>
      <c r="H1391" s="1"/>
      <c r="I1391" s="1"/>
    </row>
    <row r="1392" spans="1:9" ht="15.6" x14ac:dyDescent="0.3">
      <c r="A1392" s="1" t="s">
        <v>5</v>
      </c>
      <c r="B1392" s="1" t="s">
        <v>5</v>
      </c>
      <c r="C1392" s="10" t="s">
        <v>5</v>
      </c>
      <c r="D1392" s="5" t="s">
        <v>1366</v>
      </c>
      <c r="E1392" s="1" t="str">
        <f ca="1">IFERROR(__xludf.DUMMYFUNCTION("GOOGLETRANSLATE(D1392, ""bn"", ""en"")"),"Posting a religious post on Facebook does not mean declaring yourself strictly religious. To spread the message of Sanatan Dharma among all.")</f>
        <v>Posting a religious post on Facebook does not mean declaring yourself strictly religious. To spread the message of Sanatan Dharma among all.</v>
      </c>
      <c r="F1392" s="1"/>
      <c r="G1392" s="1"/>
      <c r="H1392" s="1"/>
      <c r="I1392" s="1"/>
    </row>
    <row r="1393" spans="1:9" ht="15.6" x14ac:dyDescent="0.3">
      <c r="A1393" s="1" t="s">
        <v>5</v>
      </c>
      <c r="B1393" s="1" t="s">
        <v>5</v>
      </c>
      <c r="C1393" s="10" t="s">
        <v>5</v>
      </c>
      <c r="D1393" s="5" t="s">
        <v>1367</v>
      </c>
      <c r="E1393" s="1" t="str">
        <f ca="1">IFERROR(__xludf.DUMMYFUNCTION("GOOGLETRANSLATE(D1393, ""bn"", ""en"")"),"It is very important for Muslim children to be united. Not Muslim by name, but by work and Muslim should be identified.")</f>
        <v>It is very important for Muslim children to be united. Not Muslim by name, but by work and Muslim should be identified.</v>
      </c>
      <c r="F1393" s="1"/>
      <c r="G1393" s="1"/>
      <c r="H1393" s="1"/>
      <c r="I1393" s="1"/>
    </row>
    <row r="1394" spans="1:9" ht="15.6" x14ac:dyDescent="0.3">
      <c r="A1394" s="1" t="s">
        <v>9</v>
      </c>
      <c r="B1394" s="1" t="s">
        <v>4</v>
      </c>
      <c r="C1394" s="10" t="s">
        <v>9</v>
      </c>
      <c r="D1394" s="5" t="s">
        <v>1368</v>
      </c>
      <c r="E1394" s="1" t="str">
        <f ca="1">IFERROR(__xludf.DUMMYFUNCTION("GOOGLETRANSLATE(D1394, ""bn"", ""en"")"),"Disgustingly reject the Swedish government and law enforcement agencies for burning the Holy Quran under the umbrella of the state and law enforcement agencies.")</f>
        <v>Disgustingly reject the Swedish government and law enforcement agencies for burning the Holy Quran under the umbrella of the state and law enforcement agencies.</v>
      </c>
      <c r="F1394" s="1"/>
      <c r="G1394" s="1"/>
      <c r="H1394" s="1"/>
      <c r="I1394" s="1"/>
    </row>
    <row r="1395" spans="1:9" ht="15.6" x14ac:dyDescent="0.3">
      <c r="A1395" s="1" t="s">
        <v>9</v>
      </c>
      <c r="B1395" s="1" t="s">
        <v>5</v>
      </c>
      <c r="C1395" s="10" t="s">
        <v>9</v>
      </c>
      <c r="D1395" s="5" t="s">
        <v>1369</v>
      </c>
      <c r="E1395" s="1" t="str">
        <f ca="1">IFERROR(__xludf.DUMMYFUNCTION("GOOGLETRANSLATE(D1395, ""bn"", ""en"")"),"Nicely said brother, you should worry if any other country had come to power, would they have announced general amnesty. No one was killed, not even injured. What more rare example do you want to see. But you see Kashmir in India where more than 10000 wom"&amp;"en have been raped there under the control of India. Then understand what Islam is. If you came to power, think about what you would do, brother.")</f>
        <v>Nicely said brother, you should worry if any other country had come to power, would they have announced general amnesty. No one was killed, not even injured. What more rare example do you want to see. But you see Kashmir in India where more than 10000 women have been raped there under the control of India. Then understand what Islam is. If you came to power, think about what you would do, brother.</v>
      </c>
      <c r="F1395" s="1"/>
      <c r="G1395" s="1"/>
      <c r="H1395" s="1"/>
      <c r="I1395" s="1"/>
    </row>
    <row r="1396" spans="1:9" ht="15.6" x14ac:dyDescent="0.3">
      <c r="A1396" s="1" t="s">
        <v>4</v>
      </c>
      <c r="B1396" s="1" t="s">
        <v>7</v>
      </c>
      <c r="C1396" s="10" t="s">
        <v>4</v>
      </c>
      <c r="D1396" s="5" t="s">
        <v>1370</v>
      </c>
      <c r="E1396" s="1" t="str">
        <f ca="1">IFERROR(__xludf.DUMMYFUNCTION("GOOGLETRANSLATE(D1396, ""bn"", ""en"")"),"It is not possible to establish a peaceful, stable and humane India by cornering the Muslims or insulting the Prophet. Rather, it will be a more unstable situation")</f>
        <v>It is not possible to establish a peaceful, stable and humane India by cornering the Muslims or insulting the Prophet. Rather, it will be a more unstable situation</v>
      </c>
      <c r="F1396" s="1"/>
      <c r="G1396" s="1"/>
      <c r="H1396" s="1"/>
      <c r="I1396" s="1"/>
    </row>
    <row r="1397" spans="1:9" ht="15.6" x14ac:dyDescent="0.3">
      <c r="A1397" s="1" t="s">
        <v>9</v>
      </c>
      <c r="B1397" s="1" t="s">
        <v>9</v>
      </c>
      <c r="C1397" s="10" t="s">
        <v>9</v>
      </c>
      <c r="D1397" s="5" t="s">
        <v>1371</v>
      </c>
      <c r="E1397" s="1" t="str">
        <f ca="1">IFERROR(__xludf.DUMMYFUNCTION("GOOGLETRANSLATE(D1397, ""bn"", ""en"")"),"At 8:00 p.m., Gurcharan Dahar's family in Naogram, just six miles from Sylhet, was attacked. The next morning at 7am the heavily armed Muslims surrounded the village. At least 1,500 Hindus fled their homes in fear of their lives and hid in nearby forests."&amp;" ")</f>
        <v>At 8:00 p.m., Gurcharan Dahar's family in Naogram, just six miles from Sylhet, was attacked. The next morning at 7am the heavily armed Muslims surrounded the village. At least 1,500 Hindus fled their homes in fear of their lives and hid in nearby forests. </v>
      </c>
      <c r="F1397" s="1"/>
      <c r="G1397" s="1"/>
      <c r="H1397" s="1"/>
      <c r="I1397" s="1"/>
    </row>
    <row r="1398" spans="1:9" ht="15.6" x14ac:dyDescent="0.3">
      <c r="A1398" s="1" t="s">
        <v>5</v>
      </c>
      <c r="B1398" s="1" t="s">
        <v>5</v>
      </c>
      <c r="C1398" s="10" t="s">
        <v>5</v>
      </c>
      <c r="D1398" s="5" t="s">
        <v>1372</v>
      </c>
      <c r="E1398" s="1" t="str">
        <f ca="1">IFERROR(__xludf.DUMMYFUNCTION("GOOGLETRANSLATE(D1398, ""bn"", ""en"")"),"Hinduism gives a message of universal brotherhood, where mutual sympathy and love are established among all.")</f>
        <v>Hinduism gives a message of universal brotherhood, where mutual sympathy and love are established among all.</v>
      </c>
      <c r="F1398" s="1"/>
      <c r="G1398" s="1"/>
      <c r="H1398" s="1"/>
      <c r="I1398" s="1"/>
    </row>
    <row r="1399" spans="1:9" ht="15.6" x14ac:dyDescent="0.3">
      <c r="A1399" s="1" t="s">
        <v>9</v>
      </c>
      <c r="B1399" s="1" t="s">
        <v>9</v>
      </c>
      <c r="C1399" s="10" t="s">
        <v>9</v>
      </c>
      <c r="D1399" s="5" t="s">
        <v>1373</v>
      </c>
      <c r="E1399" s="1" t="str">
        <f ca="1">IFERROR(__xludf.DUMMYFUNCTION("GOOGLETRANSLATE(D1399, ""bn"", ""en"")"),"Locals controlled the flames before they could spread.[23][33] Initially, a Radha Govinda temple in Kuripaika village of Patuakhali Sadar Upazila of Patuakhali District was vandalized and a Madanmohan idol and 2.5 gold ornaments were stolen.[34] On April "&amp;"4, Islamic fanatics set fire to a Hindu temple in Kanthalia Upazila of Jhalkathi District. gives")</f>
        <v>Locals controlled the flames before they could spread.[23][33] Initially, a Radha Govinda temple in Kuripaika village of Patuakhali Sadar Upazila of Patuakhali District was vandalized and a Madanmohan idol and 2.5 gold ornaments were stolen.[34] On April 4, Islamic fanatics set fire to a Hindu temple in Kanthalia Upazila of Jhalkathi District. gives</v>
      </c>
      <c r="F1399" s="1"/>
      <c r="G1399" s="1"/>
      <c r="H1399" s="1"/>
      <c r="I1399" s="1"/>
    </row>
    <row r="1400" spans="1:9" ht="15.6" x14ac:dyDescent="0.3">
      <c r="A1400" s="1" t="s">
        <v>5</v>
      </c>
      <c r="B1400" s="1" t="s">
        <v>5</v>
      </c>
      <c r="C1400" s="10" t="s">
        <v>5</v>
      </c>
      <c r="D1400" s="5" t="s">
        <v>1374</v>
      </c>
      <c r="E1400" s="1" t="str">
        <f ca="1">IFERROR(__xludf.DUMMYFUNCTION("GOOGLETRANSLATE(D1400, ""bn"", ""en"")"),"If Allah had seized them immediately because of human oppression, no animal would have survived on earth. But he gives everyone respite up to a certain time. When that time comes, not a moment sooner or later.")</f>
        <v>If Allah had seized them immediately because of human oppression, no animal would have survived on earth. But he gives everyone respite up to a certain time. When that time comes, not a moment sooner or later.</v>
      </c>
      <c r="F1400" s="1"/>
      <c r="G1400" s="1"/>
      <c r="H1400" s="1"/>
      <c r="I1400" s="1"/>
    </row>
    <row r="1401" spans="1:9" ht="15.6" x14ac:dyDescent="0.3">
      <c r="A1401" s="1" t="s">
        <v>7</v>
      </c>
      <c r="B1401" s="1" t="s">
        <v>7</v>
      </c>
      <c r="C1401" s="10" t="s">
        <v>7</v>
      </c>
      <c r="D1401" s="5" t="s">
        <v>1375</v>
      </c>
      <c r="E1401" s="1" t="str">
        <f ca="1">IFERROR(__xludf.DUMMYFUNCTION("GOOGLETRANSLATE(D1401, ""bn"", ""en"")")," Rebels loyal to the Islamic State wreaked havoc in Marawi City, killing thousands.")</f>
        <v xml:space="preserve"> Rebels loyal to the Islamic State wreaked havoc in Marawi City, killing thousands.</v>
      </c>
      <c r="F1401" s="1"/>
      <c r="G1401" s="1"/>
      <c r="H1401" s="1"/>
      <c r="I1401" s="1"/>
    </row>
    <row r="1402" spans="1:9" ht="15.6" x14ac:dyDescent="0.3">
      <c r="A1402" s="1" t="s">
        <v>9</v>
      </c>
      <c r="B1402" s="1" t="s">
        <v>5</v>
      </c>
      <c r="C1402" s="10" t="s">
        <v>9</v>
      </c>
      <c r="D1402" s="5" t="s">
        <v>1376</v>
      </c>
      <c r="E1402" s="1" t="str">
        <f ca="1">IFERROR(__xludf.DUMMYFUNCTION("GOOGLETRANSLATE(D1402, ""bn"", ""en"")"),"All factories and shops owned by Hindus should be destroyed and looted and the loot should be deposited in the Muslim League office.")</f>
        <v>All factories and shops owned by Hindus should be destroyed and looted and the loot should be deposited in the Muslim League office.</v>
      </c>
      <c r="F1402" s="1"/>
      <c r="G1402" s="1"/>
      <c r="H1402" s="1"/>
      <c r="I1402" s="1"/>
    </row>
    <row r="1403" spans="1:9" ht="15.6" x14ac:dyDescent="0.3">
      <c r="A1403" s="1" t="s">
        <v>5</v>
      </c>
      <c r="B1403" s="1" t="s">
        <v>5</v>
      </c>
      <c r="C1403" s="10" t="s">
        <v>5</v>
      </c>
      <c r="D1403" s="5" t="s">
        <v>1377</v>
      </c>
      <c r="E1403" s="1" t="str">
        <f ca="1">IFERROR(__xludf.DUMMYFUNCTION("GOOGLETRANSLATE(D1403, ""bn"", ""en"")"),"He went to recite the Qur'an, so it is better to think about the welfare of everyone without arguing about these things.")</f>
        <v>He went to recite the Qur'an, so it is better to think about the welfare of everyone without arguing about these things.</v>
      </c>
      <c r="F1403" s="1"/>
      <c r="G1403" s="1"/>
      <c r="H1403" s="1"/>
      <c r="I1403" s="1"/>
    </row>
    <row r="1404" spans="1:9" ht="15.6" x14ac:dyDescent="0.3">
      <c r="A1404" s="1" t="s">
        <v>4</v>
      </c>
      <c r="B1404" s="1" t="s">
        <v>4</v>
      </c>
      <c r="C1404" s="10" t="s">
        <v>4</v>
      </c>
      <c r="D1404" s="5" t="s">
        <v>1378</v>
      </c>
      <c r="E1404" s="1" t="str">
        <f ca="1">IFERROR(__xludf.DUMMYFUNCTION("GOOGLETRANSLATE(D1404, ""bn"", ""en"")"),"Allah, you see all oppression, there is no way except your mercy, you can end all these oppressors.")</f>
        <v>Allah, you see all oppression, there is no way except your mercy, you can end all these oppressors.</v>
      </c>
      <c r="F1404" s="1"/>
      <c r="G1404" s="1"/>
      <c r="H1404" s="1"/>
      <c r="I1404" s="1"/>
    </row>
    <row r="1405" spans="1:9" ht="15.6" x14ac:dyDescent="0.3">
      <c r="A1405" s="1" t="s">
        <v>5</v>
      </c>
      <c r="B1405" s="1" t="s">
        <v>5</v>
      </c>
      <c r="C1405" s="10" t="s">
        <v>5</v>
      </c>
      <c r="D1405" s="5" t="s">
        <v>1379</v>
      </c>
      <c r="E1405" s="1" t="str">
        <f ca="1">IFERROR(__xludf.DUMMYFUNCTION("GOOGLETRANSLATE(D1405, ""bn"", ""en"")"),"We all the followers of Hindu, Muslim, Buddhist, Christian and other religions want to live happily and peacefully shoulder to shoulder by maintaining communal harmony with all religions and want to move our Sonar Bangla forward.")</f>
        <v>We all the followers of Hindu, Muslim, Buddhist, Christian and other religions want to live happily and peacefully shoulder to shoulder by maintaining communal harmony with all religions and want to move our Sonar Bangla forward.</v>
      </c>
      <c r="F1405" s="1"/>
      <c r="G1405" s="1"/>
      <c r="H1405" s="1"/>
      <c r="I1405" s="1"/>
    </row>
    <row r="1406" spans="1:9" ht="15.6" x14ac:dyDescent="0.3">
      <c r="A1406" s="1" t="s">
        <v>7</v>
      </c>
      <c r="B1406" s="1" t="s">
        <v>7</v>
      </c>
      <c r="C1406" s="10" t="s">
        <v>7</v>
      </c>
      <c r="D1406" s="5" t="s">
        <v>1380</v>
      </c>
      <c r="E1406" s="1" t="str">
        <f ca="1">IFERROR(__xludf.DUMMYFUNCTION("GOOGLETRANSLATE(D1406, ""bn"", ""en"")"),"During the partition of the Indian subcontinent, millions lost their lives in religious riots, a brutal example of communal divisions.")</f>
        <v>During the partition of the Indian subcontinent, millions lost their lives in religious riots, a brutal example of communal divisions.</v>
      </c>
      <c r="F1406" s="1"/>
      <c r="G1406" s="1"/>
      <c r="H1406" s="1"/>
      <c r="I1406" s="1"/>
    </row>
    <row r="1407" spans="1:9" ht="15.6" x14ac:dyDescent="0.3">
      <c r="A1407" s="1" t="s">
        <v>9</v>
      </c>
      <c r="B1407" s="1" t="s">
        <v>9</v>
      </c>
      <c r="C1407" s="10" t="s">
        <v>9</v>
      </c>
      <c r="D1407" s="5" t="s">
        <v>1381</v>
      </c>
      <c r="E1407" s="1" t="str">
        <f ca="1">IFERROR(__xludf.DUMMYFUNCTION("GOOGLETRANSLATE(D1407, ""bn"", ""en"")"),"On October 30, 2016, Hindu houses and temples were attacked in Nasir Nagar in Brahmanbaria on the pretext of a Facebook post by a young man named Rasraj. But investigation revealed that Rasraj was an illiterate fisherman A fake ID was opened in his name")</f>
        <v>On October 30, 2016, Hindu houses and temples were attacked in Nasir Nagar in Brahmanbaria on the pretext of a Facebook post by a young man named Rasraj. But investigation revealed that Rasraj was an illiterate fisherman A fake ID was opened in his name</v>
      </c>
      <c r="F1407" s="1"/>
      <c r="G1407" s="1"/>
      <c r="H1407" s="1"/>
      <c r="I1407" s="1"/>
    </row>
    <row r="1408" spans="1:9" ht="15.6" x14ac:dyDescent="0.3">
      <c r="A1408" s="1" t="s">
        <v>7</v>
      </c>
      <c r="B1408" s="1" t="s">
        <v>4</v>
      </c>
      <c r="C1408" s="10" t="s">
        <v>7</v>
      </c>
      <c r="D1408" s="5" t="s">
        <v>1382</v>
      </c>
      <c r="E1408" s="1" t="str">
        <f ca="1">IFERROR(__xludf.DUMMYFUNCTION("GOOGLETRANSLATE(D1408, ""bn"", ""en"")"),"The bishop of Vladimir Fyodor enslaved some, imprisoned others, cut off their heads, burned out their eyes, cut out their tongues, or crucified them on walls. Some heretics were burned alive. According to an inscription of Khan Mengual-Temir, Metropolitan"&amp;" Kirill was given the right to inflict heavy punishment with death for blasphemy against the Orthodox Church or violation of religious privileges.")</f>
        <v>The bishop of Vladimir Fyodor enslaved some, imprisoned others, cut off their heads, burned out their eyes, cut out their tongues, or crucified them on walls. Some heretics were burned alive. According to an inscription of Khan Mengual-Temir, Metropolitan Kirill was given the right to inflict heavy punishment with death for blasphemy against the Orthodox Church or violation of religious privileges.</v>
      </c>
      <c r="F1408" s="1"/>
      <c r="G1408" s="1"/>
      <c r="H1408" s="1"/>
      <c r="I1408" s="1"/>
    </row>
    <row r="1409" spans="1:9" ht="15.6" x14ac:dyDescent="0.3">
      <c r="A1409" s="1" t="s">
        <v>7</v>
      </c>
      <c r="B1409" s="1" t="s">
        <v>7</v>
      </c>
      <c r="C1409" s="10" t="s">
        <v>7</v>
      </c>
      <c r="D1409" s="5" t="s">
        <v>1383</v>
      </c>
      <c r="E1409" s="1" t="str">
        <f ca="1">IFERROR(__xludf.DUMMYFUNCTION("GOOGLETRANSLATE(D1409, ""bn"", ""en"")"),"Prayers were also offered for the wife's practice of living self-immolation on the funeral pyre of the dead husband.")</f>
        <v>Prayers were also offered for the wife's practice of living self-immolation on the funeral pyre of the dead husband.</v>
      </c>
      <c r="F1409" s="1"/>
      <c r="G1409" s="1"/>
      <c r="H1409" s="1"/>
      <c r="I1409" s="1"/>
    </row>
    <row r="1410" spans="1:9" ht="15.6" x14ac:dyDescent="0.3">
      <c r="A1410" s="1" t="s">
        <v>7</v>
      </c>
      <c r="B1410" s="1" t="s">
        <v>7</v>
      </c>
      <c r="C1410" s="10" t="s">
        <v>7</v>
      </c>
      <c r="D1410" s="5" t="s">
        <v>1384</v>
      </c>
      <c r="E1410" s="1" t="str">
        <f ca="1">IFERROR(__xludf.DUMMYFUNCTION("GOOGLETRANSLATE(D1410, ""bn"", ""en"")"),"Lined up, they were killed by brush fire from behind and those who survived were brutally hacked and hacked to death with sharp weapons. One by one, their bodies were thrown into a pile of dirt and a little soil was sprinkled on them. Men were selectively"&amp;" killed.[4] Five hundred yards south of Dhapdhup Bill is the village of Shukhanpukhuri. Which is now known as Vidhava Palli or Vidhava Village.")</f>
        <v>Lined up, they were killed by brush fire from behind and those who survived were brutally hacked and hacked to death with sharp weapons. One by one, their bodies were thrown into a pile of dirt and a little soil was sprinkled on them. Men were selectively killed.[4] Five hundred yards south of Dhapdhup Bill is the village of Shukhanpukhuri. Which is now known as Vidhava Palli or Vidhava Village.</v>
      </c>
      <c r="F1410" s="1"/>
      <c r="G1410" s="1"/>
      <c r="H1410" s="1"/>
      <c r="I1410" s="1"/>
    </row>
    <row r="1411" spans="1:9" ht="15.6" x14ac:dyDescent="0.3">
      <c r="A1411" s="1" t="s">
        <v>4</v>
      </c>
      <c r="B1411" s="1" t="s">
        <v>4</v>
      </c>
      <c r="C1411" s="10" t="s">
        <v>4</v>
      </c>
      <c r="D1411" s="5" t="s">
        <v>1385</v>
      </c>
      <c r="E1411" s="1" t="str">
        <f ca="1">IFERROR(__xludf.DUMMYFUNCTION("GOOGLETRANSLATE(D1411, ""bn"", ""en"")"),"How dare you speak bad/false/fake things about our world prophet.")</f>
        <v>How dare you speak bad/false/fake things about our world prophet.</v>
      </c>
      <c r="F1411" s="1"/>
      <c r="G1411" s="1"/>
      <c r="H1411" s="1"/>
      <c r="I1411" s="1"/>
    </row>
    <row r="1412" spans="1:9" ht="15.6" x14ac:dyDescent="0.3">
      <c r="A1412" s="1" t="s">
        <v>5</v>
      </c>
      <c r="B1412" s="1" t="s">
        <v>5</v>
      </c>
      <c r="C1412" s="10" t="s">
        <v>5</v>
      </c>
      <c r="D1412" s="5" t="s">
        <v>1386</v>
      </c>
      <c r="E1412" s="1" t="str">
        <f ca="1">IFERROR(__xludf.DUMMYFUNCTION("GOOGLETRANSLATE(D1412, ""bn"", ""en"")"),"Here of course I congratulate this judgment of our Hon'ble High Court of Bangladesh and also want to say that we will never tolerate any anti-Islamic activities or hurt religious sentiments in this Bangladesh.Thanks")</f>
        <v>Here of course I congratulate this judgment of our Hon'ble High Court of Bangladesh and also want to say that we will never tolerate any anti-Islamic activities or hurt religious sentiments in this Bangladesh.Thanks</v>
      </c>
      <c r="F1412" s="1"/>
      <c r="G1412" s="1"/>
      <c r="H1412" s="1"/>
      <c r="I1412" s="1"/>
    </row>
    <row r="1413" spans="1:9" ht="15.6" x14ac:dyDescent="0.3">
      <c r="A1413" s="1" t="s">
        <v>9</v>
      </c>
      <c r="B1413" s="1" t="s">
        <v>9</v>
      </c>
      <c r="C1413" s="10" t="s">
        <v>9</v>
      </c>
      <c r="D1413" s="5" t="s">
        <v>1387</v>
      </c>
      <c r="E1413" s="1" t="str">
        <f ca="1">IFERROR(__xludf.DUMMYFUNCTION("GOOGLETRANSLATE(D1413, ""bn"", ""en"")"),"The images of Kali and Mahadev were destroyed in the attack.[31][32] A Radha Krishna temple was set on fire at Batajor village under Bamana upazila of Barguna district around 7:30 in the evening. On March 12, two Hindu houses were set on fire at New Bhati"&amp;"khana Road in Barisal around 2:30 am by unknown miscreants.")</f>
        <v>The images of Kali and Mahadev were destroyed in the attack.[31][32] A Radha Krishna temple was set on fire at Batajor village under Bamana upazila of Barguna district around 7:30 in the evening. On March 12, two Hindu houses were set on fire at New Bhatikhana Road in Barisal around 2:30 am by unknown miscreants.</v>
      </c>
      <c r="F1413" s="1"/>
      <c r="G1413" s="1"/>
      <c r="H1413" s="1"/>
      <c r="I1413" s="1"/>
    </row>
    <row r="1414" spans="1:9" ht="15.6" x14ac:dyDescent="0.3">
      <c r="A1414" s="1" t="s">
        <v>5</v>
      </c>
      <c r="B1414" s="1" t="s">
        <v>5</v>
      </c>
      <c r="C1414" s="10" t="s">
        <v>5</v>
      </c>
      <c r="D1414" s="5" t="s">
        <v>1388</v>
      </c>
      <c r="E1414" s="1" t="str">
        <f ca="1">IFERROR(__xludf.DUMMYFUNCTION("GOOGLETRANSLATE(D1414, ""bn"", ""en"")"),"Jagannath is for Hindus, they worship there. They don't allocate for Puja in whole Dhaka University.")</f>
        <v>Jagannath is for Hindus, they worship there. They don't allocate for Puja in whole Dhaka University.</v>
      </c>
      <c r="F1414" s="1"/>
      <c r="G1414" s="1"/>
      <c r="H1414" s="1"/>
      <c r="I1414" s="1"/>
    </row>
    <row r="1415" spans="1:9" ht="15.6" x14ac:dyDescent="0.3">
      <c r="A1415" s="1" t="s">
        <v>4</v>
      </c>
      <c r="B1415" s="1" t="s">
        <v>5</v>
      </c>
      <c r="C1415" s="10" t="s">
        <v>4</v>
      </c>
      <c r="D1415" s="5" t="s">
        <v>1389</v>
      </c>
      <c r="E1415" s="1" t="str">
        <f ca="1">IFERROR(__xludf.DUMMYFUNCTION("GOOGLETRANSLATE(D1415, ""bn"", ""en"")"),"Seeing the inferno-horror of the planned riots, Gandhi-Nehru and the Congress leadership accepted the demands of the Muslim League under the leadership of Jinnah. [80] As a result, two new states, India and Pakistan, were created through the partition of "&amp;"India.")</f>
        <v>Seeing the inferno-horror of the planned riots, Gandhi-Nehru and the Congress leadership accepted the demands of the Muslim League under the leadership of Jinnah. [80] As a result, two new states, India and Pakistan, were created through the partition of India.</v>
      </c>
      <c r="F1415" s="1"/>
      <c r="G1415" s="1"/>
      <c r="H1415" s="1"/>
      <c r="I1415" s="1"/>
    </row>
    <row r="1416" spans="1:9" ht="15.6" x14ac:dyDescent="0.3">
      <c r="A1416" s="1" t="s">
        <v>9</v>
      </c>
      <c r="B1416" s="1" t="s">
        <v>9</v>
      </c>
      <c r="C1416" s="10" t="s">
        <v>9</v>
      </c>
      <c r="D1416" s="5" t="s">
        <v>1390</v>
      </c>
      <c r="E1416" s="1" t="str">
        <f ca="1">IFERROR(__xludf.DUMMYFUNCTION("GOOGLETRANSLATE(D1416, ""bn"", ""en"")")," Between April and May 2006, city hall authorities in the country violently demolished several Hindu temples.[41] On April 21, 2006, the Malaimel Sri Selva Kaliamman temple in Kuala Lumpur was reduced to rubble when city hall authorities bulldozed the tem"&amp;"ple.")</f>
        <v xml:space="preserve"> Between April and May 2006, city hall authorities in the country violently demolished several Hindu temples.[41] On April 21, 2006, the Malaimel Sri Selva Kaliamman temple in Kuala Lumpur was reduced to rubble when city hall authorities bulldozed the temple.</v>
      </c>
      <c r="F1416" s="1"/>
      <c r="G1416" s="1"/>
      <c r="H1416" s="1"/>
      <c r="I1416" s="1"/>
    </row>
    <row r="1417" spans="1:9" ht="15.6" x14ac:dyDescent="0.3">
      <c r="A1417" s="1" t="s">
        <v>5</v>
      </c>
      <c r="B1417" s="1" t="s">
        <v>5</v>
      </c>
      <c r="C1417" s="10" t="s">
        <v>5</v>
      </c>
      <c r="D1417" s="5" t="s">
        <v>1391</v>
      </c>
      <c r="E1417" s="1" t="str">
        <f ca="1">IFERROR(__xludf.DUMMYFUNCTION("GOOGLETRANSLATE(D1417, ""bn"", ""en"")"),"In 2007 the Malaysian government banned the use of the word Allah by anyone other than Muslim, but in 2009 the Malayan High Court overturned the law and ruled it unconstitutional.")</f>
        <v>In 2007 the Malaysian government banned the use of the word Allah by anyone other than Muslim, but in 2009 the Malayan High Court overturned the law and ruled it unconstitutional.</v>
      </c>
      <c r="F1417" s="1"/>
      <c r="G1417" s="1"/>
      <c r="H1417" s="1"/>
      <c r="I1417" s="1"/>
    </row>
    <row r="1418" spans="1:9" ht="15.6" x14ac:dyDescent="0.3">
      <c r="A1418" s="1" t="s">
        <v>9</v>
      </c>
      <c r="B1418" s="1" t="s">
        <v>9</v>
      </c>
      <c r="C1418" s="10" t="s">
        <v>9</v>
      </c>
      <c r="D1418" s="5" t="s">
        <v>1392</v>
      </c>
      <c r="E1418" s="1" t="str">
        <f ca="1">IFERROR(__xludf.DUMMYFUNCTION("GOOGLETRANSLATE(D1418, ""bn"", ""en"")")," In 627 AD, Khandek had three thousand Muslim soldiers. The Kafir army is 24 thousand. In 629 AD, the Muslim army at Khyber was 1,400. And the Kafir soldiers are 20,000. In the conquest of Mecca in 630 AD, the Muslim army numbered 10,000. The opposition w"&amp;"as all the non-Muslims of Mecca. 12 thousand Muslim soldiers in the battle of Hunain in 630 AD. The opposing party were the people of the Hawazin and Sakif clans. In the battle of Tabuk in 631 AD, there were 30 thousand Muslims. Millions of non-Muslims we"&amp;"re against.")</f>
        <v> In 627 AD, Khandek had three thousand Muslim soldiers. The Kafir army is 24 thousand. In 629 AD, the Muslim army at Khyber was 1,400. And the Kafir soldiers are 20,000. In the conquest of Mecca in 630 AD, the Muslim army numbered 10,000. The opposition was all the non-Muslims of Mecca. 12 thousand Muslim soldiers in the battle of Hunain in 630 AD. The opposing party were the people of the Hawazin and Sakif clans. In the battle of Tabuk in 631 AD, there were 30 thousand Muslims. Millions of non-Muslims were against.</v>
      </c>
      <c r="F1418" s="1"/>
      <c r="G1418" s="1"/>
      <c r="H1418" s="1"/>
      <c r="I1418" s="1"/>
    </row>
    <row r="1419" spans="1:9" ht="15.6" x14ac:dyDescent="0.3">
      <c r="A1419" s="1" t="s">
        <v>4</v>
      </c>
      <c r="B1419" s="1" t="s">
        <v>4</v>
      </c>
      <c r="C1419" s="10" t="s">
        <v>4</v>
      </c>
      <c r="D1419" s="5" t="s">
        <v>1393</v>
      </c>
      <c r="E1419" s="1" t="str">
        <f ca="1">IFERROR(__xludf.DUMMYFUNCTION("GOOGLETRANSLATE(D1419, ""bn"", ""en"")"),"How did religion find its way into politics in a state where West Bengal has long been a stronghold of the Left - who themselves tried to stay away from religion and did not bring religion into politics?")</f>
        <v>How did religion find its way into politics in a state where West Bengal has long been a stronghold of the Left - who themselves tried to stay away from religion and did not bring religion into politics?</v>
      </c>
      <c r="F1419" s="1"/>
      <c r="G1419" s="1"/>
      <c r="H1419" s="1"/>
      <c r="I1419" s="1"/>
    </row>
    <row r="1420" spans="1:9" ht="15.6" x14ac:dyDescent="0.3">
      <c r="A1420" s="1" t="s">
        <v>4</v>
      </c>
      <c r="B1420" s="1" t="s">
        <v>5</v>
      </c>
      <c r="C1420" s="10" t="s">
        <v>4</v>
      </c>
      <c r="D1420" s="5" t="s">
        <v>1394</v>
      </c>
      <c r="E1420" s="1" t="str">
        <f ca="1">IFERROR(__xludf.DUMMYFUNCTION("GOOGLETRANSLATE(D1420, ""bn"", ""en"")"),"Liberal Muslim talk!! Such a huge group is growing in the Muslim society without anyone's knowledge.")</f>
        <v>Liberal Muslim talk!! Such a huge group is growing in the Muslim society without anyone's knowledge.</v>
      </c>
      <c r="F1420" s="1"/>
      <c r="G1420" s="1"/>
      <c r="H1420" s="1"/>
      <c r="I1420" s="1"/>
    </row>
    <row r="1421" spans="1:9" ht="15.6" x14ac:dyDescent="0.3">
      <c r="A1421" s="1" t="s">
        <v>5</v>
      </c>
      <c r="B1421" s="1" t="s">
        <v>5</v>
      </c>
      <c r="C1421" s="10" t="s">
        <v>5</v>
      </c>
      <c r="D1421" s="5" t="s">
        <v>1395</v>
      </c>
      <c r="E1421" s="1" t="str">
        <f ca="1">IFERROR(__xludf.DUMMYFUNCTION("GOOGLETRANSLATE(D1421, ""bn"", ""en"")"),"Muslims and Muslim rulers breathed a sigh of relief to the immense masses of the country who were victims of racism created by the outsider Brahmins.")</f>
        <v>Muslims and Muslim rulers breathed a sigh of relief to the immense masses of the country who were victims of racism created by the outsider Brahmins.</v>
      </c>
      <c r="F1421" s="1"/>
      <c r="G1421" s="1"/>
      <c r="H1421" s="1"/>
      <c r="I1421" s="1"/>
    </row>
    <row r="1422" spans="1:9" ht="15.6" x14ac:dyDescent="0.3">
      <c r="A1422" s="1" t="s">
        <v>7</v>
      </c>
      <c r="B1422" s="1" t="s">
        <v>7</v>
      </c>
      <c r="C1422" s="10" t="s">
        <v>7</v>
      </c>
      <c r="D1422" s="5" t="s">
        <v>1396</v>
      </c>
      <c r="E1422" s="1" t="str">
        <f ca="1">IFERROR(__xludf.DUMMYFUNCTION("GOOGLETRANSLATE(D1422, ""bn"", ""en"")")," Both men and women were shot dead and their houses set on fire. The few survivors left the bodies in a mass grave the next morning. [4] Around 350 Hindus of Bashgari village were killed. ")</f>
        <v> Both men and women were shot dead and their houses set on fire. The few survivors left the bodies in a mass grave the next morning. [4] Around 350 Hindus of Bashgari village were killed. </v>
      </c>
      <c r="F1422" s="1"/>
      <c r="G1422" s="1"/>
      <c r="H1422" s="1"/>
      <c r="I1422" s="1"/>
    </row>
    <row r="1423" spans="1:9" ht="15.6" x14ac:dyDescent="0.3">
      <c r="A1423" s="1" t="s">
        <v>5</v>
      </c>
      <c r="B1423" s="1" t="s">
        <v>5</v>
      </c>
      <c r="C1423" s="10" t="s">
        <v>5</v>
      </c>
      <c r="D1423" s="5" t="s">
        <v>1397</v>
      </c>
      <c r="E1423" s="1" t="str">
        <f ca="1">IFERROR(__xludf.DUMMYFUNCTION("GOOGLETRANSLATE(D1423, ""bn"", ""en"")"),"Don't listen to criticism you are doing very well I want an episode on Ayatul Kursi")</f>
        <v>Don't listen to criticism you are doing very well I want an episode on Ayatul Kursi</v>
      </c>
      <c r="F1423" s="1"/>
      <c r="G1423" s="1"/>
      <c r="H1423" s="1"/>
      <c r="I1423" s="1"/>
    </row>
    <row r="1424" spans="1:9" ht="15.6" x14ac:dyDescent="0.3">
      <c r="A1424" s="1" t="s">
        <v>5</v>
      </c>
      <c r="B1424" s="1" t="s">
        <v>9</v>
      </c>
      <c r="C1424" s="10" t="s">
        <v>5</v>
      </c>
      <c r="D1424" s="5" t="s">
        <v>1398</v>
      </c>
      <c r="E1424" s="1" t="str">
        <f ca="1">IFERROR(__xludf.DUMMYFUNCTION("GOOGLETRANSLATE(D1424, ""bn"", ""en"")")," Hindus were marginalized by the African-based People's National Movement after Trinidad gained independence from colonial rule. The opposition People's Democratic Party is portrayed as a ""Hindu group"" as it sympathizes with Hindus. Hindus are harassed "&amp;"in various ways.")</f>
        <v> Hindus were marginalized by the African-based People's National Movement after Trinidad gained independence from colonial rule. The opposition People's Democratic Party is portrayed as a "Hindu group" as it sympathizes with Hindus. Hindus are harassed in various ways.</v>
      </c>
      <c r="F1424" s="1"/>
      <c r="G1424" s="1"/>
      <c r="H1424" s="1"/>
      <c r="I1424" s="1"/>
    </row>
    <row r="1425" spans="1:9" ht="15.6" x14ac:dyDescent="0.3">
      <c r="A1425" s="1" t="s">
        <v>7</v>
      </c>
      <c r="B1425" s="1" t="s">
        <v>7</v>
      </c>
      <c r="C1425" s="10" t="s">
        <v>7</v>
      </c>
      <c r="D1425" s="5" t="s">
        <v>1399</v>
      </c>
      <c r="E1425" s="1" t="str">
        <f ca="1">IFERROR(__xludf.DUMMYFUNCTION("GOOGLETRANSLATE(D1425, ""bn"", ""en"")"),"A Hindu youth named Prithvish Das was stabbed to death in Zindabazar. On February 14, rumors spread that Muslims were being killed in Assam's Karimganj. In his address to a gathering of lawyers, the Deputy Commissioner of Sylhet deliberately mentioned tha"&amp;"t 5,000 Muslims had been killed in Karimganj and that a large Muslim population had come to Sylhet for refuge. That same evening a Hindu named Moti Das was killed near Jalalpur. Three Manipuris were beaten, two of whom fell to their deaths.")</f>
        <v>A Hindu youth named Prithvish Das was stabbed to death in Zindabazar. On February 14, rumors spread that Muslims were being killed in Assam's Karimganj. In his address to a gathering of lawyers, the Deputy Commissioner of Sylhet deliberately mentioned that 5,000 Muslims had been killed in Karimganj and that a large Muslim population had come to Sylhet for refuge. That same evening a Hindu named Moti Das was killed near Jalalpur. Three Manipuris were beaten, two of whom fell to their deaths.</v>
      </c>
      <c r="F1425" s="1"/>
      <c r="G1425" s="1"/>
      <c r="H1425" s="1"/>
      <c r="I1425" s="1"/>
    </row>
    <row r="1426" spans="1:9" ht="15.6" x14ac:dyDescent="0.3">
      <c r="A1426" s="1" t="s">
        <v>7</v>
      </c>
      <c r="B1426" s="1" t="s">
        <v>4</v>
      </c>
      <c r="C1426" s="10" t="s">
        <v>7</v>
      </c>
      <c r="D1426" s="5" t="s">
        <v>1400</v>
      </c>
      <c r="E1426" s="1" t="str">
        <f ca="1">IFERROR(__xludf.DUMMYFUNCTION("GOOGLETRANSLATE(D1426, ""bn"", ""en"")"),"At another public meeting in Loppur Bazaar, Abdus Sabur Khan announced that he would make shoes from Hindu soil. Sabur Khan organized a royal ceremony for his niece's wedding, laying the groundwork for a wanton massacre of Hindus. ")</f>
        <v>At another public meeting in Loppur Bazaar, Abdus Sabur Khan announced that he would make shoes from Hindu soil. Sabur Khan organized a royal ceremony for his niece's wedding, laying the groundwork for a wanton massacre of Hindus. </v>
      </c>
      <c r="F1426" s="1"/>
      <c r="G1426" s="1"/>
      <c r="H1426" s="1"/>
      <c r="I1426" s="1"/>
    </row>
    <row r="1427" spans="1:9" ht="15.6" x14ac:dyDescent="0.3">
      <c r="A1427" s="1" t="s">
        <v>7</v>
      </c>
      <c r="B1427" s="1" t="s">
        <v>7</v>
      </c>
      <c r="C1427" s="10" t="s">
        <v>7</v>
      </c>
      <c r="D1427" s="5" t="s">
        <v>1401</v>
      </c>
      <c r="E1427" s="1" t="str">
        <f ca="1">IFERROR(__xludf.DUMMYFUNCTION("GOOGLETRANSLATE(D1427, ""bn"", ""en"")"),"1 thousand 678 incidents of vandalism and arson have occurred in idols, pujamandap, temples. 862 Hindus were injured in these attacks. 11 people were killed.")</f>
        <v>1 thousand 678 incidents of vandalism and arson have occurred in idols, pujamandap, temples. 862 Hindus were injured in these attacks. 11 people were killed.</v>
      </c>
      <c r="F1427" s="1"/>
      <c r="G1427" s="1"/>
      <c r="H1427" s="1"/>
      <c r="I1427" s="1"/>
    </row>
    <row r="1428" spans="1:9" ht="15.6" x14ac:dyDescent="0.3">
      <c r="A1428" s="1" t="s">
        <v>5</v>
      </c>
      <c r="B1428" s="1" t="s">
        <v>9</v>
      </c>
      <c r="C1428" s="10" t="s">
        <v>5</v>
      </c>
      <c r="D1428" s="5" t="s">
        <v>1402</v>
      </c>
      <c r="E1428" s="1" t="str">
        <f ca="1">IFERROR(__xludf.DUMMYFUNCTION("GOOGLETRANSLATE(D1428, ""bn"", ""en"")")," There is not only an Islamic religious institution but also an Islamic law, state and other institutions governing society. Religious (private) and secular (public) were not separated by some Muslim thinkers until the 20th century, and were formally sepa"&amp;"rated in certain places such as Turkey.")</f>
        <v> There is not only an Islamic religious institution but also an Islamic law, state and other institutions governing society. Religious (private) and secular (public) were not separated by some Muslim thinkers until the 20th century, and were formally separated in certain places such as Turkey.</v>
      </c>
      <c r="F1428" s="1"/>
      <c r="G1428" s="1"/>
      <c r="H1428" s="1"/>
      <c r="I1428" s="1"/>
    </row>
    <row r="1429" spans="1:9" ht="15.6" x14ac:dyDescent="0.3">
      <c r="A1429" s="1" t="s">
        <v>7</v>
      </c>
      <c r="B1429" s="1" t="s">
        <v>7</v>
      </c>
      <c r="C1429" s="10" t="s">
        <v>7</v>
      </c>
      <c r="D1429" s="5" t="s">
        <v>1403</v>
      </c>
      <c r="E1429" s="1" t="str">
        <f ca="1">IFERROR(__xludf.DUMMYFUNCTION("GOOGLETRANSLATE(D1429, ""bn"", ""en"")"),"On the afternoon of February 14, Muslims looted a market place called Lamabazar. Looting and killing began in the countryside from the morning of 15th February. A village called Murthy was attacked at nine o'clock in the morning. Thousands of Muslims thro"&amp;"nged Senapati's family with anti-Hindu slogans. ")</f>
        <v>On the afternoon of February 14, Muslims looted a market place called Lamabazar. Looting and killing began in the countryside from the morning of 15th February. A village called Murthy was attacked at nine o'clock in the morning. Thousands of Muslims thronged Senapati's family with anti-Hindu slogans. </v>
      </c>
      <c r="F1429" s="1"/>
      <c r="G1429" s="1"/>
      <c r="H1429" s="1"/>
      <c r="I1429" s="1"/>
    </row>
    <row r="1430" spans="1:9" ht="15.6" x14ac:dyDescent="0.3">
      <c r="A1430" s="1" t="s">
        <v>7</v>
      </c>
      <c r="B1430" s="1" t="s">
        <v>7</v>
      </c>
      <c r="C1430" s="10" t="s">
        <v>7</v>
      </c>
      <c r="D1430" s="5" t="s">
        <v>1404</v>
      </c>
      <c r="E1430" s="1" t="str">
        <f ca="1">IFERROR(__xludf.DUMMYFUNCTION("GOOGLETRANSLATE(D1430, ""bn"", ""en"")"),"In 1992, after the demolition of the Babri Masjid, thousands of people were killed in riots in various parts of India, an extreme manifestation of religious tensions.")</f>
        <v>In 1992, after the demolition of the Babri Masjid, thousands of people were killed in riots in various parts of India, an extreme manifestation of religious tensions.</v>
      </c>
      <c r="F1430" s="1"/>
      <c r="G1430" s="1"/>
      <c r="H1430" s="1"/>
      <c r="I1430" s="1"/>
    </row>
    <row r="1431" spans="1:9" ht="15.6" x14ac:dyDescent="0.3">
      <c r="A1431" s="1" t="s">
        <v>4</v>
      </c>
      <c r="B1431" s="1" t="s">
        <v>4</v>
      </c>
      <c r="C1431" s="10" t="s">
        <v>4</v>
      </c>
      <c r="D1431" s="5" t="s">
        <v>1405</v>
      </c>
      <c r="E1431" s="1" t="str">
        <f ca="1">IFERROR(__xludf.DUMMYFUNCTION("GOOGLETRANSLATE(D1431, ""bn"", ""en"")"),"All Hindu workers in Sylhet's 35 tea estates were threatened to convert to Islam. They were forced to eat beef.")</f>
        <v>All Hindu workers in Sylhet's 35 tea estates were threatened to convert to Islam. They were forced to eat beef.</v>
      </c>
      <c r="F1431" s="1"/>
      <c r="G1431" s="1"/>
      <c r="H1431" s="1"/>
      <c r="I1431" s="1"/>
    </row>
    <row r="1432" spans="1:9" ht="15.6" x14ac:dyDescent="0.3">
      <c r="A1432" s="1" t="s">
        <v>4</v>
      </c>
      <c r="B1432" s="1" t="s">
        <v>4</v>
      </c>
      <c r="C1432" s="10" t="s">
        <v>4</v>
      </c>
      <c r="D1432" s="5" t="s">
        <v>1406</v>
      </c>
      <c r="E1432" s="1" t="str">
        <f ca="1">IFERROR(__xludf.DUMMYFUNCTION("GOOGLETRANSLATE(D1432, ""bn"", ""en"")"),"The situation in Bangladesh has become foreign now, ok all the girls eat beedi that too on fasting days and my god")</f>
        <v>The situation in Bangladesh has become foreign now, ok all the girls eat beedi that too on fasting days and my god</v>
      </c>
      <c r="F1432" s="1"/>
      <c r="G1432" s="1"/>
      <c r="H1432" s="1"/>
      <c r="I1432" s="1"/>
    </row>
    <row r="1433" spans="1:9" ht="15.6" x14ac:dyDescent="0.3">
      <c r="A1433" s="1" t="s">
        <v>5</v>
      </c>
      <c r="B1433" s="1" t="s">
        <v>5</v>
      </c>
      <c r="C1433" s="10" t="s">
        <v>5</v>
      </c>
      <c r="D1433" s="5" t="s">
        <v>1407</v>
      </c>
      <c r="E1433" s="1" t="str">
        <f ca="1">IFERROR(__xludf.DUMMYFUNCTION("GOOGLETRANSLATE(D1433, ""bn"", ""en"")"),"ISKCON is an international organization that carries out peaceful religious practices and humanitarian activities, embodying Gaudiya Vaishnava religious ideals and traditional values. We have always worked for peace, harmony and amity. Committed to work o"&amp;"n the same ideals in the future")</f>
        <v>ISKCON is an international organization that carries out peaceful religious practices and humanitarian activities, embodying Gaudiya Vaishnava religious ideals and traditional values. We have always worked for peace, harmony and amity. Committed to work on the same ideals in the future</v>
      </c>
      <c r="F1433" s="1"/>
      <c r="G1433" s="1"/>
      <c r="H1433" s="1"/>
      <c r="I1433" s="1"/>
    </row>
    <row r="1434" spans="1:9" ht="15.6" x14ac:dyDescent="0.3">
      <c r="A1434" s="1" t="s">
        <v>9</v>
      </c>
      <c r="B1434" s="1" t="s">
        <v>9</v>
      </c>
      <c r="C1434" s="10" t="s">
        <v>9</v>
      </c>
      <c r="D1434" s="5" t="s">
        <v>1408</v>
      </c>
      <c r="E1434" s="1" t="str">
        <f ca="1">IFERROR(__xludf.DUMMYFUNCTION("GOOGLETRANSLATE(D1434, ""bn"", ""en"")"),"In the latter part of 1946, Bengali Hindus in Noakhali and Tripura districts of East Bengal (now Bangladesh) were subjected to a series of brutal massacres, rapes, looting, arson, conversions by Muslims, known as the Noakhali Riots.")</f>
        <v>In the latter part of 1946, Bengali Hindus in Noakhali and Tripura districts of East Bengal (now Bangladesh) were subjected to a series of brutal massacres, rapes, looting, arson, conversions by Muslims, known as the Noakhali Riots.</v>
      </c>
      <c r="F1434" s="1"/>
      <c r="G1434" s="1"/>
      <c r="H1434" s="1"/>
      <c r="I1434" s="1"/>
    </row>
    <row r="1435" spans="1:9" ht="15.6" x14ac:dyDescent="0.3">
      <c r="A1435" s="1" t="s">
        <v>4</v>
      </c>
      <c r="B1435" s="1" t="s">
        <v>4</v>
      </c>
      <c r="C1435" s="10" t="s">
        <v>4</v>
      </c>
      <c r="D1435" s="5" t="s">
        <v>1409</v>
      </c>
      <c r="E1435" s="1" t="str">
        <f ca="1">IFERROR(__xludf.DUMMYFUNCTION("GOOGLETRANSLATE(D1435, ""bn"", ""en"")"),"India has given our poor people a lot of development with tax money over the years. A lot has happened. Now let them understand their own good. Why is India so worried about those who want Taliban rule?")</f>
        <v>India has given our poor people a lot of development with tax money over the years. A lot has happened. Now let them understand their own good. Why is India so worried about those who want Taliban rule?</v>
      </c>
      <c r="F1435" s="1"/>
      <c r="G1435" s="1"/>
      <c r="H1435" s="1"/>
      <c r="I1435" s="1"/>
    </row>
    <row r="1436" spans="1:9" ht="15.6" x14ac:dyDescent="0.3">
      <c r="A1436" s="1" t="s">
        <v>9</v>
      </c>
      <c r="B1436" s="1" t="s">
        <v>9</v>
      </c>
      <c r="C1436" s="10" t="s">
        <v>9</v>
      </c>
      <c r="D1436" s="5" t="s">
        <v>1410</v>
      </c>
      <c r="E1436" s="1" t="str">
        <f ca="1">IFERROR(__xludf.DUMMYFUNCTION("GOOGLETRANSLATE(D1436, ""bn"", ""en"")"),"Terrorists set fire to a temple in Khilgaon")</f>
        <v>Terrorists set fire to a temple in Khilgaon</v>
      </c>
      <c r="F1436" s="1"/>
      <c r="G1436" s="1"/>
      <c r="H1436" s="1"/>
      <c r="I1436" s="1"/>
    </row>
    <row r="1437" spans="1:9" ht="15.6" x14ac:dyDescent="0.3">
      <c r="A1437" s="1" t="s">
        <v>4</v>
      </c>
      <c r="B1437" s="1" t="s">
        <v>4</v>
      </c>
      <c r="C1437" s="10" t="s">
        <v>4</v>
      </c>
      <c r="D1437" s="5" t="s">
        <v>1411</v>
      </c>
      <c r="E1437" s="1" t="str">
        <f ca="1">IFERROR(__xludf.DUMMYFUNCTION("GOOGLETRANSLATE(D1437, ""bn"", ""en"")"),"When people go to the lowest level, they can post funny even if they are not religious! You will see people these days to destroy religion who do not care about the amount!")</f>
        <v>When people go to the lowest level, they can post funny even if they are not religious! You will see people these days to destroy religion who do not care about the amount!</v>
      </c>
      <c r="F1437" s="1"/>
      <c r="G1437" s="1"/>
      <c r="H1437" s="1"/>
      <c r="I1437" s="1"/>
    </row>
    <row r="1438" spans="1:9" ht="15.6" x14ac:dyDescent="0.3">
      <c r="A1438" s="1" t="s">
        <v>9</v>
      </c>
      <c r="B1438" s="1" t="s">
        <v>9</v>
      </c>
      <c r="C1438" s="10" t="s">
        <v>9</v>
      </c>
      <c r="D1438" s="5" t="s">
        <v>1412</v>
      </c>
      <c r="E1438" s="1" t="str">
        <f ca="1">IFERROR(__xludf.DUMMYFUNCTION("GOOGLETRANSLATE(D1438, ""bn"", ""en"")"),"Do you know how many mosques in India have been demolished on illegal land?")</f>
        <v>Do you know how many mosques in India have been demolished on illegal land?</v>
      </c>
      <c r="F1438" s="1"/>
      <c r="G1438" s="1"/>
      <c r="H1438" s="1"/>
      <c r="I1438" s="1"/>
    </row>
    <row r="1439" spans="1:9" ht="15.6" x14ac:dyDescent="0.3">
      <c r="A1439" s="1" t="s">
        <v>7</v>
      </c>
      <c r="B1439" s="1" t="s">
        <v>7</v>
      </c>
      <c r="C1439" s="10" t="s">
        <v>7</v>
      </c>
      <c r="D1439" s="5" t="s">
        <v>1413</v>
      </c>
      <c r="E1439" s="1" t="str">
        <f ca="1">IFERROR(__xludf.DUMMYFUNCTION("GOOGLETRANSLATE(D1439, ""bn"", ""en"")"),"A lack of tolerance and the spread of religious extremism have divided society, resulting in the premature end of many lives.")</f>
        <v>A lack of tolerance and the spread of religious extremism have divided society, resulting in the premature end of many lives.</v>
      </c>
      <c r="F1439" s="1"/>
      <c r="G1439" s="1"/>
      <c r="H1439" s="1"/>
      <c r="I1439" s="1"/>
    </row>
    <row r="1440" spans="1:9" ht="15.6" x14ac:dyDescent="0.3">
      <c r="A1440" s="4" t="s">
        <v>7</v>
      </c>
      <c r="B1440" s="4" t="s">
        <v>7</v>
      </c>
      <c r="C1440" s="11" t="s">
        <v>7</v>
      </c>
      <c r="D1440" s="5" t="s">
        <v>1414</v>
      </c>
      <c r="E1440" s="1" t="str">
        <f ca="1">IFERROR(__xludf.DUMMYFUNCTION("GOOGLETRANSLATE(D1440, ""bn"", ""en"")"),"Notably, a family of eight Dabgar Hindus were burnt alive and the fire brigade was prevented from extinguishing the fire.[1] In response, Hindus in the neighborhood looted and burnt shops owned by Muslims.")</f>
        <v>Notably, a family of eight Dabgar Hindus were burnt alive and the fire brigade was prevented from extinguishing the fire.[1] In response, Hindus in the neighborhood looted and burnt shops owned by Muslims.</v>
      </c>
      <c r="F1440" s="1"/>
      <c r="G1440" s="1"/>
      <c r="H1440" s="1"/>
      <c r="I1440" s="1"/>
    </row>
    <row r="1441" spans="1:9" ht="15.6" x14ac:dyDescent="0.3">
      <c r="A1441" s="1" t="s">
        <v>7</v>
      </c>
      <c r="B1441" s="1" t="s">
        <v>4</v>
      </c>
      <c r="C1441" s="10" t="s">
        <v>7</v>
      </c>
      <c r="D1441" s="5" t="s">
        <v>1415</v>
      </c>
      <c r="E1441" s="1" t="str">
        <f ca="1">IFERROR(__xludf.DUMMYFUNCTION("GOOGLETRANSLATE(D1441, ""bn"", ""en"")"),"At least 200-300 Hindus were brutally killed by Muslim killers at Khulna Launch Ghat. [9] Muslims destroyed every Hindu town and village on both sides of the road from Khulna to Chalan. [10] On January 4, Hindu massacre spread in Mongla. [7] 300 Hindus we"&amp;"re brutally killed in Mongla port.")</f>
        <v>At least 200-300 Hindus were brutally killed by Muslim killers at Khulna Launch Ghat. [9] Muslims destroyed every Hindu town and village on both sides of the road from Khulna to Chalan. [10] On January 4, Hindu massacre spread in Mongla. [7] 300 Hindus were brutally killed in Mongla port.</v>
      </c>
      <c r="F1441" s="1"/>
      <c r="G1441" s="1"/>
      <c r="H1441" s="1"/>
      <c r="I1441" s="1"/>
    </row>
    <row r="1442" spans="1:9" ht="15.6" x14ac:dyDescent="0.3">
      <c r="A1442" s="1" t="s">
        <v>7</v>
      </c>
      <c r="B1442" s="1" t="s">
        <v>7</v>
      </c>
      <c r="C1442" s="10" t="s">
        <v>7</v>
      </c>
      <c r="D1442" s="5" t="s">
        <v>1416</v>
      </c>
      <c r="E1442" s="1" t="str">
        <f ca="1">IFERROR(__xludf.DUMMYFUNCTION("GOOGLETRANSLATE(D1442, ""bn"", ""en"")"),"A bomb attack was carried out at Hosseini Dalan in Old Dhaka during preparations for the Shia community's Tajia procession, killing several people.")</f>
        <v>A bomb attack was carried out at Hosseini Dalan in Old Dhaka during preparations for the Shia community's Tajia procession, killing several people.</v>
      </c>
      <c r="F1442" s="1"/>
      <c r="G1442" s="1"/>
      <c r="H1442" s="1"/>
      <c r="I1442" s="1"/>
    </row>
    <row r="1443" spans="1:9" ht="15.6" x14ac:dyDescent="0.3">
      <c r="A1443" s="1" t="s">
        <v>4</v>
      </c>
      <c r="B1443" s="1" t="s">
        <v>5</v>
      </c>
      <c r="C1443" s="10" t="s">
        <v>4</v>
      </c>
      <c r="D1443" s="5" t="s">
        <v>1417</v>
      </c>
      <c r="E1443" s="1" t="str">
        <f ca="1">IFERROR(__xludf.DUMMYFUNCTION("GOOGLETRANSLATE(D1443, ""bn"", ""en"")"),"There are no reports of the best Madrasahs in the country. But many teachers in the country's best public universities will find reports of sex scandals. Why not become varsityphobia now!")</f>
        <v>There are no reports of the best Madrasahs in the country. But many teachers in the country's best public universities will find reports of sex scandals. Why not become varsityphobia now!</v>
      </c>
      <c r="F1443" s="1"/>
      <c r="G1443" s="1"/>
      <c r="H1443" s="1"/>
      <c r="I1443" s="1"/>
    </row>
    <row r="1444" spans="1:9" ht="15.6" x14ac:dyDescent="0.3">
      <c r="A1444" s="1" t="s">
        <v>9</v>
      </c>
      <c r="B1444" s="1" t="s">
        <v>5</v>
      </c>
      <c r="C1444" s="10" t="s">
        <v>9</v>
      </c>
      <c r="D1444" s="5" t="s">
        <v>1418</v>
      </c>
      <c r="E1444" s="1" t="str">
        <f ca="1">IFERROR(__xludf.DUMMYFUNCTION("GOOGLETRANSLATE(D1444, ""bn"", ""en"")"),"Many would agree with me that the worst man-made disaster in the world today is violent religious terrorism or hidden religious racism. Today the sky of Bengal is also covered with its poisonous smoke.")</f>
        <v>Many would agree with me that the worst man-made disaster in the world today is violent religious terrorism or hidden religious racism. Today the sky of Bengal is also covered with its poisonous smoke.</v>
      </c>
      <c r="F1444" s="1"/>
      <c r="G1444" s="1"/>
      <c r="H1444" s="1"/>
      <c r="I1444" s="1"/>
    </row>
    <row r="1445" spans="1:9" ht="15.6" x14ac:dyDescent="0.3">
      <c r="A1445" s="1" t="s">
        <v>7</v>
      </c>
      <c r="B1445" s="1" t="s">
        <v>7</v>
      </c>
      <c r="C1445" s="10" t="s">
        <v>7</v>
      </c>
      <c r="D1445" s="5" t="s">
        <v>1419</v>
      </c>
      <c r="E1445" s="1" t="str">
        <f ca="1">IFERROR(__xludf.DUMMYFUNCTION("GOOGLETRANSLATE(D1445, ""bn"", ""en"")"),"Eccentric theology became so pervasive that when the Muslim Sufi saint Kabir died at Maghar near Kushinagar in 1518, his Hindu devotees refused to build a local memorial. They again went to Kasi and built a memorial in his name. Kabir's Muslim devotees we"&amp;"re less superstitious in this regard. They built his shrine in Maghar.")</f>
        <v>Eccentric theology became so pervasive that when the Muslim Sufi saint Kabir died at Maghar near Kushinagar in 1518, his Hindu devotees refused to build a local memorial. They again went to Kasi and built a memorial in his name. Kabir's Muslim devotees were less superstitious in this regard. They built his shrine in Maghar.</v>
      </c>
      <c r="F1445" s="1"/>
      <c r="G1445" s="1"/>
      <c r="H1445" s="1"/>
      <c r="I1445" s="1"/>
    </row>
    <row r="1446" spans="1:9" ht="15.6" x14ac:dyDescent="0.3">
      <c r="A1446" s="1" t="s">
        <v>4</v>
      </c>
      <c r="B1446" s="1" t="s">
        <v>5</v>
      </c>
      <c r="C1446" s="10" t="s">
        <v>4</v>
      </c>
      <c r="D1446" s="5" t="s">
        <v>1420</v>
      </c>
      <c r="E1446" s="1" t="str">
        <f ca="1">IFERROR(__xludf.DUMMYFUNCTION("GOOGLETRANSLATE(D1446, ""bn"", ""en"")"),"I strongly condemn this and let him be burned alive for burning the Holy Quran")</f>
        <v>I strongly condemn this and let him be burned alive for burning the Holy Quran</v>
      </c>
      <c r="F1446" s="1"/>
      <c r="G1446" s="1"/>
      <c r="H1446" s="1"/>
      <c r="I1446" s="1"/>
    </row>
    <row r="1447" spans="1:9" ht="15.6" x14ac:dyDescent="0.3">
      <c r="A1447" s="1" t="s">
        <v>7</v>
      </c>
      <c r="B1447" s="1" t="s">
        <v>7</v>
      </c>
      <c r="C1447" s="10" t="s">
        <v>7</v>
      </c>
      <c r="D1447" s="5" t="s">
        <v>1421</v>
      </c>
      <c r="E1447" s="1" t="str">
        <f ca="1">IFERROR(__xludf.DUMMYFUNCTION("GOOGLETRANSLATE(D1447, ""bn"", ""en"")"),"Jauhar was originally a self-chosen death for noble women defeated in battle and was practiced especially among warrior Rajputs.")</f>
        <v>Jauhar was originally a self-chosen death for noble women defeated in battle and was practiced especially among warrior Rajputs.</v>
      </c>
      <c r="F1447" s="1"/>
      <c r="G1447" s="1"/>
      <c r="H1447" s="1"/>
      <c r="I1447" s="1"/>
    </row>
    <row r="1448" spans="1:9" ht="15.6" x14ac:dyDescent="0.3">
      <c r="A1448" s="1" t="s">
        <v>7</v>
      </c>
      <c r="B1448" s="1" t="s">
        <v>7</v>
      </c>
      <c r="C1448" s="10" t="s">
        <v>7</v>
      </c>
      <c r="D1448" s="5" t="s">
        <v>1422</v>
      </c>
      <c r="E1448" s="1" t="str">
        <f ca="1">IFERROR(__xludf.DUMMYFUNCTION("GOOGLETRANSLATE(D1448, ""bn"", ""en"")"),"The armed forces and the Bangladeshi paramilitary forces that assisted them were perceived by the tribals as genocide and ethnic cleansing.")</f>
        <v>The armed forces and the Bangladeshi paramilitary forces that assisted them were perceived by the tribals as genocide and ethnic cleansing.</v>
      </c>
      <c r="F1448" s="1"/>
      <c r="G1448" s="1"/>
      <c r="H1448" s="1"/>
      <c r="I1448" s="1"/>
    </row>
    <row r="1449" spans="1:9" ht="15.6" x14ac:dyDescent="0.3">
      <c r="A1449" s="1" t="s">
        <v>5</v>
      </c>
      <c r="B1449" s="1" t="s">
        <v>5</v>
      </c>
      <c r="C1449" s="10" t="s">
        <v>5</v>
      </c>
      <c r="D1449" s="5" t="s">
        <v>1423</v>
      </c>
      <c r="E1449" s="1" t="str">
        <f ca="1">IFERROR(__xludf.DUMMYFUNCTION("GOOGLETRANSLATE(D1449, ""bn"", ""en"")"),"A third party may be conspiring to create discord. Just as no Muslim would want to keep the Vedas in the mosque, no Hindu would want to keep the Quran at the feet of his Lord. Since this is a sensitive religious issue, let it be properly investigated. Car"&amp;"e must be taken to ensure that third parties do not profit by creating religious anarchy.")</f>
        <v>A third party may be conspiring to create discord. Just as no Muslim would want to keep the Vedas in the mosque, no Hindu would want to keep the Quran at the feet of his Lord. Since this is a sensitive religious issue, let it be properly investigated. Care must be taken to ensure that third parties do not profit by creating religious anarchy.</v>
      </c>
      <c r="F1449" s="1"/>
      <c r="G1449" s="1"/>
      <c r="H1449" s="1"/>
      <c r="I1449" s="1"/>
    </row>
    <row r="1450" spans="1:9" ht="15.6" x14ac:dyDescent="0.3">
      <c r="A1450" s="1" t="s">
        <v>4</v>
      </c>
      <c r="B1450" s="1" t="s">
        <v>4</v>
      </c>
      <c r="C1450" s="10" t="s">
        <v>4</v>
      </c>
      <c r="D1450" s="5" t="s">
        <v>1424</v>
      </c>
      <c r="E1450" s="1" t="str">
        <f ca="1">IFERROR(__xludf.DUMMYFUNCTION("GOOGLETRANSLATE(D1450, ""bn"", ""en"")"),"Allah will protect the Book of Allah, Inshallah. May Allah guide those who want to do these things, and if there is no guidance, destroy them with severe punishment.")</f>
        <v>Allah will protect the Book of Allah, Inshallah. May Allah guide those who want to do these things, and if there is no guidance, destroy them with severe punishment.</v>
      </c>
      <c r="F1450" s="1"/>
      <c r="G1450" s="1"/>
      <c r="H1450" s="1"/>
      <c r="I1450" s="1"/>
    </row>
    <row r="1451" spans="1:9" ht="15.6" x14ac:dyDescent="0.3">
      <c r="A1451" s="1" t="s">
        <v>4</v>
      </c>
      <c r="B1451" s="1" t="s">
        <v>4</v>
      </c>
      <c r="C1451" s="10" t="s">
        <v>4</v>
      </c>
      <c r="D1451" s="5" t="s">
        <v>1425</v>
      </c>
      <c r="E1451" s="1" t="str">
        <f ca="1">IFERROR(__xludf.DUMMYFUNCTION("GOOGLETRANSLATE(D1451, ""bn"", ""en"")"),"Buddhists used to be Nedra to practice their religion and hence they were sarcastically called 'Nede'. When these Buddhists converted to Islam, the converted Buddhists as well as Muslims were called 'Nede'.")</f>
        <v>Buddhists used to be Nedra to practice their religion and hence they were sarcastically called 'Nede'. When these Buddhists converted to Islam, the converted Buddhists as well as Muslims were called 'Nede'.</v>
      </c>
      <c r="F1451" s="1"/>
      <c r="G1451" s="1"/>
      <c r="H1451" s="1"/>
      <c r="I1451" s="1"/>
    </row>
    <row r="1452" spans="1:9" ht="15.6" x14ac:dyDescent="0.3">
      <c r="A1452" s="1" t="s">
        <v>4</v>
      </c>
      <c r="B1452" s="1" t="s">
        <v>4</v>
      </c>
      <c r="C1452" s="10" t="s">
        <v>4</v>
      </c>
      <c r="D1452" s="5" t="s">
        <v>1426</v>
      </c>
      <c r="E1452" s="1" t="str">
        <f ca="1">IFERROR(__xludf.DUMMYFUNCTION("GOOGLETRANSLATE(D1452, ""bn"", ""en"")"),"I remember, Mushfiq once gave a picture of Qorbani holding a knife, and he was taunted by these anti-Islamic non-sectarians. Finally, he removed the picture. Then where was Tenad's non-sectarianism.")</f>
        <v>I remember, Mushfiq once gave a picture of Qorbani holding a knife, and he was taunted by these anti-Islamic non-sectarians. Finally, he removed the picture. Then where was Tenad's non-sectarianism.</v>
      </c>
      <c r="F1452" s="1"/>
      <c r="G1452" s="1"/>
      <c r="H1452" s="1"/>
      <c r="I1452" s="1"/>
    </row>
    <row r="1453" spans="1:9" ht="15.6" x14ac:dyDescent="0.3">
      <c r="A1453" s="1" t="s">
        <v>5</v>
      </c>
      <c r="B1453" s="1" t="s">
        <v>5</v>
      </c>
      <c r="C1453" s="10" t="s">
        <v>5</v>
      </c>
      <c r="D1453" s="5" t="s">
        <v>1427</v>
      </c>
      <c r="E1453" s="1" t="str">
        <f ca="1">IFERROR(__xludf.DUMMYFUNCTION("GOOGLETRANSLATE(D1453, ""bn"", ""en"")"),"Temples, churches, pagodas will be safe everywhere in Bangladesh, no one who believes in any Muslim religion can hurt other religions.")</f>
        <v>Temples, churches, pagodas will be safe everywhere in Bangladesh, no one who believes in any Muslim religion can hurt other religions.</v>
      </c>
      <c r="F1453" s="1"/>
      <c r="G1453" s="1"/>
      <c r="H1453" s="1"/>
      <c r="I1453" s="1"/>
    </row>
    <row r="1454" spans="1:9" ht="15.6" x14ac:dyDescent="0.3">
      <c r="A1454" s="1" t="s">
        <v>9</v>
      </c>
      <c r="B1454" s="1" t="s">
        <v>5</v>
      </c>
      <c r="C1454" s="10" t="s">
        <v>9</v>
      </c>
      <c r="D1454" s="5" t="s">
        <v>1428</v>
      </c>
      <c r="E1454" s="1" t="str">
        <f ca="1">IFERROR(__xludf.DUMMYFUNCTION("GOOGLETRANSLATE(D1454, ""bn"", ""en"")"),"O Allah, punish them with an example. You destroy them. You make them understand what the consequences of disrespecting you after you eat. You are enough for us.")</f>
        <v>O Allah, punish them with an example. You destroy them. You make them understand what the consequences of disrespecting you after you eat. You are enough for us.</v>
      </c>
      <c r="F1454" s="1"/>
      <c r="G1454" s="1"/>
      <c r="H1454" s="1"/>
      <c r="I1454" s="1"/>
    </row>
    <row r="1455" spans="1:9" ht="15.6" x14ac:dyDescent="0.3">
      <c r="A1455" s="1" t="s">
        <v>7</v>
      </c>
      <c r="B1455" s="1" t="s">
        <v>7</v>
      </c>
      <c r="C1455" s="10" t="s">
        <v>7</v>
      </c>
      <c r="D1455" s="5" t="s">
        <v>1429</v>
      </c>
      <c r="E1455" s="1" t="str">
        <f ca="1">IFERROR(__xludf.DUMMYFUNCTION("GOOGLETRANSLATE(D1455, ""bn"", ""en"")"),"An unidentified terrorist shot dead two Bangladeshis including the imam of a mosque in New York, USA. At the end of the prayer, they were returning home on foot.")</f>
        <v>An unidentified terrorist shot dead two Bangladeshis including the imam of a mosque in New York, USA. At the end of the prayer, they were returning home on foot.</v>
      </c>
      <c r="F1455" s="1"/>
      <c r="G1455" s="1"/>
      <c r="H1455" s="1"/>
      <c r="I1455" s="1"/>
    </row>
    <row r="1456" spans="1:9" ht="15.6" x14ac:dyDescent="0.3">
      <c r="A1456" s="1" t="s">
        <v>4</v>
      </c>
      <c r="B1456" s="1" t="s">
        <v>4</v>
      </c>
      <c r="C1456" s="10" t="s">
        <v>4</v>
      </c>
      <c r="D1456" s="5" t="s">
        <v>1430</v>
      </c>
      <c r="E1456" s="1" t="str">
        <f ca="1">IFERROR(__xludf.DUMMYFUNCTION("GOOGLETRANSLATE(D1456, ""bn"", ""en"")"),"Hey Oilbaaz Journalist, none other than Al Aqsa Muslim, read history well then report, easy to understand with a bad example, well if I say your chastity is mine, I will use it as I can, will you and your husband accept?")</f>
        <v>Hey Oilbaaz Journalist, none other than Al Aqsa Muslim, read history well then report, easy to understand with a bad example, well if I say your chastity is mine, I will use it as I can, will you and your husband accept?</v>
      </c>
      <c r="F1456" s="1"/>
      <c r="G1456" s="1"/>
      <c r="H1456" s="1"/>
      <c r="I1456" s="1"/>
    </row>
    <row r="1457" spans="1:9" ht="15.6" x14ac:dyDescent="0.3">
      <c r="A1457" s="1" t="s">
        <v>7</v>
      </c>
      <c r="B1457" s="1" t="s">
        <v>7</v>
      </c>
      <c r="C1457" s="10" t="s">
        <v>7</v>
      </c>
      <c r="D1457" s="5" t="s">
        <v>1431</v>
      </c>
      <c r="E1457" s="1" t="str">
        <f ca="1">IFERROR(__xludf.DUMMYFUNCTION("GOOGLETRANSLATE(D1457, ""bn"", ""en"")"),"As a result of the brutal and widespread genocide, a large number of oppressed and distressed Bengali Hindu refugees from East Bengal or the then East Pakistan left their homelands and sought refuge in various parts of India, particularly in West Bengal, "&amp;"Assam and Tripura.")</f>
        <v>As a result of the brutal and widespread genocide, a large number of oppressed and distressed Bengali Hindu refugees from East Bengal or the then East Pakistan left their homelands and sought refuge in various parts of India, particularly in West Bengal, Assam and Tripura.</v>
      </c>
      <c r="F1457" s="1"/>
      <c r="G1457" s="1"/>
      <c r="H1457" s="1"/>
      <c r="I1457" s="1"/>
    </row>
    <row r="1458" spans="1:9" ht="15.6" x14ac:dyDescent="0.3">
      <c r="A1458" s="1" t="s">
        <v>7</v>
      </c>
      <c r="B1458" s="1" t="s">
        <v>7</v>
      </c>
      <c r="C1458" s="10" t="s">
        <v>7</v>
      </c>
      <c r="D1458" s="5" t="s">
        <v>1432</v>
      </c>
      <c r="E1458" s="1" t="str">
        <f ca="1">IFERROR(__xludf.DUMMYFUNCTION("GOOGLETRANSLATE(D1458, ""bn"", ""en"")"),"On January 14, after brutally killing Gostha Bihari Saha, a well-known businessman of Narayanganj, Muslims looted his famous 'Satyasadhan printing press' and set it on fire. [16] They brutally killed a housewife named Renubala Pine with two nursing childr"&amp;"en of Panchsar village (in present day Munshiganj district).")</f>
        <v>On January 14, after brutally killing Gostha Bihari Saha, a well-known businessman of Narayanganj, Muslims looted his famous 'Satyasadhan printing press' and set it on fire. [16] They brutally killed a housewife named Renubala Pine with two nursing children of Panchsar village (in present day Munshiganj district).</v>
      </c>
      <c r="F1458" s="1"/>
      <c r="G1458" s="1"/>
      <c r="H1458" s="1"/>
      <c r="I1458" s="1"/>
    </row>
    <row r="1459" spans="1:9" ht="15.6" x14ac:dyDescent="0.3">
      <c r="A1459" s="1" t="s">
        <v>4</v>
      </c>
      <c r="B1459" s="1" t="s">
        <v>4</v>
      </c>
      <c r="C1459" s="10" t="s">
        <v>4</v>
      </c>
      <c r="D1459" s="5" t="s">
        <v>1433</v>
      </c>
      <c r="E1459" s="1" t="str">
        <f ca="1">IFERROR(__xludf.DUMMYFUNCTION("GOOGLETRANSLATE(D1459, ""bn"", ""en"")"),"Muslim League politicians, fearing Hindu dominance in the central government, asked Jinnah to withdraw from ""his previous inflexible position"".")</f>
        <v>Muslim League politicians, fearing Hindu dominance in the central government, asked Jinnah to withdraw from "his previous inflexible position".</v>
      </c>
      <c r="F1459" s="1"/>
      <c r="G1459" s="1"/>
      <c r="H1459" s="1"/>
      <c r="I1459" s="1"/>
    </row>
    <row r="1460" spans="1:9" ht="15.6" x14ac:dyDescent="0.3">
      <c r="A1460" s="1" t="s">
        <v>9</v>
      </c>
      <c r="B1460" s="1" t="s">
        <v>9</v>
      </c>
      <c r="C1460" s="10" t="s">
        <v>9</v>
      </c>
      <c r="D1460" s="5" t="s">
        <v>1434</v>
      </c>
      <c r="E1460" s="1" t="str">
        <f ca="1">IFERROR(__xludf.DUMMYFUNCTION("GOOGLETRANSLATE(D1460, ""bn"", ""en"")"),"On August 9, two idols of Hindu deities Shiva and Mansa were vandalized and a temple set on fire at midnight in Nagdanga village of Naodanga union in Phulbari upazila of Kurigram.")</f>
        <v>On August 9, two idols of Hindu deities Shiva and Mansa were vandalized and a temple set on fire at midnight in Nagdanga village of Naodanga union in Phulbari upazila of Kurigram.</v>
      </c>
      <c r="F1460" s="1"/>
      <c r="G1460" s="1"/>
      <c r="H1460" s="1"/>
      <c r="I1460" s="1"/>
    </row>
    <row r="1461" spans="1:9" ht="15.6" x14ac:dyDescent="0.3">
      <c r="A1461" s="1" t="s">
        <v>5</v>
      </c>
      <c r="B1461" s="1" t="s">
        <v>4</v>
      </c>
      <c r="C1461" s="10" t="s">
        <v>5</v>
      </c>
      <c r="D1461" s="5" t="s">
        <v>1435</v>
      </c>
      <c r="E1461" s="1" t="str">
        <f ca="1">IFERROR(__xludf.DUMMYFUNCTION("GOOGLETRANSLATE(D1461, ""bn"", ""en"")"),"High caste Brahmins played an important role in religious debates. They were not so vocal against the Buddha's philosophical teachings. But when the foundation stone of Brahmanism, i.e., the divinity, lordship and authority of the Brahmins preserved in th"&amp;"e Vedas from ancient times, was questioned in Buddhism, they were totally opposed to it.")</f>
        <v>High caste Brahmins played an important role in religious debates. They were not so vocal against the Buddha's philosophical teachings. But when the foundation stone of Brahmanism, i.e., the divinity, lordship and authority of the Brahmins preserved in the Vedas from ancient times, was questioned in Buddhism, they were totally opposed to it.</v>
      </c>
      <c r="F1461" s="1"/>
      <c r="G1461" s="1"/>
      <c r="H1461" s="1"/>
      <c r="I1461" s="1"/>
    </row>
    <row r="1462" spans="1:9" ht="15.6" x14ac:dyDescent="0.3">
      <c r="A1462" s="1" t="s">
        <v>7</v>
      </c>
      <c r="B1462" s="1" t="s">
        <v>7</v>
      </c>
      <c r="C1462" s="10" t="s">
        <v>7</v>
      </c>
      <c r="D1462" s="5" t="s">
        <v>1436</v>
      </c>
      <c r="E1462" s="1" t="str">
        <f ca="1">IFERROR(__xludf.DUMMYFUNCTION("GOOGLETRANSLATE(D1462, ""bn"", ""en"")"),"Chairman of Debate for Democracy Hasan Ahmed Chowdhury Kiran said in the president's speech that the killings that took place in the Hefazet Islam mass gathering late on the night of May 5 at Shapla Chatter in Motijheel is a scandalous chapter in the hist"&amp;"ory of Bangladesh. Justice for this barbaric massacre of sleeping Muslims is now the demand of time. ")</f>
        <v>Chairman of Debate for Democracy Hasan Ahmed Chowdhury Kiran said in the president's speech that the killings that took place in the Hefazet Islam mass gathering late on the night of May 5 at Shapla Chatter in Motijheel is a scandalous chapter in the history of Bangladesh. Justice for this barbaric massacre of sleeping Muslims is now the demand of time. </v>
      </c>
      <c r="F1462" s="1"/>
      <c r="G1462" s="1"/>
      <c r="H1462" s="1"/>
      <c r="I1462" s="1"/>
    </row>
    <row r="1463" spans="1:9" ht="15.6" x14ac:dyDescent="0.3">
      <c r="A1463" s="1" t="s">
        <v>7</v>
      </c>
      <c r="B1463" s="1" t="s">
        <v>7</v>
      </c>
      <c r="C1463" s="10" t="s">
        <v>7</v>
      </c>
      <c r="D1463" s="5" t="s">
        <v>1437</v>
      </c>
      <c r="E1463" s="1" t="str">
        <f ca="1">IFERROR(__xludf.DUMMYFUNCTION("GOOGLETRANSLATE(D1463, ""bn"", ""en"")"),"Death does not understand religion, death does not understand scriptures, death only understands man.")</f>
        <v>Death does not understand religion, death does not understand scriptures, death only understands man.</v>
      </c>
      <c r="F1463" s="1"/>
      <c r="G1463" s="1"/>
      <c r="H1463" s="1"/>
      <c r="I1463" s="1"/>
    </row>
    <row r="1464" spans="1:9" ht="15.6" x14ac:dyDescent="0.3">
      <c r="A1464" s="1" t="s">
        <v>4</v>
      </c>
      <c r="B1464" s="1" t="s">
        <v>4</v>
      </c>
      <c r="C1464" s="10" t="s">
        <v>4</v>
      </c>
      <c r="D1464" s="5" t="s">
        <v>1438</v>
      </c>
      <c r="E1464" s="1" t="str">
        <f ca="1">IFERROR(__xludf.DUMMYFUNCTION("GOOGLETRANSLATE(D1464, ""bn"", ""en"")"),"Don't mind that. Please keep your husband, brother, father, mother, daughter, husband, sister, and keep them at home. If you do bad things, what will we learn? From the cradle of our husbands, fathers, brothers.")</f>
        <v>Don't mind that. Please keep your husband, brother, father, mother, daughter, husband, sister, and keep them at home. If you do bad things, what will we learn? From the cradle of our husbands, fathers, brothers.</v>
      </c>
      <c r="F1464" s="1"/>
      <c r="G1464" s="1"/>
      <c r="H1464" s="1"/>
      <c r="I1464" s="1"/>
    </row>
    <row r="1465" spans="1:9" ht="15.6" x14ac:dyDescent="0.3">
      <c r="A1465" s="1" t="s">
        <v>5</v>
      </c>
      <c r="B1465" s="1" t="s">
        <v>5</v>
      </c>
      <c r="C1465" s="10" t="s">
        <v>5</v>
      </c>
      <c r="D1465" s="5" t="s">
        <v>1439</v>
      </c>
      <c r="E1465" s="1" t="str">
        <f ca="1">IFERROR(__xludf.DUMMYFUNCTION("GOOGLETRANSLATE(D1465, ""bn"", ""en"")"),"Religion is that which sustains creation in an orderly manner. Sanatan Dharma is not dependent on any specific scriptures.")</f>
        <v>Religion is that which sustains creation in an orderly manner. Sanatan Dharma is not dependent on any specific scriptures.</v>
      </c>
      <c r="F1465" s="1"/>
      <c r="G1465" s="1"/>
      <c r="H1465" s="1"/>
      <c r="I1465" s="1"/>
    </row>
    <row r="1466" spans="1:9" ht="15.6" x14ac:dyDescent="0.3">
      <c r="A1466" s="1" t="s">
        <v>4</v>
      </c>
      <c r="B1466" s="1" t="s">
        <v>5</v>
      </c>
      <c r="C1466" s="10" t="s">
        <v>4</v>
      </c>
      <c r="D1466" s="5" t="s">
        <v>1440</v>
      </c>
      <c r="E1466" s="1" t="str">
        <f ca="1">IFERROR(__xludf.DUMMYFUNCTION("GOOGLETRANSLATE(D1466, ""bn"", ""en"")"),"Muslims in this country are not only more in number, but hypocrites of Torjo, more than non-Muslims.")</f>
        <v>Muslims in this country are not only more in number, but hypocrites of Torjo, more than non-Muslims.</v>
      </c>
      <c r="F1466" s="1"/>
      <c r="G1466" s="1"/>
      <c r="H1466" s="1"/>
      <c r="I1466" s="1"/>
    </row>
    <row r="1467" spans="1:9" ht="15.6" x14ac:dyDescent="0.3">
      <c r="A1467" s="1" t="s">
        <v>5</v>
      </c>
      <c r="B1467" s="1" t="s">
        <v>5</v>
      </c>
      <c r="C1467" s="10" t="s">
        <v>5</v>
      </c>
      <c r="D1467" s="5" t="s">
        <v>1441</v>
      </c>
      <c r="E1467" s="1" t="str">
        <f ca="1">IFERROR(__xludf.DUMMYFUNCTION("GOOGLETRANSLATE(D1467, ""bn"", ""en"")"),"During the Middle Ages, pilgrims flocked to Mecca in large groups and caravans of thousands of pilgrims to the major cities of Syria, Egypt, and Iraq,[28] often state-sponsored.")</f>
        <v>During the Middle Ages, pilgrims flocked to Mecca in large groups and caravans of thousands of pilgrims to the major cities of Syria, Egypt, and Iraq,[28] often state-sponsored.</v>
      </c>
      <c r="F1467" s="1"/>
      <c r="G1467" s="1"/>
      <c r="H1467" s="1"/>
      <c r="I1467" s="1"/>
    </row>
    <row r="1468" spans="1:9" ht="15.6" x14ac:dyDescent="0.3">
      <c r="A1468" s="1" t="s">
        <v>4</v>
      </c>
      <c r="B1468" s="1" t="s">
        <v>4</v>
      </c>
      <c r="C1468" s="10" t="s">
        <v>4</v>
      </c>
      <c r="D1468" s="5" t="s">
        <v>1442</v>
      </c>
      <c r="E1468" s="1" t="str">
        <f ca="1">IFERROR(__xludf.DUMMYFUNCTION("GOOGLETRANSLATE(D1468, ""bn"", ""en"")"),"When contacted about the allegations of blasphemy over the teaser of the movie, the producer of the movie Salim Khan told BBC Bangla that whenever he saw that it was being debated, he ordered the teaser to be removed.")</f>
        <v>When contacted about the allegations of blasphemy over the teaser of the movie, the producer of the movie Salim Khan told BBC Bangla that whenever he saw that it was being debated, he ordered the teaser to be removed.</v>
      </c>
      <c r="F1468" s="1"/>
      <c r="G1468" s="1"/>
      <c r="H1468" s="1"/>
      <c r="I1468" s="1"/>
    </row>
    <row r="1469" spans="1:9" ht="15.6" x14ac:dyDescent="0.3">
      <c r="A1469" s="1" t="s">
        <v>5</v>
      </c>
      <c r="B1469" s="1" t="s">
        <v>5</v>
      </c>
      <c r="C1469" s="10" t="s">
        <v>5</v>
      </c>
      <c r="D1469" s="5" t="s">
        <v>1443</v>
      </c>
      <c r="E1469" s="1" t="str">
        <f ca="1">IFERROR(__xludf.DUMMYFUNCTION("GOOGLETRANSLATE(D1469, ""bn"", ""en"")"),"Shabbat is also called the night of forgiveness or the day of atonement. Muslims observe mid-Sha'ban as a night of worship and liberation. Scholars such as Imam Shafi'i, Imam Nawabi, Imam Ghazali and Imam Suyuti have declared that prayers during the night"&amp;" of mid-Sha'ban are acceptable.")</f>
        <v>Shabbat is also called the night of forgiveness or the day of atonement. Muslims observe mid-Sha'ban as a night of worship and liberation. Scholars such as Imam Shafi'i, Imam Nawabi, Imam Ghazali and Imam Suyuti have declared that prayers during the night of mid-Sha'ban are acceptable.</v>
      </c>
      <c r="F1469" s="1"/>
      <c r="G1469" s="1"/>
      <c r="H1469" s="1"/>
      <c r="I1469" s="1"/>
    </row>
    <row r="1470" spans="1:9" ht="15.6" x14ac:dyDescent="0.3">
      <c r="A1470" s="1" t="s">
        <v>9</v>
      </c>
      <c r="B1470" s="1" t="s">
        <v>9</v>
      </c>
      <c r="C1470" s="10" t="s">
        <v>9</v>
      </c>
      <c r="D1470" s="5" t="s">
        <v>1444</v>
      </c>
      <c r="E1470" s="1" t="str">
        <f ca="1">IFERROR(__xludf.DUMMYFUNCTION("GOOGLETRANSLATE(D1470, ""bn"", ""en"")"),"They basically said that the case of desecration of the Qur'an amounts to incitement to violence and called for accountability to the governments of the countries concerned. Apart from this, ordinary Muslims protested on the streets in several countries.")</f>
        <v>They basically said that the case of desecration of the Qur'an amounts to incitement to violence and called for accountability to the governments of the countries concerned. Apart from this, ordinary Muslims protested on the streets in several countries.</v>
      </c>
      <c r="F1470" s="1"/>
      <c r="G1470" s="1"/>
      <c r="H1470" s="1"/>
      <c r="I1470" s="1"/>
    </row>
    <row r="1471" spans="1:9" ht="15.6" x14ac:dyDescent="0.3">
      <c r="A1471" s="1" t="s">
        <v>5</v>
      </c>
      <c r="B1471" s="1" t="s">
        <v>5</v>
      </c>
      <c r="C1471" s="10" t="s">
        <v>5</v>
      </c>
      <c r="D1471" s="5" t="s">
        <v>1445</v>
      </c>
      <c r="E1471" s="1" t="str">
        <f ca="1">IFERROR(__xludf.DUMMYFUNCTION("GOOGLETRANSLATE(D1471, ""bn"", ""en"")"),"You think of initiatives like 'Know Neighbour' for Hindu-Muslim harmony, 'Kissawala' program for impartial dissemination of history through stories, standing in front of son's dead body and calling for peace. And we Hindu upper caste citizens add our name"&amp;" to your initiative to convey a message of sympathy and unity, Imam Rashidi!")</f>
        <v>You think of initiatives like 'Know Neighbour' for Hindu-Muslim harmony, 'Kissawala' program for impartial dissemination of history through stories, standing in front of son's dead body and calling for peace. And we Hindu upper caste citizens add our name to your initiative to convey a message of sympathy and unity, Imam Rashidi!</v>
      </c>
      <c r="F1471" s="1"/>
      <c r="G1471" s="1"/>
      <c r="H1471" s="1"/>
      <c r="I1471" s="1"/>
    </row>
    <row r="1472" spans="1:9" ht="15.6" x14ac:dyDescent="0.3">
      <c r="A1472" s="1" t="s">
        <v>7</v>
      </c>
      <c r="B1472" s="1" t="s">
        <v>7</v>
      </c>
      <c r="C1472" s="10" t="s">
        <v>7</v>
      </c>
      <c r="D1472" s="5" t="s">
        <v>1446</v>
      </c>
      <c r="E1472" s="1" t="str">
        <f ca="1">IFERROR(__xludf.DUMMYFUNCTION("GOOGLETRANSLATE(D1472, ""bn"", ""en"")"),"According to the statement, the soldiers were attacked while suppressing violence in a local community in the southern Delta state of Nigeria. Some youths involved in communal violence in that state surrounded the army personnel and attacked them.")</f>
        <v>According to the statement, the soldiers were attacked while suppressing violence in a local community in the southern Delta state of Nigeria. Some youths involved in communal violence in that state surrounded the army personnel and attacked them.</v>
      </c>
      <c r="F1472" s="1"/>
      <c r="G1472" s="1"/>
      <c r="H1472" s="1"/>
      <c r="I1472" s="1"/>
    </row>
    <row r="1473" spans="1:9" ht="15.6" x14ac:dyDescent="0.3">
      <c r="A1473" s="1" t="s">
        <v>5</v>
      </c>
      <c r="B1473" s="1" t="s">
        <v>5</v>
      </c>
      <c r="C1473" s="10" t="s">
        <v>5</v>
      </c>
      <c r="D1473" s="5" t="s">
        <v>1447</v>
      </c>
      <c r="E1473" s="1" t="str">
        <f ca="1">IFERROR(__xludf.DUMMYFUNCTION("GOOGLETRANSLATE(D1473, ""bn"", ""en"")"),"He is not only talking about Christianity. He talks about the human values, ethics through which people can live happily and peacefully.")</f>
        <v>He is not only talking about Christianity. He talks about the human values, ethics through which people can live happily and peacefully.</v>
      </c>
      <c r="F1473" s="1"/>
      <c r="G1473" s="1"/>
      <c r="H1473" s="1"/>
      <c r="I1473" s="1"/>
    </row>
    <row r="1474" spans="1:9" ht="15.6" x14ac:dyDescent="0.3">
      <c r="A1474" s="1" t="s">
        <v>5</v>
      </c>
      <c r="B1474" s="1" t="s">
        <v>5</v>
      </c>
      <c r="C1474" s="10" t="s">
        <v>5</v>
      </c>
      <c r="D1474" s="5" t="s">
        <v>1448</v>
      </c>
      <c r="E1474" s="1" t="str">
        <f ca="1">IFERROR(__xludf.DUMMYFUNCTION("GOOGLETRANSLATE(D1474, ""bn"", ""en"")"),"Father Michael D'Rosario wrote in his book 'History of Christendom in Bangladesh' that Father Barbier gave a report on the Christians of Bangladesh in 1715, he mentioned that there were three types of Christians in Bangladesh:")</f>
        <v>Father Michael D'Rosario wrote in his book 'History of Christendom in Bangladesh' that Father Barbier gave a report on the Christians of Bangladesh in 1715, he mentioned that there were three types of Christians in Bangladesh:</v>
      </c>
      <c r="F1474" s="1"/>
      <c r="G1474" s="1"/>
      <c r="H1474" s="1"/>
      <c r="I1474" s="1"/>
    </row>
    <row r="1475" spans="1:9" ht="15.6" x14ac:dyDescent="0.3">
      <c r="A1475" s="1" t="s">
        <v>4</v>
      </c>
      <c r="B1475" s="1" t="s">
        <v>4</v>
      </c>
      <c r="C1475" s="10" t="s">
        <v>4</v>
      </c>
      <c r="D1475" s="5" t="s">
        <v>1449</v>
      </c>
      <c r="E1475" s="1" t="str">
        <f ca="1">IFERROR(__xludf.DUMMYFUNCTION("GOOGLETRANSLATE(D1475, ""bn"", ""en"")"),"Iran, Egypt, Türkiye will they still sit and watch? Or they also have a purpose, so they are giving speeches without going to the field.")</f>
        <v>Iran, Egypt, Türkiye will they still sit and watch? Or they also have a purpose, so they are giving speeches without going to the field.</v>
      </c>
      <c r="F1475" s="1"/>
      <c r="G1475" s="1"/>
      <c r="H1475" s="1"/>
      <c r="I1475" s="1"/>
    </row>
    <row r="1476" spans="1:9" ht="15.6" x14ac:dyDescent="0.3">
      <c r="A1476" s="1" t="s">
        <v>5</v>
      </c>
      <c r="B1476" s="1" t="s">
        <v>5</v>
      </c>
      <c r="C1476" s="10" t="s">
        <v>5</v>
      </c>
      <c r="D1476" s="5" t="s">
        <v>1450</v>
      </c>
      <c r="E1476" s="1" t="str">
        <f ca="1">IFERROR(__xludf.DUMMYFUNCTION("GOOGLETRANSLATE(D1476, ""bn"", ""en"")"),"We believe in secularism. We believe in religious tolerance. I am Hindu. Others may be of other religious beliefs. We should respect all religions.")</f>
        <v>We believe in secularism. We believe in religious tolerance. I am Hindu. Others may be of other religious beliefs. We should respect all religions.</v>
      </c>
      <c r="F1476" s="1"/>
      <c r="G1476" s="1"/>
      <c r="H1476" s="1"/>
      <c r="I1476" s="1"/>
    </row>
    <row r="1477" spans="1:9" ht="15.6" x14ac:dyDescent="0.3">
      <c r="A1477" s="1" t="s">
        <v>7</v>
      </c>
      <c r="B1477" s="1" t="s">
        <v>7</v>
      </c>
      <c r="C1477" s="10" t="s">
        <v>7</v>
      </c>
      <c r="D1477" s="5" t="s">
        <v>1451</v>
      </c>
      <c r="E1477" s="1" t="str">
        <f ca="1">IFERROR(__xludf.DUMMYFUNCTION("GOOGLETRANSLATE(D1477, ""bn"", ""en"")"),"The head of police's counter-terrorism unit, Additional Commissioner of Dhaka Metropolitan Police. Monirul Islam said, ""Throughout the year there was a threat of terrorist attacks and there were attacks, there were isolated targeted killings. There were "&amp;"attacks like Holy Artizen, which the people of Bangladesh never imagined.")</f>
        <v>The head of police's counter-terrorism unit, Additional Commissioner of Dhaka Metropolitan Police. Monirul Islam said, "Throughout the year there was a threat of terrorist attacks and there were attacks, there were isolated targeted killings. There were attacks like Holy Artizen, which the people of Bangladesh never imagined.</v>
      </c>
      <c r="F1477" s="1"/>
      <c r="G1477" s="1"/>
      <c r="H1477" s="1"/>
      <c r="I1477" s="1"/>
    </row>
    <row r="1478" spans="1:9" ht="15.6" x14ac:dyDescent="0.3">
      <c r="A1478" s="1" t="s">
        <v>5</v>
      </c>
      <c r="B1478" s="1" t="s">
        <v>5</v>
      </c>
      <c r="C1478" s="10" t="s">
        <v>5</v>
      </c>
      <c r="D1478" s="5" t="s">
        <v>1452</v>
      </c>
      <c r="E1478" s="1" t="str">
        <f ca="1">IFERROR(__xludf.DUMMYFUNCTION("GOOGLETRANSLATE(D1478, ""bn"", ""en"")"),"Muhammad recited the Qur'an to you and told you to pray, fast, and give up your life for religion.")</f>
        <v>Muhammad recited the Qur'an to you and told you to pray, fast, and give up your life for religion.</v>
      </c>
      <c r="F1478" s="1"/>
      <c r="G1478" s="1"/>
      <c r="H1478" s="1"/>
      <c r="I1478" s="1"/>
    </row>
    <row r="1479" spans="1:9" ht="15.6" x14ac:dyDescent="0.3">
      <c r="A1479" s="1" t="s">
        <v>5</v>
      </c>
      <c r="B1479" s="1" t="s">
        <v>5</v>
      </c>
      <c r="C1479" s="10" t="s">
        <v>5</v>
      </c>
      <c r="D1479" s="5" t="s">
        <v>1453</v>
      </c>
      <c r="E1479" s="1" t="str">
        <f ca="1">IFERROR(__xludf.DUMMYFUNCTION("GOOGLETRANSLATE(D1479, ""bn"", ""en"")"),"The Muslim community should be vigilant that the construction work of the mosque is not stopped at any cost. The MP should be stricter and stricter in this regard and give us a model mosque after completing the construction work, Inshallah.")</f>
        <v>The Muslim community should be vigilant that the construction work of the mosque is not stopped at any cost. The MP should be stricter and stricter in this regard and give us a model mosque after completing the construction work, Inshallah.</v>
      </c>
      <c r="F1479" s="1"/>
      <c r="G1479" s="1"/>
      <c r="H1479" s="1"/>
      <c r="I1479" s="1"/>
    </row>
    <row r="1480" spans="1:9" ht="15.6" x14ac:dyDescent="0.3">
      <c r="A1480" s="1" t="s">
        <v>4</v>
      </c>
      <c r="B1480" s="1" t="s">
        <v>4</v>
      </c>
      <c r="C1480" s="10" t="s">
        <v>4</v>
      </c>
      <c r="D1480" s="5" t="s">
        <v>1454</v>
      </c>
      <c r="E1480" s="1" t="str">
        <f ca="1">IFERROR(__xludf.DUMMYFUNCTION("GOOGLETRANSLATE(D1480, ""bn"", ""en"")"),"What can I say and now where have the leaders of Hamas gone, leaving ordinary innocent people in suffering. And the leaders cannot take a good step by turning the wind. What's the point of hurting innocent people if you don't have the ability to fight bac"&amp;"k.")</f>
        <v>What can I say and now where have the leaders of Hamas gone, leaving ordinary innocent people in suffering. And the leaders cannot take a good step by turning the wind. What's the point of hurting innocent people if you don't have the ability to fight back.</v>
      </c>
      <c r="F1480" s="1"/>
      <c r="G1480" s="1"/>
      <c r="H1480" s="1"/>
      <c r="I1480" s="1"/>
    </row>
    <row r="1481" spans="1:9" ht="15.6" x14ac:dyDescent="0.3">
      <c r="A1481" s="1" t="s">
        <v>7</v>
      </c>
      <c r="B1481" s="1" t="s">
        <v>7</v>
      </c>
      <c r="C1481" s="10" t="s">
        <v>7</v>
      </c>
      <c r="D1481" s="5" t="s">
        <v>1455</v>
      </c>
      <c r="E1481" s="1" t="str">
        <f ca="1">IFERROR(__xludf.DUMMYFUNCTION("GOOGLETRANSLATE(D1481, ""bn"", ""en"")"),"Between 1535 and 1681 the English government executed more than 300 Roman Catholics for treason, thus formally putting them to death for secular rather than religious crimes. ")</f>
        <v>Between 1535 and 1681 the English government executed more than 300 Roman Catholics for treason, thus formally putting them to death for secular rather than religious crimes. </v>
      </c>
      <c r="F1481" s="1"/>
      <c r="G1481" s="1"/>
      <c r="H1481" s="1"/>
      <c r="I1481" s="1"/>
    </row>
    <row r="1482" spans="1:9" ht="15.6" x14ac:dyDescent="0.3">
      <c r="A1482" s="1" t="s">
        <v>5</v>
      </c>
      <c r="B1482" s="1" t="s">
        <v>5</v>
      </c>
      <c r="C1482" s="10" t="s">
        <v>5</v>
      </c>
      <c r="D1482" s="5" t="s">
        <v>1456</v>
      </c>
      <c r="E1482" s="1" t="str">
        <f ca="1">IFERROR(__xludf.DUMMYFUNCTION("GOOGLETRANSLATE(D1482, ""bn"", ""en"")"),"In Christianity people are always taught to live a peaceful way of life, where they follow God's commandments, help each other, offer love and cooperation, and never make any attempt to create unrest or violence against others.")</f>
        <v>In Christianity people are always taught to live a peaceful way of life, where they follow God's commandments, help each other, offer love and cooperation, and never make any attempt to create unrest or violence against others.</v>
      </c>
      <c r="F1482" s="1"/>
      <c r="G1482" s="1"/>
      <c r="H1482" s="1"/>
      <c r="I1482" s="1"/>
    </row>
    <row r="1483" spans="1:9" ht="15.6" x14ac:dyDescent="0.3">
      <c r="A1483" s="1" t="s">
        <v>4</v>
      </c>
      <c r="B1483" s="1" t="s">
        <v>4</v>
      </c>
      <c r="C1483" s="10" t="s">
        <v>4</v>
      </c>
      <c r="D1483" s="5" t="s">
        <v>1457</v>
      </c>
      <c r="E1483" s="1" t="str">
        <f ca="1">IFERROR(__xludf.DUMMYFUNCTION("GOOGLETRANSLATE(D1483, ""bn"", ""en"")"),"There is no problem with drinking alcohol as much as there is a problem with eating fish and meat in this religion.")</f>
        <v>There is no problem with drinking alcohol as much as there is a problem with eating fish and meat in this religion.</v>
      </c>
      <c r="F1483" s="1"/>
      <c r="G1483" s="1"/>
      <c r="H1483" s="1"/>
      <c r="I1483" s="1"/>
    </row>
    <row r="1484" spans="1:9" ht="15.6" x14ac:dyDescent="0.3">
      <c r="A1484" s="1" t="s">
        <v>9</v>
      </c>
      <c r="B1484" s="1" t="s">
        <v>9</v>
      </c>
      <c r="C1484" s="10" t="s">
        <v>9</v>
      </c>
      <c r="D1484" s="5" t="s">
        <v>1458</v>
      </c>
      <c r="E1484" s="1" t="str">
        <f ca="1">IFERROR(__xludf.DUMMYFUNCTION("GOOGLETRANSLATE(D1484, ""bn"", ""en"")"),"On Monday night, January 24, 2022, an idol vandalism incident took place at the home factory of Ranjan Kumar Pal, a professional idol artist of Agardani village in Satkhira Sadar Upazila.")</f>
        <v>On Monday night, January 24, 2022, an idol vandalism incident took place at the home factory of Ranjan Kumar Pal, a professional idol artist of Agardani village in Satkhira Sadar Upazila.</v>
      </c>
      <c r="F1484" s="1"/>
      <c r="G1484" s="1"/>
      <c r="H1484" s="1"/>
      <c r="I1484" s="1"/>
    </row>
    <row r="1485" spans="1:9" ht="15.6" x14ac:dyDescent="0.3">
      <c r="A1485" s="1" t="s">
        <v>9</v>
      </c>
      <c r="B1485" s="1" t="s">
        <v>5</v>
      </c>
      <c r="C1485" s="10" t="s">
        <v>9</v>
      </c>
      <c r="D1485" s="5" t="s">
        <v>1459</v>
      </c>
      <c r="E1485" s="1" t="str">
        <f ca="1">IFERROR(__xludf.DUMMYFUNCTION("GOOGLETRANSLATE(D1485, ""bn"", ""en"")"),"The war of Muslims with them can be taken as a family,,,, it means like the children fight with the property of the father,,,,,, the conflict of Abrahamic religion about the holy land is just like that,,,.")</f>
        <v>The war of Muslims with them can be taken as a family,,,, it means like the children fight with the property of the father,,,,,, the conflict of Abrahamic religion about the holy land is just like that,,,.</v>
      </c>
      <c r="F1485" s="1"/>
      <c r="G1485" s="1"/>
      <c r="H1485" s="1"/>
      <c r="I1485" s="1"/>
    </row>
    <row r="1486" spans="1:9" ht="15.6" x14ac:dyDescent="0.3">
      <c r="A1486" s="1" t="s">
        <v>5</v>
      </c>
      <c r="B1486" s="1" t="s">
        <v>5</v>
      </c>
      <c r="C1486" s="10" t="s">
        <v>5</v>
      </c>
      <c r="D1486" s="5" t="s">
        <v>1460</v>
      </c>
      <c r="E1486" s="1" t="str">
        <f ca="1">IFERROR(__xludf.DUMMYFUNCTION("GOOGLETRANSLATE(D1486, ""bn"", ""en"")"),"If people had religious behavior in their hearts as they wear religious clothes on their bodies, then there would not have been so many conflicts and conflicts in the world.")</f>
        <v>If people had religious behavior in their hearts as they wear religious clothes on their bodies, then there would not have been so many conflicts and conflicts in the world.</v>
      </c>
      <c r="F1486" s="1"/>
      <c r="G1486" s="1"/>
      <c r="H1486" s="1"/>
      <c r="I1486" s="1"/>
    </row>
    <row r="1487" spans="1:9" ht="15.6" x14ac:dyDescent="0.3">
      <c r="A1487" s="1" t="s">
        <v>9</v>
      </c>
      <c r="B1487" s="1" t="s">
        <v>9</v>
      </c>
      <c r="C1487" s="10" t="s">
        <v>9</v>
      </c>
      <c r="D1487" s="5" t="s">
        <v>1461</v>
      </c>
      <c r="E1487" s="1" t="str">
        <f ca="1">IFERROR(__xludf.DUMMYFUNCTION("GOOGLETRANSLATE(D1487, ""bn"", ""en"")"),"On August 26, the under-construction Durga idol of Shivpur Kanardanga Sarvajanin Durga Mandir in Ward No. 1 of Shivpur Union of Satkhira Sadar was vandalized. The vandalism was allegedly carried out after 11 pm on Friday.")</f>
        <v>On August 26, the under-construction Durga idol of Shivpur Kanardanga Sarvajanin Durga Mandir in Ward No. 1 of Shivpur Union of Satkhira Sadar was vandalized. The vandalism was allegedly carried out after 11 pm on Friday.</v>
      </c>
      <c r="F1487" s="1"/>
      <c r="G1487" s="1"/>
      <c r="H1487" s="1"/>
      <c r="I1487" s="1"/>
    </row>
    <row r="1488" spans="1:9" ht="15.6" x14ac:dyDescent="0.3">
      <c r="A1488" s="1" t="s">
        <v>9</v>
      </c>
      <c r="B1488" s="1" t="s">
        <v>9</v>
      </c>
      <c r="C1488" s="10" t="s">
        <v>9</v>
      </c>
      <c r="D1488" s="5" t="s">
        <v>1462</v>
      </c>
      <c r="E1488" s="1" t="str">
        <f ca="1">IFERROR(__xludf.DUMMYFUNCTION("GOOGLETRANSLATE(D1488, ""bn"", ""en"")"),"All the Hindu houses in Parulla village under the control of Kaliganj police station were looted. [22] Every Hindu house in Khosla, Ghazaria, Karar Char, Char Sindur, Palash, Sadarchar villages was looted by Muslims. According to Indian government sources"&amp;", the bodies of at least 200 unfortunate Hindu victims of the atrocities were burned to ashes within the first two days.[23] Sources also say that 80,000 unfortunate Hindus (including 50,000 from Dhaka) fled their homes for their lives.[")</f>
        <v>All the Hindu houses in Parulla village under the control of Kaliganj police station were looted. [22] Every Hindu house in Khosla, Ghazaria, Karar Char, Char Sindur, Palash, Sadarchar villages was looted by Muslims. According to Indian government sources, the bodies of at least 200 unfortunate Hindu victims of the atrocities were burned to ashes within the first two days.[23] Sources also say that 80,000 unfortunate Hindus (including 50,000 from Dhaka) fled their homes for their lives.[</v>
      </c>
      <c r="F1488" s="1"/>
      <c r="G1488" s="1"/>
      <c r="H1488" s="1"/>
      <c r="I1488" s="1"/>
    </row>
    <row r="1489" spans="1:9" ht="15.6" x14ac:dyDescent="0.3">
      <c r="A1489" s="1" t="s">
        <v>9</v>
      </c>
      <c r="B1489" s="1" t="s">
        <v>9</v>
      </c>
      <c r="C1489" s="10" t="s">
        <v>9</v>
      </c>
      <c r="D1489" s="5" t="s">
        <v>1463</v>
      </c>
      <c r="E1489" s="1" t="str">
        <f ca="1">IFERROR(__xludf.DUMMYFUNCTION("GOOGLETRANSLATE(D1489, ""bn"", ""en"")"),"According to Governor Frederick Burrows, ""the looting of a bazaar in the Ramganj police station after the public meeting was held was the immediate event in which trouble broke out"".[54] The businesses of Surendranath Bose and prominent Hindu Mahasabha "&amp;"leader Rajendralal Roy Chowdhury were attacked.")</f>
        <v>According to Governor Frederick Burrows, "the looting of a bazaar in the Ramganj police station after the public meeting was held was the immediate event in which trouble broke out".[54] The businesses of Surendranath Bose and prominent Hindu Mahasabha leader Rajendralal Roy Chowdhury were attacked.</v>
      </c>
      <c r="F1489" s="1"/>
      <c r="G1489" s="1"/>
      <c r="H1489" s="1"/>
      <c r="I1489" s="1"/>
    </row>
    <row r="1490" spans="1:9" ht="15.6" x14ac:dyDescent="0.3">
      <c r="A1490" s="1" t="s">
        <v>4</v>
      </c>
      <c r="B1490" s="1" t="s">
        <v>5</v>
      </c>
      <c r="C1490" s="10" t="s">
        <v>4</v>
      </c>
      <c r="D1490" s="5" t="s">
        <v>1464</v>
      </c>
      <c r="E1490" s="1" t="str">
        <f ca="1">IFERROR(__xludf.DUMMYFUNCTION("GOOGLETRANSLATE(D1490, ""bn"", ""en"")"),"I see that Hindu girls should get married by making them Muslims, I will increase the anger of the grandfathers.")</f>
        <v>I see that Hindu girls should get married by making them Muslims, I will increase the anger of the grandfathers.</v>
      </c>
      <c r="F1490" s="1"/>
      <c r="G1490" s="1"/>
      <c r="H1490" s="1"/>
      <c r="I1490" s="1"/>
    </row>
    <row r="1491" spans="1:9" ht="15.6" x14ac:dyDescent="0.3">
      <c r="A1491" s="1" t="s">
        <v>5</v>
      </c>
      <c r="B1491" s="1" t="s">
        <v>5</v>
      </c>
      <c r="C1491" s="10" t="s">
        <v>5</v>
      </c>
      <c r="D1491" s="5" t="s">
        <v>1465</v>
      </c>
      <c r="E1491" s="1" t="str">
        <f ca="1">IFERROR(__xludf.DUMMYFUNCTION("GOOGLETRANSLATE(D1491, ""bn"", ""en"")"),"The Mahakumbh Mela concluded in 2025 as an important event in Indian religious history, where crores of people gathered, and among them a large number of pilgrims came to bathe in the banks of the Ganga, Yamuna and Saraswati rivers.")</f>
        <v>The Mahakumbh Mela concluded in 2025 as an important event in Indian religious history, where crores of people gathered, and among them a large number of pilgrims came to bathe in the banks of the Ganga, Yamuna and Saraswati rivers.</v>
      </c>
      <c r="F1491" s="1"/>
      <c r="G1491" s="1"/>
      <c r="H1491" s="1"/>
      <c r="I1491" s="1"/>
    </row>
    <row r="1492" spans="1:9" ht="15.6" x14ac:dyDescent="0.3">
      <c r="A1492" s="1" t="s">
        <v>7</v>
      </c>
      <c r="B1492" s="1" t="s">
        <v>7</v>
      </c>
      <c r="C1492" s="10" t="s">
        <v>7</v>
      </c>
      <c r="D1492" s="5" t="s">
        <v>1466</v>
      </c>
      <c r="E1492" s="1" t="str">
        <f ca="1">IFERROR(__xludf.DUMMYFUNCTION("GOOGLETRANSLATE(D1492, ""bn"", ""en"")"),"The Third Resurrection, i.e., after the second blowing of the trumpet, will take place Hashar and Nasr, i.e., Resurrection and Mahamilan or Mahasammilan. This is the final judgment. This day is the day of judgment and the eternal life of the hereafter wil"&amp;"l begin from this day, the life that has no end, no limit. It is the fourth or last world of human life cycle. This world has no end.")</f>
        <v>The Third Resurrection, i.e., after the second blowing of the trumpet, will take place Hashar and Nasr, i.e., Resurrection and Mahamilan or Mahasammilan. This is the final judgment. This day is the day of judgment and the eternal life of the hereafter will begin from this day, the life that has no end, no limit. It is the fourth or last world of human life cycle. This world has no end.</v>
      </c>
      <c r="F1492" s="1"/>
      <c r="G1492" s="1"/>
      <c r="H1492" s="1"/>
      <c r="I1492" s="1"/>
    </row>
    <row r="1493" spans="1:9" ht="15.6" x14ac:dyDescent="0.3">
      <c r="A1493" s="1" t="s">
        <v>4</v>
      </c>
      <c r="B1493" s="1" t="s">
        <v>4</v>
      </c>
      <c r="C1493" s="10" t="s">
        <v>4</v>
      </c>
      <c r="D1493" s="5" t="s">
        <v>1467</v>
      </c>
      <c r="E1493" s="1" t="str">
        <f ca="1">IFERROR(__xludf.DUMMYFUNCTION("GOOGLETRANSLATE(D1493, ""bn"", ""en"")"),"I am happy to hear this rule should be followed by all religious people to stop derogatory statements about their own religion and other religions.")</f>
        <v>I am happy to hear this rule should be followed by all religious people to stop derogatory statements about their own religion and other religions.</v>
      </c>
      <c r="F1493" s="1"/>
      <c r="G1493" s="1"/>
      <c r="H1493" s="1"/>
      <c r="I1493" s="1"/>
    </row>
    <row r="1494" spans="1:9" ht="15.6" x14ac:dyDescent="0.3">
      <c r="A1494" s="1" t="s">
        <v>9</v>
      </c>
      <c r="B1494" s="1" t="s">
        <v>4</v>
      </c>
      <c r="C1494" s="10" t="s">
        <v>9</v>
      </c>
      <c r="D1494" s="5" t="s">
        <v>1468</v>
      </c>
      <c r="E1494" s="1" t="str">
        <f ca="1">IFERROR(__xludf.DUMMYFUNCTION("GOOGLETRANSLATE(D1494, ""bn"", ""en"")"),"First of all, our main point about the main topic of the attack is that attacking religious centers or places of worship of any minority community or any deviant or outcast sect of Islam is in no way a lawful act. It is not an act prescribed or permitted "&amp;"by Islam for any Muslim. In the eyes of Islam, such an attack is a reprehensible and punishable crime.")</f>
        <v>First of all, our main point about the main topic of the attack is that attacking religious centers or places of worship of any minority community or any deviant or outcast sect of Islam is in no way a lawful act. It is not an act prescribed or permitted by Islam for any Muslim. In the eyes of Islam, such an attack is a reprehensible and punishable crime.</v>
      </c>
      <c r="F1494" s="1"/>
      <c r="G1494" s="1"/>
      <c r="H1494" s="1"/>
      <c r="I1494" s="1"/>
    </row>
    <row r="1495" spans="1:9" ht="15.6" x14ac:dyDescent="0.3">
      <c r="A1495" s="1" t="s">
        <v>5</v>
      </c>
      <c r="B1495" s="1" t="s">
        <v>5</v>
      </c>
      <c r="C1495" s="10" t="s">
        <v>5</v>
      </c>
      <c r="D1495" s="5" t="s">
        <v>1469</v>
      </c>
      <c r="E1495" s="1" t="str">
        <f ca="1">IFERROR(__xludf.DUMMYFUNCTION("GOOGLETRANSLATE(D1495, ""bn"", ""en"")"),"The word 'Buddha' means great sage. According to the Buddhist religion, he is the 'Buddha' who has become aware of the essence of the world and before attaining nirvana, he has advised all living beings on the way to attain nirvana.")</f>
        <v>The word 'Buddha' means great sage. According to the Buddhist religion, he is the 'Buddha' who has become aware of the essence of the world and before attaining nirvana, he has advised all living beings on the way to attain nirvana.</v>
      </c>
      <c r="F1495" s="1"/>
      <c r="G1495" s="1"/>
      <c r="H1495" s="1"/>
      <c r="I1495" s="1"/>
    </row>
    <row r="1496" spans="1:9" ht="15.6" x14ac:dyDescent="0.3">
      <c r="A1496" s="1" t="s">
        <v>4</v>
      </c>
      <c r="B1496" s="1" t="s">
        <v>5</v>
      </c>
      <c r="C1496" s="10" t="s">
        <v>4</v>
      </c>
      <c r="D1496" s="5" t="s">
        <v>1470</v>
      </c>
      <c r="E1496" s="1" t="str">
        <f ca="1">IFERROR(__xludf.DUMMYFUNCTION("GOOGLETRANSLATE(D1496, ""bn"", ""en"")"),"Let this Kulangar be severely punished, our Prophet is the last Prophet, I am the Ummah of that Prophet, about my beloved Prophet and about Islam, whoever speaks bad things like this Kulangar will be brought under the law and given severe punishment.")</f>
        <v>Let this Kulangar be severely punished, our Prophet is the last Prophet, I am the Ummah of that Prophet, about my beloved Prophet and about Islam, whoever speaks bad things like this Kulangar will be brought under the law and given severe punishment.</v>
      </c>
      <c r="F1496" s="1"/>
      <c r="G1496" s="1"/>
      <c r="H1496" s="1"/>
      <c r="I1496" s="1"/>
    </row>
    <row r="1497" spans="1:9" ht="15.6" x14ac:dyDescent="0.3">
      <c r="A1497" s="1" t="s">
        <v>5</v>
      </c>
      <c r="B1497" s="1" t="s">
        <v>5</v>
      </c>
      <c r="C1497" s="10" t="s">
        <v>5</v>
      </c>
      <c r="D1497" s="5" t="s">
        <v>1471</v>
      </c>
      <c r="E1497" s="1" t="str">
        <f ca="1">IFERROR(__xludf.DUMMYFUNCTION("GOOGLETRANSLATE(D1497, ""bn"", ""en"")"),"On this day, Buddhists make kaguje lanterns with utmost respect and according to religious rules, lantern lights are raised as sky lamps to worship Chulamani Chaitya. ")</f>
        <v>On this day, Buddhists make kaguje lanterns with utmost respect and according to religious rules, lantern lights are raised as sky lamps to worship Chulamani Chaitya. </v>
      </c>
      <c r="F1497" s="1"/>
      <c r="G1497" s="1"/>
      <c r="H1497" s="1"/>
      <c r="I1497" s="1"/>
    </row>
    <row r="1498" spans="1:9" ht="15.6" x14ac:dyDescent="0.3">
      <c r="A1498" s="1" t="s">
        <v>9</v>
      </c>
      <c r="B1498" s="1" t="s">
        <v>9</v>
      </c>
      <c r="C1498" s="10" t="s">
        <v>9</v>
      </c>
      <c r="D1498" s="5" t="s">
        <v>1472</v>
      </c>
      <c r="E1498" s="1" t="str">
        <f ca="1">IFERROR(__xludf.DUMMYFUNCTION("GOOGLETRANSLATE(D1498, ""bn"", ""en"")"),"Four family worship temples were attacked and idols vandalized in Hindupara village of Damodarpur in Talukkanupur union of Gobindganj upazila of Gaibandhar on the night of Monday, July 4.")</f>
        <v>Four family worship temples were attacked and idols vandalized in Hindupara village of Damodarpur in Talukkanupur union of Gobindganj upazila of Gaibandhar on the night of Monday, July 4.</v>
      </c>
      <c r="F1498" s="1"/>
      <c r="G1498" s="1"/>
      <c r="H1498" s="1"/>
      <c r="I1498" s="1"/>
    </row>
    <row r="1499" spans="1:9" ht="15.6" x14ac:dyDescent="0.3">
      <c r="A1499" s="1" t="s">
        <v>5</v>
      </c>
      <c r="B1499" s="1" t="s">
        <v>5</v>
      </c>
      <c r="C1499" s="10" t="s">
        <v>5</v>
      </c>
      <c r="D1499" s="5" t="s">
        <v>1473</v>
      </c>
      <c r="E1499" s="1" t="str">
        <f ca="1">IFERROR(__xludf.DUMMYFUNCTION("GOOGLETRANSLATE(D1499, ""bn"", ""en"")"),"Hearing the words fills the mind. The troubled mind also becomes calm. It seems that there is nothing more to be desired in this world.")</f>
        <v>Hearing the words fills the mind. The troubled mind also becomes calm. It seems that there is nothing more to be desired in this world.</v>
      </c>
      <c r="F1499" s="1"/>
      <c r="G1499" s="1"/>
      <c r="H1499" s="1"/>
      <c r="I1499" s="1"/>
    </row>
    <row r="1500" spans="1:9" ht="15.6" x14ac:dyDescent="0.3">
      <c r="A1500" s="1" t="s">
        <v>5</v>
      </c>
      <c r="B1500" s="1" t="s">
        <v>5</v>
      </c>
      <c r="C1500" s="10" t="s">
        <v>5</v>
      </c>
      <c r="D1500" s="5" t="s">
        <v>1474</v>
      </c>
      <c r="E1500" s="1" t="str">
        <f ca="1">IFERROR(__xludf.DUMMYFUNCTION("GOOGLETRANSLATE(D1500, ""bn"", ""en"")"),"I feel a bit more because my father's friends are almost Hindu, my friends are almost Hindu")</f>
        <v>I feel a bit more because my father's friends are almost Hindu, my friends are almost Hindu</v>
      </c>
      <c r="F1500" s="1"/>
      <c r="G1500" s="1"/>
      <c r="H1500" s="1"/>
      <c r="I1500" s="1"/>
    </row>
    <row r="1501" spans="1:9" ht="15.6" x14ac:dyDescent="0.3">
      <c r="A1501" s="1" t="s">
        <v>4</v>
      </c>
      <c r="B1501" s="1" t="s">
        <v>4</v>
      </c>
      <c r="C1501" s="10" t="s">
        <v>4</v>
      </c>
      <c r="D1501" s="5" t="s">
        <v>1475</v>
      </c>
      <c r="E1501" s="1" t="str">
        <f ca="1">IFERROR(__xludf.DUMMYFUNCTION("GOOGLETRANSLATE(D1501, ""bn"", ""en"")"),"When an Islamic group or group is formed, everyone calls it a militant")</f>
        <v>When an Islamic group or group is formed, everyone calls it a militant</v>
      </c>
      <c r="F1501" s="1"/>
      <c r="G1501" s="1"/>
      <c r="H1501" s="1"/>
      <c r="I1501" s="1"/>
    </row>
    <row r="1502" spans="1:9" ht="15.6" x14ac:dyDescent="0.3">
      <c r="A1502" s="1" t="s">
        <v>7</v>
      </c>
      <c r="B1502" s="1" t="s">
        <v>7</v>
      </c>
      <c r="C1502" s="10" t="s">
        <v>7</v>
      </c>
      <c r="D1502" s="5" t="s">
        <v>1476</v>
      </c>
      <c r="E1502" s="1" t="str">
        <f ca="1">IFERROR(__xludf.DUMMYFUNCTION("GOOGLETRANSLATE(D1502, ""bn"", ""en"")"),"Many people were killed and property destroyed in Hindu-Muslim clashes in Malegaon, Maharashtra.")</f>
        <v>Many people were killed and property destroyed in Hindu-Muslim clashes in Malegaon, Maharashtra.</v>
      </c>
      <c r="F1502" s="1"/>
      <c r="G1502" s="1"/>
      <c r="H1502" s="1"/>
      <c r="I1502" s="1"/>
    </row>
    <row r="1503" spans="1:9" ht="15.6" x14ac:dyDescent="0.3">
      <c r="A1503" s="1" t="s">
        <v>4</v>
      </c>
      <c r="B1503" s="1" t="s">
        <v>4</v>
      </c>
      <c r="C1503" s="10" t="s">
        <v>4</v>
      </c>
      <c r="D1503" s="5" t="s">
        <v>1477</v>
      </c>
      <c r="E1503" s="1" t="str">
        <f ca="1">IFERROR(__xludf.DUMMYFUNCTION("GOOGLETRANSLATE(D1503, ""bn"", ""en"")"),"Mushfiq was attacked with foul language for uploading the picture of our religious festival Eid Qurbani.")</f>
        <v>Mushfiq was attacked with foul language for uploading the picture of our religious festival Eid Qurbani.</v>
      </c>
      <c r="F1503" s="1"/>
      <c r="G1503" s="1"/>
      <c r="H1503" s="1"/>
      <c r="I1503" s="1"/>
    </row>
    <row r="1504" spans="1:9" ht="15.6" x14ac:dyDescent="0.3">
      <c r="A1504" s="1" t="s">
        <v>4</v>
      </c>
      <c r="B1504" s="1" t="s">
        <v>4</v>
      </c>
      <c r="C1504" s="10" t="s">
        <v>4</v>
      </c>
      <c r="D1504" s="5" t="s">
        <v>1478</v>
      </c>
      <c r="E1504" s="1" t="str">
        <f ca="1">IFERROR(__xludf.DUMMYFUNCTION("GOOGLETRANSLATE(D1504, ""bn"", ""en"")"),"I still don't go to mosque for 5 hours. I am stingy in paying zakat. I have not stopped telling lies. I have made a home in the heart of pride, I have not refrained from wickedness like Jina.")</f>
        <v>I still don't go to mosque for 5 hours. I am stingy in paying zakat. I have not stopped telling lies. I have made a home in the heart of pride, I have not refrained from wickedness like Jina.</v>
      </c>
      <c r="F1504" s="1"/>
      <c r="G1504" s="1"/>
      <c r="H1504" s="1"/>
      <c r="I1504" s="1"/>
    </row>
    <row r="1505" spans="1:9" ht="15.6" x14ac:dyDescent="0.3">
      <c r="A1505" s="1" t="s">
        <v>9</v>
      </c>
      <c r="B1505" s="1" t="s">
        <v>9</v>
      </c>
      <c r="C1505" s="10" t="s">
        <v>9</v>
      </c>
      <c r="D1505" s="5" t="s">
        <v>1479</v>
      </c>
      <c r="E1505" s="1" t="str">
        <f ca="1">IFERROR(__xludf.DUMMYFUNCTION("GOOGLETRANSLATE(D1505, ""bn"", ""en"")"),"Miscreants set fire to a temple in Juri Upazila of Moulvibazar district on March 12 afternoon. But people around the temple quickly brought the fire under control.")</f>
        <v>Miscreants set fire to a temple in Juri Upazila of Moulvibazar district on March 12 afternoon. But people around the temple quickly brought the fire under control.</v>
      </c>
      <c r="F1505" s="1"/>
      <c r="G1505" s="1"/>
      <c r="H1505" s="1"/>
      <c r="I1505" s="1"/>
    </row>
    <row r="1506" spans="1:9" ht="15.6" x14ac:dyDescent="0.3">
      <c r="A1506" s="1" t="s">
        <v>9</v>
      </c>
      <c r="B1506" s="1" t="s">
        <v>9</v>
      </c>
      <c r="C1506" s="10" t="s">
        <v>9</v>
      </c>
      <c r="D1506" s="5" t="s">
        <v>1480</v>
      </c>
      <c r="E1506" s="1" t="str">
        <f ca="1">IFERROR(__xludf.DUMMYFUNCTION("GOOGLETRANSLATE(D1506, ""bn"", ""en"")"),"In Brahmanpara, the houses of five people including Hiren Babu, Dhiren Roy, Montu were set on fire and 10 houses were vandalized. [18] The attackers ransacked in front of the administration. ")</f>
        <v>In Brahmanpara, the houses of five people including Hiren Babu, Dhiren Roy, Montu were set on fire and 10 houses were vandalized. [18] The attackers ransacked in front of the administration. </v>
      </c>
      <c r="F1506" s="1"/>
      <c r="G1506" s="1"/>
      <c r="H1506" s="1"/>
      <c r="I1506" s="1"/>
    </row>
    <row r="1507" spans="1:9" ht="17.399999999999999" x14ac:dyDescent="0.3">
      <c r="A1507" s="1" t="s">
        <v>5</v>
      </c>
      <c r="B1507" s="1" t="s">
        <v>5</v>
      </c>
      <c r="C1507" s="10" t="s">
        <v>5</v>
      </c>
      <c r="D1507" s="5" t="s">
        <v>3506</v>
      </c>
      <c r="E1507" s="1" t="str">
        <f ca="1">IFERROR(__xludf.DUMMYFUNCTION("GOOGLETRANSLATE(D1507, ""bn"", ""en"")"),"The polytheistic Arabs used the term to refer to the Creator or their supreme deity.[20][21] But not as a single and unique divine power. but rather as an earth-creating and rain-giving being.")</f>
        <v>The polytheistic Arabs used the term to refer to the Creator or their supreme deity.[20][21] But not as a single and unique divine power. but rather as an earth-creating and rain-giving being.</v>
      </c>
      <c r="F1507" s="1"/>
      <c r="G1507" s="1"/>
      <c r="H1507" s="1"/>
      <c r="I1507" s="1"/>
    </row>
    <row r="1508" spans="1:9" ht="15.6" x14ac:dyDescent="0.3">
      <c r="A1508" s="1" t="s">
        <v>4</v>
      </c>
      <c r="B1508" s="1" t="s">
        <v>4</v>
      </c>
      <c r="C1508" s="10" t="s">
        <v>4</v>
      </c>
      <c r="D1508" s="5" t="s">
        <v>1481</v>
      </c>
      <c r="E1508" s="1" t="str">
        <f ca="1">IFERROR(__xludf.DUMMYFUNCTION("GOOGLETRANSLATE(D1508, ""bn"", ""en"")"),"You read the headlines and details carefully in the newspaper. Why should the mosque be in the temple area? Is there a lack of space?")</f>
        <v>You read the headlines and details carefully in the newspaper. Why should the mosque be in the temple area? Is there a lack of space?</v>
      </c>
      <c r="F1508" s="1"/>
      <c r="G1508" s="1"/>
      <c r="H1508" s="1"/>
      <c r="I1508" s="1"/>
    </row>
    <row r="1509" spans="1:9" ht="15.6" x14ac:dyDescent="0.3">
      <c r="A1509" s="1" t="s">
        <v>4</v>
      </c>
      <c r="B1509" s="1" t="s">
        <v>4</v>
      </c>
      <c r="C1509" s="10" t="s">
        <v>4</v>
      </c>
      <c r="D1509" s="5" t="s">
        <v>1482</v>
      </c>
      <c r="E1509" s="1" t="str">
        <f ca="1">IFERROR(__xludf.DUMMYFUNCTION("GOOGLETRANSLATE(D1509, ""bn"", ""en"")"),"You said Saints can never be heard playing obscene songs, but show a Durga Puja Mandav in Bangladesh where dancing and singing with obscene girls is not given. So you tell me how true your words are?")</f>
        <v>You said Saints can never be heard playing obscene songs, but show a Durga Puja Mandav in Bangladesh where dancing and singing with obscene girls is not given. So you tell me how true your words are?</v>
      </c>
      <c r="F1509" s="1"/>
      <c r="G1509" s="1"/>
      <c r="H1509" s="1"/>
      <c r="I1509" s="1"/>
    </row>
    <row r="1510" spans="1:9" ht="15.6" x14ac:dyDescent="0.3">
      <c r="A1510" s="1" t="s">
        <v>9</v>
      </c>
      <c r="B1510" s="1" t="s">
        <v>4</v>
      </c>
      <c r="C1510" s="10" t="s">
        <v>9</v>
      </c>
      <c r="D1510" s="5" t="s">
        <v>1483</v>
      </c>
      <c r="E1510" s="1" t="str">
        <f ca="1">IFERROR(__xludf.DUMMYFUNCTION("GOOGLETRANSLATE(D1510, ""bn"", ""en"")"),"Members of the Indian National Congress, including Mahatma Gandhi and Jawaharlal Nehru, reacted negatively to the riots and expressed grief. The riots led to further riots and discord between Hindus, Sikhs and Muslims.")</f>
        <v>Members of the Indian National Congress, including Mahatma Gandhi and Jawaharlal Nehru, reacted negatively to the riots and expressed grief. The riots led to further riots and discord between Hindus, Sikhs and Muslims.</v>
      </c>
      <c r="F1510" s="1"/>
      <c r="G1510" s="1"/>
      <c r="H1510" s="1"/>
      <c r="I1510" s="1"/>
    </row>
    <row r="1511" spans="1:9" ht="15.6" x14ac:dyDescent="0.3">
      <c r="A1511" s="1" t="s">
        <v>9</v>
      </c>
      <c r="B1511" s="1" t="s">
        <v>9</v>
      </c>
      <c r="C1511" s="10" t="s">
        <v>9</v>
      </c>
      <c r="D1511" s="5" t="s">
        <v>1484</v>
      </c>
      <c r="E1511" s="1" t="str">
        <f ca="1">IFERROR(__xludf.DUMMYFUNCTION("GOOGLETRANSLATE(D1511, ""bn"", ""en"")"),"During the massacre, men, women and children were machine-gunned and then set on fire. [2] The Pakistani army burned the temple with petrol and gunpowder. There were around 50 cows in the temple then, they set fire to the temple along with the cows. 101 H"&amp;"indus including the priest of Ramana Kali temple were killed in it.")</f>
        <v>During the massacre, men, women and children were machine-gunned and then set on fire. [2] The Pakistani army burned the temple with petrol and gunpowder. There were around 50 cows in the temple then, they set fire to the temple along with the cows. 101 Hindus including the priest of Ramana Kali temple were killed in it.</v>
      </c>
      <c r="F1511" s="1"/>
      <c r="G1511" s="1"/>
      <c r="H1511" s="1"/>
      <c r="I1511" s="1"/>
    </row>
    <row r="1512" spans="1:9" ht="15.6" x14ac:dyDescent="0.3">
      <c r="A1512" s="1" t="s">
        <v>5</v>
      </c>
      <c r="B1512" s="1" t="s">
        <v>5</v>
      </c>
      <c r="C1512" s="10" t="s">
        <v>5</v>
      </c>
      <c r="D1512" s="5" t="s">
        <v>1485</v>
      </c>
      <c r="E1512" s="1" t="str">
        <f ca="1">IFERROR(__xludf.DUMMYFUNCTION("GOOGLETRANSLATE(D1512, ""bn"", ""en"")"),"Jainism probably reached the Bengal region in the 5th century. It flourished during the Pala and Sena dynasties, and temples and communities developed. After partition in 1947, many Jains migrated to India, resulting in a decrease in their numbers in Bang"&amp;"ladesh.")</f>
        <v>Jainism probably reached the Bengal region in the 5th century. It flourished during the Pala and Sena dynasties, and temples and communities developed. After partition in 1947, many Jains migrated to India, resulting in a decrease in their numbers in Bangladesh.</v>
      </c>
      <c r="F1512" s="1"/>
      <c r="G1512" s="1"/>
      <c r="H1512" s="1"/>
      <c r="I1512" s="1"/>
    </row>
    <row r="1513" spans="1:9" ht="15.6" x14ac:dyDescent="0.3">
      <c r="A1513" s="1" t="s">
        <v>9</v>
      </c>
      <c r="B1513" s="1" t="s">
        <v>9</v>
      </c>
      <c r="C1513" s="10" t="s">
        <v>9</v>
      </c>
      <c r="D1513" s="5" t="s">
        <v>1486</v>
      </c>
      <c r="E1513" s="1" t="str">
        <f ca="1">IFERROR(__xludf.DUMMYFUNCTION("GOOGLETRANSLATE(D1513, ""bn"", ""en"")"),"After the sentence, Hindus were attacked in different parts of the country. Hindu property was looted, Hindu houses were burnt to ashes and Hindu temples were desecrated and set on fire. ")</f>
        <v>After the sentence, Hindus were attacked in different parts of the country. Hindu property was looted, Hindu houses were burnt to ashes and Hindu temples were desecrated and set on fire. </v>
      </c>
      <c r="F1513" s="1"/>
      <c r="G1513" s="1"/>
      <c r="H1513" s="1"/>
      <c r="I1513" s="1"/>
    </row>
    <row r="1514" spans="1:9" ht="15.6" x14ac:dyDescent="0.3">
      <c r="A1514" s="1" t="s">
        <v>4</v>
      </c>
      <c r="B1514" s="1" t="s">
        <v>4</v>
      </c>
      <c r="C1514" s="10" t="s">
        <v>4</v>
      </c>
      <c r="D1514" s="5" t="s">
        <v>1487</v>
      </c>
      <c r="E1514" s="1" t="str">
        <f ca="1">IFERROR(__xludf.DUMMYFUNCTION("GOOGLETRANSLATE(D1514, ""bn"", ""en"")"),"Muslim-hating Hindus do not hesitate to distort the facts of history to defame the Muslim conquerors of India.")</f>
        <v>Muslim-hating Hindus do not hesitate to distort the facts of history to defame the Muslim conquerors of India.</v>
      </c>
      <c r="F1514" s="1"/>
      <c r="G1514" s="1"/>
      <c r="H1514" s="1"/>
      <c r="I1514" s="1"/>
    </row>
    <row r="1515" spans="1:9" ht="15.6" x14ac:dyDescent="0.3">
      <c r="A1515" s="4" t="s">
        <v>7</v>
      </c>
      <c r="B1515" s="4" t="s">
        <v>7</v>
      </c>
      <c r="C1515" s="11" t="s">
        <v>7</v>
      </c>
      <c r="D1515" s="5" t="s">
        <v>1488</v>
      </c>
      <c r="E1515" s="1" t="str">
        <f ca="1">IFERROR(__xludf.DUMMYFUNCTION("GOOGLETRANSLATE(D1515, ""bn"", ""en"")"),"Uighurs around the world observe February 5 every year as the anniversary of the Ghulja Genocide. On this day in 1997, Chinese forces killed and imprisoned thousands of innocent Uyghurs while participating in a peaceful protest in the Xinjiang Uyghur Auto"&amp;"nomous Region demanding religious and cultural freedom and equal rights.")</f>
        <v>Uighurs around the world observe February 5 every year as the anniversary of the Ghulja Genocide. On this day in 1997, Chinese forces killed and imprisoned thousands of innocent Uyghurs while participating in a peaceful protest in the Xinjiang Uyghur Autonomous Region demanding religious and cultural freedom and equal rights.</v>
      </c>
      <c r="F1515" s="1"/>
      <c r="G1515" s="1"/>
      <c r="H1515" s="1"/>
      <c r="I1515" s="1"/>
    </row>
    <row r="1516" spans="1:9" ht="15.6" x14ac:dyDescent="0.3">
      <c r="A1516" s="1" t="s">
        <v>5</v>
      </c>
      <c r="B1516" s="1" t="s">
        <v>5</v>
      </c>
      <c r="C1516" s="10" t="s">
        <v>5</v>
      </c>
      <c r="D1516" s="5" t="s">
        <v>1489</v>
      </c>
      <c r="E1516" s="1" t="str">
        <f ca="1">IFERROR(__xludf.DUMMYFUNCTION("GOOGLETRANSLATE(D1516, ""bn"", ""en"")"),"In fact the Buddha did not answer any such question. The Buddha remained silent on these questions as Avantar, as mentioned in the Tripitaka scriptures.")</f>
        <v>In fact the Buddha did not answer any such question. The Buddha remained silent on these questions as Avantar, as mentioned in the Tripitaka scriptures.</v>
      </c>
      <c r="F1516" s="1"/>
      <c r="G1516" s="1"/>
      <c r="H1516" s="1"/>
      <c r="I1516" s="1"/>
    </row>
    <row r="1517" spans="1:9" ht="15.6" x14ac:dyDescent="0.3">
      <c r="A1517" s="1" t="s">
        <v>9</v>
      </c>
      <c r="B1517" s="1" t="s">
        <v>9</v>
      </c>
      <c r="C1517" s="10" t="s">
        <v>9</v>
      </c>
      <c r="D1517" s="5" t="s">
        <v>1490</v>
      </c>
      <c r="E1517" s="1" t="str">
        <f ca="1">IFERROR(__xludf.DUMMYFUNCTION("GOOGLETRANSLATE(D1517, ""bn"", ""en"")"),"On October 29, 2016, a group of youths beat him up and handed him over to the police in Nasirnagar, Brahmanbaria, alleging that 'a young man named Rasraj Das had posted defamatory pictures on Facebook'.")</f>
        <v>On October 29, 2016, a group of youths beat him up and handed him over to the police in Nasirnagar, Brahmanbaria, alleging that 'a young man named Rasraj Das had posted defamatory pictures on Facebook'.</v>
      </c>
      <c r="F1517" s="1"/>
      <c r="G1517" s="1"/>
      <c r="H1517" s="1"/>
      <c r="I1517" s="1"/>
    </row>
    <row r="1518" spans="1:9" ht="15.6" x14ac:dyDescent="0.3">
      <c r="A1518" s="1" t="s">
        <v>7</v>
      </c>
      <c r="B1518" s="1" t="s">
        <v>7</v>
      </c>
      <c r="C1518" s="10" t="s">
        <v>7</v>
      </c>
      <c r="D1518" s="5" t="s">
        <v>1491</v>
      </c>
      <c r="E1518" s="1" t="str">
        <f ca="1">IFERROR(__xludf.DUMMYFUNCTION("GOOGLETRANSLATE(D1518, ""bn"", ""en"")"),"Caught by local rajakars, taken to a nearby canal and shot dead. To escape the bullets, those who jumped into the water and drowned or were swept away by the current.")</f>
        <v>Caught by local rajakars, taken to a nearby canal and shot dead. To escape the bullets, those who jumped into the water and drowned or were swept away by the current.</v>
      </c>
      <c r="F1518" s="1"/>
      <c r="G1518" s="1"/>
      <c r="H1518" s="1"/>
      <c r="I1518" s="1"/>
    </row>
    <row r="1519" spans="1:9" ht="46.8" x14ac:dyDescent="0.3">
      <c r="A1519" s="1" t="s">
        <v>7</v>
      </c>
      <c r="B1519" s="1" t="s">
        <v>7</v>
      </c>
      <c r="C1519" s="10" t="s">
        <v>7</v>
      </c>
      <c r="D1519" s="6" t="s">
        <v>3985</v>
      </c>
      <c r="E1519" s="1" t="str">
        <f ca="1">IFERROR(__xludf.DUMMYFUNCTION("GOOGLETRANSLATE(D1519, ""bn"", ""en"")"),"Following the demolition of the Babri Masjid in Ayodhya, India, a series of attacks against Bengali Hindus took place in late October and early November 1990. From the source of this incident till 1993, the Muslims continued to carry out heinous cruelty l"&amp;"ike torture, looting, murder, rape and kidnapping on the Hindus in various degrees throughout Bangladesh. ")</f>
        <v xml:space="preserve">Following the demolition of the Babri Masjid in Ayodhya, India, a series of attacks against Bengali Hindus took place in late October and early November 1990. From the source of this incident till 1993, the Muslims continued to carry out heinous cruelty like torture, looting, murder, rape and kidnapping on the Hindus in various degrees throughout Bangladesh. </v>
      </c>
      <c r="F1519" s="1"/>
      <c r="G1519" s="1"/>
      <c r="H1519" s="1"/>
      <c r="I1519" s="1"/>
    </row>
    <row r="1520" spans="1:9" ht="62.4" x14ac:dyDescent="0.3">
      <c r="A1520" s="1" t="s">
        <v>9</v>
      </c>
      <c r="B1520" s="1" t="s">
        <v>9</v>
      </c>
      <c r="C1520" s="10" t="s">
        <v>9</v>
      </c>
      <c r="D1520" s="6" t="s">
        <v>3984</v>
      </c>
      <c r="E1520" s="1" t="str">
        <f ca="1">IFERROR(__xludf.DUMMYFUNCTION("GOOGLETRANSLATE(D1520, ""bn"", ""en"")"),"The situation of these persecuted Hindu refugees in India remained politically unstable until the Citizenship (Amendment) Act, 2019 was passed by the Government of India. Systemically in Pakistan, Hindus are persecuted under the government's blasphemy law"&amp;"s (often resulting in death making the validity of legal claims irrelevant) and, according to mainstream politicians' interpretations of vague constitutional laws, the caste has second-class rights to places. Aspects of worship and their religion.")</f>
        <v>The situation of these persecuted Hindu refugees in India remained politically unstable until the Citizenship (Amendment) Act, 2019 was passed by the Government of India. Systemically in Pakistan, Hindus are persecuted under the government's blasphemy laws (often resulting in death making the validity of legal claims irrelevant) and, according to mainstream politicians' interpretations of vague constitutional laws, the caste has second-class rights to places. Aspects of worship and their religion.</v>
      </c>
      <c r="F1520" s="1"/>
      <c r="G1520" s="1"/>
      <c r="H1520" s="1"/>
      <c r="I1520" s="1"/>
    </row>
    <row r="1521" spans="1:9" ht="15.6" x14ac:dyDescent="0.3">
      <c r="A1521" s="1" t="s">
        <v>5</v>
      </c>
      <c r="B1521" s="1" t="s">
        <v>5</v>
      </c>
      <c r="C1521" s="10" t="s">
        <v>5</v>
      </c>
      <c r="D1521" s="5" t="s">
        <v>1492</v>
      </c>
      <c r="E1521" s="1" t="str">
        <f ca="1">IFERROR(__xludf.DUMMYFUNCTION("GOOGLETRANSLATE(D1521, ""bn"", ""en"")"),"In order to maintain peace and order, stability and communal harmony in any part of the world, very strict laws are essential to protect the honor of religion, religious books, prophets and companions.")</f>
        <v>In order to maintain peace and order, stability and communal harmony in any part of the world, very strict laws are essential to protect the honor of religion, religious books, prophets and companions.</v>
      </c>
      <c r="F1521" s="1"/>
      <c r="G1521" s="1"/>
      <c r="H1521" s="1"/>
      <c r="I1521" s="1"/>
    </row>
    <row r="1522" spans="1:9" ht="46.8" x14ac:dyDescent="0.3">
      <c r="A1522" s="1" t="s">
        <v>7</v>
      </c>
      <c r="B1522" s="1" t="s">
        <v>7</v>
      </c>
      <c r="C1522" s="10" t="s">
        <v>7</v>
      </c>
      <c r="D1522" s="6" t="s">
        <v>3983</v>
      </c>
      <c r="E1522" s="1" t="str">
        <f ca="1">IFERROR(__xludf.DUMMYFUNCTION("GOOGLETRANSLATE(D1522, ""bn"", ""en"")"),"Later brutal killings in the first days of Pakistani occupation created panic among Hindu citizens.[2] Many of them fled from village to village. Two living monks recovered the holy remains of Lord Jagatbandhu, the immortal friend and Haripriya Brahmachar"&amp;"i, and took them to India.")</f>
        <v>Later brutal killings in the first days of Pakistani occupation created panic among Hindu citizens.[2] Many of them fled from village to village. Two living monks recovered the holy remains of Lord Jagatbandhu, the immortal friend and Haripriya Brahmachari, and took them to India.</v>
      </c>
      <c r="F1522" s="1"/>
      <c r="G1522" s="1"/>
      <c r="H1522" s="1"/>
      <c r="I1522" s="1"/>
    </row>
    <row r="1523" spans="1:9" ht="46.8" x14ac:dyDescent="0.3">
      <c r="A1523" s="1" t="s">
        <v>7</v>
      </c>
      <c r="B1523" s="1" t="s">
        <v>7</v>
      </c>
      <c r="C1523" s="10" t="s">
        <v>7</v>
      </c>
      <c r="D1523" s="6" t="s">
        <v>3982</v>
      </c>
      <c r="E1523" s="1" t="str">
        <f ca="1">IFERROR(__xludf.DUMMYFUNCTION("GOOGLETRANSLATE(D1523, ""bn"", ""en"")"),"On the day a teacher was massacred in France, the French president said that 'the history and culture of France will remain for those who can accept it. Strict action will be taken against those who attack freedom of speech. I gave a status on Facebook en"&amp;"dorsing it.""")</f>
        <v>On the day a teacher was massacred in France, the French president said that 'the history and culture of France will remain for those who can accept it. Strict action will be taken against those who attack freedom of speech. I gave a status on Facebook endorsing it."</v>
      </c>
      <c r="F1523" s="1"/>
      <c r="G1523" s="1"/>
      <c r="H1523" s="1"/>
      <c r="I1523" s="1"/>
    </row>
    <row r="1524" spans="1:9" ht="15.6" x14ac:dyDescent="0.3">
      <c r="A1524" s="1" t="s">
        <v>9</v>
      </c>
      <c r="B1524" s="1" t="s">
        <v>5</v>
      </c>
      <c r="C1524" s="10" t="s">
        <v>9</v>
      </c>
      <c r="D1524" s="5" t="s">
        <v>1493</v>
      </c>
      <c r="E1524" s="1" t="str">
        <f ca="1">IFERROR(__xludf.DUMMYFUNCTION("GOOGLETRANSLATE(D1524, ""bn"", ""en"")"),"His answer was 'Thousands, millions of people are talking about it, agitating. If not true, why so many people?'")</f>
        <v>His answer was 'Thousands, millions of people are talking about it, agitating. If not true, why so many people?'</v>
      </c>
      <c r="F1524" s="1"/>
      <c r="G1524" s="1"/>
      <c r="H1524" s="1"/>
      <c r="I1524" s="1"/>
    </row>
    <row r="1525" spans="1:9" ht="15.6" x14ac:dyDescent="0.3">
      <c r="A1525" s="1" t="s">
        <v>9</v>
      </c>
      <c r="B1525" s="1" t="s">
        <v>9</v>
      </c>
      <c r="C1525" s="10" t="s">
        <v>9</v>
      </c>
      <c r="D1525" s="5" t="s">
        <v>1494</v>
      </c>
      <c r="E1525" s="1" t="str">
        <f ca="1">IFERROR(__xludf.DUMMYFUNCTION("GOOGLETRANSLATE(D1525, ""bn"", ""en"")"),"After midnight on October 30, around 2,000 Muslims armed with various weapons including knives, iron rods, ram da, khontas, attacked and set fire to around 300 Hindu houses around the Kaivalyadham temple.")</f>
        <v>After midnight on October 30, around 2,000 Muslims armed with various weapons including knives, iron rods, ram da, khontas, attacked and set fire to around 300 Hindu houses around the Kaivalyadham temple.</v>
      </c>
      <c r="F1525" s="1"/>
      <c r="G1525" s="1"/>
      <c r="H1525" s="1"/>
      <c r="I1525" s="1"/>
    </row>
    <row r="1526" spans="1:9" ht="46.8" x14ac:dyDescent="0.3">
      <c r="A1526" s="1" t="s">
        <v>9</v>
      </c>
      <c r="B1526" s="1" t="s">
        <v>9</v>
      </c>
      <c r="C1526" s="10" t="s">
        <v>9</v>
      </c>
      <c r="D1526" s="6" t="s">
        <v>3981</v>
      </c>
      <c r="E1526" s="1" t="str">
        <f ca="1">IFERROR(__xludf.DUMMYFUNCTION("GOOGLETRANSLATE(D1526, ""bn"", ""en"")"),"A worship hall was attacked and set ablaze on Thursday night, October 14, 2021, in Chayani Bazar, Begumganj Upazila, Noakhali District. [37] The next day, on October 15, after Friday prayers in Chaumuhani, the protesters marched with the banner of 'Tawhid"&amp;"i Janata' to attack. The procession hit the College Road there. Clashes broke out when the police stopped the marchers.")</f>
        <v>A worship hall was attacked and set ablaze on Thursday night, October 14, 2021, in Chayani Bazar, Begumganj Upazila, Noakhali District. [37] The next day, on October 15, after Friday prayers in Chaumuhani, the protesters marched with the banner of 'Tawhidi Janata' to attack. The procession hit the College Road there. Clashes broke out when the police stopped the marchers.</v>
      </c>
      <c r="F1526" s="1"/>
      <c r="G1526" s="1"/>
      <c r="H1526" s="1"/>
      <c r="I1526" s="1"/>
    </row>
    <row r="1527" spans="1:9" ht="15.6" x14ac:dyDescent="0.3">
      <c r="A1527" s="1" t="s">
        <v>4</v>
      </c>
      <c r="B1527" s="1" t="s">
        <v>4</v>
      </c>
      <c r="C1527" s="10" t="s">
        <v>4</v>
      </c>
      <c r="D1527" s="5" t="s">
        <v>1495</v>
      </c>
      <c r="E1527" s="1" t="str">
        <f ca="1">IFERROR(__xludf.DUMMYFUNCTION("GOOGLETRANSLATE(D1527, ""bn"", ""en"")"),"When those people talk about Muslims and say - ❝all lords are bad❞, the responsibility of that badness is on you, on me, who misbehaved with someone / did something un-Islamic, I thought to myself - who else knows me here? Whose interests are greater for "&amp;"us, my own, or Islam? ")</f>
        <v xml:space="preserve">When those people talk about Muslims and say - ❝all lords are bad❞, the responsibility of that badness is on you, on me, who misbehaved with someone / did something un-Islamic, I thought to myself - who else knows me here? Whose interests are greater for us, my own, or Islam? </v>
      </c>
      <c r="F1527" s="1"/>
      <c r="G1527" s="1"/>
      <c r="H1527" s="1"/>
      <c r="I1527" s="1"/>
    </row>
    <row r="1528" spans="1:9" ht="15.6" x14ac:dyDescent="0.3">
      <c r="A1528" s="1" t="s">
        <v>5</v>
      </c>
      <c r="B1528" s="1" t="s">
        <v>5</v>
      </c>
      <c r="C1528" s="10" t="s">
        <v>5</v>
      </c>
      <c r="D1528" s="5" t="s">
        <v>1496</v>
      </c>
      <c r="E1528" s="1" t="str">
        <f ca="1">IFERROR(__xludf.DUMMYFUNCTION("GOOGLETRANSLATE(D1528, ""bn"", ""en"")"),"The Qur'an primarily addresses a single ""Messenger of God"", referred to as Muhammad in several verses.")</f>
        <v>The Qur'an primarily addresses a single "Messenger of God", referred to as Muhammad in several verses.</v>
      </c>
      <c r="F1528" s="1"/>
      <c r="G1528" s="1"/>
      <c r="H1528" s="1"/>
      <c r="I1528" s="1"/>
    </row>
    <row r="1529" spans="1:9" ht="15.6" x14ac:dyDescent="0.3">
      <c r="A1529" s="1" t="s">
        <v>4</v>
      </c>
      <c r="B1529" s="1" t="s">
        <v>4</v>
      </c>
      <c r="C1529" s="10" t="s">
        <v>4</v>
      </c>
      <c r="D1529" s="5" t="s">
        <v>1497</v>
      </c>
      <c r="E1529" s="1" t="str">
        <f ca="1">IFERROR(__xludf.DUMMYFUNCTION("GOOGLETRANSLATE(D1529, ""bn"", ""en"")"),"Charlie Hebdo is a highly controversial French magazine. The magazine publishes anti-establishment satirical cartoons in the name of free expression, and has long been at the center of controversy at various times by publishing satirical cartoons on Catho"&amp;"lic Christianity, Judaism, and Islam.")</f>
        <v>Charlie Hebdo is a highly controversial French magazine. The magazine publishes anti-establishment satirical cartoons in the name of free expression, and has long been at the center of controversy at various times by publishing satirical cartoons on Catholic Christianity, Judaism, and Islam.</v>
      </c>
      <c r="F1529" s="1"/>
      <c r="G1529" s="1"/>
      <c r="H1529" s="1"/>
      <c r="I1529" s="1"/>
    </row>
    <row r="1530" spans="1:9" ht="15.6" x14ac:dyDescent="0.3">
      <c r="A1530" s="1" t="s">
        <v>9</v>
      </c>
      <c r="B1530" s="1" t="s">
        <v>5</v>
      </c>
      <c r="C1530" s="10" t="s">
        <v>9</v>
      </c>
      <c r="D1530" s="5" t="s">
        <v>1498</v>
      </c>
      <c r="E1530" s="1" t="str">
        <f ca="1">IFERROR(__xludf.DUMMYFUNCTION("GOOGLETRANSLATE(D1530, ""bn"", ""en"")"),"Unspeakable persecution by the Pakistan Rifles in the Indian enclaves inside East Pakistan forced a large number of Hindu refugees to enter Jalpaiguri, India. Thousands of helpless Hindus in Dhaka are waiting like pilgrims to go to India.")</f>
        <v>Unspeakable persecution by the Pakistan Rifles in the Indian enclaves inside East Pakistan forced a large number of Hindu refugees to enter Jalpaiguri, India. Thousands of helpless Hindus in Dhaka are waiting like pilgrims to go to India.</v>
      </c>
      <c r="F1530" s="1"/>
      <c r="G1530" s="1"/>
      <c r="H1530" s="1"/>
      <c r="I1530" s="1"/>
    </row>
    <row r="1531" spans="1:9" ht="15.6" x14ac:dyDescent="0.3">
      <c r="A1531" s="1" t="s">
        <v>9</v>
      </c>
      <c r="B1531" s="1" t="s">
        <v>4</v>
      </c>
      <c r="C1531" s="10" t="s">
        <v>9</v>
      </c>
      <c r="D1531" s="5" t="s">
        <v>1499</v>
      </c>
      <c r="E1531" s="1" t="str">
        <f ca="1">IFERROR(__xludf.DUMMYFUNCTION("GOOGLETRANSLATE(D1531, ""bn"", ""en"")"),"On October 12, a communal attack was reported during the Aarti at Karunamayi Kalibari Puja Mandap in Chittagong's Chawkbazar area where one of the culprits was caught and handed over to the police.")</f>
        <v>On October 12, a communal attack was reported during the Aarti at Karunamayi Kalibari Puja Mandap in Chittagong's Chawkbazar area where one of the culprits was caught and handed over to the police.</v>
      </c>
      <c r="F1531" s="1"/>
      <c r="G1531" s="1"/>
      <c r="H1531" s="1"/>
      <c r="I1531" s="1"/>
    </row>
    <row r="1532" spans="1:9" ht="15.6" x14ac:dyDescent="0.3">
      <c r="A1532" s="1" t="s">
        <v>9</v>
      </c>
      <c r="B1532" s="1" t="s">
        <v>4</v>
      </c>
      <c r="C1532" s="10" t="s">
        <v>9</v>
      </c>
      <c r="D1532" s="5" t="s">
        <v>1500</v>
      </c>
      <c r="E1532" s="1" t="str">
        <f ca="1">IFERROR(__xludf.DUMMYFUNCTION("GOOGLETRANSLATE(D1532, ""bn"", ""en"")"),"The male members of the family were killed and the women were distributed to different people by the clerics and mentors of the area. The women of the Muslim family also equally helped the male members to rape and hide these unfortunate Hindu girls.")</f>
        <v>The male members of the family were killed and the women were distributed to different people by the clerics and mentors of the area. The women of the Muslim family also equally helped the male members to rape and hide these unfortunate Hindu girls.</v>
      </c>
      <c r="F1532" s="1"/>
      <c r="G1532" s="1"/>
      <c r="H1532" s="1"/>
      <c r="I1532" s="1"/>
    </row>
    <row r="1533" spans="1:9" ht="15.6" x14ac:dyDescent="0.3">
      <c r="A1533" s="1" t="s">
        <v>4</v>
      </c>
      <c r="B1533" s="1" t="s">
        <v>4</v>
      </c>
      <c r="C1533" s="10" t="s">
        <v>4</v>
      </c>
      <c r="D1533" s="5" t="s">
        <v>1501</v>
      </c>
      <c r="E1533" s="1" t="str">
        <f ca="1">IFERROR(__xludf.DUMMYFUNCTION("GOOGLETRANSLATE(D1533, ""bn"", ""en"")"),"The Israeli government has banned the raising of pigs in that country. And in our country, the army-run hotels sell pigs for sale.")</f>
        <v>The Israeli government has banned the raising of pigs in that country. And in our country, the army-run hotels sell pigs for sale.</v>
      </c>
      <c r="F1533" s="1"/>
      <c r="G1533" s="1"/>
      <c r="H1533" s="1"/>
      <c r="I1533" s="1"/>
    </row>
    <row r="1534" spans="1:9" ht="15.6" x14ac:dyDescent="0.3">
      <c r="A1534" s="1" t="s">
        <v>4</v>
      </c>
      <c r="B1534" s="1" t="s">
        <v>5</v>
      </c>
      <c r="C1534" s="10" t="s">
        <v>4</v>
      </c>
      <c r="D1534" s="5" t="s">
        <v>1502</v>
      </c>
      <c r="E1534" s="1" t="str">
        <f ca="1">IFERROR(__xludf.DUMMYFUNCTION("GOOGLETRANSLATE(D1534, ""bn"", ""en"")"),"The peace-loving people of the Hindu community of Bangladesh should keep a close eye on the people who have lamented over the victory of Mamata in West Bengal and the defeat of the extremist Muslim anti-riot BJP, lamenting that the Muslim community has be"&amp;"en lost in the other side of Bengal, and the peace-loving Muslims of Bangladesh should keep a close eye on the rulers and their agencies wearing the garb of secularism. May all the creatures of the world be happy.")</f>
        <v>The peace-loving people of the Hindu community of Bangladesh should keep a close eye on the people who have lamented over the victory of Mamata in West Bengal and the defeat of the extremist Muslim anti-riot BJP, lamenting that the Muslim community has been lost in the other side of Bengal, and the peace-loving Muslims of Bangladesh should keep a close eye on the rulers and their agencies wearing the garb of secularism. May all the creatures of the world be happy.</v>
      </c>
      <c r="F1534" s="1"/>
      <c r="G1534" s="1"/>
      <c r="H1534" s="1"/>
      <c r="I1534" s="1"/>
    </row>
    <row r="1535" spans="1:9" ht="15.6" x14ac:dyDescent="0.3">
      <c r="A1535" s="1" t="s">
        <v>9</v>
      </c>
      <c r="B1535" s="1" t="s">
        <v>9</v>
      </c>
      <c r="C1535" s="10" t="s">
        <v>9</v>
      </c>
      <c r="D1535" s="5" t="s">
        <v>1503</v>
      </c>
      <c r="E1535" s="1" t="str">
        <f ca="1">IFERROR(__xludf.DUMMYFUNCTION("GOOGLETRANSLATE(D1535, ""bn"", ""en"")"),"In 2012, a Buddhist village in Ramu, Cox's Bazar was attacked and set on fire on the same charges. And last year in Nasirnagar of Brahmanbaria, a similar attack was carried out on a Hindu village on similar charges.")</f>
        <v>In 2012, a Buddhist village in Ramu, Cox's Bazar was attacked and set on fire on the same charges. And last year in Nasirnagar of Brahmanbaria, a similar attack was carried out on a Hindu village on similar charges.</v>
      </c>
      <c r="F1535" s="1"/>
      <c r="G1535" s="1"/>
      <c r="H1535" s="1"/>
      <c r="I1535" s="1"/>
    </row>
    <row r="1536" spans="1:9" ht="15.6" x14ac:dyDescent="0.3">
      <c r="A1536" s="1" t="s">
        <v>9</v>
      </c>
      <c r="B1536" s="1" t="s">
        <v>9</v>
      </c>
      <c r="C1536" s="10" t="s">
        <v>9</v>
      </c>
      <c r="D1536" s="5" t="s">
        <v>1504</v>
      </c>
      <c r="E1536" s="1" t="str">
        <f ca="1">IFERROR(__xludf.DUMMYFUNCTION("GOOGLETRANSLATE(D1536, ""bn"", ""en"")"),"In western China, Uyghur Muslims are persecuted, harassed in various ways for wearing religious clothes and fasting.")</f>
        <v>In western China, Uyghur Muslims are persecuted, harassed in various ways for wearing religious clothes and fasting.</v>
      </c>
      <c r="F1536" s="1"/>
      <c r="G1536" s="1"/>
      <c r="H1536" s="1"/>
      <c r="I1536" s="1"/>
    </row>
    <row r="1537" spans="1:9" ht="46.8" x14ac:dyDescent="0.3">
      <c r="A1537" s="1" t="s">
        <v>7</v>
      </c>
      <c r="B1537" s="1" t="s">
        <v>7</v>
      </c>
      <c r="C1537" s="10" t="s">
        <v>7</v>
      </c>
      <c r="D1537" s="6" t="s">
        <v>3980</v>
      </c>
      <c r="E1537" s="1" t="str">
        <f ca="1">IFERROR(__xludf.DUMMYFUNCTION("GOOGLETRANSLATE(D1537, ""bn"", ""en"")"),"Sitakunda Massacre which refers to the organized massacre of Hindu pilgrims on 15 February 1950. [1] Pilgrims from across East Bengal, Assam and Tripura were attacked by armed Ansars and Muslims in the Sitakunda railway station area on their way to the Ch"&amp;"andranath Temple on the Chandranath Hill in Sitakunda, the birthplace of Hinduism, on the occasion of Maha Shivaratri.")</f>
        <v>Sitakunda Massacre which refers to the organized massacre of Hindu pilgrims on 15 February 1950. [1] Pilgrims from across East Bengal, Assam and Tripura were attacked by armed Ansars and Muslims in the Sitakunda railway station area on their way to the Chandranath Temple on the Chandranath Hill in Sitakunda, the birthplace of Hinduism, on the occasion of Maha Shivaratri.</v>
      </c>
      <c r="F1537" s="1"/>
      <c r="G1537" s="1"/>
      <c r="H1537" s="1"/>
      <c r="I1537" s="1"/>
    </row>
    <row r="1538" spans="1:9" ht="15.6" x14ac:dyDescent="0.3">
      <c r="A1538" s="1" t="s">
        <v>9</v>
      </c>
      <c r="B1538" s="1" t="s">
        <v>5</v>
      </c>
      <c r="C1538" s="10" t="s">
        <v>9</v>
      </c>
      <c r="D1538" s="5" t="s">
        <v>1505</v>
      </c>
      <c r="E1538" s="1" t="str">
        <f ca="1">IFERROR(__xludf.DUMMYFUNCTION("GOOGLETRANSLATE(D1538, ""bn"", ""en"")"),"Speakers called on the Swedish government to apologize for the Koran burning within the next 24 hours. If this is not done, they warned that Bangladesh will not have any diplomatic relations with this country.")</f>
        <v>Speakers called on the Swedish government to apologize for the Koran burning within the next 24 hours. If this is not done, they warned that Bangladesh will not have any diplomatic relations with this country.</v>
      </c>
      <c r="F1538" s="1"/>
      <c r="G1538" s="1"/>
      <c r="H1538" s="1"/>
      <c r="I1538" s="1"/>
    </row>
    <row r="1539" spans="1:9" ht="15.6" x14ac:dyDescent="0.3">
      <c r="A1539" s="1" t="s">
        <v>5</v>
      </c>
      <c r="B1539" s="1" t="s">
        <v>5</v>
      </c>
      <c r="C1539" s="10" t="s">
        <v>5</v>
      </c>
      <c r="D1539" s="5" t="s">
        <v>1506</v>
      </c>
      <c r="E1539" s="1" t="str">
        <f ca="1">IFERROR(__xludf.DUMMYFUNCTION("GOOGLETRANSLATE(D1539, ""bn"", ""en"")"),"right decision Also, we should all be respectful of each other's religion. Islam has taught us that we should not insult any religion and cooperate in the observance of all religions.")</f>
        <v>right decision Also, we should all be respectful of each other's religion. Islam has taught us that we should not insult any religion and cooperate in the observance of all religions.</v>
      </c>
      <c r="F1539" s="1"/>
      <c r="G1539" s="1"/>
      <c r="H1539" s="1"/>
      <c r="I1539" s="1"/>
    </row>
    <row r="1540" spans="1:9" ht="15.6" x14ac:dyDescent="0.3">
      <c r="A1540" s="1" t="s">
        <v>5</v>
      </c>
      <c r="B1540" s="1" t="s">
        <v>5</v>
      </c>
      <c r="C1540" s="10" t="s">
        <v>5</v>
      </c>
      <c r="D1540" s="5" t="s">
        <v>1507</v>
      </c>
      <c r="E1540" s="1" t="str">
        <f ca="1">IFERROR(__xludf.DUMMYFUNCTION("GOOGLETRANSLATE(D1540, ""bn"", ""en"")"),"Bangladesh is a predominantly Muslim country. Therefore, the main or important people of almost everything are Muslims. Therefore, the authorities of Dhaka University formulated barriers. Compared with him, the problem of Hinduism is created!!")</f>
        <v>Bangladesh is a predominantly Muslim country. Therefore, the main or important people of almost everything are Muslims. Therefore, the authorities of Dhaka University formulated barriers. Compared with him, the problem of Hinduism is created!!</v>
      </c>
      <c r="F1540" s="1"/>
      <c r="G1540" s="1"/>
      <c r="H1540" s="1"/>
      <c r="I1540" s="1"/>
    </row>
    <row r="1541" spans="1:9" ht="15.6" x14ac:dyDescent="0.3">
      <c r="A1541" s="1" t="s">
        <v>9</v>
      </c>
      <c r="B1541" s="1" t="s">
        <v>9</v>
      </c>
      <c r="C1541" s="10" t="s">
        <v>9</v>
      </c>
      <c r="D1541" s="5" t="s">
        <v>1508</v>
      </c>
      <c r="E1541" s="1" t="str">
        <f ca="1">IFERROR(__xludf.DUMMYFUNCTION("GOOGLETRANSLATE(D1541, ""bn"", ""en"")"),"Before the abduction, the Muslim mob slaughtered Mila Kar's father, Thakurdada and her child in front of her. Rahmat Ali, son of a respected magistrate named Barik Mian, is forcibly married to a married girl named Renubala.")</f>
        <v>Before the abduction, the Muslim mob slaughtered Mila Kar's father, Thakurdada and her child in front of her. Rahmat Ali, son of a respected magistrate named Barik Mian, is forcibly married to a married girl named Renubala.</v>
      </c>
      <c r="F1541" s="1"/>
      <c r="G1541" s="1"/>
      <c r="H1541" s="1"/>
      <c r="I1541" s="1"/>
    </row>
    <row r="1542" spans="1:9" ht="15.6" x14ac:dyDescent="0.3">
      <c r="A1542" s="1" t="s">
        <v>5</v>
      </c>
      <c r="B1542" s="1" t="s">
        <v>5</v>
      </c>
      <c r="C1542" s="10" t="s">
        <v>5</v>
      </c>
      <c r="D1542" s="5" t="s">
        <v>1509</v>
      </c>
      <c r="E1542" s="1" t="str">
        <f ca="1">IFERROR(__xludf.DUMMYFUNCTION("GOOGLETRANSLATE(D1542, ""bn"", ""en"")"),"In this month of Ramadan almost all the students are organizing iftar mahfil in their own way. No one is stopping it.")</f>
        <v>In this month of Ramadan almost all the students are organizing iftar mahfil in their own way. No one is stopping it.</v>
      </c>
      <c r="F1542" s="1"/>
      <c r="G1542" s="1"/>
      <c r="H1542" s="1"/>
      <c r="I1542" s="1"/>
    </row>
    <row r="1543" spans="1:9" ht="15.6" x14ac:dyDescent="0.3">
      <c r="A1543" s="1" t="s">
        <v>4</v>
      </c>
      <c r="B1543" s="1" t="s">
        <v>4</v>
      </c>
      <c r="C1543" s="10" t="s">
        <v>4</v>
      </c>
      <c r="D1543" s="5" t="s">
        <v>1510</v>
      </c>
      <c r="E1543" s="1" t="str">
        <f ca="1">IFERROR(__xludf.DUMMYFUNCTION("GOOGLETRANSLATE(D1543, ""bn"", ""en"")"),"Because when no Hindu is condemning the desecration of the Quran, Hindu organizations are not saying that they are not involved in this incident, they are against this incident, why do the broker's children say that it is the work of a third party?")</f>
        <v>Because when no Hindu is condemning the desecration of the Quran, Hindu organizations are not saying that they are not involved in this incident, they are against this incident, why do the broker's children say that it is the work of a third party?</v>
      </c>
      <c r="F1543" s="1"/>
      <c r="G1543" s="1"/>
      <c r="H1543" s="1"/>
      <c r="I1543" s="1"/>
    </row>
    <row r="1544" spans="1:9" ht="15.6" x14ac:dyDescent="0.3">
      <c r="A1544" s="1" t="s">
        <v>5</v>
      </c>
      <c r="B1544" s="1" t="s">
        <v>5</v>
      </c>
      <c r="C1544" s="10" t="s">
        <v>5</v>
      </c>
      <c r="D1544" s="5" t="s">
        <v>1511</v>
      </c>
      <c r="E1544" s="1" t="str">
        <f ca="1">IFERROR(__xludf.DUMMYFUNCTION("GOOGLETRANSLATE(D1544, ""bn"", ""en"")"),"God! There is no god but He, the Living, the Sustainer of all things. Neither slumber nor sleep can touch him.")</f>
        <v>God! There is no god but He, the Living, the Sustainer of all things. Neither slumber nor sleep can touch him.</v>
      </c>
      <c r="F1544" s="1"/>
      <c r="G1544" s="1"/>
      <c r="H1544" s="1"/>
      <c r="I1544" s="1"/>
    </row>
    <row r="1545" spans="1:9" ht="15.6" x14ac:dyDescent="0.3">
      <c r="A1545" s="1" t="s">
        <v>7</v>
      </c>
      <c r="B1545" s="1" t="s">
        <v>7</v>
      </c>
      <c r="C1545" s="10" t="s">
        <v>7</v>
      </c>
      <c r="D1545" s="5" t="s">
        <v>1512</v>
      </c>
      <c r="E1545" s="1" t="str">
        <f ca="1">IFERROR(__xludf.DUMMYFUNCTION("GOOGLETRANSLATE(D1545, ""bn"", ""en"")"),"The mentality of not being able to tolerate differences in faith has given rise to several violent incidents, where many lives have ended prematurely.")</f>
        <v>The mentality of not being able to tolerate differences in faith has given rise to several violent incidents, where many lives have ended prematurely.</v>
      </c>
      <c r="F1545" s="1"/>
      <c r="G1545" s="1"/>
      <c r="H1545" s="1"/>
      <c r="I1545" s="1"/>
    </row>
    <row r="1546" spans="1:9" ht="15.6" x14ac:dyDescent="0.3">
      <c r="A1546" s="1" t="s">
        <v>5</v>
      </c>
      <c r="B1546" s="1" t="s">
        <v>5</v>
      </c>
      <c r="C1546" s="10" t="s">
        <v>5</v>
      </c>
      <c r="D1546" s="5" t="s">
        <v>1513</v>
      </c>
      <c r="E1546" s="1" t="str">
        <f ca="1">IFERROR(__xludf.DUMMYFUNCTION("GOOGLETRANSLATE(D1546, ""bn"", ""en"")"),"Nowadays, the Judeo-Christians are expressing their identity through their actions, so it is the duty of the Muslim Ummah to understand them and not to follow them in thought and action, but to be firm in their own values.")</f>
        <v>Nowadays, the Judeo-Christians are expressing their identity through their actions, so it is the duty of the Muslim Ummah to understand them and not to follow them in thought and action, but to be firm in their own values.</v>
      </c>
      <c r="F1546" s="1"/>
      <c r="G1546" s="1"/>
      <c r="H1546" s="1"/>
      <c r="I1546" s="1"/>
    </row>
    <row r="1547" spans="1:9" ht="15.6" x14ac:dyDescent="0.3">
      <c r="A1547" s="1" t="s">
        <v>4</v>
      </c>
      <c r="B1547" s="1" t="s">
        <v>4</v>
      </c>
      <c r="C1547" s="10" t="s">
        <v>4</v>
      </c>
      <c r="D1547" s="5" t="s">
        <v>1514</v>
      </c>
      <c r="E1547" s="1" t="str">
        <f ca="1">IFERROR(__xludf.DUMMYFUNCTION("GOOGLETRANSLATE(D1547, ""bn"", ""en"")"),"Quran is our oxygen. We are ready to give our lives for the Qur'an. Those who have insulted our Qur'an and burnt it will be judged in this world ")</f>
        <v xml:space="preserve">Quran is our oxygen. We are ready to give our lives for the Qur'an. Those who have insulted our Qur'an and burnt it will be judged in this world </v>
      </c>
      <c r="F1547" s="1"/>
      <c r="G1547" s="1"/>
      <c r="H1547" s="1"/>
      <c r="I1547" s="1"/>
    </row>
    <row r="1548" spans="1:9" ht="15.6" x14ac:dyDescent="0.3">
      <c r="A1548" s="1" t="s">
        <v>5</v>
      </c>
      <c r="B1548" s="1" t="s">
        <v>5</v>
      </c>
      <c r="C1548" s="10" t="s">
        <v>5</v>
      </c>
      <c r="D1548" s="5" t="s">
        <v>1515</v>
      </c>
      <c r="E1548" s="1" t="str">
        <f ca="1">IFERROR(__xludf.DUMMYFUNCTION("GOOGLETRANSLATE(D1548, ""bn"", ""en"")"),"Understanding human psychology has become important for us to develop artificial intelligence on religious and cultural issues. Because religion and culture are based on people's mental thoughts.")</f>
        <v>Understanding human psychology has become important for us to develop artificial intelligence on religious and cultural issues. Because religion and culture are based on people's mental thoughts.</v>
      </c>
      <c r="F1548" s="1"/>
      <c r="G1548" s="1"/>
      <c r="H1548" s="1"/>
      <c r="I1548" s="1"/>
    </row>
    <row r="1549" spans="1:9" ht="17.399999999999999" x14ac:dyDescent="0.3">
      <c r="A1549" s="1" t="s">
        <v>7</v>
      </c>
      <c r="B1549" s="1" t="s">
        <v>7</v>
      </c>
      <c r="C1549" s="10" t="s">
        <v>7</v>
      </c>
      <c r="D1549" s="5" t="s">
        <v>3507</v>
      </c>
      <c r="E1549" s="1" t="str">
        <f ca="1">IFERROR(__xludf.DUMMYFUNCTION("GOOGLETRANSLATE(D1549, ""bn"", ""en"")"),"The September 11 attacks (also known as Nine/Eleven[a]) were four simultaneous al Qaeda-linked suicide attacks on the United States on the morning of Tuesday, September 11, 2001. 2,997 people were killed in this attack,")</f>
        <v>The September 11 attacks (also known as Nine/Eleven[a]) were four simultaneous al Qaeda-linked suicide attacks on the United States on the morning of Tuesday, September 11, 2001. 2,997 people were killed in this attack,</v>
      </c>
      <c r="F1549" s="1"/>
      <c r="G1549" s="1"/>
      <c r="H1549" s="1"/>
      <c r="I1549" s="1"/>
    </row>
    <row r="1550" spans="1:9" ht="15.6" x14ac:dyDescent="0.3">
      <c r="A1550" s="1" t="s">
        <v>4</v>
      </c>
      <c r="B1550" s="1" t="s">
        <v>5</v>
      </c>
      <c r="C1550" s="10" t="s">
        <v>4</v>
      </c>
      <c r="D1550" s="5" t="s">
        <v>1516</v>
      </c>
      <c r="E1550" s="1" t="str">
        <f ca="1">IFERROR(__xludf.DUMMYFUNCTION("GOOGLETRANSLATE(D1550, ""bn"", ""en"")"),"There is no end to insults because there is no mind in action in religion. Kalachand! How can we explain that institutional religion and God have nothing to do with each other? ")</f>
        <v xml:space="preserve">There is no end to insults because there is no mind in action in religion. Kalachand! How can we explain that institutional religion and God have nothing to do with each other? </v>
      </c>
      <c r="F1550" s="1"/>
      <c r="G1550" s="1"/>
      <c r="H1550" s="1"/>
      <c r="I1550" s="1"/>
    </row>
    <row r="1551" spans="1:9" ht="15.6" x14ac:dyDescent="0.3">
      <c r="A1551" s="1" t="s">
        <v>5</v>
      </c>
      <c r="B1551" s="1" t="s">
        <v>4</v>
      </c>
      <c r="C1551" s="10" t="s">
        <v>5</v>
      </c>
      <c r="D1551" s="5" t="s">
        <v>1517</v>
      </c>
      <c r="E1551" s="1" t="str">
        <f ca="1">IFERROR(__xludf.DUMMYFUNCTION("GOOGLETRANSLATE(D1551, ""bn"", ""en"")"),"O Prophet! Tell your wives, your daughters and the women of the believers that they should draw some part of their cloak over themselves (when they go out of the house), so that they will be recognized and they will not be molested. Allah is Most Forgivin"&amp;"g, Most Merciful.")</f>
        <v>O Prophet! Tell your wives, your daughters and the women of the believers that they should draw some part of their cloak over themselves (when they go out of the house), so that they will be recognized and they will not be molested. Allah is Most Forgiving, Most Merciful.</v>
      </c>
      <c r="F1551" s="1"/>
      <c r="G1551" s="1"/>
      <c r="H1551" s="1"/>
      <c r="I1551" s="1"/>
    </row>
    <row r="1552" spans="1:9" ht="15.6" x14ac:dyDescent="0.3">
      <c r="A1552" s="1" t="s">
        <v>7</v>
      </c>
      <c r="B1552" s="1" t="s">
        <v>4</v>
      </c>
      <c r="C1552" s="10" t="s">
        <v>7</v>
      </c>
      <c r="D1552" s="5" t="s">
        <v>1518</v>
      </c>
      <c r="E1552" s="1" t="str">
        <f ca="1">IFERROR(__xludf.DUMMYFUNCTION("GOOGLETRANSLATE(D1552, ""bn"", ""en"")"),"State-sanctioned programs have taken shape. [2][3] Between 1954 and 1982, Hindu-Muslim communal violence killed around 10,000 Muslims in incidents of communal violence that began in the 1950s. [4]")</f>
        <v>State-sanctioned programs have taken shape. [2][3] Between 1954 and 1982, Hindu-Muslim communal violence killed around 10,000 Muslims in incidents of communal violence that began in the 1950s. [4]</v>
      </c>
      <c r="F1552" s="1"/>
      <c r="G1552" s="1"/>
      <c r="H1552" s="1"/>
      <c r="I1552" s="1"/>
    </row>
    <row r="1553" spans="1:9" ht="15.6" x14ac:dyDescent="0.3">
      <c r="A1553" s="1" t="s">
        <v>4</v>
      </c>
      <c r="B1553" s="1" t="s">
        <v>5</v>
      </c>
      <c r="C1553" s="10" t="s">
        <v>4</v>
      </c>
      <c r="D1553" s="5" t="s">
        <v>1519</v>
      </c>
      <c r="E1553" s="1" t="str">
        <f ca="1">IFERROR(__xludf.DUMMYFUNCTION("GOOGLETRANSLATE(D1553, ""bn"", ""en"")"),"Arts faculty has so much power!! Then Arabic department should also maintain its own power. No answer should be given.")</f>
        <v>Arts faculty has so much power!! Then Arabic department should also maintain its own power. No answer should be given.</v>
      </c>
      <c r="F1553" s="1"/>
      <c r="G1553" s="1"/>
      <c r="H1553" s="1"/>
      <c r="I1553" s="1"/>
    </row>
    <row r="1554" spans="1:9" ht="15.6" x14ac:dyDescent="0.3">
      <c r="A1554" s="1" t="s">
        <v>4</v>
      </c>
      <c r="B1554" s="1" t="s">
        <v>4</v>
      </c>
      <c r="C1554" s="10" t="s">
        <v>4</v>
      </c>
      <c r="D1554" s="5" t="s">
        <v>1520</v>
      </c>
      <c r="E1554" s="1" t="str">
        <f ca="1">IFERROR(__xludf.DUMMYFUNCTION("GOOGLETRANSLATE(D1554, ""bn"", ""en"")"),"On June 17 in Narail, Acting Principal of Mirzapur United Degree College, Swapan Kumar Biswas, was put on a garland of shoes in front of the DC, SP and government party leaders, accusing him of insulting religion. ")</f>
        <v>On June 17 in Narail, Acting Principal of Mirzapur United Degree College, Swapan Kumar Biswas, was put on a garland of shoes in front of the DC, SP and government party leaders, accusing him of insulting religion. </v>
      </c>
      <c r="F1554" s="1"/>
      <c r="G1554" s="1"/>
      <c r="H1554" s="1"/>
      <c r="I1554" s="1"/>
    </row>
    <row r="1555" spans="1:9" ht="15.6" x14ac:dyDescent="0.3">
      <c r="A1555" s="1" t="s">
        <v>5</v>
      </c>
      <c r="B1555" s="1" t="s">
        <v>5</v>
      </c>
      <c r="C1555" s="10" t="s">
        <v>5</v>
      </c>
      <c r="D1555" s="5" t="s">
        <v>1521</v>
      </c>
      <c r="E1555" s="1" t="str">
        <f ca="1">IFERROR(__xludf.DUMMYFUNCTION("GOOGLETRANSLATE(D1555, ""bn"", ""en"")"),"In the first conference of the 'World Fellowship of Buddhists' held in Sri Lanka in 1950, it was decided to celebrate the birthday of Buddha on this full moon tithi of the month of Baisakh.")</f>
        <v>In the first conference of the 'World Fellowship of Buddhists' held in Sri Lanka in 1950, it was decided to celebrate the birthday of Buddha on this full moon tithi of the month of Baisakh.</v>
      </c>
      <c r="F1555" s="1"/>
      <c r="G1555" s="1"/>
      <c r="H1555" s="1"/>
      <c r="I1555" s="1"/>
    </row>
    <row r="1556" spans="1:9" ht="15.6" x14ac:dyDescent="0.3">
      <c r="A1556" s="1" t="s">
        <v>7</v>
      </c>
      <c r="B1556" s="1" t="s">
        <v>7</v>
      </c>
      <c r="C1556" s="10" t="s">
        <v>7</v>
      </c>
      <c r="D1556" s="5" t="s">
        <v>1522</v>
      </c>
      <c r="E1556" s="1" t="str">
        <f ca="1">IFERROR(__xludf.DUMMYFUNCTION("GOOGLETRANSLATE(D1556, ""bn"", ""en"")"),"After the Battle of Khaybar, a Jewish woman invited Muhammad to kill him by poisoning the flesh of a goat.")</f>
        <v>After the Battle of Khaybar, a Jewish woman invited Muhammad to kill him by poisoning the flesh of a goat.</v>
      </c>
      <c r="F1556" s="1"/>
      <c r="G1556" s="1"/>
      <c r="H1556" s="1"/>
      <c r="I1556" s="1"/>
    </row>
    <row r="1557" spans="1:9" ht="15.6" x14ac:dyDescent="0.3">
      <c r="A1557" s="1" t="s">
        <v>9</v>
      </c>
      <c r="B1557" s="1" t="s">
        <v>9</v>
      </c>
      <c r="C1557" s="10" t="s">
        <v>9</v>
      </c>
      <c r="D1557" s="5" t="s">
        <v>1523</v>
      </c>
      <c r="E1557" s="1" t="str">
        <f ca="1">IFERROR(__xludf.DUMMYFUNCTION("GOOGLETRANSLATE(D1557, ""bn"", ""en"")"),"If Muslims are persecuted in India, Hindus will be attacked in Bangladesh, just as the statement is not supportable, similarly, if Hindus are persecuted in Bangladesh, Muslims will be persecuted in India, it cannot be accepted either. One crime cannot exp"&amp;"lain another crime.")</f>
        <v>If Muslims are persecuted in India, Hindus will be attacked in Bangladesh, just as the statement is not supportable, similarly, if Hindus are persecuted in Bangladesh, Muslims will be persecuted in India, it cannot be accepted either. One crime cannot explain another crime.</v>
      </c>
      <c r="F1557" s="1"/>
      <c r="G1557" s="1"/>
      <c r="H1557" s="1"/>
      <c r="I1557" s="1"/>
    </row>
    <row r="1558" spans="1:9" ht="15.6" x14ac:dyDescent="0.3">
      <c r="A1558" s="1" t="s">
        <v>9</v>
      </c>
      <c r="B1558" s="1" t="s">
        <v>4</v>
      </c>
      <c r="C1558" s="10" t="s">
        <v>9</v>
      </c>
      <c r="D1558" s="5" t="s">
        <v>1524</v>
      </c>
      <c r="E1558" s="1" t="str">
        <f ca="1">IFERROR(__xludf.DUMMYFUNCTION("GOOGLETRANSLATE(D1558, ""bn"", ""en"")"),"A few houses of Hindus were vandalized and set on fire in Muradnagar, Comilla, due to rumors of insulting religion on Facebook. The police there believe that there is an organized group behind this incident.")</f>
        <v>A few houses of Hindus were vandalized and set on fire in Muradnagar, Comilla, due to rumors of insulting religion on Facebook. The police there believe that there is an organized group behind this incident.</v>
      </c>
      <c r="F1558" s="1"/>
      <c r="G1558" s="1"/>
      <c r="H1558" s="1"/>
      <c r="I1558" s="1"/>
    </row>
    <row r="1559" spans="1:9" ht="15.6" x14ac:dyDescent="0.3">
      <c r="A1559" s="1" t="s">
        <v>7</v>
      </c>
      <c r="B1559" s="1" t="s">
        <v>7</v>
      </c>
      <c r="C1559" s="10" t="s">
        <v>7</v>
      </c>
      <c r="D1559" s="5" t="s">
        <v>1525</v>
      </c>
      <c r="E1559" s="1" t="str">
        <f ca="1">IFERROR(__xludf.DUMMYFUNCTION("GOOGLETRANSLATE(D1559, ""bn"", ""en"")"),"There are many stories about girls who commit suicide. There have been cases of suicide in this country for trivial reasons such as not getting married because of the color of the skin.")</f>
        <v>There are many stories about girls who commit suicide. There have been cases of suicide in this country for trivial reasons such as not getting married because of the color of the skin.</v>
      </c>
      <c r="F1559" s="1"/>
      <c r="G1559" s="1"/>
      <c r="H1559" s="1"/>
      <c r="I1559" s="1"/>
    </row>
    <row r="1560" spans="1:9" ht="15.6" x14ac:dyDescent="0.3">
      <c r="A1560" s="1" t="s">
        <v>5</v>
      </c>
      <c r="B1560" s="1" t="s">
        <v>5</v>
      </c>
      <c r="C1560" s="10" t="s">
        <v>5</v>
      </c>
      <c r="D1560" s="5" t="s">
        <v>1526</v>
      </c>
      <c r="E1560" s="1" t="str">
        <f ca="1">IFERROR(__xludf.DUMMYFUNCTION("GOOGLETRANSLATE(D1560, ""bn"", ""en"")"),"If Almighty Allah forgives me, bestows His immense grace, then surely I want to be in Paradise with my beloved Amma, in His love. (Rabbi's Hamhuma Kama Rabbayani Sagira).")</f>
        <v>If Almighty Allah forgives me, bestows His immense grace, then surely I want to be in Paradise with my beloved Amma, in His love. (Rabbi's Hamhuma Kama Rabbayani Sagira).</v>
      </c>
      <c r="F1560" s="1"/>
      <c r="G1560" s="1"/>
      <c r="H1560" s="1"/>
      <c r="I1560" s="1"/>
    </row>
    <row r="1561" spans="1:9" ht="15.6" x14ac:dyDescent="0.3">
      <c r="A1561" s="1" t="s">
        <v>4</v>
      </c>
      <c r="B1561" s="1" t="s">
        <v>5</v>
      </c>
      <c r="C1561" s="10" t="s">
        <v>4</v>
      </c>
      <c r="D1561" s="5" t="s">
        <v>1527</v>
      </c>
      <c r="E1561" s="1" t="str">
        <f ca="1">IFERROR(__xludf.DUMMYFUNCTION("GOOGLETRANSLATE(D1561, ""bn"", ""en"")"),"Where divorce is religiously accepted, it is normal to leave you.")</f>
        <v>Where divorce is religiously accepted, it is normal to leave you.</v>
      </c>
      <c r="F1561" s="1"/>
      <c r="G1561" s="1"/>
      <c r="H1561" s="1"/>
      <c r="I1561" s="1"/>
    </row>
    <row r="1562" spans="1:9" ht="15.6" x14ac:dyDescent="0.3">
      <c r="A1562" s="1" t="s">
        <v>4</v>
      </c>
      <c r="B1562" s="1" t="s">
        <v>5</v>
      </c>
      <c r="C1562" s="10" t="s">
        <v>4</v>
      </c>
      <c r="D1562" s="5" t="s">
        <v>1528</v>
      </c>
      <c r="E1562" s="1" t="str">
        <f ca="1">IFERROR(__xludf.DUMMYFUNCTION("GOOGLETRANSLATE(D1562, ""bn"", ""en"")"),"The reason for the weakness of faith is being away from the faith environment for a long time. Abstain from being an honest and exemplary person. Staying away from Shariah knowledge and religious books. To dwell among sinners. Being engrossed in the world"&amp;".")</f>
        <v>The reason for the weakness of faith is being away from the faith environment for a long time. Abstain from being an honest and exemplary person. Staying away from Shariah knowledge and religious books. To dwell among sinners. Being engrossed in the world.</v>
      </c>
      <c r="F1562" s="1"/>
      <c r="G1562" s="1"/>
      <c r="H1562" s="1"/>
      <c r="I1562" s="1"/>
    </row>
    <row r="1563" spans="1:9" ht="15.6" x14ac:dyDescent="0.3">
      <c r="A1563" s="1" t="s">
        <v>5</v>
      </c>
      <c r="B1563" s="1" t="s">
        <v>5</v>
      </c>
      <c r="C1563" s="10" t="s">
        <v>5</v>
      </c>
      <c r="D1563" s="5" t="s">
        <v>1529</v>
      </c>
      <c r="E1563" s="1" t="str">
        <f ca="1">IFERROR(__xludf.DUMMYFUNCTION("GOOGLETRANSLATE(D1563, ""bn"", ""en"")"),"Important sources of information about Muhammad's life are found in historical writings by writers in the second and third centuries Hijri (around the eighth and ninth centuries AD).[41] These include traditional Muslim biographies of the Prophet Muhammad"&amp;", which provide additional information about his life.")</f>
        <v>Important sources of information about Muhammad's life are found in historical writings by writers in the second and third centuries Hijri (around the eighth and ninth centuries AD).[41] These include traditional Muslim biographies of the Prophet Muhammad, which provide additional information about his life.</v>
      </c>
      <c r="F1563" s="1"/>
      <c r="G1563" s="1"/>
      <c r="H1563" s="1"/>
      <c r="I1563" s="1"/>
    </row>
    <row r="1564" spans="1:9" ht="15.6" x14ac:dyDescent="0.3">
      <c r="A1564" s="1" t="s">
        <v>9</v>
      </c>
      <c r="B1564" s="1" t="s">
        <v>9</v>
      </c>
      <c r="C1564" s="10" t="s">
        <v>9</v>
      </c>
      <c r="D1564" s="5" t="s">
        <v>1530</v>
      </c>
      <c r="E1564" s="1" t="str">
        <f ca="1">IFERROR(__xludf.DUMMYFUNCTION("GOOGLETRANSLATE(D1564, ""bn"", ""en"")"),"District Superintendent of Police armed police contingents and Ansar forces launched merciless attacks on Hindu villages in and around Kalshira.[9][10] They encouraged the Muslim residents of the surrounding villages to loot the houses and properties of t"&amp;"he Hindu community.")</f>
        <v>District Superintendent of Police armed police contingents and Ansar forces launched merciless attacks on Hindu villages in and around Kalshira.[9][10] They encouraged the Muslim residents of the surrounding villages to loot the houses and properties of the Hindu community.</v>
      </c>
      <c r="F1564" s="1"/>
      <c r="G1564" s="1"/>
      <c r="H1564" s="1"/>
      <c r="I1564" s="1"/>
    </row>
    <row r="1565" spans="1:9" ht="15.6" x14ac:dyDescent="0.3">
      <c r="A1565" s="1" t="s">
        <v>4</v>
      </c>
      <c r="B1565" s="1" t="s">
        <v>4</v>
      </c>
      <c r="C1565" s="10" t="s">
        <v>4</v>
      </c>
      <c r="D1565" s="5" t="s">
        <v>1531</v>
      </c>
      <c r="E1565" s="1" t="str">
        <f ca="1">IFERROR(__xludf.DUMMYFUNCTION("GOOGLETRANSLATE(D1565, ""bn"", ""en"")"),"Do you read the Koran? What to do with verses when reading the Qur'an?")</f>
        <v>Do you read the Koran? What to do with verses when reading the Qur'an?</v>
      </c>
      <c r="F1565" s="1"/>
      <c r="G1565" s="1"/>
      <c r="H1565" s="1"/>
      <c r="I1565" s="1"/>
    </row>
    <row r="1566" spans="1:9" ht="15.6" x14ac:dyDescent="0.3">
      <c r="A1566" s="1" t="s">
        <v>4</v>
      </c>
      <c r="B1566" s="1" t="s">
        <v>4</v>
      </c>
      <c r="C1566" s="10" t="s">
        <v>4</v>
      </c>
      <c r="D1566" s="5" t="s">
        <v>1532</v>
      </c>
      <c r="E1566" s="1" t="str">
        <f ca="1">IFERROR(__xludf.DUMMYFUNCTION("GOOGLETRANSLATE(D1566, ""bn"", ""en"")"),"Taskin's wife's burqa was defiled. Then these opportunists did not protest but instead went along with their attacks.")</f>
        <v>Taskin's wife's burqa was defiled. Then these opportunists did not protest but instead went along with their attacks.</v>
      </c>
      <c r="F1566" s="1"/>
      <c r="G1566" s="1"/>
      <c r="H1566" s="1"/>
      <c r="I1566" s="1"/>
    </row>
    <row r="1567" spans="1:9" ht="15.6" x14ac:dyDescent="0.3">
      <c r="A1567" s="1" t="s">
        <v>9</v>
      </c>
      <c r="B1567" s="1" t="s">
        <v>9</v>
      </c>
      <c r="C1567" s="10" t="s">
        <v>9</v>
      </c>
      <c r="D1567" s="5" t="s">
        <v>1533</v>
      </c>
      <c r="E1567" s="1" t="str">
        <f ca="1">IFERROR(__xludf.DUMMYFUNCTION("GOOGLETRANSLATE(D1567, ""bn"", ""en"")"),"Some Jamaat-e-Islami extremists printed screenshots of his posts and incited people in mosques in the upazilas of Gangachra, Taraganj, Nilphamari districts of Rangpur for several days. Later they attacked Hindus in Gangachra Upazila.")</f>
        <v>Some Jamaat-e-Islami extremists printed screenshots of his posts and incited people in mosques in the upazilas of Gangachra, Taraganj, Nilphamari districts of Rangpur for several days. Later they attacked Hindus in Gangachra Upazila.</v>
      </c>
      <c r="F1567" s="1"/>
      <c r="G1567" s="1"/>
      <c r="H1567" s="1"/>
      <c r="I1567" s="1"/>
    </row>
    <row r="1568" spans="1:9" ht="15.6" x14ac:dyDescent="0.3">
      <c r="A1568" s="1" t="s">
        <v>7</v>
      </c>
      <c r="B1568" s="1" t="s">
        <v>7</v>
      </c>
      <c r="C1568" s="10" t="s">
        <v>7</v>
      </c>
      <c r="D1568" s="5" t="s">
        <v>1534</v>
      </c>
      <c r="E1568" s="1" t="str">
        <f ca="1">IFERROR(__xludf.DUMMYFUNCTION("GOOGLETRANSLATE(D1568, ""bn"", ""en"")"),"Many people were brutally killed when religious tensions between different communities turned violent.")</f>
        <v>Many people were brutally killed when religious tensions between different communities turned violent.</v>
      </c>
      <c r="F1568" s="1"/>
      <c r="G1568" s="1"/>
      <c r="H1568" s="1"/>
      <c r="I1568" s="1"/>
    </row>
    <row r="1569" spans="1:9" ht="46.8" x14ac:dyDescent="0.3">
      <c r="A1569" s="1" t="s">
        <v>4</v>
      </c>
      <c r="B1569" s="1" t="s">
        <v>4</v>
      </c>
      <c r="C1569" s="10" t="s">
        <v>4</v>
      </c>
      <c r="D1569" s="6" t="s">
        <v>3979</v>
      </c>
      <c r="E1569" s="1" t="str">
        <f ca="1">IFERROR(__xludf.DUMMYFUNCTION("GOOGLETRANSLATE(D1569, ""bn"", ""en"")"),"All parties are destroying social order by quoting Quran and Hadith in the name of religion. Creating chaotic situation in the society. It is destroying the sense of Muslim brotherhood. It is creating a kind of division in the Muslim society from neighbor"&amp;"hood to neighborhood to neighborhood to neighborhood to area to area.")</f>
        <v>All parties are destroying social order by quoting Quran and Hadith in the name of religion. Creating chaotic situation in the society. It is destroying the sense of Muslim brotherhood. It is creating a kind of division in the Muslim society from neighborhood to neighborhood to neighborhood to neighborhood to area to area.</v>
      </c>
      <c r="F1569" s="1"/>
      <c r="G1569" s="1"/>
      <c r="H1569" s="1"/>
      <c r="I1569" s="1"/>
    </row>
    <row r="1570" spans="1:9" ht="15.6" x14ac:dyDescent="0.3">
      <c r="A1570" s="1" t="s">
        <v>7</v>
      </c>
      <c r="B1570" s="1" t="s">
        <v>7</v>
      </c>
      <c r="C1570" s="10" t="s">
        <v>7</v>
      </c>
      <c r="D1570" s="5" t="s">
        <v>1535</v>
      </c>
      <c r="E1570" s="1" t="str">
        <f ca="1">IFERROR(__xludf.DUMMYFUNCTION("GOOGLETRANSLATE(D1570, ""bn"", ""en"")"),"Bathing the dead is an obligatory kefayah. Those who know how to bathe the deceased in the Shari'i manner, i.e. according to the established rules of Islam, will take the responsibility of bathing the dead. ")</f>
        <v>Bathing the dead is an obligatory kefayah. Those who know how to bathe the deceased in the Shari'i manner, i.e. according to the established rules of Islam, will take the responsibility of bathing the dead. </v>
      </c>
      <c r="F1570" s="1"/>
      <c r="G1570" s="1"/>
      <c r="H1570" s="1"/>
      <c r="I1570" s="1"/>
    </row>
    <row r="1571" spans="1:9" ht="62.4" x14ac:dyDescent="0.3">
      <c r="A1571" s="1" t="s">
        <v>9</v>
      </c>
      <c r="B1571" s="1" t="s">
        <v>4</v>
      </c>
      <c r="C1571" s="10" t="s">
        <v>9</v>
      </c>
      <c r="D1571" s="6" t="s">
        <v>3978</v>
      </c>
      <c r="E1571" s="1" t="str">
        <f ca="1">IFERROR(__xludf.DUMMYFUNCTION("GOOGLETRANSLATE(D1571, ""bn"", ""en"")"),"The entire Hindu population of Noakhali was looted and forcibly converted to Islam. [44] Congress President Acharya Kripalani's wife Sucheta Kripalani went to Noakhali to rescue the women. Ghulam Sarwar, the villain of the riots, issues a fatwa that whoev"&amp;"er can rape Sucheta will be paid a lot of money and given the title of Ghazi. Sucheta always kept a potassium cyanide capsule hanging around his neck.[10]")</f>
        <v>The entire Hindu population of Noakhali was looted and forcibly converted to Islam. [44] Congress President Acharya Kripalani's wife Sucheta Kripalani went to Noakhali to rescue the women. Ghulam Sarwar, the villain of the riots, issues a fatwa that whoever can rape Sucheta will be paid a lot of money and given the title of Ghazi. Sucheta always kept a potassium cyanide capsule hanging around his neck.[10]</v>
      </c>
      <c r="F1571" s="1"/>
      <c r="G1571" s="1"/>
      <c r="H1571" s="1"/>
      <c r="I1571" s="1"/>
    </row>
    <row r="1572" spans="1:9" ht="15.6" x14ac:dyDescent="0.3">
      <c r="A1572" s="1" t="s">
        <v>5</v>
      </c>
      <c r="B1572" s="1" t="s">
        <v>5</v>
      </c>
      <c r="C1572" s="10" t="s">
        <v>5</v>
      </c>
      <c r="D1572" s="5" t="s">
        <v>1536</v>
      </c>
      <c r="E1572" s="1" t="str">
        <f ca="1">IFERROR(__xludf.DUMMYFUNCTION("GOOGLETRANSLATE(D1572, ""bn"", ""en"")"),"The peaceful coexistence between Hindus and Muslims becomes an exemplary example for the society, where they cooperate with each other in every sphere of life with mutual respect and love.")</f>
        <v>The peaceful coexistence between Hindus and Muslims becomes an exemplary example for the society, where they cooperate with each other in every sphere of life with mutual respect and love.</v>
      </c>
      <c r="F1572" s="1"/>
      <c r="G1572" s="1"/>
      <c r="H1572" s="1"/>
      <c r="I1572" s="1"/>
    </row>
    <row r="1573" spans="1:9" ht="15.6" x14ac:dyDescent="0.3">
      <c r="A1573" s="1" t="s">
        <v>5</v>
      </c>
      <c r="B1573" s="1" t="s">
        <v>5</v>
      </c>
      <c r="C1573" s="10" t="s">
        <v>5</v>
      </c>
      <c r="D1573" s="5" t="s">
        <v>1537</v>
      </c>
      <c r="E1573" s="1" t="str">
        <f ca="1">IFERROR(__xludf.DUMMYFUNCTION("GOOGLETRANSLATE(D1573, ""bn"", ""en"")"),"Almighty Allah has named this night as 'Lailatul Qadr'. He revealed a Surah called Qadr. He described the characteristics and virtues of this night.")</f>
        <v>Almighty Allah has named this night as 'Lailatul Qadr'. He revealed a Surah called Qadr. He described the characteristics and virtues of this night.</v>
      </c>
      <c r="F1573" s="1"/>
      <c r="G1573" s="1"/>
      <c r="H1573" s="1"/>
      <c r="I1573" s="1"/>
    </row>
    <row r="1574" spans="1:9" ht="46.8" x14ac:dyDescent="0.3">
      <c r="A1574" s="1" t="s">
        <v>7</v>
      </c>
      <c r="B1574" s="1" t="s">
        <v>7</v>
      </c>
      <c r="C1574" s="10" t="s">
        <v>7</v>
      </c>
      <c r="D1574" s="6" t="s">
        <v>3977</v>
      </c>
      <c r="E1574" s="1" t="str">
        <f ca="1">IFERROR(__xludf.DUMMYFUNCTION("GOOGLETRANSLATE(D1574, ""bn"", ""en"")"),"However, Colucci and Lester state that none of the women reported by the media were psychologically evaluated prior to their suicides, and thus there is no objective data to confirm whether culture or mental illness was the primary driver behind their sui"&amp;"cides.")</f>
        <v>However, Colucci and Lester state that none of the women reported by the media were psychologically evaluated prior to their suicides, and thus there is no objective data to confirm whether culture or mental illness was the primary driver behind their suicides.</v>
      </c>
      <c r="F1574" s="1"/>
      <c r="G1574" s="1"/>
      <c r="H1574" s="1"/>
      <c r="I1574" s="1"/>
    </row>
    <row r="1575" spans="1:9" ht="46.8" x14ac:dyDescent="0.3">
      <c r="A1575" s="1" t="s">
        <v>9</v>
      </c>
      <c r="B1575" s="1" t="s">
        <v>9</v>
      </c>
      <c r="C1575" s="10" t="s">
        <v>9</v>
      </c>
      <c r="D1575" s="6" t="s">
        <v>3976</v>
      </c>
      <c r="E1575" s="1" t="str">
        <f ca="1">IFERROR(__xludf.DUMMYFUNCTION("GOOGLETRANSLATE(D1575, ""bn"", ""en"")"),"It continued from the first century until the beginning of the fourth century, when the religion was legalized by the Edict of Milan, eventually becoming the state church of the Roman Empire. Many Christians fled Roman persecution by migrating to the Pers"&amp;"ian Empire where, for a century and a half after Constantine's conversion, they were persecuted under the Sassanids, losing their lives by the thousands. ")</f>
        <v>It continued from the first century until the beginning of the fourth century, when the religion was legalized by the Edict of Milan, eventually becoming the state church of the Roman Empire. Many Christians fled Roman persecution by migrating to the Persian Empire where, for a century and a half after Constantine's conversion, they were persecuted under the Sassanids, losing their lives by the thousands. </v>
      </c>
      <c r="F1575" s="1"/>
      <c r="G1575" s="1"/>
      <c r="H1575" s="1"/>
      <c r="I1575" s="1"/>
    </row>
    <row r="1576" spans="1:9" ht="15.6" x14ac:dyDescent="0.3">
      <c r="A1576" s="1" t="s">
        <v>7</v>
      </c>
      <c r="B1576" s="1" t="s">
        <v>7</v>
      </c>
      <c r="C1576" s="10" t="s">
        <v>7</v>
      </c>
      <c r="D1576" s="5" t="s">
        <v>1538</v>
      </c>
      <c r="E1576" s="1" t="str">
        <f ca="1">IFERROR(__xludf.DUMMYFUNCTION("GOOGLETRANSLATE(D1576, ""bn"", ""en"")"),"Bangladesh government has charged Jamaat-e-Islami leader AKM Yusuf with war crimes before the International Criminal Tribunal. [5][6] Yusuf has been accused of massacring Hindus and directly responsible for the Daksha Massacre.")</f>
        <v>Bangladesh government has charged Jamaat-e-Islami leader AKM Yusuf with war crimes before the International Criminal Tribunal. [5][6] Yusuf has been accused of massacring Hindus and directly responsible for the Daksha Massacre.</v>
      </c>
      <c r="F1576" s="1"/>
      <c r="G1576" s="1"/>
      <c r="H1576" s="1"/>
      <c r="I1576" s="1"/>
    </row>
    <row r="1577" spans="1:9" ht="15.6" x14ac:dyDescent="0.3">
      <c r="A1577" s="1" t="s">
        <v>5</v>
      </c>
      <c r="B1577" s="1" t="s">
        <v>5</v>
      </c>
      <c r="C1577" s="10" t="s">
        <v>5</v>
      </c>
      <c r="D1577" s="5" t="s">
        <v>1539</v>
      </c>
      <c r="E1577" s="1" t="str">
        <f ca="1">IFERROR(__xludf.DUMMYFUNCTION("GOOGLETRANSLATE(D1577, ""bn"", ""en"")"),"""In the world you live as if you were a stranger or a stranger.""")</f>
        <v>"In the world you live as if you were a stranger or a stranger."</v>
      </c>
      <c r="F1577" s="1"/>
      <c r="G1577" s="1"/>
      <c r="H1577" s="1"/>
      <c r="I1577" s="1"/>
    </row>
    <row r="1578" spans="1:9" ht="15.6" x14ac:dyDescent="0.3">
      <c r="A1578" s="1" t="s">
        <v>9</v>
      </c>
      <c r="B1578" s="1" t="s">
        <v>5</v>
      </c>
      <c r="C1578" s="10" t="s">
        <v>9</v>
      </c>
      <c r="D1578" s="5" t="s">
        <v>1540</v>
      </c>
      <c r="E1578" s="1" t="str">
        <f ca="1">IFERROR(__xludf.DUMMYFUNCTION("GOOGLETRANSLATE(D1578, ""bn"", ""en"")"),"The attack was carried out last Sunday night in Tudun Biri village of Kaduna State targeting the celebration of Eid Miladunnabi. Local Muslims gathered there to celebrate Prophet Mohammad's birthday.")</f>
        <v>The attack was carried out last Sunday night in Tudun Biri village of Kaduna State targeting the celebration of Eid Miladunnabi. Local Muslims gathered there to celebrate Prophet Mohammad's birthday.</v>
      </c>
      <c r="F1578" s="1"/>
      <c r="G1578" s="1"/>
      <c r="H1578" s="1"/>
      <c r="I1578" s="1"/>
    </row>
    <row r="1579" spans="1:9" ht="15.6" x14ac:dyDescent="0.3">
      <c r="A1579" s="1" t="s">
        <v>5</v>
      </c>
      <c r="B1579" s="1" t="s">
        <v>5</v>
      </c>
      <c r="C1579" s="10" t="s">
        <v>5</v>
      </c>
      <c r="D1579" s="5" t="s">
        <v>1541</v>
      </c>
      <c r="E1579" s="1" t="str">
        <f ca="1">IFERROR(__xludf.DUMMYFUNCTION("GOOGLETRANSLATE(D1579, ""bn"", ""en"")"),"May their creator judge them with his own hands. Those who sit to stir the soft hearts of people.")</f>
        <v>May their creator judge them with his own hands. Those who sit to stir the soft hearts of people.</v>
      </c>
      <c r="F1579" s="1"/>
      <c r="G1579" s="1"/>
      <c r="H1579" s="1"/>
      <c r="I1579" s="1"/>
    </row>
    <row r="1580" spans="1:9" ht="15.6" x14ac:dyDescent="0.3">
      <c r="A1580" s="1" t="s">
        <v>4</v>
      </c>
      <c r="B1580" s="1" t="s">
        <v>4</v>
      </c>
      <c r="C1580" s="10" t="s">
        <v>4</v>
      </c>
      <c r="D1580" s="5" t="s">
        <v>1542</v>
      </c>
      <c r="E1580" s="1" t="str">
        <f ca="1">IFERROR(__xludf.DUMMYFUNCTION("GOOGLETRANSLATE(D1580, ""bn"", ""en"")"),"I demand exemplary punishment of all those involved in inhuman demonic activities along with desecration of Quran.")</f>
        <v>I demand exemplary punishment of all those involved in inhuman demonic activities along with desecration of Quran.</v>
      </c>
      <c r="F1580" s="1"/>
      <c r="G1580" s="1"/>
      <c r="H1580" s="1"/>
      <c r="I1580" s="1"/>
    </row>
    <row r="1581" spans="1:9" ht="15.6" x14ac:dyDescent="0.3">
      <c r="A1581" s="1" t="s">
        <v>7</v>
      </c>
      <c r="B1581" s="1" t="s">
        <v>7</v>
      </c>
      <c r="C1581" s="10" t="s">
        <v>7</v>
      </c>
      <c r="D1581" s="5" t="s">
        <v>1543</v>
      </c>
      <c r="E1581" s="1" t="str">
        <f ca="1">IFERROR(__xludf.DUMMYFUNCTION("GOOGLETRANSLATE(D1581, ""bn"", ""en"")"),"According to researcher A Roy, 5,00,000 (five lakh) Hindus were killed in that massacre and 45 lakh Hindus fled to India to save their lives.[47] Around the same time, another 10 lakh Pakistani Hindus fled to India as refugees from Sindh in then West Paki"&amp;"stan.")</f>
        <v>According to researcher A Roy, 5,00,000 (five lakh) Hindus were killed in that massacre and 45 lakh Hindus fled to India to save their lives.[47] Around the same time, another 10 lakh Pakistani Hindus fled to India as refugees from Sindh in then West Pakistan.</v>
      </c>
      <c r="F1581" s="1"/>
      <c r="G1581" s="1"/>
      <c r="H1581" s="1"/>
      <c r="I1581" s="1"/>
    </row>
    <row r="1582" spans="1:9" ht="15.6" x14ac:dyDescent="0.3">
      <c r="A1582" s="1" t="s">
        <v>4</v>
      </c>
      <c r="B1582" s="1" t="s">
        <v>4</v>
      </c>
      <c r="C1582" s="10" t="s">
        <v>4</v>
      </c>
      <c r="D1582" s="5" t="s">
        <v>1544</v>
      </c>
      <c r="E1582" s="1" t="str">
        <f ca="1">IFERROR(__xludf.DUMMYFUNCTION("GOOGLETRANSLATE(D1582, ""bn"", ""en"")"),"For a Hindu to become a Muslim is not only to lose a member of Hindu society, but to gain an enemy")</f>
        <v>For a Hindu to become a Muslim is not only to lose a member of Hindu society, but to gain an enemy</v>
      </c>
      <c r="F1582" s="1"/>
      <c r="G1582" s="1"/>
      <c r="H1582" s="1"/>
      <c r="I1582" s="1"/>
    </row>
    <row r="1583" spans="1:9" ht="62.4" x14ac:dyDescent="0.3">
      <c r="A1583" s="1" t="s">
        <v>7</v>
      </c>
      <c r="B1583" s="1" t="s">
        <v>7</v>
      </c>
      <c r="C1583" s="10" t="s">
        <v>7</v>
      </c>
      <c r="D1583" s="6" t="s">
        <v>3975</v>
      </c>
      <c r="E1583" s="1" t="str">
        <f ca="1">IFERROR(__xludf.DUMMYFUNCTION("GOOGLETRANSLATE(D1583, ""bn"", ""en"")"),"Taya Jinkin, a reporter for the London Economist and Manchester Guardian, reported that a train bound for Mymensingh from Ashuganj to Mymensingh was forced to stop at the Bhairav ​​Bridge over the Meghna River by a frenzied Muslim mob. Armed Muslim mobs a"&amp;"ttacked from both sides of the bridge. The hapless Hindu passengers who tried to escape by jumping into the river and climbing ashore were stoned with bricks. were beaten to death and many passengers were drowned in the river.")</f>
        <v>Taya Jinkin, a reporter for the London Economist and Manchester Guardian, reported that a train bound for Mymensingh from Ashuganj to Mymensingh was forced to stop at the Bhairav ​​Bridge over the Meghna River by a frenzied Muslim mob. Armed Muslim mobs attacked from both sides of the bridge. The hapless Hindu passengers who tried to escape by jumping into the river and climbing ashore were stoned with bricks. were beaten to death and many passengers were drowned in the river.</v>
      </c>
      <c r="F1583" s="1"/>
      <c r="G1583" s="1"/>
      <c r="H1583" s="1"/>
      <c r="I1583" s="1"/>
    </row>
    <row r="1584" spans="1:9" ht="15.6" x14ac:dyDescent="0.3">
      <c r="A1584" s="1" t="s">
        <v>7</v>
      </c>
      <c r="B1584" s="1" t="s">
        <v>7</v>
      </c>
      <c r="C1584" s="10" t="s">
        <v>7</v>
      </c>
      <c r="D1584" s="5" t="s">
        <v>1545</v>
      </c>
      <c r="E1584" s="1" t="str">
        <f ca="1">IFERROR(__xludf.DUMMYFUNCTION("GOOGLETRANSLATE(D1584, ""bn"", ""en"")"),"Galimpur massacre is a massacre organized by Pakistani army on 20 May 1971 against Hindu people of Galimpur village in Sylhet district.")</f>
        <v>Galimpur massacre is a massacre organized by Pakistani army on 20 May 1971 against Hindu people of Galimpur village in Sylhet district.</v>
      </c>
      <c r="F1584" s="1"/>
      <c r="G1584" s="1"/>
      <c r="H1584" s="1"/>
      <c r="I1584" s="1"/>
    </row>
    <row r="1585" spans="1:9" ht="15.6" x14ac:dyDescent="0.3">
      <c r="A1585" s="1" t="s">
        <v>7</v>
      </c>
      <c r="B1585" s="1" t="s">
        <v>7</v>
      </c>
      <c r="C1585" s="10" t="s">
        <v>7</v>
      </c>
      <c r="D1585" s="5" t="s">
        <v>1546</v>
      </c>
      <c r="E1585" s="1" t="str">
        <f ca="1">IFERROR(__xludf.DUMMYFUNCTION("GOOGLETRANSLATE(D1585, ""bn"", ""en"")"),"The Muladi massacre was a series of massacres of unarmed Hindu and Christian men and old women at the Muladi river port between 17 February and 20 February 1950 by armed mobs with active connivance of the Ansar and the police.")</f>
        <v>The Muladi massacre was a series of massacres of unarmed Hindu and Christian men and old women at the Muladi river port between 17 February and 20 February 1950 by armed mobs with active connivance of the Ansar and the police.</v>
      </c>
      <c r="F1585" s="1"/>
      <c r="G1585" s="1"/>
      <c r="H1585" s="1"/>
      <c r="I1585" s="1"/>
    </row>
    <row r="1586" spans="1:9" ht="15.6" x14ac:dyDescent="0.3">
      <c r="A1586" s="1" t="s">
        <v>5</v>
      </c>
      <c r="B1586" s="1" t="s">
        <v>5</v>
      </c>
      <c r="C1586" s="10" t="s">
        <v>5</v>
      </c>
      <c r="D1586" s="5" t="s">
        <v>1547</v>
      </c>
      <c r="E1586" s="1" t="str">
        <f ca="1">IFERROR(__xludf.DUMMYFUNCTION("GOOGLETRANSLATE(D1586, ""bn"", ""en"")"),"Those who keep themselves away from Islam--they are deprived of Allah's help in times of trouble--Allah is our only helper!!!")</f>
        <v>Those who keep themselves away from Islam--they are deprived of Allah's help in times of trouble--Allah is our only helper!!!</v>
      </c>
      <c r="F1586" s="1"/>
      <c r="G1586" s="1"/>
      <c r="H1586" s="1"/>
      <c r="I1586" s="1"/>
    </row>
    <row r="1587" spans="1:9" ht="15.6" x14ac:dyDescent="0.3">
      <c r="A1587" s="1" t="s">
        <v>4</v>
      </c>
      <c r="B1587" s="1" t="s">
        <v>5</v>
      </c>
      <c r="C1587" s="10" t="s">
        <v>4</v>
      </c>
      <c r="D1587" s="5" t="s">
        <v>1548</v>
      </c>
      <c r="E1587" s="1" t="str">
        <f ca="1">IFERROR(__xludf.DUMMYFUNCTION("GOOGLETRANSLATE(D1587, ""bn"", ""en"")"),"Western liberal thought is currently undergoing a shift, where people are rethinking and seeking answers to their gender identity.")</f>
        <v>Western liberal thought is currently undergoing a shift, where people are rethinking and seeking answers to their gender identity.</v>
      </c>
      <c r="F1587" s="1"/>
      <c r="G1587" s="1"/>
      <c r="H1587" s="1"/>
      <c r="I1587" s="1"/>
    </row>
    <row r="1588" spans="1:9" ht="15.6" x14ac:dyDescent="0.3">
      <c r="A1588" s="1" t="s">
        <v>9</v>
      </c>
      <c r="B1588" s="1" t="s">
        <v>9</v>
      </c>
      <c r="C1588" s="10" t="s">
        <v>9</v>
      </c>
      <c r="D1588" s="5" t="s">
        <v>1549</v>
      </c>
      <c r="E1588" s="1" t="str">
        <f ca="1">IFERROR(__xludf.DUMMYFUNCTION("GOOGLETRANSLATE(D1588, ""bn"", ""en"")"),"According to reports in local newspapers, Jamaat-e-Islami and several other Islamist groups called a nationwide strike on December 8 to protest the demolition of the Babri Masjid.")</f>
        <v>According to reports in local newspapers, Jamaat-e-Islami and several other Islamist groups called a nationwide strike on December 8 to protest the demolition of the Babri Masjid.</v>
      </c>
      <c r="F1588" s="1"/>
      <c r="G1588" s="1"/>
      <c r="H1588" s="1"/>
      <c r="I1588" s="1"/>
    </row>
    <row r="1589" spans="1:9" ht="15.6" x14ac:dyDescent="0.3">
      <c r="A1589" s="1" t="s">
        <v>9</v>
      </c>
      <c r="B1589" s="1" t="s">
        <v>4</v>
      </c>
      <c r="C1589" s="10" t="s">
        <v>9</v>
      </c>
      <c r="D1589" s="5" t="s">
        <v>1550</v>
      </c>
      <c r="E1589" s="1" t="str">
        <f ca="1">IFERROR(__xludf.DUMMYFUNCTION("GOOGLETRANSLATE(D1589, ""bn"", ""en"")"),"Hindu-Muslim differences and resentment will increase, thus creating a field for Hindu-Muslim riots. Identifying those who are doing these things and bringing them under the law is essential to maintain the peace of the country. The important thing is tha"&amp;"t the riots in India have been prevented in this way.")</f>
        <v>Hindu-Muslim differences and resentment will increase, thus creating a field for Hindu-Muslim riots. Identifying those who are doing these things and bringing them under the law is essential to maintain the peace of the country. The important thing is that the riots in India have been prevented in this way.</v>
      </c>
      <c r="F1589" s="1"/>
      <c r="G1589" s="1"/>
      <c r="H1589" s="1"/>
      <c r="I1589" s="1"/>
    </row>
    <row r="1590" spans="1:9" ht="15.6" x14ac:dyDescent="0.3">
      <c r="A1590" s="1" t="s">
        <v>9</v>
      </c>
      <c r="B1590" s="1" t="s">
        <v>9</v>
      </c>
      <c r="C1590" s="10" t="s">
        <v>9</v>
      </c>
      <c r="D1590" s="5" t="s">
        <v>1551</v>
      </c>
      <c r="E1590" s="1" t="str">
        <f ca="1">IFERROR(__xludf.DUMMYFUNCTION("GOOGLETRANSLATE(D1590, ""bn"", ""en"")"),"Regarding those who oppress people and deprive them of their rightful rights, the Prophet (PBUH) said, ""Surely, those who wrongfully afflict people, Allah Ta'ala will punish them.""")</f>
        <v>Regarding those who oppress people and deprive them of their rightful rights, the Prophet (PBUH) said, "Surely, those who wrongfully afflict people, Allah Ta'ala will punish them."</v>
      </c>
      <c r="F1590" s="1"/>
      <c r="G1590" s="1"/>
      <c r="H1590" s="1"/>
      <c r="I1590" s="1"/>
    </row>
    <row r="1591" spans="1:9" ht="15.6" x14ac:dyDescent="0.3">
      <c r="A1591" s="1" t="s">
        <v>4</v>
      </c>
      <c r="B1591" s="1" t="s">
        <v>5</v>
      </c>
      <c r="C1591" s="10" t="s">
        <v>4</v>
      </c>
      <c r="D1591" s="5" t="s">
        <v>1552</v>
      </c>
      <c r="E1591" s="1" t="str">
        <f ca="1">IFERROR(__xludf.DUMMYFUNCTION("GOOGLETRANSLATE(D1591, ""bn"", ""en"")"),"And there is a class of people who, out of ignorance, buy things for fun in order to divert the servant from the path of Allah.")</f>
        <v>And there is a class of people who, out of ignorance, buy things for fun in order to divert the servant from the path of Allah.</v>
      </c>
      <c r="F1591" s="1"/>
      <c r="G1591" s="1"/>
      <c r="H1591" s="1"/>
      <c r="I1591" s="1"/>
    </row>
    <row r="1592" spans="1:9" ht="15.6" x14ac:dyDescent="0.3">
      <c r="A1592" s="1" t="s">
        <v>9</v>
      </c>
      <c r="B1592" s="1" t="s">
        <v>9</v>
      </c>
      <c r="C1592" s="10" t="s">
        <v>9</v>
      </c>
      <c r="D1592" s="5" t="s">
        <v>1553</v>
      </c>
      <c r="E1592" s="1" t="str">
        <f ca="1">IFERROR(__xludf.DUMMYFUNCTION("GOOGLETRANSLATE(D1592, ""bn"", ""en"")"),"They ransacked, vandalized and set fire to every Hindu house and business in Sutrapur. [6] More than 100 houses and shops were ransacked and in all cases set on fire after the looting.")</f>
        <v>They ransacked, vandalized and set fire to every Hindu house and business in Sutrapur. [6] More than 100 houses and shops were ransacked and in all cases set on fire after the looting.</v>
      </c>
      <c r="F1592" s="1"/>
      <c r="G1592" s="1"/>
      <c r="H1592" s="1"/>
      <c r="I1592" s="1"/>
    </row>
    <row r="1593" spans="1:9" ht="15.6" x14ac:dyDescent="0.3">
      <c r="A1593" s="1" t="s">
        <v>5</v>
      </c>
      <c r="B1593" s="1" t="s">
        <v>9</v>
      </c>
      <c r="C1593" s="10" t="s">
        <v>5</v>
      </c>
      <c r="D1593" s="5" t="s">
        <v>1554</v>
      </c>
      <c r="E1593" s="1" t="str">
        <f ca="1">IFERROR(__xludf.DUMMYFUNCTION("GOOGLETRANSLATE(D1593, ""bn"", ""en"")"),"The Prime Minister reminded the Hindu community that the country is for everyone, regardless of caste, religion and caste, because the country gained independence in 1971 after a nine-month war against the Pakistani invaders.")</f>
        <v>The Prime Minister reminded the Hindu community that the country is for everyone, regardless of caste, religion and caste, because the country gained independence in 1971 after a nine-month war against the Pakistani invaders.</v>
      </c>
      <c r="F1593" s="1"/>
      <c r="G1593" s="1"/>
      <c r="H1593" s="1"/>
      <c r="I1593" s="1"/>
    </row>
    <row r="1594" spans="1:9" ht="15.6" x14ac:dyDescent="0.3">
      <c r="A1594" s="1" t="s">
        <v>4</v>
      </c>
      <c r="B1594" s="1" t="s">
        <v>4</v>
      </c>
      <c r="C1594" s="10" t="s">
        <v>4</v>
      </c>
      <c r="D1594" s="5" t="s">
        <v>1555</v>
      </c>
      <c r="E1594" s="1" t="str">
        <f ca="1">IFERROR(__xludf.DUMMYFUNCTION("GOOGLETRANSLATE(D1594, ""bn"", ""en"")"),"Oh, I'm at a loss, what can I say? Muslims have never taken such a terrible step to belittle other religions, so why did they burn our Quran?")</f>
        <v>Oh, I'm at a loss, what can I say? Muslims have never taken such a terrible step to belittle other religions, so why did they burn our Quran?</v>
      </c>
      <c r="F1594" s="1"/>
      <c r="G1594" s="1"/>
      <c r="H1594" s="1"/>
      <c r="I1594" s="1"/>
    </row>
    <row r="1595" spans="1:9" ht="46.8" x14ac:dyDescent="0.3">
      <c r="A1595" s="1" t="s">
        <v>9</v>
      </c>
      <c r="B1595" s="1" t="s">
        <v>4</v>
      </c>
      <c r="C1595" s="10" t="s">
        <v>9</v>
      </c>
      <c r="D1595" s="6" t="s">
        <v>3974</v>
      </c>
      <c r="E1595" s="1" t="str">
        <f ca="1">IFERROR(__xludf.DUMMYFUNCTION("GOOGLETRANSLATE(D1595, ""bn"", ""en"")"),"By introducing communalism into the fraternity, it is dividing us by raising the wall called majority-minority. Capitalizing on this communalism, people are rioting. Attempts are being made to inject the poison of communalism into the brains of small chil"&amp;"dren. The bond of brotherhood is repeatedly attacked to incite communalism. ")</f>
        <v xml:space="preserve">By introducing communalism into the fraternity, it is dividing us by raising the wall called majority-minority. Capitalizing on this communalism, people are rioting. Attempts are being made to inject the poison of communalism into the brains of small children. The bond of brotherhood is repeatedly attacked to incite communalism. </v>
      </c>
      <c r="F1595" s="1"/>
      <c r="G1595" s="1"/>
      <c r="H1595" s="1"/>
      <c r="I1595" s="1"/>
    </row>
    <row r="1596" spans="1:9" ht="15.6" x14ac:dyDescent="0.3">
      <c r="A1596" s="1" t="s">
        <v>4</v>
      </c>
      <c r="B1596" s="1" t="s">
        <v>4</v>
      </c>
      <c r="C1596" s="10" t="s">
        <v>4</v>
      </c>
      <c r="D1596" s="5" t="s">
        <v>1556</v>
      </c>
      <c r="E1596" s="1" t="str">
        <f ca="1">IFERROR(__xludf.DUMMYFUNCTION("GOOGLETRANSLATE(D1596, ""bn"", ""en"")"),"A man is going on some urgent work with his mother and sister. A group of Hindu communal militants have started playing Holi around them.")</f>
        <v>A man is going on some urgent work with his mother and sister. A group of Hindu communal militants have started playing Holi around them.</v>
      </c>
      <c r="F1596" s="1"/>
      <c r="G1596" s="1"/>
      <c r="H1596" s="1"/>
      <c r="I1596" s="1"/>
    </row>
    <row r="1597" spans="1:9" ht="15.6" x14ac:dyDescent="0.3">
      <c r="A1597" s="1" t="s">
        <v>5</v>
      </c>
      <c r="B1597" s="1" t="s">
        <v>5</v>
      </c>
      <c r="C1597" s="10" t="s">
        <v>5</v>
      </c>
      <c r="D1597" s="5" t="s">
        <v>1557</v>
      </c>
      <c r="E1597" s="1" t="str">
        <f ca="1">IFERROR(__xludf.DUMMYFUNCTION("GOOGLETRANSLATE(D1597, ""bn"", ""en"")"),"A secular state claims that in that state, all its citizens are treated equally, regardless of religion, and claims that the state avoids preferential treatment based on a citizen's religious beliefs, affiliations, or other identity.")</f>
        <v>A secular state claims that in that state, all its citizens are treated equally, regardless of religion, and claims that the state avoids preferential treatment based on a citizen's religious beliefs, affiliations, or other identity.</v>
      </c>
      <c r="F1597" s="1"/>
      <c r="G1597" s="1"/>
      <c r="H1597" s="1"/>
      <c r="I1597" s="1"/>
    </row>
    <row r="1598" spans="1:9" ht="15.6" x14ac:dyDescent="0.3">
      <c r="A1598" s="1" t="s">
        <v>5</v>
      </c>
      <c r="B1598" s="1" t="s">
        <v>5</v>
      </c>
      <c r="C1598" s="10" t="s">
        <v>5</v>
      </c>
      <c r="D1598" s="5" t="s">
        <v>1558</v>
      </c>
      <c r="E1598" s="1" t="str">
        <f ca="1">IFERROR(__xludf.DUMMYFUNCTION("GOOGLETRANSLATE(D1598, ""bn"", ""en"")"),"In West Bengal, Arunachal Pradesh, Assam and other states of India where the Theravada Hinayani Buddhist sect is especially the main temple at Buddha Gaya in Bihar and various Theravada temples in Bihar this ceremony is celebrated in Sambar.")</f>
        <v>In West Bengal, Arunachal Pradesh, Assam and other states of India where the Theravada Hinayani Buddhist sect is especially the main temple at Buddha Gaya in Bihar and various Theravada temples in Bihar this ceremony is celebrated in Sambar.</v>
      </c>
      <c r="F1598" s="1"/>
      <c r="G1598" s="1"/>
      <c r="H1598" s="1"/>
      <c r="I1598" s="1"/>
    </row>
    <row r="1599" spans="1:9" ht="15.6" x14ac:dyDescent="0.3">
      <c r="A1599" s="1" t="s">
        <v>5</v>
      </c>
      <c r="B1599" s="1" t="s">
        <v>5</v>
      </c>
      <c r="C1599" s="10" t="s">
        <v>5</v>
      </c>
      <c r="D1599" s="5" t="s">
        <v>1559</v>
      </c>
      <c r="E1599" s="1" t="str">
        <f ca="1">IFERROR(__xludf.DUMMYFUNCTION("GOOGLETRANSLATE(D1599, ""bn"", ""en"")"),"Alhamdulillah. We are thankful that our government at least intervenes when we speak against Islam.")</f>
        <v>Alhamdulillah. We are thankful that our government at least intervenes when we speak against Islam.</v>
      </c>
      <c r="F1599" s="1"/>
      <c r="G1599" s="1"/>
      <c r="H1599" s="1"/>
      <c r="I1599" s="1"/>
    </row>
    <row r="1600" spans="1:9" ht="15.6" x14ac:dyDescent="0.3">
      <c r="A1600" s="1" t="s">
        <v>5</v>
      </c>
      <c r="B1600" s="1" t="s">
        <v>5</v>
      </c>
      <c r="C1600" s="10" t="s">
        <v>5</v>
      </c>
      <c r="D1600" s="5" t="s">
        <v>1560</v>
      </c>
      <c r="E1600" s="1" t="str">
        <f ca="1">IFERROR(__xludf.DUMMYFUNCTION("GOOGLETRANSLATE(D1600, ""bn"", ""en"")"),"Islam is true religion, read about Islam to understand it, gain knowledge. Read the books of your religion, pray to get the light of the right religion, InshaAllah Allah Rabbul Alamin will guide you.")</f>
        <v>Islam is true religion, read about Islam to understand it, gain knowledge. Read the books of your religion, pray to get the light of the right religion, InshaAllah Allah Rabbul Alamin will guide you.</v>
      </c>
      <c r="F1600" s="1"/>
      <c r="G1600" s="1"/>
      <c r="H1600" s="1"/>
      <c r="I1600" s="1"/>
    </row>
    <row r="1601" spans="1:9" ht="15.6" x14ac:dyDescent="0.3">
      <c r="A1601" s="1" t="s">
        <v>4</v>
      </c>
      <c r="B1601" s="1" t="s">
        <v>5</v>
      </c>
      <c r="C1601" s="10" t="s">
        <v>4</v>
      </c>
      <c r="D1601" s="5" t="s">
        <v>1561</v>
      </c>
      <c r="E1601" s="1" t="str">
        <f ca="1">IFERROR(__xludf.DUMMYFUNCTION("GOOGLETRANSLATE(D1601, ""bn"", ""en"")"),"Today's Masjid Masjid program will burn like pepper powder to the so-called Ahl al-Hadith")</f>
        <v>Today's Masjid Masjid program will burn like pepper powder to the so-called Ahl al-Hadith</v>
      </c>
      <c r="F1601" s="1"/>
      <c r="G1601" s="1"/>
      <c r="H1601" s="1"/>
      <c r="I1601" s="1"/>
    </row>
    <row r="1602" spans="1:9" ht="15.6" x14ac:dyDescent="0.3">
      <c r="A1602" s="1" t="s">
        <v>4</v>
      </c>
      <c r="B1602" s="1" t="s">
        <v>5</v>
      </c>
      <c r="C1602" s="10" t="s">
        <v>4</v>
      </c>
      <c r="D1602" s="5" t="s">
        <v>1562</v>
      </c>
      <c r="E1602" s="1" t="str">
        <f ca="1">IFERROR(__xludf.DUMMYFUNCTION("GOOGLETRANSLATE(D1602, ""bn"", ""en"")"),"No religion should be belittled or ridiculed. The administration should take strict action against those who do this irrespective of their religion.")</f>
        <v>No religion should be belittled or ridiculed. The administration should take strict action against those who do this irrespective of their religion.</v>
      </c>
      <c r="F1602" s="1"/>
      <c r="G1602" s="1"/>
      <c r="H1602" s="1"/>
      <c r="I1602" s="1"/>
    </row>
    <row r="1603" spans="1:9" ht="31.2" x14ac:dyDescent="0.3">
      <c r="A1603" s="1" t="s">
        <v>9</v>
      </c>
      <c r="B1603" s="1" t="s">
        <v>5</v>
      </c>
      <c r="C1603" s="10" t="s">
        <v>9</v>
      </c>
      <c r="D1603" s="6" t="s">
        <v>3973</v>
      </c>
      <c r="E1603" s="1" t="str">
        <f ca="1">IFERROR(__xludf.DUMMYFUNCTION("GOOGLETRANSLATE(D1603, ""bn"", ""en"")"),"Hindus faced great persecution under the Portuguese in Goa. Vicar General Miguel Vaz wrote from Goa in 1543 to King John III of Portugal asking for the establishment of an Inquisition in Goa like in Spain. ")</f>
        <v>Hindus faced great persecution under the Portuguese in Goa. Vicar General Miguel Vaz wrote from Goa in 1543 to King John III of Portugal asking for the establishment of an Inquisition in Goa like in Spain. </v>
      </c>
      <c r="F1603" s="1"/>
      <c r="G1603" s="1"/>
      <c r="H1603" s="1"/>
      <c r="I1603" s="1"/>
    </row>
    <row r="1604" spans="1:9" ht="46.8" x14ac:dyDescent="0.3">
      <c r="A1604" s="1" t="s">
        <v>4</v>
      </c>
      <c r="B1604" s="1" t="s">
        <v>4</v>
      </c>
      <c r="C1604" s="10" t="s">
        <v>4</v>
      </c>
      <c r="D1604" s="6" t="s">
        <v>3972</v>
      </c>
      <c r="E1604" s="1" t="str">
        <f ca="1">IFERROR(__xludf.DUMMYFUNCTION("GOOGLETRANSLATE(D1604, ""bn"", ""en"")"),"On the morning of 16 May 1971, Pakistan Army personnel in six vans entered the village with the help of Razakars from nearby villages. Fearing the arrival of the military, the locals took refuge in the nearby forest. With the help of postman Abdul Quader,"&amp;" the Razakars find the villagers out of hiding. They were taken hostage to Yugisho Primary School and Hindu-Muslim segregated")</f>
        <v>On the morning of 16 May 1971, Pakistan Army personnel in six vans entered the village with the help of Razakars from nearby villages. Fearing the arrival of the military, the locals took refuge in the nearby forest. With the help of postman Abdul Quader, the Razakars find the villagers out of hiding. They were taken hostage to Yugisho Primary School and Hindu-Muslim segregated</v>
      </c>
      <c r="F1604" s="1"/>
      <c r="G1604" s="1"/>
      <c r="H1604" s="1"/>
      <c r="I1604" s="1"/>
    </row>
    <row r="1605" spans="1:9" ht="15.6" x14ac:dyDescent="0.3">
      <c r="A1605" s="1" t="s">
        <v>7</v>
      </c>
      <c r="B1605" s="1" t="s">
        <v>7</v>
      </c>
      <c r="C1605" s="10" t="s">
        <v>7</v>
      </c>
      <c r="D1605" s="5" t="s">
        <v>1563</v>
      </c>
      <c r="E1605" s="1" t="str">
        <f ca="1">IFERROR(__xludf.DUMMYFUNCTION("GOOGLETRANSLATE(D1605, ""bn"", ""en"")"),"Sri Lanka's civil war has resulted in many casualties, including religious tensions, between the Tamil and Buddhist-majority armies.")</f>
        <v>Sri Lanka's civil war has resulted in many casualties, including religious tensions, between the Tamil and Buddhist-majority armies.</v>
      </c>
      <c r="F1605" s="1"/>
      <c r="G1605" s="1"/>
      <c r="H1605" s="1"/>
      <c r="I1605" s="1"/>
    </row>
    <row r="1606" spans="1:9" ht="15" customHeight="1" x14ac:dyDescent="0.3">
      <c r="A1606" s="4" t="s">
        <v>7</v>
      </c>
      <c r="B1606" s="4" t="s">
        <v>7</v>
      </c>
      <c r="C1606" s="11" t="s">
        <v>7</v>
      </c>
      <c r="D1606" s="5" t="s">
        <v>1564</v>
      </c>
      <c r="E1606" s="1" t="str">
        <f ca="1">IFERROR(__xludf.DUMMYFUNCTION("GOOGLETRANSLATE(D1606, ""bn"", ""en"")"),"In 1572, thousands of Protestants were killed by Catholics during sectarian violence in the following cities - Paris, Aix, Bordeaux, Bourges, Lyon, Mews, Orleans, Rouen, Toulouse and Troyes.")</f>
        <v>In 1572, thousands of Protestants were killed by Catholics during sectarian violence in the following cities - Paris, Aix, Bordeaux, Bourges, Lyon, Mews, Orleans, Rouen, Toulouse and Troyes.</v>
      </c>
      <c r="F1606" s="1"/>
      <c r="G1606" s="1"/>
      <c r="H1606" s="1"/>
      <c r="I1606" s="1"/>
    </row>
    <row r="1607" spans="1:9" ht="15.6" x14ac:dyDescent="0.3">
      <c r="A1607" s="1" t="s">
        <v>5</v>
      </c>
      <c r="B1607" s="1" t="s">
        <v>5</v>
      </c>
      <c r="C1607" s="10" t="s">
        <v>5</v>
      </c>
      <c r="D1607" s="5" t="s">
        <v>1565</v>
      </c>
      <c r="E1607" s="1" t="str">
        <f ca="1">IFERROR(__xludf.DUMMYFUNCTION("GOOGLETRANSLATE(D1607, ""bn"", ""en"")"),"Alhamdulillah explained very well, may Allah accept him to preach Islam and increase his intellectual power, Ameen.")</f>
        <v>Alhamdulillah explained very well, may Allah accept him to preach Islam and increase his intellectual power, Ameen.</v>
      </c>
      <c r="F1607" s="1"/>
      <c r="G1607" s="1"/>
      <c r="H1607" s="1"/>
      <c r="I1607" s="1"/>
    </row>
    <row r="1608" spans="1:9" ht="15.6" x14ac:dyDescent="0.3">
      <c r="A1608" s="1" t="s">
        <v>4</v>
      </c>
      <c r="B1608" s="1" t="s">
        <v>4</v>
      </c>
      <c r="C1608" s="10" t="s">
        <v>4</v>
      </c>
      <c r="D1608" s="5" t="s">
        <v>1566</v>
      </c>
      <c r="E1608" s="1" t="str">
        <f ca="1">IFERROR(__xludf.DUMMYFUNCTION("GOOGLETRANSLATE(D1608, ""bn"", ""en"")"),"At least in the month of Koran, no Muslim child does these things.")</f>
        <v>At least in the month of Koran, no Muslim child does these things.</v>
      </c>
      <c r="F1608" s="1"/>
      <c r="G1608" s="1"/>
      <c r="H1608" s="1"/>
      <c r="I1608" s="1"/>
    </row>
    <row r="1609" spans="1:9" ht="46.8" x14ac:dyDescent="0.3">
      <c r="A1609" s="1" t="s">
        <v>5</v>
      </c>
      <c r="B1609" s="1" t="s">
        <v>5</v>
      </c>
      <c r="C1609" s="10" t="s">
        <v>5</v>
      </c>
      <c r="D1609" s="6" t="s">
        <v>3971</v>
      </c>
      <c r="E1609" s="1" t="str">
        <f ca="1">IFERROR(__xludf.DUMMYFUNCTION("GOOGLETRANSLATE(D1609, ""bn"", ""en"")"),"Hinduism and Sanatan religion have the same opinion and path. The Word of God and the Way of Liberation Sanatan i.e. Hindu Monotheism The rules of worshiping God and what a person should do to worship God in this world, in society, in religion and in the "&amp;"universe, are clearly described.")</f>
        <v>Hinduism and Sanatan religion have the same opinion and path. The Word of God and the Way of Liberation Sanatan i.e. Hindu Monotheism The rules of worshiping God and what a person should do to worship God in this world, in society, in religion and in the universe, are clearly described.</v>
      </c>
      <c r="F1609" s="1"/>
      <c r="G1609" s="1"/>
      <c r="H1609" s="1"/>
      <c r="I1609" s="1"/>
    </row>
    <row r="1610" spans="1:9" ht="46.8" x14ac:dyDescent="0.3">
      <c r="A1610" s="1" t="s">
        <v>7</v>
      </c>
      <c r="B1610" s="1" t="s">
        <v>7</v>
      </c>
      <c r="C1610" s="10" t="s">
        <v>7</v>
      </c>
      <c r="D1610" s="6" t="s">
        <v>3970</v>
      </c>
      <c r="E1610" s="1" t="str">
        <f ca="1">IFERROR(__xludf.DUMMYFUNCTION("GOOGLETRANSLATE(D1610, ""bn"", ""en"")"),"A 3,000 strong armed Muslim mob attacked the warehouse around 12 noon on the signal of the OC. More than 700 men and elderly women were massacred and their bodies dumped in the river. The remaining women were taken to a shed in Mukteshwar Saha and forced "&amp;"to recite Kalma. After that 50 women were distributed among the party leaders.")</f>
        <v>A 3,000 strong armed Muslim mob attacked the warehouse around 12 noon on the signal of the OC. More than 700 men and elderly women were massacred and their bodies dumped in the river. The remaining women were taken to a shed in Mukteshwar Saha and forced to recite Kalma. After that 50 women were distributed among the party leaders.</v>
      </c>
      <c r="F1610" s="1"/>
      <c r="G1610" s="1"/>
      <c r="H1610" s="1"/>
      <c r="I1610" s="1"/>
    </row>
    <row r="1611" spans="1:9" ht="15.6" x14ac:dyDescent="0.3">
      <c r="A1611" s="1" t="s">
        <v>4</v>
      </c>
      <c r="B1611" s="1" t="s">
        <v>4</v>
      </c>
      <c r="C1611" s="10" t="s">
        <v>4</v>
      </c>
      <c r="D1611" s="5" t="s">
        <v>1567</v>
      </c>
      <c r="E1611" s="1" t="str">
        <f ca="1">IFERROR(__xludf.DUMMYFUNCTION("GOOGLETRANSLATE(D1611, ""bn"", ""en"")"),"The teaser of the Bangladeshi movie 'Commando' has been removed from social media Facebook and YouTube after a khatib of Bangladesh complained of insulting religion.")</f>
        <v>The teaser of the Bangladeshi movie 'Commando' has been removed from social media Facebook and YouTube after a khatib of Bangladesh complained of insulting religion.</v>
      </c>
      <c r="F1611" s="1"/>
      <c r="G1611" s="1"/>
      <c r="H1611" s="1"/>
      <c r="I1611" s="1"/>
    </row>
    <row r="1612" spans="1:9" ht="15.6" x14ac:dyDescent="0.3">
      <c r="A1612" s="1" t="s">
        <v>5</v>
      </c>
      <c r="B1612" s="1" t="s">
        <v>5</v>
      </c>
      <c r="C1612" s="10" t="s">
        <v>5</v>
      </c>
      <c r="D1612" s="5" t="s">
        <v>1568</v>
      </c>
      <c r="E1612" s="1" t="str">
        <f ca="1">IFERROR(__xludf.DUMMYFUNCTION("GOOGLETRANSLATE(D1612, ""bn"", ""en"")"),"More than one crore Bengali Hindu refugees came to West Bengal. [24] The Indian Army helped the Liberation Army to liberate Bangladesh in 1971.")</f>
        <v>More than one crore Bengali Hindu refugees came to West Bengal. [24] The Indian Army helped the Liberation Army to liberate Bangladesh in 1971.</v>
      </c>
      <c r="F1612" s="1"/>
      <c r="G1612" s="1"/>
      <c r="H1612" s="1"/>
      <c r="I1612" s="1"/>
    </row>
    <row r="1613" spans="1:9" ht="15.6" x14ac:dyDescent="0.3">
      <c r="A1613" s="1" t="s">
        <v>9</v>
      </c>
      <c r="B1613" s="1" t="s">
        <v>9</v>
      </c>
      <c r="C1613" s="10" t="s">
        <v>9</v>
      </c>
      <c r="D1613" s="5" t="s">
        <v>1569</v>
      </c>
      <c r="E1613" s="1" t="str">
        <f ca="1">IFERROR(__xludf.DUMMYFUNCTION("GOOGLETRANSLATE(D1613, ""bn"", ""en"")"),"Religious and ethnic conflicts between Arab and African ethnic groups have displaced millions.")</f>
        <v>Religious and ethnic conflicts between Arab and African ethnic groups have displaced millions.</v>
      </c>
      <c r="F1613" s="1"/>
      <c r="G1613" s="1"/>
      <c r="H1613" s="1"/>
      <c r="I1613" s="1"/>
    </row>
    <row r="1614" spans="1:9" ht="15.6" x14ac:dyDescent="0.3">
      <c r="A1614" s="1" t="s">
        <v>4</v>
      </c>
      <c r="B1614" s="1" t="s">
        <v>5</v>
      </c>
      <c r="C1614" s="10" t="s">
        <v>4</v>
      </c>
      <c r="D1614" s="5" t="s">
        <v>1570</v>
      </c>
      <c r="E1614" s="1" t="str">
        <f ca="1">IFERROR(__xludf.DUMMYFUNCTION("GOOGLETRANSLATE(D1614, ""bn"", ""en"")"),"Today in our country the reality is that if someone has said something against Islam, if it can be spread, then any disaster is possible.")</f>
        <v>Today in our country the reality is that if someone has said something against Islam, if it can be spread, then any disaster is possible.</v>
      </c>
      <c r="F1614" s="1"/>
      <c r="G1614" s="1"/>
      <c r="H1614" s="1"/>
      <c r="I1614" s="1"/>
    </row>
    <row r="1615" spans="1:9" ht="46.8" x14ac:dyDescent="0.3">
      <c r="A1615" s="1" t="s">
        <v>9</v>
      </c>
      <c r="B1615" s="1" t="s">
        <v>9</v>
      </c>
      <c r="C1615" s="10" t="s">
        <v>9</v>
      </c>
      <c r="D1615" s="6" t="s">
        <v>3969</v>
      </c>
      <c r="E1615" s="1" t="str">
        <f ca="1">IFERROR(__xludf.DUMMYFUNCTION("GOOGLETRANSLATE(D1615, ""bn"", ""en"")"),"Around 8 pm, miscreants attacked in a group They vandalized the nat temple in front of the main temple All the tins are taken away They entered the main temple by breaking the lock and ransacking and looting Everything is taken Durga Puja ahead The struct"&amp;"ure of the idol has been crushed Later the Kalimandir was set on fire Three more temples were attacked and vandalized He said, ""Durga Puja after one month We don't know how to worship")</f>
        <v>Around 8 pm, miscreants attacked in a group They vandalized the nat temple in front of the main temple All the tins are taken away They entered the main temple by breaking the lock and ransacking and looting Everything is taken Durga Puja ahead The structure of the idol has been crushed Later the Kalimandir was set on fire Three more temples were attacked and vandalized He said, "Durga Puja after one month We don't know how to worship</v>
      </c>
      <c r="F1615" s="1"/>
      <c r="G1615" s="1"/>
      <c r="H1615" s="1"/>
      <c r="I1615" s="1"/>
    </row>
    <row r="1616" spans="1:9" ht="15.6" x14ac:dyDescent="0.3">
      <c r="A1616" s="1" t="s">
        <v>9</v>
      </c>
      <c r="B1616" s="1" t="s">
        <v>9</v>
      </c>
      <c r="C1616" s="10" t="s">
        <v>9</v>
      </c>
      <c r="D1616" s="5" t="s">
        <v>1571</v>
      </c>
      <c r="E1616" s="1" t="str">
        <f ca="1">IFERROR(__xludf.DUMMYFUNCTION("GOOGLETRANSLATE(D1616, ""bn"", ""en"")"),"All the Hindu houses of the entire village were looted, including the residences of Haripad Chowdhury and Bimal Bhattacharya. On February 17, Muslim goons attacked Hindus from house to house. They dragged the Brahmins to pieces, trampled them, forcibly co"&amp;"nverted them to Islam.")</f>
        <v>All the Hindu houses of the entire village were looted, including the residences of Haripad Chowdhury and Bimal Bhattacharya. On February 17, Muslim goons attacked Hindus from house to house. They dragged the Brahmins to pieces, trampled them, forcibly converted them to Islam.</v>
      </c>
      <c r="F1616" s="1"/>
      <c r="G1616" s="1"/>
      <c r="H1616" s="1"/>
      <c r="I1616" s="1"/>
    </row>
    <row r="1617" spans="1:9" ht="15.6" x14ac:dyDescent="0.3">
      <c r="A1617" s="1" t="s">
        <v>5</v>
      </c>
      <c r="B1617" s="1" t="s">
        <v>5</v>
      </c>
      <c r="C1617" s="10" t="s">
        <v>5</v>
      </c>
      <c r="D1617" s="5" t="s">
        <v>1572</v>
      </c>
      <c r="E1617" s="1" t="str">
        <f ca="1">IFERROR(__xludf.DUMMYFUNCTION("GOOGLETRANSLATE(D1617, ""bn"", ""en"")"),"Followers of Christianity believe that in order to establish peace and love in the world, we must have compassion, empathy and goodwill among ourselves, and never commit any form of aggression or violence in the name of our religion.")</f>
        <v>Followers of Christianity believe that in order to establish peace and love in the world, we must have compassion, empathy and goodwill among ourselves, and never commit any form of aggression or violence in the name of our religion.</v>
      </c>
      <c r="F1617" s="1"/>
      <c r="G1617" s="1"/>
      <c r="H1617" s="1"/>
      <c r="I1617" s="1"/>
    </row>
    <row r="1618" spans="1:9" ht="15.6" x14ac:dyDescent="0.3">
      <c r="A1618" s="1" t="s">
        <v>4</v>
      </c>
      <c r="B1618" s="1" t="s">
        <v>4</v>
      </c>
      <c r="C1618" s="10" t="s">
        <v>4</v>
      </c>
      <c r="D1618" s="5" t="s">
        <v>1573</v>
      </c>
      <c r="E1618" s="1" t="str">
        <f ca="1">IFERROR(__xludf.DUMMYFUNCTION("GOOGLETRANSLATE(D1618, ""bn"", ""en"")"),"Right, grandpa. They are now trying to create differences between Hindus and Muslims to achieve their own interests.")</f>
        <v>Right, grandpa. They are now trying to create differences between Hindus and Muslims to achieve their own interests.</v>
      </c>
      <c r="F1618" s="1"/>
      <c r="G1618" s="1"/>
      <c r="H1618" s="1"/>
      <c r="I1618" s="1"/>
    </row>
    <row r="1619" spans="1:9" ht="15.6" x14ac:dyDescent="0.3">
      <c r="A1619" s="1" t="s">
        <v>4</v>
      </c>
      <c r="B1619" s="1" t="s">
        <v>5</v>
      </c>
      <c r="C1619" s="10" t="s">
        <v>4</v>
      </c>
      <c r="D1619" s="5" t="s">
        <v>1574</v>
      </c>
      <c r="E1619" s="1" t="str">
        <f ca="1">IFERROR(__xludf.DUMMYFUNCTION("GOOGLETRANSLATE(D1619, ""bn"", ""en"")"),"It is not possible to stop bad comments about religion on social media, but we can control social media")</f>
        <v>It is not possible to stop bad comments about religion on social media, but we can control social media</v>
      </c>
      <c r="F1619" s="1"/>
      <c r="G1619" s="1"/>
      <c r="H1619" s="1"/>
      <c r="I1619" s="1"/>
    </row>
    <row r="1620" spans="1:9" ht="15.6" x14ac:dyDescent="0.3">
      <c r="A1620" s="1" t="s">
        <v>5</v>
      </c>
      <c r="B1620" s="1" t="s">
        <v>5</v>
      </c>
      <c r="C1620" s="10" t="s">
        <v>5</v>
      </c>
      <c r="D1620" s="5" t="s">
        <v>1575</v>
      </c>
      <c r="E1620" s="1" t="str">
        <f ca="1">IFERROR(__xludf.DUMMYFUNCTION("GOOGLETRANSLATE(D1620, ""bn"", ""en"")"),"Religion is a path that leads people to truth, justice and peace, and it never aims to create violence or controversy, but to spread compassion, respect and love among all people.")</f>
        <v>Religion is a path that leads people to truth, justice and peace, and it never aims to create violence or controversy, but to spread compassion, respect and love among all people.</v>
      </c>
      <c r="F1620" s="1"/>
      <c r="G1620" s="1"/>
      <c r="H1620" s="1"/>
      <c r="I1620" s="1"/>
    </row>
    <row r="1621" spans="1:9" ht="15.6" x14ac:dyDescent="0.3">
      <c r="A1621" s="1" t="s">
        <v>4</v>
      </c>
      <c r="B1621" s="1" t="s">
        <v>4</v>
      </c>
      <c r="C1621" s="10" t="s">
        <v>4</v>
      </c>
      <c r="D1621" s="5" t="s">
        <v>1576</v>
      </c>
      <c r="E1621" s="1" t="str">
        <f ca="1">IFERROR(__xludf.DUMMYFUNCTION("GOOGLETRANSLATE(D1621, ""bn"", ""en"")"),"The eyes of those who were overwhelmed by the misery of Palestine are now filled with tears. The fire of Afghanistan may strike India anytime. Because the Taliban have no caste, no education. Devarati madam I am reminded of your writing about the ""weapon"&amp;" trade"" in ""Shiva Aghore""")</f>
        <v>The eyes of those who were overwhelmed by the misery of Palestine are now filled with tears. The fire of Afghanistan may strike India anytime. Because the Taliban have no caste, no education. Devarati madam I am reminded of your writing about the "weapon trade" in "Shiva Aghore"</v>
      </c>
      <c r="F1621" s="1"/>
      <c r="G1621" s="1"/>
      <c r="H1621" s="1"/>
      <c r="I1621" s="1"/>
    </row>
    <row r="1622" spans="1:9" ht="15.6" x14ac:dyDescent="0.3">
      <c r="A1622" s="1" t="s">
        <v>5</v>
      </c>
      <c r="B1622" s="1" t="s">
        <v>5</v>
      </c>
      <c r="C1622" s="10" t="s">
        <v>5</v>
      </c>
      <c r="D1622" s="5" t="s">
        <v>1577</v>
      </c>
      <c r="E1622" s="1" t="str">
        <f ca="1">IFERROR(__xludf.DUMMYFUNCTION("GOOGLETRANSLATE(D1622, ""bn"", ""en"")"),"Going to the mosque is actually the elderly and those suffering from various diseases are more at risk of contracting the corona virus. They need to be safe. Scholars also say the same. The two are speaking separately with some exceptions.")</f>
        <v>Going to the mosque is actually the elderly and those suffering from various diseases are more at risk of contracting the corona virus. They need to be safe. Scholars also say the same. The two are speaking separately with some exceptions.</v>
      </c>
      <c r="F1622" s="1"/>
      <c r="G1622" s="1"/>
      <c r="H1622" s="1"/>
      <c r="I1622" s="1"/>
    </row>
    <row r="1623" spans="1:9" ht="15.6" x14ac:dyDescent="0.3">
      <c r="A1623" s="1" t="s">
        <v>7</v>
      </c>
      <c r="B1623" s="1" t="s">
        <v>7</v>
      </c>
      <c r="C1623" s="10" t="s">
        <v>7</v>
      </c>
      <c r="D1623" s="5" t="s">
        <v>1578</v>
      </c>
      <c r="E1623" s="1" t="str">
        <f ca="1">IFERROR(__xludf.DUMMYFUNCTION("GOOGLETRANSLATE(D1623, ""bn"", ""en"")"),"And do not consider those who are slain in the way of Allah as dead; Rather, they are alive and receive sustenance from their Lord.")</f>
        <v>And do not consider those who are slain in the way of Allah as dead; Rather, they are alive and receive sustenance from their Lord.</v>
      </c>
      <c r="F1623" s="1"/>
      <c r="G1623" s="1"/>
      <c r="H1623" s="1"/>
      <c r="I1623" s="1"/>
    </row>
    <row r="1624" spans="1:9" ht="15.6" x14ac:dyDescent="0.3">
      <c r="A1624" s="1" t="s">
        <v>4</v>
      </c>
      <c r="B1624" s="1" t="s">
        <v>4</v>
      </c>
      <c r="C1624" s="10" t="s">
        <v>4</v>
      </c>
      <c r="D1624" s="5" t="s">
        <v>1579</v>
      </c>
      <c r="E1624" s="1" t="str">
        <f ca="1">IFERROR(__xludf.DUMMYFUNCTION("GOOGLETRANSLATE(D1624, ""bn"", ""en"")"),"Hindus make up 0.7% of the total population of the United States.[55] They are the most prosperous religious group in America. [56][57] Hindus in America have both legal and fundamental rights. But despite this, Hindus are victims of Hindu hatred there. ")</f>
        <v>Hindus make up 0.7% of the total population of the United States.[55] They are the most prosperous religious group in America. [56][57] Hindus in America have both legal and fundamental rights. But despite this, Hindus are victims of Hindu hatred there. </v>
      </c>
      <c r="F1624" s="1"/>
      <c r="G1624" s="1"/>
      <c r="H1624" s="1"/>
      <c r="I1624" s="1"/>
    </row>
    <row r="1625" spans="1:9" ht="15.6" x14ac:dyDescent="0.3">
      <c r="A1625" s="1" t="s">
        <v>7</v>
      </c>
      <c r="B1625" s="1" t="s">
        <v>7</v>
      </c>
      <c r="C1625" s="10" t="s">
        <v>7</v>
      </c>
      <c r="D1625" s="5" t="s">
        <v>1580</v>
      </c>
      <c r="E1625" s="1" t="str">
        <f ca="1">IFERROR(__xludf.DUMMYFUNCTION("GOOGLETRANSLATE(D1625, ""bn"", ""en"")"),"Before the massacre began, the Pakistani occupation forces forced everyone in the Ramana Kali Temple and Ma Anandamayi Ashram to say ""Pakistan Zindabad"". They are said to say ""La-Ilaha Illallah"". When all the men and women standing in line uttered tho"&amp;"se words in unison, the massacre began.")</f>
        <v>Before the massacre began, the Pakistani occupation forces forced everyone in the Ramana Kali Temple and Ma Anandamayi Ashram to say "Pakistan Zindabad". They are said to say "La-Ilaha Illallah". When all the men and women standing in line uttered those words in unison, the massacre began.</v>
      </c>
      <c r="F1625" s="1"/>
      <c r="G1625" s="1"/>
      <c r="H1625" s="1"/>
      <c r="I1625" s="1"/>
    </row>
    <row r="1626" spans="1:9" ht="15.6" x14ac:dyDescent="0.3">
      <c r="A1626" s="1" t="s">
        <v>4</v>
      </c>
      <c r="B1626" s="1" t="s">
        <v>4</v>
      </c>
      <c r="C1626" s="10" t="s">
        <v>4</v>
      </c>
      <c r="D1626" s="5" t="s">
        <v>1581</v>
      </c>
      <c r="E1626" s="1" t="str">
        <f ca="1">IFERROR(__xludf.DUMMYFUNCTION("GOOGLETRANSLATE(D1626, ""bn"", ""en"")"),"At the end of the day, I understand that these are rotten political games. Just as the British poured the poison of communalism to maintain their rule in this subcontinent, in the present day too, everyone is intoxicated in the dirty game of using this po"&amp;"ison in politics.")</f>
        <v>At the end of the day, I understand that these are rotten political games. Just as the British poured the poison of communalism to maintain their rule in this subcontinent, in the present day too, everyone is intoxicated in the dirty game of using this poison in politics.</v>
      </c>
      <c r="F1626" s="1"/>
      <c r="G1626" s="1"/>
      <c r="H1626" s="1"/>
      <c r="I1626" s="1"/>
    </row>
    <row r="1627" spans="1:9" ht="15.6" x14ac:dyDescent="0.3">
      <c r="A1627" s="1" t="s">
        <v>5</v>
      </c>
      <c r="B1627" s="1" t="s">
        <v>5</v>
      </c>
      <c r="C1627" s="10" t="s">
        <v>5</v>
      </c>
      <c r="D1627" s="5" t="s">
        <v>1582</v>
      </c>
      <c r="E1627" s="1" t="str">
        <f ca="1">IFERROR(__xludf.DUMMYFUNCTION("GOOGLETRANSLATE(D1627, ""bn"", ""en"")"),"According to the principles of Islam, modesty and respect are said to be the basis of peaceful coexistence among each other.")</f>
        <v>According to the principles of Islam, modesty and respect are said to be the basis of peaceful coexistence among each other.</v>
      </c>
      <c r="F1627" s="1"/>
      <c r="G1627" s="1"/>
      <c r="H1627" s="1"/>
      <c r="I1627" s="1"/>
    </row>
    <row r="1628" spans="1:9" ht="15.6" x14ac:dyDescent="0.3">
      <c r="A1628" s="1" t="s">
        <v>4</v>
      </c>
      <c r="B1628" s="1" t="s">
        <v>4</v>
      </c>
      <c r="C1628" s="10" t="s">
        <v>4</v>
      </c>
      <c r="D1628" s="5" t="s">
        <v>1583</v>
      </c>
      <c r="E1628" s="1" t="str">
        <f ca="1">IFERROR(__xludf.DUMMYFUNCTION("GOOGLETRANSLATE(D1628, ""bn"", ""en"")"),"A country of 91% Muslims is opposed to Islam everywhere. ")</f>
        <v>A country of 91% Muslims is opposed to Islam everywhere. </v>
      </c>
      <c r="F1628" s="1"/>
      <c r="G1628" s="1"/>
      <c r="H1628" s="1"/>
      <c r="I1628" s="1"/>
    </row>
    <row r="1629" spans="1:9" ht="15.6" x14ac:dyDescent="0.3">
      <c r="A1629" s="1" t="s">
        <v>4</v>
      </c>
      <c r="B1629" s="1" t="s">
        <v>4</v>
      </c>
      <c r="C1629" s="10" t="s">
        <v>4</v>
      </c>
      <c r="D1629" s="5" t="s">
        <v>1584</v>
      </c>
      <c r="E1629" s="1" t="str">
        <f ca="1">IFERROR(__xludf.DUMMYFUNCTION("GOOGLETRANSLATE(D1629, ""bn"", ""en"")"),"As a Muslim I strongly condemn and protest. O Allah, judge these oppressors.")</f>
        <v>As a Muslim I strongly condemn and protest. O Allah, judge these oppressors.</v>
      </c>
      <c r="F1629" s="1"/>
      <c r="G1629" s="1"/>
      <c r="H1629" s="1"/>
      <c r="I1629" s="1"/>
    </row>
    <row r="1630" spans="1:9" ht="62.4" x14ac:dyDescent="0.3">
      <c r="A1630" s="1" t="s">
        <v>7</v>
      </c>
      <c r="B1630" s="1" t="s">
        <v>4</v>
      </c>
      <c r="C1630" s="10" t="s">
        <v>7</v>
      </c>
      <c r="D1630" s="6" t="s">
        <v>3968</v>
      </c>
      <c r="E1630" s="1" t="str">
        <f ca="1">IFERROR(__xludf.DUMMYFUNCTION("GOOGLETRANSLATE(D1630, ""bn"", ""en"")"),"Some of the worst riots took place in Garmukteswar in the United Provinces, where a massacre took place in November 1946, where ""Hindu pilgrims attacked and dispossessed Muslims not only in the festival grounds but also in neighboring towns at an annual "&amp;"religious fair"", claiming that the police were almost silent; The death toll is estimated to have been between 1,000 and 2,000. [58] The riots took place in late 1946 and early 1947 in Punjab and the North-West Frontier Province.")</f>
        <v>Some of the worst riots took place in Garmukteswar in the United Provinces, where a massacre took place in November 1946, where "Hindu pilgrims attacked and dispossessed Muslims not only in the festival grounds but also in neighboring towns at an annual religious fair", claiming that the police were almost silent; The death toll is estimated to have been between 1,000 and 2,000. [58] The riots took place in late 1946 and early 1947 in Punjab and the North-West Frontier Province.</v>
      </c>
      <c r="F1630" s="1"/>
      <c r="G1630" s="1"/>
      <c r="H1630" s="1"/>
      <c r="I1630" s="1"/>
    </row>
    <row r="1631" spans="1:9" ht="15.6" x14ac:dyDescent="0.3">
      <c r="A1631" s="1" t="s">
        <v>7</v>
      </c>
      <c r="B1631" s="1" t="s">
        <v>7</v>
      </c>
      <c r="C1631" s="10" t="s">
        <v>7</v>
      </c>
      <c r="D1631" s="5" t="s">
        <v>1585</v>
      </c>
      <c r="E1631" s="1" t="str">
        <f ca="1">IFERROR(__xludf.DUMMYFUNCTION("GOOGLETRANSLATE(D1631, ""bn"", ""en"")"),"Bakhrabad Massacre A massacre of the Hindu population of Bakhrabad village in Comilla district took place on 24 May 1971 during the Bangladesh Liberation War by the Pakistan Army with the help of Al Badr and Al Shams.")</f>
        <v>Bakhrabad Massacre A massacre of the Hindu population of Bakhrabad village in Comilla district took place on 24 May 1971 during the Bangladesh Liberation War by the Pakistan Army with the help of Al Badr and Al Shams.</v>
      </c>
      <c r="F1631" s="1"/>
      <c r="G1631" s="1"/>
      <c r="H1631" s="1"/>
      <c r="I1631" s="1"/>
    </row>
    <row r="1632" spans="1:9" ht="15.6" x14ac:dyDescent="0.3">
      <c r="A1632" s="1" t="s">
        <v>5</v>
      </c>
      <c r="B1632" s="1" t="s">
        <v>5</v>
      </c>
      <c r="C1632" s="10" t="s">
        <v>5</v>
      </c>
      <c r="D1632" s="5" t="s">
        <v>1586</v>
      </c>
      <c r="E1632" s="1" t="str">
        <f ca="1">IFERROR(__xludf.DUMMYFUNCTION("GOOGLETRANSLATE(D1632, ""bn"", ""en"")"),"Various gatherings and Mahafil-e-Naat are organized on the occasion of the holy night, while Ulama and religious scholars present the teachings of Islam in their sermons.")</f>
        <v>Various gatherings and Mahafil-e-Naat are organized on the occasion of the holy night, while Ulama and religious scholars present the teachings of Islam in their sermons.</v>
      </c>
      <c r="F1632" s="1"/>
      <c r="G1632" s="1"/>
      <c r="H1632" s="1"/>
      <c r="I1632" s="1"/>
    </row>
    <row r="1633" spans="1:9" ht="15.6" x14ac:dyDescent="0.3">
      <c r="A1633" s="1" t="s">
        <v>4</v>
      </c>
      <c r="B1633" s="1" t="s">
        <v>4</v>
      </c>
      <c r="C1633" s="10" t="s">
        <v>4</v>
      </c>
      <c r="D1633" s="5" t="s">
        <v>1587</v>
      </c>
      <c r="E1633" s="1" t="str">
        <f ca="1">IFERROR(__xludf.DUMMYFUNCTION("GOOGLETRANSLATE(D1633, ""bn"", ""en"")"),"The people of the temple are not allowing a mosque to be built in Dinajpur, Bangladesh. A local journalist wrote - The decision of where our mosque will be built comes from the High Commission of the neighboring country")</f>
        <v>The people of the temple are not allowing a mosque to be built in Dinajpur, Bangladesh. A local journalist wrote - The decision of where our mosque will be built comes from the High Commission of the neighboring country</v>
      </c>
      <c r="F1633" s="1"/>
      <c r="G1633" s="1"/>
      <c r="H1633" s="1"/>
      <c r="I1633" s="1"/>
    </row>
    <row r="1634" spans="1:9" ht="46.8" x14ac:dyDescent="0.3">
      <c r="A1634" s="1" t="s">
        <v>4</v>
      </c>
      <c r="B1634" s="1" t="s">
        <v>5</v>
      </c>
      <c r="C1634" s="10" t="s">
        <v>4</v>
      </c>
      <c r="D1634" s="6" t="s">
        <v>3967</v>
      </c>
      <c r="E1634" s="1" t="str">
        <f ca="1">IFERROR(__xludf.DUMMYFUNCTION("GOOGLETRANSLATE(D1634, ""bn"", ""en"")"),"I talked about not breaking the Haya Sophia because the original letter compared it to the Babri Masjid - and everyone knows what happened to the Babri Masjid. Modern Türkiye has always been a secular state constitutionally, just as India is a secular sta"&amp;"te. But the current leaders of both countries are trying to establish the supremacy of their religion.")</f>
        <v>I talked about not breaking the Haya Sophia because the original letter compared it to the Babri Masjid - and everyone knows what happened to the Babri Masjid. Modern Türkiye has always been a secular state constitutionally, just as India is a secular state. But the current leaders of both countries are trying to establish the supremacy of their religion.</v>
      </c>
      <c r="F1634" s="1"/>
      <c r="G1634" s="1"/>
      <c r="H1634" s="1"/>
      <c r="I1634" s="1"/>
    </row>
    <row r="1635" spans="1:9" ht="15.6" x14ac:dyDescent="0.3">
      <c r="A1635" s="1" t="s">
        <v>5</v>
      </c>
      <c r="B1635" s="1" t="s">
        <v>5</v>
      </c>
      <c r="C1635" s="10" t="s">
        <v>5</v>
      </c>
      <c r="D1635" s="5" t="s">
        <v>1588</v>
      </c>
      <c r="E1635" s="1" t="str">
        <f ca="1">IFERROR(__xludf.DUMMYFUNCTION("GOOGLETRANSLATE(D1635, ""bn"", ""en"")"),"Islam has been declared the state religion in the constitution of Bangladesh. Bangladesh is the country with the fourth largest Muslim population.")</f>
        <v>Islam has been declared the state religion in the constitution of Bangladesh. Bangladesh is the country with the fourth largest Muslim population.</v>
      </c>
      <c r="F1635" s="1"/>
      <c r="G1635" s="1"/>
      <c r="H1635" s="1"/>
      <c r="I1635" s="1"/>
    </row>
    <row r="1636" spans="1:9" ht="15.6" x14ac:dyDescent="0.3">
      <c r="A1636" s="1" t="s">
        <v>4</v>
      </c>
      <c r="B1636" s="1" t="s">
        <v>5</v>
      </c>
      <c r="C1636" s="10" t="s">
        <v>4</v>
      </c>
      <c r="D1636" s="5" t="s">
        <v>1589</v>
      </c>
      <c r="E1636" s="1" t="str">
        <f ca="1">IFERROR(__xludf.DUMMYFUNCTION("GOOGLETRANSLATE(D1636, ""bn"", ""en"")"),"We cannot practice religion in our own country. I talk a lot about the Palestine issue on Facebook, share posts and videos.")</f>
        <v>We cannot practice religion in our own country. I talk a lot about the Palestine issue on Facebook, share posts and videos.</v>
      </c>
      <c r="F1636" s="1"/>
      <c r="G1636" s="1"/>
      <c r="H1636" s="1"/>
      <c r="I1636" s="1"/>
    </row>
    <row r="1637" spans="1:9" ht="15.6" x14ac:dyDescent="0.3">
      <c r="A1637" s="1" t="s">
        <v>7</v>
      </c>
      <c r="B1637" s="1" t="s">
        <v>7</v>
      </c>
      <c r="C1637" s="10" t="s">
        <v>7</v>
      </c>
      <c r="D1637" s="5" t="s">
        <v>1590</v>
      </c>
      <c r="E1637" s="1" t="str">
        <f ca="1">IFERROR(__xludf.DUMMYFUNCTION("GOOGLETRANSLATE(D1637, ""bn"", ""en"")"),"You can't say anything in support of Nazis there, it's forbidden by law. Genocide denial is prohibited by law in Armenia. Does it include full freedom of expression?")</f>
        <v>You can't say anything in support of Nazis there, it's forbidden by law. Genocide denial is prohibited by law in Armenia. Does it include full freedom of expression?</v>
      </c>
      <c r="F1637" s="1"/>
      <c r="G1637" s="1"/>
      <c r="H1637" s="1"/>
      <c r="I1637" s="1"/>
    </row>
    <row r="1638" spans="1:9" ht="15.6" x14ac:dyDescent="0.3">
      <c r="A1638" s="1" t="s">
        <v>7</v>
      </c>
      <c r="B1638" s="1" t="s">
        <v>7</v>
      </c>
      <c r="C1638" s="10" t="s">
        <v>7</v>
      </c>
      <c r="D1638" s="5" t="s">
        <v>1591</v>
      </c>
      <c r="E1638" s="1" t="str">
        <f ca="1">IFERROR(__xludf.DUMMYFUNCTION("GOOGLETRANSLATE(D1638, ""bn"", ""en"")"),"We strongly condemn, we request Bangladesh to strongly condemn the incident and hang those responsible for the incident.")</f>
        <v>We strongly condemn, we request Bangladesh to strongly condemn the incident and hang those responsible for the incident.</v>
      </c>
      <c r="F1638" s="1"/>
      <c r="G1638" s="1"/>
      <c r="H1638" s="1"/>
      <c r="I1638" s="1"/>
    </row>
    <row r="1639" spans="1:9" ht="15.6" x14ac:dyDescent="0.3">
      <c r="A1639" s="1" t="s">
        <v>4</v>
      </c>
      <c r="B1639" s="1" t="s">
        <v>5</v>
      </c>
      <c r="C1639" s="10" t="s">
        <v>4</v>
      </c>
      <c r="D1639" s="5" t="s">
        <v>1592</v>
      </c>
      <c r="E1639" s="1" t="str">
        <f ca="1">IFERROR(__xludf.DUMMYFUNCTION("GOOGLETRANSLATE(D1639, ""bn"", ""en"")"),"Good deeds are trifled with and good deeds are neglected. Not paying attention to the problems of Muslims. Breaking the bonds of brotherhood. Not having a sense of responsibility in the work of religion.  To be afraid of danger.")</f>
        <v>Good deeds are trifled with and good deeds are neglected. Not paying attention to the problems of Muslims. Breaking the bonds of brotherhood. Not having a sense of responsibility in the work of religion.  To be afraid of danger.</v>
      </c>
      <c r="F1639" s="1"/>
      <c r="G1639" s="1"/>
      <c r="H1639" s="1"/>
      <c r="I1639" s="1"/>
    </row>
    <row r="1640" spans="1:9" ht="15.6" x14ac:dyDescent="0.3">
      <c r="A1640" s="1" t="s">
        <v>4</v>
      </c>
      <c r="B1640" s="1" t="s">
        <v>4</v>
      </c>
      <c r="C1640" s="10" t="s">
        <v>4</v>
      </c>
      <c r="D1640" s="5" t="s">
        <v>1593</v>
      </c>
      <c r="E1640" s="1" t="str">
        <f ca="1">IFERROR(__xludf.DUMMYFUNCTION("GOOGLETRANSLATE(D1640, ""bn"", ""en"")"),"It's a blasphemous word for everyone's religion. May Allah grant Muslims the right understanding.")</f>
        <v>It's a blasphemous word for everyone's religion. May Allah grant Muslims the right understanding.</v>
      </c>
      <c r="F1640" s="1"/>
      <c r="G1640" s="1"/>
      <c r="H1640" s="1"/>
      <c r="I1640" s="1"/>
    </row>
    <row r="1641" spans="1:9" ht="15.6" x14ac:dyDescent="0.3">
      <c r="A1641" s="1" t="s">
        <v>7</v>
      </c>
      <c r="B1641" s="1" t="s">
        <v>7</v>
      </c>
      <c r="C1641" s="10" t="s">
        <v>7</v>
      </c>
      <c r="D1641" s="5" t="s">
        <v>1594</v>
      </c>
      <c r="E1641" s="1" t="str">
        <f ca="1">IFERROR(__xludf.DUMMYFUNCTION("GOOGLETRANSLATE(D1641, ""bn"", ""en"")"),"Mahakumbha great disaster. Death by trampling. This time, the government has informed that 30 people have died after being trampled in the Mahakumbh in Prayagraj. DIG Mahakumbha Vaibhav Krishna confirmed the death toll.  ")</f>
        <v>Mahakumbha great disaster. Death by trampling. This time, the government has informed that 30 people have died after being trampled in the Mahakumbh in Prayagraj. DIG Mahakumbha Vaibhav Krishna confirmed the death toll.  </v>
      </c>
      <c r="F1641" s="1"/>
      <c r="G1641" s="1"/>
      <c r="H1641" s="1"/>
      <c r="I1641" s="1"/>
    </row>
    <row r="1642" spans="1:9" ht="15.6" x14ac:dyDescent="0.3">
      <c r="A1642" s="1" t="s">
        <v>7</v>
      </c>
      <c r="B1642" s="1" t="s">
        <v>4</v>
      </c>
      <c r="C1642" s="10" t="s">
        <v>7</v>
      </c>
      <c r="D1642" s="5" t="s">
        <v>1595</v>
      </c>
      <c r="E1642" s="1" t="str">
        <f ca="1">IFERROR(__xludf.DUMMYFUNCTION("GOOGLETRANSLATE(D1642, ""bn"", ""en"")"),"Naresh Kumar said, ""Apart from defaming the name of Buddha, these Brahminical revivalists kept urging Hindu kings to persecute or even kill innocent Buddhists. Shashanka, the Saiva Brahmin king of Bengal, killed Rajyavardhan, the elder brother of the las"&amp;"t Buddhist emperor, Harshavardhan, in 605 AD. ")</f>
        <v>Naresh Kumar said, "Apart from defaming the name of Buddha, these Brahminical revivalists kept urging Hindu kings to persecute or even kill innocent Buddhists. Shashanka, the Saiva Brahmin king of Bengal, killed Rajyavardhan, the elder brother of the last Buddhist emperor, Harshavardhan, in 605 AD. </v>
      </c>
      <c r="F1642" s="1"/>
      <c r="G1642" s="1"/>
      <c r="H1642" s="1"/>
      <c r="I1642" s="1"/>
    </row>
    <row r="1643" spans="1:9" ht="15.6" x14ac:dyDescent="0.3">
      <c r="A1643" s="1" t="s">
        <v>4</v>
      </c>
      <c r="B1643" s="1" t="s">
        <v>4</v>
      </c>
      <c r="C1643" s="10" t="s">
        <v>4</v>
      </c>
      <c r="D1643" s="5" t="s">
        <v>1596</v>
      </c>
      <c r="E1643" s="1" t="str">
        <f ca="1">IFERROR(__xludf.DUMMYFUNCTION("GOOGLETRANSLATE(D1643, ""bn"", ""en"")"),"At the foot of the idol in the Puja Mandap in Comilla, the greatest epic book, the Holy Quran is kept. Strongly condemn this dirty inhumanity. I strongly demand the immediate arrest of those involved and exemplary punishment.")</f>
        <v>At the foot of the idol in the Puja Mandap in Comilla, the greatest epic book, the Holy Quran is kept. Strongly condemn this dirty inhumanity. I strongly demand the immediate arrest of those involved and exemplary punishment.</v>
      </c>
      <c r="F1643" s="1"/>
      <c r="G1643" s="1"/>
      <c r="H1643" s="1"/>
      <c r="I1643" s="1"/>
    </row>
    <row r="1644" spans="1:9" ht="15.6" x14ac:dyDescent="0.3">
      <c r="A1644" s="1" t="s">
        <v>9</v>
      </c>
      <c r="B1644" s="1" t="s">
        <v>9</v>
      </c>
      <c r="C1644" s="10" t="s">
        <v>9</v>
      </c>
      <c r="D1644" s="5" t="s">
        <v>1597</v>
      </c>
      <c r="E1644" s="1" t="str">
        <f ca="1">IFERROR(__xludf.DUMMYFUNCTION("GOOGLETRANSLATE(D1644, ""bn"", ""en"")"),"In Rangpur's Pirganj, an idol was vandalized in a Hindu temple to hang a person. The matter has been reported to the local administration but they are silent. Sudhijans fear that a bloody communal clash could erupt at any time. The incident took place in "&amp;"Jotidanga village of Panchgachi union of the upazila.")</f>
        <v>In Rangpur's Pirganj, an idol was vandalized in a Hindu temple to hang a person. The matter has been reported to the local administration but they are silent. Sudhijans fear that a bloody communal clash could erupt at any time. The incident took place in Jotidanga village of Panchgachi union of the upazila.</v>
      </c>
      <c r="F1644" s="1"/>
      <c r="G1644" s="1"/>
      <c r="H1644" s="1"/>
      <c r="I1644" s="1"/>
    </row>
    <row r="1645" spans="1:9" ht="15.6" x14ac:dyDescent="0.3">
      <c r="A1645" s="1" t="s">
        <v>7</v>
      </c>
      <c r="B1645" s="1" t="s">
        <v>7</v>
      </c>
      <c r="C1645" s="10" t="s">
        <v>7</v>
      </c>
      <c r="D1645" s="5" t="s">
        <v>1598</v>
      </c>
      <c r="E1645" s="1" t="str">
        <f ca="1">IFERROR(__xludf.DUMMYFUNCTION("GOOGLETRANSLATE(D1645, ""bn"", ""en"")"),"About three hundred and twenty-five years ago, Thomas Eikinhead was hanged for denying the existence of the Christian God and questioning the power or authority of the Catholic Church.")</f>
        <v>About three hundred and twenty-five years ago, Thomas Eikinhead was hanged for denying the existence of the Christian God and questioning the power or authority of the Catholic Church.</v>
      </c>
      <c r="F1645" s="1"/>
      <c r="G1645" s="1"/>
      <c r="H1645" s="1"/>
      <c r="I1645" s="1"/>
    </row>
    <row r="1646" spans="1:9" ht="15.6" x14ac:dyDescent="0.3">
      <c r="A1646" s="1" t="s">
        <v>5</v>
      </c>
      <c r="B1646" s="1" t="s">
        <v>5</v>
      </c>
      <c r="C1646" s="10" t="s">
        <v>5</v>
      </c>
      <c r="D1646" s="5" t="s">
        <v>1599</v>
      </c>
      <c r="E1646" s="1" t="str">
        <f ca="1">IFERROR(__xludf.DUMMYFUNCTION("GOOGLETRANSLATE(D1646, ""bn"", ""en"")"),"Berat Qandili is the name of Middle Sha'ban and is considered a holy day in Turkey. Since the time of Sultan Selim II of the Ottoman Empire, Muslim holidays have been called qandil (Arabic: قنديل, oil lamp), lighting lamps to illuminate minarets on specia"&amp;"l auspicious nights.")</f>
        <v>Berat Qandili is the name of Middle Sha'ban and is considered a holy day in Turkey. Since the time of Sultan Selim II of the Ottoman Empire, Muslim holidays have been called qandil (Arabic: قنديل, oil lamp), lighting lamps to illuminate minarets on special auspicious nights.</v>
      </c>
      <c r="F1646" s="1"/>
      <c r="G1646" s="1"/>
      <c r="H1646" s="1"/>
      <c r="I1646" s="1"/>
    </row>
    <row r="1647" spans="1:9" ht="15.6" x14ac:dyDescent="0.3">
      <c r="A1647" s="1" t="s">
        <v>4</v>
      </c>
      <c r="B1647" s="1" t="s">
        <v>4</v>
      </c>
      <c r="C1647" s="10" t="s">
        <v>4</v>
      </c>
      <c r="D1647" s="5" t="s">
        <v>1600</v>
      </c>
      <c r="E1647" s="1" t="str">
        <f ca="1">IFERROR(__xludf.DUMMYFUNCTION("GOOGLETRANSLATE(D1647, ""bn"", ""en"")"),"It is the misfortune of Bengal that we have summoned such a dacoit while chasing a thief. He is not only dishonest, he is a fraud, he is a traitor, he is a liar.")</f>
        <v>It is the misfortune of Bengal that we have summoned such a dacoit while chasing a thief. He is not only dishonest, he is a fraud, he is a traitor, he is a liar.</v>
      </c>
      <c r="F1647" s="1"/>
      <c r="G1647" s="1"/>
      <c r="H1647" s="1"/>
      <c r="I1647" s="1"/>
    </row>
    <row r="1648" spans="1:9" ht="15.6" x14ac:dyDescent="0.3">
      <c r="A1648" s="1" t="s">
        <v>5</v>
      </c>
      <c r="B1648" s="1" t="s">
        <v>5</v>
      </c>
      <c r="C1648" s="10" t="s">
        <v>5</v>
      </c>
      <c r="D1648" s="5" t="s">
        <v>1601</v>
      </c>
      <c r="E1648" s="1" t="str">
        <f ca="1">IFERROR(__xludf.DUMMYFUNCTION("GOOGLETRANSLATE(D1648, ""bn"", ""en"")"),"Almighty Allah can punish everyone in His heaven and earth. Yet he will not be unjust to them. On the other hand, if He showed mercy to all of them, His mercy would be better for them than their good deeds. ")</f>
        <v>Almighty Allah can punish everyone in His heaven and earth. Yet he will not be unjust to them. On the other hand, if He showed mercy to all of them, His mercy would be better for them than their good deeds. </v>
      </c>
      <c r="F1648" s="1"/>
      <c r="G1648" s="1"/>
      <c r="H1648" s="1"/>
      <c r="I1648" s="1"/>
    </row>
    <row r="1649" spans="1:9" ht="15.6" x14ac:dyDescent="0.3">
      <c r="A1649" s="1" t="s">
        <v>4</v>
      </c>
      <c r="B1649" s="1" t="s">
        <v>4</v>
      </c>
      <c r="C1649" s="10" t="s">
        <v>4</v>
      </c>
      <c r="D1649" s="5" t="s">
        <v>1602</v>
      </c>
      <c r="E1649" s="1" t="str">
        <f ca="1">IFERROR(__xludf.DUMMYFUNCTION("GOOGLETRANSLATE(D1649, ""bn"", ""en"")"),"Do not see people among Muslims? Do you understand that the creatures called Muslims are not human beings? Muslims have turned into a lowly animal in your eyes!")</f>
        <v>Do not see people among Muslims? Do you understand that the creatures called Muslims are not human beings? Muslims have turned into a lowly animal in your eyes!</v>
      </c>
      <c r="F1649" s="1"/>
      <c r="G1649" s="1"/>
      <c r="H1649" s="1"/>
      <c r="I1649" s="1"/>
    </row>
    <row r="1650" spans="1:9" ht="15.6" x14ac:dyDescent="0.3">
      <c r="A1650" s="1" t="s">
        <v>4</v>
      </c>
      <c r="B1650" s="1" t="s">
        <v>4</v>
      </c>
      <c r="C1650" s="10" t="s">
        <v>4</v>
      </c>
      <c r="D1650" s="5" t="s">
        <v>1603</v>
      </c>
      <c r="E1650" s="1" t="str">
        <f ca="1">IFERROR(__xludf.DUMMYFUNCTION("GOOGLETRANSLATE(D1650, ""bn"", ""en"")"),"How many injustices are legitimized by misinterpreting the interpretation of religion.")</f>
        <v>How many injustices are legitimized by misinterpreting the interpretation of religion.</v>
      </c>
      <c r="F1650" s="1"/>
      <c r="G1650" s="1"/>
      <c r="H1650" s="1"/>
      <c r="I1650" s="1"/>
    </row>
    <row r="1651" spans="1:9" ht="46.8" x14ac:dyDescent="0.3">
      <c r="A1651" s="1" t="s">
        <v>5</v>
      </c>
      <c r="B1651" s="1" t="s">
        <v>5</v>
      </c>
      <c r="C1651" s="10" t="s">
        <v>5</v>
      </c>
      <c r="D1651" s="6" t="s">
        <v>3966</v>
      </c>
      <c r="E1651" s="1" t="str">
        <f ca="1">IFERROR(__xludf.DUMMYFUNCTION("GOOGLETRANSLATE(D1651, ""bn"", ""en"")"),"Islam's essential egalitarianism among the faithful and its official discrimination against followers of other religions quickly won converts. Jews and Christians were given a special status as communities possessing the scriptures and were called ""peopl"&amp;"e of the book"" (ahl al-kitab) and were, therefore, allowed religious autonomy.")</f>
        <v>Islam's essential egalitarianism among the faithful and its official discrimination against followers of other religions quickly won converts. Jews and Christians were given a special status as communities possessing the scriptures and were called "people of the book" (ahl al-kitab) and were, therefore, allowed religious autonomy.</v>
      </c>
      <c r="F1651" s="1"/>
      <c r="G1651" s="1"/>
      <c r="H1651" s="1"/>
      <c r="I1651" s="1"/>
    </row>
    <row r="1652" spans="1:9" ht="15.6" x14ac:dyDescent="0.3">
      <c r="A1652" s="1" t="s">
        <v>7</v>
      </c>
      <c r="B1652" s="1" t="s">
        <v>7</v>
      </c>
      <c r="C1652" s="10" t="s">
        <v>7</v>
      </c>
      <c r="D1652" s="5" t="s">
        <v>1604</v>
      </c>
      <c r="E1652" s="1" t="str">
        <f ca="1">IFERROR(__xludf.DUMMYFUNCTION("GOOGLETRANSLATE(D1652, ""bn"", ""en"")"),"Bangladesh Hindu Buddhist Christian Oikya Parishad has given the highest importance to the statement of the Chief Adviser's Office against the information given by Bangladesh Hindu Buddhist Christian Oikya Parishad that 23 people were killed in communal v"&amp;"iolence in the last four and a half months of 2024.")</f>
        <v>Bangladesh Hindu Buddhist Christian Oikya Parishad has given the highest importance to the statement of the Chief Adviser's Office against the information given by Bangladesh Hindu Buddhist Christian Oikya Parishad that 23 people were killed in communal violence in the last four and a half months of 2024.</v>
      </c>
      <c r="F1652" s="1"/>
      <c r="G1652" s="1"/>
      <c r="H1652" s="1"/>
      <c r="I1652" s="1"/>
    </row>
    <row r="1653" spans="1:9" ht="15.6" x14ac:dyDescent="0.3">
      <c r="A1653" s="1" t="s">
        <v>5</v>
      </c>
      <c r="B1653" s="1" t="s">
        <v>5</v>
      </c>
      <c r="C1653" s="10" t="s">
        <v>5</v>
      </c>
      <c r="D1653" s="5" t="s">
        <v>1605</v>
      </c>
      <c r="E1653" s="1" t="str">
        <f ca="1">IFERROR(__xludf.DUMMYFUNCTION("GOOGLETRANSLATE(D1653, ""bn"", ""en"")"),"A part of the Buddhists went to Nepal and took shelter from the oppression of the Sena kings. That's why Charyapad was discovered from Nepal.")</f>
        <v>A part of the Buddhists went to Nepal and took shelter from the oppression of the Sena kings. That's why Charyapad was discovered from Nepal.</v>
      </c>
      <c r="F1653" s="1"/>
      <c r="G1653" s="1"/>
      <c r="H1653" s="1"/>
      <c r="I1653" s="1"/>
    </row>
    <row r="1654" spans="1:9" ht="15.6" x14ac:dyDescent="0.3">
      <c r="A1654" s="1" t="s">
        <v>5</v>
      </c>
      <c r="B1654" s="1" t="s">
        <v>5</v>
      </c>
      <c r="C1654" s="10" t="s">
        <v>5</v>
      </c>
      <c r="D1654" s="5" t="s">
        <v>1606</v>
      </c>
      <c r="E1654" s="1" t="str">
        <f ca="1">IFERROR(__xludf.DUMMYFUNCTION("GOOGLETRANSLATE(D1654, ""bn"", ""en"")"),"Allah says that it is possible to establish love and peaceful coexistence between people despite their religious differences, which is His will.")</f>
        <v>Allah says that it is possible to establish love and peaceful coexistence between people despite their religious differences, which is His will.</v>
      </c>
      <c r="F1654" s="1"/>
      <c r="G1654" s="1"/>
      <c r="H1654" s="1"/>
      <c r="I1654" s="1"/>
    </row>
    <row r="1655" spans="1:9" ht="15.6" x14ac:dyDescent="0.3">
      <c r="A1655" s="1" t="s">
        <v>4</v>
      </c>
      <c r="B1655" s="1" t="s">
        <v>4</v>
      </c>
      <c r="C1655" s="10" t="s">
        <v>4</v>
      </c>
      <c r="D1655" s="5" t="s">
        <v>1607</v>
      </c>
      <c r="E1655" s="1" t="str">
        <f ca="1">IFERROR(__xludf.DUMMYFUNCTION("GOOGLETRANSLATE(D1655, ""bn"", ""en"")"),"I believe that not only Sweden but all those who have insulted my holy Quran given by Allah, Allah will destroy all of them one day inshallah.")</f>
        <v>I believe that not only Sweden but all those who have insulted my holy Quran given by Allah, Allah will destroy all of them one day inshallah.</v>
      </c>
      <c r="F1655" s="1"/>
      <c r="G1655" s="1"/>
      <c r="H1655" s="1"/>
      <c r="I1655" s="1"/>
    </row>
    <row r="1656" spans="1:9" ht="31.2" x14ac:dyDescent="0.3">
      <c r="A1656" s="1" t="s">
        <v>7</v>
      </c>
      <c r="B1656" s="1" t="s">
        <v>5</v>
      </c>
      <c r="C1656" s="10" t="s">
        <v>7</v>
      </c>
      <c r="D1656" s="6" t="s">
        <v>3965</v>
      </c>
      <c r="E1656" s="1" t="str">
        <f ca="1">IFERROR(__xludf.DUMMYFUNCTION("GOOGLETRANSLATE(D1656, ""bn"", ""en"")"),"There have been reports of outrage in some Muslim countries, including Jordan and Kuwait, against some of President Emmanuel Macron's recent comments on Islam after a school teacher was beheaded in France after a cartoon of the Prophet of Islam was shown "&amp;"in a classroom.")</f>
        <v>There have been reports of outrage in some Muslim countries, including Jordan and Kuwait, against some of President Emmanuel Macron's recent comments on Islam after a school teacher was beheaded in France after a cartoon of the Prophet of Islam was shown in a classroom.</v>
      </c>
      <c r="F1656" s="1"/>
      <c r="G1656" s="1"/>
      <c r="H1656" s="1"/>
      <c r="I1656" s="1"/>
    </row>
    <row r="1657" spans="1:9" ht="46.8" x14ac:dyDescent="0.3">
      <c r="A1657" s="1" t="s">
        <v>4</v>
      </c>
      <c r="B1657" s="1" t="s">
        <v>4</v>
      </c>
      <c r="C1657" s="10" t="s">
        <v>4</v>
      </c>
      <c r="D1657" s="6" t="s">
        <v>3964</v>
      </c>
      <c r="E1657" s="1" t="str">
        <f ca="1">IFERROR(__xludf.DUMMYFUNCTION("GOOGLETRANSLATE(D1657, ""bn"", ""en"")"),"Not a single one of such heinous organized crime has gone unpunished till date. Instead of bringing the real criminals under the law in these incidents, the minority Hindu community has been blamed for these incidents. We demand its strong condemnation an"&amp;"d exemplary punishment of those involved.")</f>
        <v>Not a single one of such heinous organized crime has gone unpunished till date. Instead of bringing the real criminals under the law in these incidents, the minority Hindu community has been blamed for these incidents. We demand its strong condemnation and exemplary punishment of those involved.</v>
      </c>
      <c r="F1657" s="1"/>
      <c r="G1657" s="1"/>
      <c r="H1657" s="1"/>
      <c r="I1657" s="1"/>
    </row>
    <row r="1658" spans="1:9" ht="15.6" x14ac:dyDescent="0.3">
      <c r="A1658" s="1" t="s">
        <v>4</v>
      </c>
      <c r="B1658" s="1" t="s">
        <v>4</v>
      </c>
      <c r="C1658" s="10" t="s">
        <v>4</v>
      </c>
      <c r="D1658" s="5" t="s">
        <v>1608</v>
      </c>
      <c r="E1658" s="1" t="str">
        <f ca="1">IFERROR(__xludf.DUMMYFUNCTION("GOOGLETRANSLATE(D1658, ""bn"", ""en"")"),"Why America and Dada have kept them in power after so much? Why is there no ban? If you understand, you understand the page, if you don't understand, the page is bright.")</f>
        <v>Why America and Dada have kept them in power after so much? Why is there no ban? If you understand, you understand the page, if you don't understand, the page is bright.</v>
      </c>
      <c r="F1658" s="1"/>
      <c r="G1658" s="1"/>
      <c r="H1658" s="1"/>
      <c r="I1658" s="1"/>
    </row>
    <row r="1659" spans="1:9" ht="15.6" x14ac:dyDescent="0.3">
      <c r="A1659" s="1" t="s">
        <v>5</v>
      </c>
      <c r="B1659" s="1" t="s">
        <v>5</v>
      </c>
      <c r="C1659" s="10" t="s">
        <v>5</v>
      </c>
      <c r="D1659" s="5" t="s">
        <v>1609</v>
      </c>
      <c r="E1659" s="1" t="str">
        <f ca="1">IFERROR(__xludf.DUMMYFUNCTION("GOOGLETRANSLATE(D1659, ""bn"", ""en"")"),"Although it is now a Muslim country, Buddhists are no small players in the nation's history and culture. Most of the followers of Buddhism in Bangladesh live in Chittagong Division. ")</f>
        <v>Although it is now a Muslim country, Buddhists are no small players in the nation's history and culture. Most of the followers of Buddhism in Bangladesh live in Chittagong Division. </v>
      </c>
      <c r="F1659" s="1"/>
      <c r="G1659" s="1"/>
      <c r="H1659" s="1"/>
      <c r="I1659" s="1"/>
    </row>
    <row r="1660" spans="1:9" ht="15.6" x14ac:dyDescent="0.3">
      <c r="A1660" s="1" t="s">
        <v>9</v>
      </c>
      <c r="B1660" s="1" t="s">
        <v>9</v>
      </c>
      <c r="C1660" s="10" t="s">
        <v>9</v>
      </c>
      <c r="D1660" s="5" t="s">
        <v>1610</v>
      </c>
      <c r="E1660" s="1" t="str">
        <f ca="1">IFERROR(__xludf.DUMMYFUNCTION("GOOGLETRANSLATE(D1660, ""bn"", ""en"")"),"For 15 years no one has been punished for Hindu persecution. Before this, incidents are happening one after the other in Raujan of Chittagong, Ramu of Cox's Bazar, Nasirnagar, Abhaynagar of Jessore. After all this, the government is playing a silent role.")</f>
        <v>For 15 years no one has been punished for Hindu persecution. Before this, incidents are happening one after the other in Raujan of Chittagong, Ramu of Cox's Bazar, Nasirnagar, Abhaynagar of Jessore. After all this, the government is playing a silent role.</v>
      </c>
      <c r="F1660" s="1"/>
      <c r="G1660" s="1"/>
      <c r="H1660" s="1"/>
      <c r="I1660" s="1"/>
    </row>
    <row r="1661" spans="1:9" ht="46.8" x14ac:dyDescent="0.3">
      <c r="A1661" s="1" t="s">
        <v>9</v>
      </c>
      <c r="B1661" s="1" t="s">
        <v>9</v>
      </c>
      <c r="C1661" s="10" t="s">
        <v>9</v>
      </c>
      <c r="D1661" s="6" t="s">
        <v>3963</v>
      </c>
      <c r="E1661" s="1" t="str">
        <f ca="1">IFERROR(__xludf.DUMMYFUNCTION("GOOGLETRANSLATE(D1661, ""bn"", ""en"")"),"The common people of Bangladesh also know that the Muslim minority is subjected to torture in that country. In that context, the reason for the attack on Hindus could also be from public anger in this country. So India should also be aware of the security"&amp;" of Hindus in Bangladesh and change the security policy of the Muslim minority.")</f>
        <v>The common people of Bangladesh also know that the Muslim minority is subjected to torture in that country. In that context, the reason for the attack on Hindus could also be from public anger in this country. So India should also be aware of the security of Hindus in Bangladesh and change the security policy of the Muslim minority.</v>
      </c>
      <c r="F1661" s="1"/>
      <c r="G1661" s="1"/>
      <c r="H1661" s="1"/>
      <c r="I1661" s="1"/>
    </row>
    <row r="1662" spans="1:9" ht="15.6" x14ac:dyDescent="0.3">
      <c r="A1662" s="1" t="s">
        <v>4</v>
      </c>
      <c r="B1662" s="1" t="s">
        <v>4</v>
      </c>
      <c r="C1662" s="10" t="s">
        <v>4</v>
      </c>
      <c r="D1662" s="5" t="s">
        <v>1611</v>
      </c>
      <c r="E1662" s="1" t="str">
        <f ca="1">IFERROR(__xludf.DUMMYFUNCTION("GOOGLETRANSLATE(D1662, ""bn"", ""en"")"),"For 75 years, there is a ban on rebuilding mosques where there are mosques. It is a Muslim country.")</f>
        <v>For 75 years, there is a ban on rebuilding mosques where there are mosques. It is a Muslim country.</v>
      </c>
      <c r="F1662" s="1"/>
      <c r="G1662" s="1"/>
      <c r="H1662" s="1"/>
      <c r="I1662" s="1"/>
    </row>
    <row r="1663" spans="1:9" ht="15.6" x14ac:dyDescent="0.3">
      <c r="A1663" s="1" t="s">
        <v>5</v>
      </c>
      <c r="B1663" s="1" t="s">
        <v>9</v>
      </c>
      <c r="C1663" s="10" t="s">
        <v>5</v>
      </c>
      <c r="D1663" s="5" t="s">
        <v>1612</v>
      </c>
      <c r="E1663" s="1" t="str">
        <f ca="1">IFERROR(__xludf.DUMMYFUNCTION("GOOGLETRANSLATE(D1663, ""bn"", ""en"")"),"The long 40-day siege of Taif, set by Hunayn as an adventurer, was the crowning achievement of his heroic conquest of Makkah. A great victory without bloodshed. Which has not been observed anywhere else in the history of the world, nor is it likely to hap"&amp;"pen. Humans have never observed such wonders before.")</f>
        <v>The long 40-day siege of Taif, set by Hunayn as an adventurer, was the crowning achievement of his heroic conquest of Makkah. A great victory without bloodshed. Which has not been observed anywhere else in the history of the world, nor is it likely to happen. Humans have never observed such wonders before.</v>
      </c>
      <c r="F1663" s="1"/>
      <c r="G1663" s="1"/>
      <c r="H1663" s="1"/>
      <c r="I1663" s="1"/>
    </row>
    <row r="1664" spans="1:9" ht="15.6" x14ac:dyDescent="0.3">
      <c r="A1664" s="1" t="s">
        <v>9</v>
      </c>
      <c r="B1664" s="1" t="s">
        <v>9</v>
      </c>
      <c r="C1664" s="10" t="s">
        <v>9</v>
      </c>
      <c r="D1664" s="5" t="s">
        <v>1613</v>
      </c>
      <c r="E1664" s="1" t="str">
        <f ca="1">IFERROR(__xludf.DUMMYFUNCTION("GOOGLETRANSLATE(D1664, ""bn"", ""en"")"),"He claimed that 501 organized attacks, 56 temple attacks, vandalism and arson, 219 idols vandalized, 50 idols stolen, 77 people kidnapped, 15 people attempted to be kidnapped, have been reported in this year.")</f>
        <v>He claimed that 501 organized attacks, 56 temple attacks, vandalism and arson, 219 idols vandalized, 50 idols stolen, 77 people kidnapped, 15 people attempted to be kidnapped, have been reported in this year.</v>
      </c>
      <c r="F1664" s="1"/>
      <c r="G1664" s="1"/>
      <c r="H1664" s="1"/>
      <c r="I1664" s="1"/>
    </row>
    <row r="1665" spans="1:9" ht="15.6" x14ac:dyDescent="0.3">
      <c r="A1665" s="1" t="s">
        <v>9</v>
      </c>
      <c r="B1665" s="1" t="s">
        <v>9</v>
      </c>
      <c r="C1665" s="10" t="s">
        <v>9</v>
      </c>
      <c r="D1665" s="5" t="s">
        <v>1614</v>
      </c>
      <c r="E1665" s="1" t="str">
        <f ca="1">IFERROR(__xludf.DUMMYFUNCTION("GOOGLETRANSLATE(D1665, ""bn"", ""en"")"),"On that day, in at least 21 districts of the country, including Dhaka, under the banner of the angry Islamic crowd, attacks were carried out on the houses, business establishments and temples of Hindus.")</f>
        <v>On that day, in at least 21 districts of the country, including Dhaka, under the banner of the angry Islamic crowd, attacks were carried out on the houses, business establishments and temples of Hindus.</v>
      </c>
      <c r="F1665" s="1"/>
      <c r="G1665" s="1"/>
      <c r="H1665" s="1"/>
      <c r="I1665" s="1"/>
    </row>
    <row r="1666" spans="1:9" ht="15.6" x14ac:dyDescent="0.3">
      <c r="A1666" s="1" t="s">
        <v>4</v>
      </c>
      <c r="B1666" s="1" t="s">
        <v>5</v>
      </c>
      <c r="C1666" s="10" t="s">
        <v>4</v>
      </c>
      <c r="D1666" s="5" t="s">
        <v>1615</v>
      </c>
      <c r="E1666" s="1" t="str">
        <f ca="1">IFERROR(__xludf.DUMMYFUNCTION("GOOGLETRANSLATE(D1666, ""bn"", ""en"")"),"It's so normal for them, they don't care if a funny post is good or bad")</f>
        <v>It's so normal for them, they don't care if a funny post is good or bad</v>
      </c>
      <c r="F1666" s="1"/>
      <c r="G1666" s="1"/>
      <c r="H1666" s="1"/>
      <c r="I1666" s="1"/>
    </row>
    <row r="1667" spans="1:9" ht="15.6" x14ac:dyDescent="0.3">
      <c r="A1667" s="1" t="s">
        <v>4</v>
      </c>
      <c r="B1667" s="1" t="s">
        <v>4</v>
      </c>
      <c r="C1667" s="10" t="s">
        <v>4</v>
      </c>
      <c r="D1667" s="5" t="s">
        <v>1616</v>
      </c>
      <c r="E1667" s="1" t="str">
        <f ca="1">IFERROR(__xludf.DUMMYFUNCTION("GOOGLETRANSLATE(D1667, ""bn"", ""en"")"),"How cruel they could be to attack like this was unmasked by the war.")</f>
        <v>How cruel they could be to attack like this was unmasked by the war.</v>
      </c>
      <c r="F1667" s="1"/>
      <c r="G1667" s="1"/>
      <c r="H1667" s="1"/>
      <c r="I1667" s="1"/>
    </row>
    <row r="1668" spans="1:9" ht="62.4" x14ac:dyDescent="0.3">
      <c r="A1668" s="1" t="s">
        <v>9</v>
      </c>
      <c r="B1668" s="1" t="s">
        <v>9</v>
      </c>
      <c r="C1668" s="10" t="s">
        <v>9</v>
      </c>
      <c r="D1668" s="6" t="s">
        <v>3962</v>
      </c>
      <c r="E1668" s="1" t="str">
        <f ca="1">IFERROR(__xludf.DUMMYFUNCTION("GOOGLETRANSLATE(D1668, ""bn"", ""en"")"),"On the one hand, the intensity of genocide increased day by day, on the other hand, the infamous governor of East Pakistan, Abdul Monaeem Khan, former member of East Pakistan Legislative Assembly and former member of Pakistan National Assembly, Kazi Abdul"&amp;" Quader, appeared as invited guests in the wedding ceremony. Famous Khulna lawyer Arvind Bhattacharya urged him to take swift action to stop this brutal killing of Hindus. But Sabur Khan showed his preoccupation with arranging the marriage ceremony of his"&amp;" niece and expressed the impossibility of any arrangement.")</f>
        <v>On the one hand, the intensity of genocide increased day by day, on the other hand, the infamous governor of East Pakistan, Abdul Monaeem Khan, former member of East Pakistan Legislative Assembly and former member of Pakistan National Assembly, Kazi Abdul Quader, appeared as invited guests in the wedding ceremony. Famous Khulna lawyer Arvind Bhattacharya urged him to take swift action to stop this brutal killing of Hindus. But Sabur Khan showed his preoccupation with arranging the marriage ceremony of his niece and expressed the impossibility of any arrangement.</v>
      </c>
      <c r="F1668" s="1"/>
      <c r="G1668" s="1"/>
      <c r="H1668" s="1"/>
      <c r="I1668" s="1"/>
    </row>
    <row r="1669" spans="1:9" ht="15.6" x14ac:dyDescent="0.3">
      <c r="A1669" s="1" t="s">
        <v>9</v>
      </c>
      <c r="B1669" s="1" t="s">
        <v>9</v>
      </c>
      <c r="C1669" s="10" t="s">
        <v>9</v>
      </c>
      <c r="D1669" s="5" t="s">
        <v>1617</v>
      </c>
      <c r="E1669" s="1" t="str">
        <f ca="1">IFERROR(__xludf.DUMMYFUNCTION("GOOGLETRANSLATE(D1669, ""bn"", ""en"")"),"On Saturday, September 17, the idol under construction was vandalized in the Kashipur Durga temple of Barisal's Mehendiganj upazila. The hands and head of the idol are removed and placed at the feet.")</f>
        <v>On Saturday, September 17, the idol under construction was vandalized in the Kashipur Durga temple of Barisal's Mehendiganj upazila. The hands and head of the idol are removed and placed at the feet.</v>
      </c>
      <c r="F1669" s="1"/>
      <c r="G1669" s="1"/>
      <c r="H1669" s="1"/>
      <c r="I1669" s="1"/>
    </row>
    <row r="1670" spans="1:9" ht="15.6" x14ac:dyDescent="0.3">
      <c r="A1670" s="1" t="s">
        <v>9</v>
      </c>
      <c r="B1670" s="1" t="s">
        <v>9</v>
      </c>
      <c r="C1670" s="10" t="s">
        <v>9</v>
      </c>
      <c r="D1670" s="5" t="s">
        <v>1618</v>
      </c>
      <c r="E1670" s="1" t="str">
        <f ca="1">IFERROR(__xludf.DUMMYFUNCTION("GOOGLETRANSLATE(D1670, ""bn"", ""en"")"),"Many writers and journalists were threatened and attacked for speaking out against religious intolerance, including M. M. Kalburgi and Gauri Lankesh are notable.")</f>
        <v>Many writers and journalists were threatened and attacked for speaking out against religious intolerance, including M. M. Kalburgi and Gauri Lankesh are notable.</v>
      </c>
      <c r="F1670" s="1"/>
      <c r="G1670" s="1"/>
      <c r="H1670" s="1"/>
      <c r="I1670" s="1"/>
    </row>
    <row r="1671" spans="1:9" ht="15.6" x14ac:dyDescent="0.3">
      <c r="A1671" s="1" t="s">
        <v>4</v>
      </c>
      <c r="B1671" s="1" t="s">
        <v>4</v>
      </c>
      <c r="C1671" s="10" t="s">
        <v>4</v>
      </c>
      <c r="D1671" s="5" t="s">
        <v>1619</v>
      </c>
      <c r="E1671" s="1" t="str">
        <f ca="1">IFERROR(__xludf.DUMMYFUNCTION("GOOGLETRANSLATE(D1671, ""bn"", ""en"")"),"We did not get a clear strong condemnation from Bangladesh. Surely Allah is the sole guardian of the Qur'an.")</f>
        <v>We did not get a clear strong condemnation from Bangladesh. Surely Allah is the sole guardian of the Qur'an.</v>
      </c>
      <c r="F1671" s="1"/>
      <c r="G1671" s="1"/>
      <c r="H1671" s="1"/>
      <c r="I1671" s="1"/>
    </row>
    <row r="1672" spans="1:9" ht="15.6" x14ac:dyDescent="0.3">
      <c r="A1672" s="1" t="s">
        <v>9</v>
      </c>
      <c r="B1672" s="1" t="s">
        <v>4</v>
      </c>
      <c r="C1672" s="10" t="s">
        <v>9</v>
      </c>
      <c r="D1672" s="5" t="s">
        <v>1620</v>
      </c>
      <c r="E1672" s="1" t="str">
        <f ca="1">IFERROR(__xludf.DUMMYFUNCTION("GOOGLETRANSLATE(D1672, ""bn"", ""en"")"),"You are doing nothing to those who are oppressing the people of Gaza!!! I gave you a trial and see what you do!!!")</f>
        <v>You are doing nothing to those who are oppressing the people of Gaza!!! I gave you a trial and see what you do!!!</v>
      </c>
      <c r="F1672" s="1"/>
      <c r="G1672" s="1"/>
      <c r="H1672" s="1"/>
      <c r="I1672" s="1"/>
    </row>
    <row r="1673" spans="1:9" ht="15.6" x14ac:dyDescent="0.3">
      <c r="A1673" s="1" t="s">
        <v>9</v>
      </c>
      <c r="B1673" s="1" t="s">
        <v>9</v>
      </c>
      <c r="C1673" s="10" t="s">
        <v>9</v>
      </c>
      <c r="D1673" s="5" t="s">
        <v>1621</v>
      </c>
      <c r="E1673" s="1" t="str">
        <f ca="1">IFERROR(__xludf.DUMMYFUNCTION("GOOGLETRANSLATE(D1673, ""bn"", ""en"")"),"The League of Nations is silent in the sad state of this country in the East! The whole world is silent! They do not understand that this fire will quickly come on themselves. Hindu, Muslim or Christian, any religious narrowness, fundamentalism, extremism"&amp;" pulls people back. And history is witness, women are always the first target of all riots, tyranny, tyranny.")</f>
        <v>The League of Nations is silent in the sad state of this country in the East! The whole world is silent! They do not understand that this fire will quickly come on themselves. Hindu, Muslim or Christian, any religious narrowness, fundamentalism, extremism pulls people back. And history is witness, women are always the first target of all riots, tyranny, tyranny.</v>
      </c>
      <c r="F1673" s="1"/>
      <c r="G1673" s="1"/>
      <c r="H1673" s="1"/>
      <c r="I1673" s="1"/>
    </row>
    <row r="1674" spans="1:9" ht="15.6" x14ac:dyDescent="0.3">
      <c r="A1674" s="4" t="s">
        <v>7</v>
      </c>
      <c r="B1674" s="4" t="s">
        <v>7</v>
      </c>
      <c r="C1674" s="11" t="s">
        <v>7</v>
      </c>
      <c r="D1674" s="5" t="s">
        <v>1622</v>
      </c>
      <c r="E1674" s="1" t="str">
        <f ca="1">IFERROR(__xludf.DUMMYFUNCTION("GOOGLETRANSLATE(D1674, ""bn"", ""en"")"),"Accumulation Civic Society organized a human chain and protest demonstration to mark the 26th anniversary of Ghulja Genocide in Gazipur highlighting the Chinese brutality and ongoing genocide against Uighur Muslims.")</f>
        <v>Accumulation Civic Society organized a human chain and protest demonstration to mark the 26th anniversary of Ghulja Genocide in Gazipur highlighting the Chinese brutality and ongoing genocide against Uighur Muslims.</v>
      </c>
      <c r="F1674" s="1"/>
      <c r="G1674" s="1"/>
      <c r="H1674" s="1"/>
      <c r="I1674" s="1"/>
    </row>
    <row r="1675" spans="1:9" ht="15.6" x14ac:dyDescent="0.3">
      <c r="A1675" s="1" t="s">
        <v>4</v>
      </c>
      <c r="B1675" s="1" t="s">
        <v>9</v>
      </c>
      <c r="C1675" s="10" t="s">
        <v>4</v>
      </c>
      <c r="D1675" s="5" t="s">
        <v>1623</v>
      </c>
      <c r="E1675" s="1" t="str">
        <f ca="1">IFERROR(__xludf.DUMMYFUNCTION("GOOGLETRANSLATE(D1675, ""bn"", ""en"")"),"Persecution of Muslims is religious persecution perpetrated on followers of Islam. In the early days of Islam in Mecca, the new Muslims were often tortured and persecuted by pagan Meccans (often called mushrikeen: unbelievers or polytheists).")</f>
        <v>Persecution of Muslims is religious persecution perpetrated on followers of Islam. In the early days of Islam in Mecca, the new Muslims were often tortured and persecuted by pagan Meccans (often called mushrikeen: unbelievers or polytheists).</v>
      </c>
      <c r="F1675" s="1"/>
      <c r="G1675" s="1"/>
      <c r="H1675" s="1"/>
      <c r="I1675" s="1"/>
    </row>
    <row r="1676" spans="1:9" ht="15.6" x14ac:dyDescent="0.3">
      <c r="A1676" s="1" t="s">
        <v>7</v>
      </c>
      <c r="B1676" s="1" t="s">
        <v>7</v>
      </c>
      <c r="C1676" s="10" t="s">
        <v>7</v>
      </c>
      <c r="D1676" s="5" t="s">
        <v>1624</v>
      </c>
      <c r="E1676" s="1" t="str">
        <f ca="1">IFERROR(__xludf.DUMMYFUNCTION("GOOGLETRANSLATE(D1676, ""bn"", ""en"")"),"Religion is for the peace of people but now it has turned into politics and is killing people. Even though I am secular, it means that we do not exist without the Supreme. ")</f>
        <v xml:space="preserve">Religion is for the peace of people but now it has turned into politics and is killing people. Even though I am secular, it means that we do not exist without the Supreme. </v>
      </c>
      <c r="F1676" s="1"/>
      <c r="G1676" s="1"/>
      <c r="H1676" s="1"/>
      <c r="I1676" s="1"/>
    </row>
    <row r="1677" spans="1:9" ht="15.6" x14ac:dyDescent="0.3">
      <c r="A1677" s="1" t="s">
        <v>4</v>
      </c>
      <c r="B1677" s="1" t="s">
        <v>4</v>
      </c>
      <c r="C1677" s="10" t="s">
        <v>4</v>
      </c>
      <c r="D1677" s="5" t="s">
        <v>1625</v>
      </c>
      <c r="E1677" s="1" t="str">
        <f ca="1">IFERROR(__xludf.DUMMYFUNCTION("GOOGLETRANSLATE(D1677, ""bn"", ""en"")"),"Later, the foreign ministers of Iran, Saudi Arabia and Indonesia spoke in agreement with Bilwal. Indonesian Foreign Minister Retno Marsudi said, stop abusing freedom of expression. Silence means consent.")</f>
        <v>Later, the foreign ministers of Iran, Saudi Arabia and Indonesia spoke in agreement with Bilwal. Indonesian Foreign Minister Retno Marsudi said, stop abusing freedom of expression. Silence means consent.</v>
      </c>
      <c r="F1677" s="1"/>
      <c r="G1677" s="1"/>
      <c r="H1677" s="1"/>
      <c r="I1677" s="1"/>
    </row>
    <row r="1678" spans="1:9" ht="15.6" x14ac:dyDescent="0.3">
      <c r="A1678" s="1" t="s">
        <v>5</v>
      </c>
      <c r="B1678" s="1" t="s">
        <v>5</v>
      </c>
      <c r="C1678" s="10" t="s">
        <v>5</v>
      </c>
      <c r="D1678" s="5" t="s">
        <v>1626</v>
      </c>
      <c r="E1678" s="1" t="str">
        <f ca="1">IFERROR(__xludf.DUMMYFUNCTION("GOOGLETRANSLATE(D1678, ""bn"", ""en"")"),"The teachings and precepts of religion guide people to the right path. It helps him to take right decisions in life, which leads him forward in life.")</f>
        <v>The teachings and precepts of religion guide people to the right path. It helps him to take right decisions in life, which leads him forward in life.</v>
      </c>
      <c r="F1678" s="1"/>
      <c r="G1678" s="1"/>
      <c r="H1678" s="1"/>
      <c r="I1678" s="1"/>
    </row>
    <row r="1679" spans="1:9" ht="15.6" x14ac:dyDescent="0.3">
      <c r="A1679" s="4" t="s">
        <v>7</v>
      </c>
      <c r="B1679" s="4" t="s">
        <v>7</v>
      </c>
      <c r="C1679" s="11" t="s">
        <v>7</v>
      </c>
      <c r="D1679" s="5" t="s">
        <v>1627</v>
      </c>
      <c r="E1679" s="1" t="str">
        <f ca="1">IFERROR(__xludf.DUMMYFUNCTION("GOOGLETRANSLATE(D1679, ""bn"", ""en"")")," Several Hindu temples and an unknown number of Hindus were also killed during the riots, except for five Hindu saints (including Saraswati) who were killed early on.")</f>
        <v xml:space="preserve"> Several Hindu temples and an unknown number of Hindus were also killed during the riots, except for five Hindu saints (including Saraswati) who were killed early on.</v>
      </c>
      <c r="F1679" s="1"/>
      <c r="G1679" s="1"/>
      <c r="H1679" s="1"/>
      <c r="I1679" s="1"/>
    </row>
    <row r="1680" spans="1:9" ht="46.8" x14ac:dyDescent="0.3">
      <c r="A1680" s="1" t="s">
        <v>5</v>
      </c>
      <c r="B1680" s="1" t="s">
        <v>5</v>
      </c>
      <c r="C1680" s="10" t="s">
        <v>5</v>
      </c>
      <c r="D1680" s="6" t="s">
        <v>3961</v>
      </c>
      <c r="E1680" s="1" t="str">
        <f ca="1">IFERROR(__xludf.DUMMYFUNCTION("GOOGLETRANSLATE(D1680, ""bn"", ""en"")"),"They even praised me for studying Islam. There was never a second word with them. We had two Hindu batchmates as roster mates during the internship. Apart from that, I have maintained the Mahram distance as much as possible. Although there were some chall"&amp;"enging moments with one of them, I always tried to fulfill my duties.")</f>
        <v>They even praised me for studying Islam. There was never a second word with them. We had two Hindu batchmates as roster mates during the internship. Apart from that, I have maintained the Mahram distance as much as possible. Although there were some challenging moments with one of them, I always tried to fulfill my duties.</v>
      </c>
      <c r="F1680" s="1"/>
      <c r="G1680" s="1"/>
      <c r="H1680" s="1"/>
      <c r="I1680" s="1"/>
    </row>
    <row r="1681" spans="1:9" ht="15.6" x14ac:dyDescent="0.3">
      <c r="A1681" s="1" t="s">
        <v>9</v>
      </c>
      <c r="B1681" s="1" t="s">
        <v>5</v>
      </c>
      <c r="C1681" s="10" t="s">
        <v>9</v>
      </c>
      <c r="D1681" s="5" t="s">
        <v>1628</v>
      </c>
      <c r="E1681" s="1" t="str">
        <f ca="1">IFERROR(__xludf.DUMMYFUNCTION("GOOGLETRANSLATE(D1681, ""bn"", ""en"")"),"In Bogra, temple locks were broken, idols vandalized, goods stolen")</f>
        <v>In Bogra, temple locks were broken, idols vandalized, goods stolen</v>
      </c>
      <c r="F1681" s="1"/>
      <c r="G1681" s="1"/>
      <c r="H1681" s="1"/>
      <c r="I1681" s="1"/>
    </row>
    <row r="1682" spans="1:9" ht="31.2" x14ac:dyDescent="0.3">
      <c r="A1682" s="4" t="s">
        <v>7</v>
      </c>
      <c r="B1682" s="4" t="s">
        <v>7</v>
      </c>
      <c r="C1682" s="11" t="s">
        <v>7</v>
      </c>
      <c r="D1682" s="6" t="s">
        <v>3960</v>
      </c>
      <c r="E1682" s="1" t="str">
        <f ca="1">IFERROR(__xludf.DUMMYFUNCTION("GOOGLETRANSLATE(D1682, ""bn"", ""en"")"),"The time was February 1982. About 40 thousand Sunni Muslims were killed in this barbaric massacre. And millions of Muslims were arrested. Among the arrested, 15,000 Muslims were disappeared by the Nusayri forces.")</f>
        <v>The time was February 1982. About 40 thousand Sunni Muslims were killed in this barbaric massacre. And millions of Muslims were arrested. Among the arrested, 15,000 Muslims were disappeared by the Nusayri forces.</v>
      </c>
      <c r="F1682" s="1"/>
      <c r="G1682" s="1"/>
      <c r="H1682" s="1"/>
      <c r="I1682" s="1"/>
    </row>
    <row r="1683" spans="1:9" ht="15.6" x14ac:dyDescent="0.3">
      <c r="A1683" s="1" t="s">
        <v>4</v>
      </c>
      <c r="B1683" s="1" t="s">
        <v>5</v>
      </c>
      <c r="C1683" s="10" t="s">
        <v>4</v>
      </c>
      <c r="D1683" s="5" t="s">
        <v>1629</v>
      </c>
      <c r="E1683" s="1" t="str">
        <f ca="1">IFERROR(__xludf.DUMMYFUNCTION("GOOGLETRANSLATE(D1683, ""bn"", ""en"")"),"Showing or proving the superiority of religion is another noteworthy point. Exaggeration about religion is seen among people of almost all religions. At some point there will be no religion, his religion will be victorious and everyone will come to one re"&amp;"ligion, many such statements and opinions are spread in different ways.")</f>
        <v>Showing or proving the superiority of religion is another noteworthy point. Exaggeration about religion is seen among people of almost all religions. At some point there will be no religion, his religion will be victorious and everyone will come to one religion, many such statements and opinions are spread in different ways.</v>
      </c>
      <c r="F1683" s="1"/>
      <c r="G1683" s="1"/>
      <c r="H1683" s="1"/>
      <c r="I1683" s="1"/>
    </row>
    <row r="1684" spans="1:9" ht="15.6" x14ac:dyDescent="0.3">
      <c r="A1684" s="1" t="s">
        <v>5</v>
      </c>
      <c r="B1684" s="1" t="s">
        <v>5</v>
      </c>
      <c r="C1684" s="10" t="s">
        <v>5</v>
      </c>
      <c r="D1684" s="5" t="s">
        <v>1630</v>
      </c>
      <c r="E1684" s="1" t="str">
        <f ca="1">IFERROR(__xludf.DUMMYFUNCTION("GOOGLETRANSLATE(D1684, ""bn"", ""en"")"),"The Muslims marched through the Abdullah Pass, leaving the place called Khalayek on the left. After reaching the plains of Yaliyal through the left route, halted at the junction of Yaliyal and Dabur.")</f>
        <v>The Muslims marched through the Abdullah Pass, leaving the place called Khalayek on the left. After reaching the plains of Yaliyal through the left route, halted at the junction of Yaliyal and Dabur.</v>
      </c>
      <c r="F1684" s="1"/>
      <c r="G1684" s="1"/>
      <c r="H1684" s="1"/>
      <c r="I1684" s="1"/>
    </row>
    <row r="1685" spans="1:9" ht="15.6" x14ac:dyDescent="0.3">
      <c r="A1685" s="1" t="s">
        <v>4</v>
      </c>
      <c r="B1685" s="1" t="s">
        <v>4</v>
      </c>
      <c r="C1685" s="10" t="s">
        <v>4</v>
      </c>
      <c r="D1685" s="5" t="s">
        <v>1631</v>
      </c>
      <c r="E1685" s="1" t="str">
        <f ca="1">IFERROR(__xludf.DUMMYFUNCTION("GOOGLETRANSLATE(D1685, ""bn"", ""en"")"),"If you were a believer then you wouldn't have made the video, then you can explain. What people do to get views.")</f>
        <v>If you were a believer then you wouldn't have made the video, then you can explain. What people do to get views.</v>
      </c>
      <c r="F1685" s="1"/>
      <c r="G1685" s="1"/>
      <c r="H1685" s="1"/>
      <c r="I1685" s="1"/>
    </row>
    <row r="1686" spans="1:9" ht="31.2" x14ac:dyDescent="0.3">
      <c r="A1686" s="1" t="s">
        <v>5</v>
      </c>
      <c r="B1686" s="1" t="s">
        <v>5</v>
      </c>
      <c r="C1686" s="10" t="s">
        <v>5</v>
      </c>
      <c r="D1686" s="6" t="s">
        <v>3959</v>
      </c>
      <c r="E1686" s="1" t="str">
        <f ca="1">IFERROR(__xludf.DUMMYFUNCTION("GOOGLETRANSLATE(D1686, ""bn"", ""en"")"),"The teaching of Christianity is that every man should love and respect his neighbor, for God has shown equal love to all, and we should express this love to others, never resorting to violence.")</f>
        <v>The teaching of Christianity is that every man should love and respect his neighbor, for God has shown equal love to all, and we should express this love to others, never resorting to violence.</v>
      </c>
      <c r="F1686" s="1"/>
      <c r="G1686" s="1"/>
      <c r="H1686" s="1"/>
      <c r="I1686" s="1"/>
    </row>
    <row r="1687" spans="1:9" ht="15.6" x14ac:dyDescent="0.3">
      <c r="A1687" s="1" t="s">
        <v>9</v>
      </c>
      <c r="B1687" s="1" t="s">
        <v>9</v>
      </c>
      <c r="C1687" s="10" t="s">
        <v>9</v>
      </c>
      <c r="D1687" s="5" t="s">
        <v>1632</v>
      </c>
      <c r="E1687" s="1" t="str">
        <f ca="1">IFERROR(__xludf.DUMMYFUNCTION("GOOGLETRANSLATE(D1687, ""bn"", ""en"")"),"What was the job of the world media to play the role of spectator and enjoy. When Palestine attacked Israel in self-defence, this time the world media opened its shell and reported that such an attack by Palestine was not right and world leaders called on"&amp;" both countries to follow the path of peace.")</f>
        <v>What was the job of the world media to play the role of spectator and enjoy. When Palestine attacked Israel in self-defence, this time the world media opened its shell and reported that such an attack by Palestine was not right and world leaders called on both countries to follow the path of peace.</v>
      </c>
      <c r="F1687" s="1"/>
      <c r="G1687" s="1"/>
      <c r="H1687" s="1"/>
      <c r="I1687" s="1"/>
    </row>
    <row r="1688" spans="1:9" ht="15.6" x14ac:dyDescent="0.3">
      <c r="A1688" s="1" t="s">
        <v>4</v>
      </c>
      <c r="B1688" s="1" t="s">
        <v>4</v>
      </c>
      <c r="C1688" s="10" t="s">
        <v>4</v>
      </c>
      <c r="D1688" s="5" t="s">
        <v>1633</v>
      </c>
      <c r="E1688" s="1" t="str">
        <f ca="1">IFERROR(__xludf.DUMMYFUNCTION("GOOGLETRANSLATE(D1688, ""bn"", ""en"")"),"These piglets seek personal freedom and if someone wears a veil on personal choice, wearing a burqa, they will be burned. Kenre brother! What does individual freedom mean to be like the West?")</f>
        <v>These piglets seek personal freedom and if someone wears a veil on personal choice, wearing a burqa, they will be burned. Kenre brother! What does individual freedom mean to be like the West?</v>
      </c>
      <c r="F1688" s="1"/>
      <c r="G1688" s="1"/>
      <c r="H1688" s="1"/>
      <c r="I1688" s="1"/>
    </row>
    <row r="1689" spans="1:9" ht="46.8" x14ac:dyDescent="0.3">
      <c r="A1689" s="1" t="s">
        <v>9</v>
      </c>
      <c r="B1689" s="1" t="s">
        <v>9</v>
      </c>
      <c r="C1689" s="10" t="s">
        <v>9</v>
      </c>
      <c r="D1689" s="6" t="s">
        <v>3958</v>
      </c>
      <c r="E1689" s="1" t="str">
        <f ca="1">IFERROR(__xludf.DUMMYFUNCTION("GOOGLETRANSLATE(D1689, ""bn"", ""en"")"),"The Ayodhya dispute is a political, historical and socio-religious controversy in India, centered on a land in the city of Ayodhya in Uttar Pradesh. The dispute revolves around control of the site, traditionally considered by Hindus as the birthplace of t"&amp;"he Hindu god Rama, and the history and location of the Babri Mosque at the site, and whether the mosque was built on the foundations of an earlier Hindu temple, or demolished.")</f>
        <v>The Ayodhya dispute is a political, historical and socio-religious controversy in India, centered on a land in the city of Ayodhya in Uttar Pradesh. The dispute revolves around control of the site, traditionally considered by Hindus as the birthplace of the Hindu god Rama, and the history and location of the Babri Mosque at the site, and whether the mosque was built on the foundations of an earlier Hindu temple, or demolished.</v>
      </c>
      <c r="F1689" s="1"/>
      <c r="G1689" s="1"/>
      <c r="H1689" s="1"/>
      <c r="I1689" s="1"/>
    </row>
    <row r="1690" spans="1:9" ht="15.6" x14ac:dyDescent="0.3">
      <c r="A1690" s="1" t="s">
        <v>4</v>
      </c>
      <c r="B1690" s="1" t="s">
        <v>4</v>
      </c>
      <c r="C1690" s="10" t="s">
        <v>4</v>
      </c>
      <c r="D1690" s="5" t="s">
        <v>1634</v>
      </c>
      <c r="E1690" s="1" t="str">
        <f ca="1">IFERROR(__xludf.DUMMYFUNCTION("GOOGLETRANSLATE(D1690, ""bn"", ""en"")"),"There is nothing wrong with words. He is talking like a madman. He is crazy. Need to see a doctor.")</f>
        <v>There is nothing wrong with words. He is talking like a madman. He is crazy. Need to see a doctor.</v>
      </c>
      <c r="F1690" s="1"/>
      <c r="G1690" s="1"/>
      <c r="H1690" s="1"/>
      <c r="I1690" s="1"/>
    </row>
    <row r="1691" spans="1:9" ht="15.6" x14ac:dyDescent="0.3">
      <c r="A1691" s="1" t="s">
        <v>7</v>
      </c>
      <c r="B1691" s="1" t="s">
        <v>7</v>
      </c>
      <c r="C1691" s="10" t="s">
        <v>7</v>
      </c>
      <c r="D1691" s="5" t="s">
        <v>1635</v>
      </c>
      <c r="E1691" s="1" t="str">
        <f ca="1">IFERROR(__xludf.DUMMYFUNCTION("GOOGLETRANSLATE(D1691, ""bn"", ""en"")"),"At least 21 people have been killed in a fresh attack by Israeli forces on Palestinians waiting for relief in the Palestinian enclave of Gaza. With this, the death toll in the Israeli aggression in Gaza increased to 31 thousand 341 people.")</f>
        <v>At least 21 people have been killed in a fresh attack by Israeli forces on Palestinians waiting for relief in the Palestinian enclave of Gaza. With this, the death toll in the Israeli aggression in Gaza increased to 31 thousand 341 people.</v>
      </c>
      <c r="F1691" s="1"/>
      <c r="G1691" s="1"/>
      <c r="H1691" s="1"/>
      <c r="I1691" s="1"/>
    </row>
    <row r="1692" spans="1:9" ht="15.6" x14ac:dyDescent="0.3">
      <c r="A1692" s="1" t="s">
        <v>5</v>
      </c>
      <c r="B1692" s="1" t="s">
        <v>5</v>
      </c>
      <c r="C1692" s="10" t="s">
        <v>5</v>
      </c>
      <c r="D1692" s="5" t="s">
        <v>1636</v>
      </c>
      <c r="E1692" s="1" t="str">
        <f ca="1">IFERROR(__xludf.DUMMYFUNCTION("GOOGLETRANSLATE(D1692, ""bn"", ""en"")"),"Russia has always respected and valued every religion. At the same time, Bangladesh also cares enough. ")</f>
        <v xml:space="preserve">Russia has always respected and valued every religion. At the same time, Bangladesh also cares enough. </v>
      </c>
      <c r="F1692" s="1"/>
      <c r="G1692" s="1"/>
      <c r="H1692" s="1"/>
      <c r="I1692" s="1"/>
    </row>
    <row r="1693" spans="1:9" ht="15.6" x14ac:dyDescent="0.3">
      <c r="A1693" s="1" t="s">
        <v>5</v>
      </c>
      <c r="B1693" s="1" t="s">
        <v>5</v>
      </c>
      <c r="C1693" s="10" t="s">
        <v>5</v>
      </c>
      <c r="D1693" s="5" t="s">
        <v>1637</v>
      </c>
      <c r="E1693" s="1" t="str">
        <f ca="1">IFERROR(__xludf.DUMMYFUNCTION("GOOGLETRANSLATE(D1693, ""bn"", ""en"")"),"Sunni Islamic jurisprudence is primarily based on Sharia as interpreted by the Hanbali school of jurisprudence. Freedom of religion is not provided under the law.")</f>
        <v>Sunni Islamic jurisprudence is primarily based on Sharia as interpreted by the Hanbali school of jurisprudence. Freedom of religion is not provided under the law.</v>
      </c>
      <c r="F1693" s="1"/>
      <c r="G1693" s="1"/>
      <c r="H1693" s="1"/>
      <c r="I1693" s="1"/>
    </row>
    <row r="1694" spans="1:9" ht="31.2" x14ac:dyDescent="0.3">
      <c r="A1694" s="1" t="s">
        <v>9</v>
      </c>
      <c r="B1694" s="1" t="s">
        <v>4</v>
      </c>
      <c r="C1694" s="10" t="s">
        <v>9</v>
      </c>
      <c r="D1694" s="6" t="s">
        <v>3957</v>
      </c>
      <c r="E1694" s="1" t="str">
        <f ca="1">IFERROR(__xludf.DUMMYFUNCTION("GOOGLETRANSLATE(D1694, ""bn"", ""en"")"),"Some people attacked the family temple of Kashimpur Paschimpara businessman Subal Das and the local Palpara Namabazar public temple. Incidentally, 20 attackers were arrested and handed over to the police for their involvement in the attack.")</f>
        <v>Some people attacked the family temple of Kashimpur Paschimpara businessman Subal Das and the local Palpara Namabazar public temple. Incidentally, 20 attackers were arrested and handed over to the police for their involvement in the attack.</v>
      </c>
      <c r="F1694" s="1"/>
      <c r="G1694" s="1"/>
      <c r="H1694" s="1"/>
      <c r="I1694" s="1"/>
    </row>
    <row r="1695" spans="1:9" ht="15.6" x14ac:dyDescent="0.3">
      <c r="A1695" s="1" t="s">
        <v>4</v>
      </c>
      <c r="B1695" s="1" t="s">
        <v>4</v>
      </c>
      <c r="C1695" s="10" t="s">
        <v>4</v>
      </c>
      <c r="D1695" s="5" t="s">
        <v>1638</v>
      </c>
      <c r="E1695" s="1" t="str">
        <f ca="1">IFERROR(__xludf.DUMMYFUNCTION("GOOGLETRANSLATE(D1695, ""bn"", ""en"")"),"Why don't you get hurt if someone tries to insult him who has worked hard for the Ummah all his life? Why don't you feel insulted?")</f>
        <v>Why don't you get hurt if someone tries to insult him who has worked hard for the Ummah all his life? Why don't you feel insulted?</v>
      </c>
      <c r="F1695" s="1"/>
      <c r="G1695" s="1"/>
      <c r="H1695" s="1"/>
      <c r="I1695" s="1"/>
    </row>
    <row r="1696" spans="1:9" ht="31.2" x14ac:dyDescent="0.3">
      <c r="A1696" s="1" t="s">
        <v>9</v>
      </c>
      <c r="B1696" s="1" t="s">
        <v>9</v>
      </c>
      <c r="C1696" s="10" t="s">
        <v>9</v>
      </c>
      <c r="D1696" s="6" t="s">
        <v>3956</v>
      </c>
      <c r="E1696" s="1" t="str">
        <f ca="1">IFERROR(__xludf.DUMMYFUNCTION("GOOGLETRANSLATE(D1696, ""bn"", ""en"")"),"Eight years ago in 2012, in Ramu, Ukhia and Teknaf in Cox's Bazar, 13 Buddhist temples and their homesteads were set on fire following rumors on Facebook. None of the 19 cases in that incident have been tried yet.")</f>
        <v>Eight years ago in 2012, in Ramu, Ukhia and Teknaf in Cox's Bazar, 13 Buddhist temples and their homesteads were set on fire following rumors on Facebook. None of the 19 cases in that incident have been tried yet.</v>
      </c>
      <c r="F1696" s="1"/>
      <c r="G1696" s="1"/>
      <c r="H1696" s="1"/>
      <c r="I1696" s="1"/>
    </row>
    <row r="1697" spans="1:9" ht="15.6" x14ac:dyDescent="0.3">
      <c r="A1697" s="1" t="s">
        <v>7</v>
      </c>
      <c r="B1697" s="1" t="s">
        <v>7</v>
      </c>
      <c r="C1697" s="10" t="s">
        <v>7</v>
      </c>
      <c r="D1697" s="5" t="s">
        <v>1639</v>
      </c>
      <c r="E1697" s="1" t="str">
        <f ca="1">IFERROR(__xludf.DUMMYFUNCTION("GOOGLETRANSLATE(D1697, ""bn"", ""en"")")," On investigation they found Matiur Rahman Nizami guilty of masterminding the massacre. Nizami was convicted and executed by hanging in 2016.")</f>
        <v> On investigation they found Matiur Rahman Nizami guilty of masterminding the massacre. Nizami was convicted and executed by hanging in 2016.</v>
      </c>
      <c r="F1697" s="1"/>
      <c r="G1697" s="1"/>
      <c r="H1697" s="1"/>
      <c r="I1697" s="1"/>
    </row>
    <row r="1698" spans="1:9" ht="62.4" x14ac:dyDescent="0.3">
      <c r="A1698" s="1" t="s">
        <v>7</v>
      </c>
      <c r="B1698" s="1" t="s">
        <v>9</v>
      </c>
      <c r="C1698" s="10" t="s">
        <v>7</v>
      </c>
      <c r="D1698" s="6" t="s">
        <v>3955</v>
      </c>
      <c r="E1698" s="1" t="str">
        <f ca="1">IFERROR(__xludf.DUMMYFUNCTION("GOOGLETRANSLATE(D1698, ""bn"", ""en"")"),"He advised using all means of destruction against the heretics, but without shedding blood in the name of 'saving souls'. Heretics were drowned. Novgorod bishop Gennady Gonzov went back to Tsar Ivan III and requested the death of the heretics. Gennady pra"&amp;"ised the Spanish explorers, especially his contemporary Torquemada, who had been exploring for 15 years.")</f>
        <v>He advised using all means of destruction against the heretics, but without shedding blood in the name of 'saving souls'. Heretics were drowned. Novgorod bishop Gennady Gonzov went back to Tsar Ivan III and requested the death of the heretics. Gennady praised the Spanish explorers, especially his contemporary Torquemada, who had been exploring for 15 years.</v>
      </c>
      <c r="F1698" s="1"/>
      <c r="G1698" s="1"/>
      <c r="H1698" s="1"/>
      <c r="I1698" s="1"/>
    </row>
    <row r="1699" spans="1:9" ht="15.6" x14ac:dyDescent="0.3">
      <c r="A1699" s="1" t="s">
        <v>9</v>
      </c>
      <c r="B1699" s="1" t="s">
        <v>9</v>
      </c>
      <c r="C1699" s="10" t="s">
        <v>9</v>
      </c>
      <c r="D1699" s="5" t="s">
        <v>1640</v>
      </c>
      <c r="E1699" s="1" t="str">
        <f ca="1">IFERROR(__xludf.DUMMYFUNCTION("GOOGLETRANSLATE(D1699, ""bn"", ""en"")"),"The Muslim community is angry about keeping the Holy Quran Sharif in the shrine. Now the fear of mass police action is in the mind of one group, the fear of continued attack by that group is in the mind of another group. Everyone is defeated, degraded, af"&amp;"raid.")</f>
        <v>The Muslim community is angry about keeping the Holy Quran Sharif in the shrine. Now the fear of mass police action is in the mind of one group, the fear of continued attack by that group is in the mind of another group. Everyone is defeated, degraded, afraid.</v>
      </c>
      <c r="F1699" s="1"/>
      <c r="G1699" s="1"/>
      <c r="H1699" s="1"/>
      <c r="I1699" s="1"/>
    </row>
    <row r="1700" spans="1:9" ht="15.6" x14ac:dyDescent="0.3">
      <c r="A1700" s="1" t="s">
        <v>5</v>
      </c>
      <c r="B1700" s="1" t="s">
        <v>5</v>
      </c>
      <c r="C1700" s="10" t="s">
        <v>5</v>
      </c>
      <c r="D1700" s="5" t="s">
        <v>1641</v>
      </c>
      <c r="E1700" s="1" t="str">
        <f ca="1">IFERROR(__xludf.DUMMYFUNCTION("GOOGLETRANSLATE(D1700, ""bn"", ""en"")"),"Do not sit in the class without bringing back your sir, inshallah. This injustice will be with this teacher today and tomorrow will be with you! ")</f>
        <v xml:space="preserve">Do not sit in the class without bringing back your sir, inshallah. This injustice will be with this teacher today and tomorrow will be with you! </v>
      </c>
      <c r="F1700" s="1"/>
      <c r="G1700" s="1"/>
      <c r="H1700" s="1"/>
      <c r="I1700" s="1"/>
    </row>
    <row r="1701" spans="1:9" ht="15.6" x14ac:dyDescent="0.3">
      <c r="A1701" s="1" t="s">
        <v>7</v>
      </c>
      <c r="B1701" s="1" t="s">
        <v>7</v>
      </c>
      <c r="C1701" s="10" t="s">
        <v>7</v>
      </c>
      <c r="D1701" s="5" t="s">
        <v>1642</v>
      </c>
      <c r="E1701" s="1" t="str">
        <f ca="1">IFERROR(__xludf.DUMMYFUNCTION("GOOGLETRANSLATE(D1701, ""bn"", ""en"")"),"According to police and court sources, Kotwali police station arrested an accused from Manikchari upazila of Khagrachari in the case of communal violence and murder of Anik Chakma in Rangamati city on 20 September.")</f>
        <v>According to police and court sources, Kotwali police station arrested an accused from Manikchari upazila of Khagrachari in the case of communal violence and murder of Anik Chakma in Rangamati city on 20 September.</v>
      </c>
      <c r="F1701" s="1"/>
      <c r="G1701" s="1"/>
      <c r="H1701" s="1"/>
      <c r="I1701" s="1"/>
    </row>
    <row r="1702" spans="1:9" ht="15.6" x14ac:dyDescent="0.3">
      <c r="A1702" s="1" t="s">
        <v>5</v>
      </c>
      <c r="B1702" s="1" t="s">
        <v>5</v>
      </c>
      <c r="C1702" s="10" t="s">
        <v>5</v>
      </c>
      <c r="D1702" s="5" t="s">
        <v>1643</v>
      </c>
      <c r="E1702" s="1" t="str">
        <f ca="1">IFERROR(__xludf.DUMMYFUNCTION("GOOGLETRANSLATE(D1702, ""bn"", ""en"")"),"Everything in the heavens and the earth belongs to Him. Who is there, who will intercede with him without his permission? He knows everything that is before or behind the vision.")</f>
        <v>Everything in the heavens and the earth belongs to Him. Who is there, who will intercede with him without his permission? He knows everything that is before or behind the vision.</v>
      </c>
      <c r="F1702" s="1"/>
      <c r="G1702" s="1"/>
      <c r="H1702" s="1"/>
      <c r="I1702" s="1"/>
    </row>
    <row r="1703" spans="1:9" ht="15.6" x14ac:dyDescent="0.3">
      <c r="A1703" s="1" t="s">
        <v>9</v>
      </c>
      <c r="B1703" s="1" t="s">
        <v>9</v>
      </c>
      <c r="C1703" s="10" t="s">
        <v>9</v>
      </c>
      <c r="D1703" s="5" t="s">
        <v>1644</v>
      </c>
      <c r="E1703" s="1" t="str">
        <f ca="1">IFERROR(__xludf.DUMMYFUNCTION("GOOGLETRANSLATE(D1703, ""bn"", ""en"")"),"8 houses were attacked in Madhyapalpara area. Palash Das' grocery store was looted and vandalized there. Houses of bhajan workers were vandalized and idols were broken in temples")</f>
        <v>8 houses were attacked in Madhyapalpara area. Palash Das' grocery store was looted and vandalized there. Houses of bhajan workers were vandalized and idols were broken in temples</v>
      </c>
      <c r="F1703" s="1"/>
      <c r="G1703" s="1"/>
      <c r="H1703" s="1"/>
      <c r="I1703" s="1"/>
    </row>
    <row r="1704" spans="1:9" ht="15.6" x14ac:dyDescent="0.3">
      <c r="A1704" s="1" t="s">
        <v>7</v>
      </c>
      <c r="B1704" s="1" t="s">
        <v>7</v>
      </c>
      <c r="C1704" s="10" t="s">
        <v>7</v>
      </c>
      <c r="D1704" s="5" t="s">
        <v>1645</v>
      </c>
      <c r="E1704" s="1" t="str">
        <f ca="1">IFERROR(__xludf.DUMMYFUNCTION("GOOGLETRANSLATE(D1704, ""bn"", ""en"")")," A few months after returning from the Farewell Hajj in 632 AD, he fell ill and died. By the time of his death, Islam was established in most of the Arabian Peninsula.")</f>
        <v> A few months after returning from the Farewell Hajj in 632 AD, he fell ill and died. By the time of his death, Islam was established in most of the Arabian Peninsula.</v>
      </c>
      <c r="F1704" s="1"/>
      <c r="G1704" s="1"/>
      <c r="H1704" s="1"/>
      <c r="I1704" s="1"/>
    </row>
    <row r="1705" spans="1:9" ht="15.6" x14ac:dyDescent="0.3">
      <c r="A1705" s="1" t="s">
        <v>7</v>
      </c>
      <c r="B1705" s="1" t="s">
        <v>7</v>
      </c>
      <c r="C1705" s="10" t="s">
        <v>7</v>
      </c>
      <c r="D1705" s="5" t="s">
        <v>1646</v>
      </c>
      <c r="E1705" s="1" t="str">
        <f ca="1">IFERROR(__xludf.DUMMYFUNCTION("GOOGLETRANSLATE(D1705, ""bn"", ""en"")"),"A total of 9 people lost their lives in the incident. On 17 July 2013, the International Criminal Tribunal sentenced Mujahid to death for his involvement in the massacre. In 2015, a four-judge bench of the Appellate Division of the Supreme Court reduced M"&amp;"ujahid's sentence to life imprisonment.")</f>
        <v>A total of 9 people lost their lives in the incident. On 17 July 2013, the International Criminal Tribunal sentenced Mujahid to death for his involvement in the massacre. In 2015, a four-judge bench of the Appellate Division of the Supreme Court reduced Mujahid's sentence to life imprisonment.</v>
      </c>
      <c r="F1705" s="1"/>
      <c r="G1705" s="1"/>
      <c r="H1705" s="1"/>
      <c r="I1705" s="1"/>
    </row>
    <row r="1706" spans="1:9" ht="15.6" x14ac:dyDescent="0.3">
      <c r="A1706" s="1" t="s">
        <v>4</v>
      </c>
      <c r="B1706" s="1" t="s">
        <v>4</v>
      </c>
      <c r="C1706" s="10" t="s">
        <v>4</v>
      </c>
      <c r="D1706" s="5" t="s">
        <v>1647</v>
      </c>
      <c r="E1706" s="1" t="str">
        <f ca="1">IFERROR(__xludf.DUMMYFUNCTION("GOOGLETRANSLATE(D1706, ""bn"", ""en"")"),"It is a shame to think that 95% of our country is Muslim.")</f>
        <v>It is a shame to think that 95% of our country is Muslim.</v>
      </c>
      <c r="F1706" s="1"/>
      <c r="G1706" s="1"/>
      <c r="H1706" s="1"/>
      <c r="I1706" s="1"/>
    </row>
    <row r="1707" spans="1:9" ht="15.6" x14ac:dyDescent="0.3">
      <c r="A1707" s="1" t="s">
        <v>9</v>
      </c>
      <c r="B1707" s="1" t="s">
        <v>9</v>
      </c>
      <c r="C1707" s="10" t="s">
        <v>9</v>
      </c>
      <c r="D1707" s="5" t="s">
        <v>1648</v>
      </c>
      <c r="E1707" s="1" t="str">
        <f ca="1">IFERROR(__xludf.DUMMYFUNCTION("GOOGLETRANSLATE(D1707, ""bn"", ""en"")"),"Apart from this incident, the Muslims continued to persecute the Hindus in various degrees until 1993, torture, robbery, murder, rape, kidnapping, etc. [2] Especially during the whole period of 1992, the level of this horror was indescribable.")</f>
        <v>Apart from this incident, the Muslims continued to persecute the Hindus in various degrees until 1993, torture, robbery, murder, rape, kidnapping, etc. [2] Especially during the whole period of 1992, the level of this horror was indescribable.</v>
      </c>
      <c r="F1707" s="1"/>
      <c r="G1707" s="1"/>
      <c r="H1707" s="1"/>
      <c r="I1707" s="1"/>
    </row>
    <row r="1708" spans="1:9" ht="15.6" x14ac:dyDescent="0.3">
      <c r="A1708" s="1" t="s">
        <v>4</v>
      </c>
      <c r="B1708" s="1" t="s">
        <v>4</v>
      </c>
      <c r="C1708" s="10" t="s">
        <v>4</v>
      </c>
      <c r="D1708" s="5" t="s">
        <v>1649</v>
      </c>
      <c r="E1708" s="1" t="str">
        <f ca="1">IFERROR(__xludf.DUMMYFUNCTION("GOOGLETRANSLATE(D1708, ""bn"", ""en"")"),"If you search, you will see that the mother and sister of this journalist's house are more disobedient. He will do the calculation of sin and merit. This journalist will not do it again. What act to go viral!!!")</f>
        <v>If you search, you will see that the mother and sister of this journalist's house are more disobedient. He will do the calculation of sin and merit. This journalist will not do it again. What act to go viral!!!</v>
      </c>
      <c r="F1708" s="1"/>
      <c r="G1708" s="1"/>
      <c r="H1708" s="1"/>
      <c r="I1708" s="1"/>
    </row>
    <row r="1709" spans="1:9" ht="31.2" x14ac:dyDescent="0.3">
      <c r="A1709" s="1" t="s">
        <v>9</v>
      </c>
      <c r="B1709" s="1" t="s">
        <v>9</v>
      </c>
      <c r="C1709" s="10" t="s">
        <v>9</v>
      </c>
      <c r="D1709" s="6" t="s">
        <v>3954</v>
      </c>
      <c r="E1709" s="1" t="str">
        <f ca="1">IFERROR(__xludf.DUMMYFUNCTION("GOOGLETRANSLATE(D1709, ""bn"", ""en"")"),"I do not understand why so many times about religion? If your religion is right, you will go to heaven, then do it with your mind, what is the use of taking other people's religion? If possible, show your religion to people, I will also show my religion, "&amp;"which people like. What is the need for abusive fights?")</f>
        <v>I do not understand why so many times about religion? If your religion is right, you will go to heaven, then do it with your mind, what is the use of taking other people's religion? If possible, show your religion to people, I will also show my religion, which people like. What is the need for abusive fights?</v>
      </c>
      <c r="F1709" s="1"/>
      <c r="G1709" s="1"/>
      <c r="H1709" s="1"/>
      <c r="I1709" s="1"/>
    </row>
    <row r="1710" spans="1:9" ht="15.6" x14ac:dyDescent="0.3">
      <c r="A1710" s="1" t="s">
        <v>7</v>
      </c>
      <c r="B1710" s="1" t="s">
        <v>7</v>
      </c>
      <c r="C1710" s="10" t="s">
        <v>7</v>
      </c>
      <c r="D1710" s="5" t="s">
        <v>1650</v>
      </c>
      <c r="E1710" s="1" t="str">
        <f ca="1">IFERROR(__xludf.DUMMYFUNCTION("GOOGLETRANSLATE(D1710, ""bn"", ""en"")"),"The text was cited as the origin of sati-dah, with variant readings emphasizing authority that the widow actually sacrificed herself by joining her dead husband at the funeral.")</f>
        <v>The text was cited as the origin of sati-dah, with variant readings emphasizing authority that the widow actually sacrificed herself by joining her dead husband at the funeral.</v>
      </c>
      <c r="F1710" s="1"/>
      <c r="G1710" s="1"/>
      <c r="H1710" s="1"/>
      <c r="I1710" s="1"/>
    </row>
    <row r="1711" spans="1:9" ht="15.6" x14ac:dyDescent="0.3">
      <c r="A1711" s="1" t="s">
        <v>4</v>
      </c>
      <c r="B1711" s="1" t="s">
        <v>4</v>
      </c>
      <c r="C1711" s="10" t="s">
        <v>4</v>
      </c>
      <c r="D1711" s="5" t="s">
        <v>1651</v>
      </c>
      <c r="E1711" s="1" t="str">
        <f ca="1">IFERROR(__xludf.DUMMYFUNCTION("GOOGLETRANSLATE(D1711, ""bn"", ""en"")"),"What do you think of the Muslim community? Is this God's will, the religious common people should leave their homes in fear and die in pain?")</f>
        <v>What do you think of the Muslim community? Is this God's will, the religious common people should leave their homes in fear and die in pain?</v>
      </c>
      <c r="F1711" s="1"/>
      <c r="G1711" s="1"/>
      <c r="H1711" s="1"/>
      <c r="I1711" s="1"/>
    </row>
    <row r="1712" spans="1:9" ht="15.6" x14ac:dyDescent="0.3">
      <c r="A1712" s="1" t="s">
        <v>9</v>
      </c>
      <c r="B1712" s="1" t="s">
        <v>9</v>
      </c>
      <c r="C1712" s="10" t="s">
        <v>9</v>
      </c>
      <c r="D1712" s="5" t="s">
        <v>1652</v>
      </c>
      <c r="E1712" s="1" t="str">
        <f ca="1">IFERROR(__xludf.DUMMYFUNCTION("GOOGLETRANSLATE(D1712, ""bn"", ""en"")"),"There are reports of attacks on Hindu places of worship, but this is not the work of our peaceful Muslims. Some people from the sky suddenly attack and go to the sky again.")</f>
        <v>There are reports of attacks on Hindu places of worship, but this is not the work of our peaceful Muslims. Some people from the sky suddenly attack and go to the sky again.</v>
      </c>
      <c r="F1712" s="1"/>
      <c r="G1712" s="1"/>
      <c r="H1712" s="1"/>
      <c r="I1712" s="1"/>
    </row>
    <row r="1713" spans="1:9" ht="46.8" x14ac:dyDescent="0.3">
      <c r="A1713" s="1" t="s">
        <v>7</v>
      </c>
      <c r="B1713" s="1" t="s">
        <v>7</v>
      </c>
      <c r="C1713" s="10" t="s">
        <v>7</v>
      </c>
      <c r="D1713" s="6" t="s">
        <v>3953</v>
      </c>
      <c r="E1713" s="1" t="str">
        <f ca="1">IFERROR(__xludf.DUMMYFUNCTION("GOOGLETRANSLATE(D1713, ""bn"", ""en"")"),"The villagers fled wherever they could. Many jump into Suta river. The Pakistani troops disembarked from the boat and headed towards the Chandi Mandap. They caught twelve villagers and made them line up in front of the Chandi Mandapam. Eleven persons were"&amp;" shot dead, while Kansa Mohan Das, the twelfth person, survived the massacre despite being shot and wounded.")</f>
        <v>The villagers fled wherever they could. Many jump into Suta river. The Pakistani troops disembarked from the boat and headed towards the Chandi Mandap. They caught twelve villagers and made them line up in front of the Chandi Mandapam. Eleven persons were shot dead, while Kansa Mohan Das, the twelfth person, survived the massacre despite being shot and wounded.</v>
      </c>
      <c r="F1713" s="1"/>
      <c r="G1713" s="1"/>
      <c r="H1713" s="1"/>
      <c r="I1713" s="1"/>
    </row>
    <row r="1714" spans="1:9" ht="15.6" x14ac:dyDescent="0.3">
      <c r="A1714" s="1" t="s">
        <v>9</v>
      </c>
      <c r="B1714" s="1" t="s">
        <v>9</v>
      </c>
      <c r="C1714" s="10" t="s">
        <v>9</v>
      </c>
      <c r="D1714" s="5" t="s">
        <v>1653</v>
      </c>
      <c r="E1714" s="1" t="str">
        <f ca="1">IFERROR(__xludf.DUMMYFUNCTION("GOOGLETRANSLATE(D1714, ""bn"", ""en"")"),"After the New Zealand mosque attack, anti-Muslim activity in the United States also increased, with threats and attacks targeting mosques and Muslims in particular.")</f>
        <v>After the New Zealand mosque attack, anti-Muslim activity in the United States also increased, with threats and attacks targeting mosques and Muslims in particular.</v>
      </c>
      <c r="F1714" s="1"/>
      <c r="G1714" s="1"/>
      <c r="H1714" s="1"/>
      <c r="I1714" s="1"/>
    </row>
    <row r="1715" spans="1:9" ht="15.6" x14ac:dyDescent="0.3">
      <c r="A1715" s="1" t="s">
        <v>9</v>
      </c>
      <c r="B1715" s="1" t="s">
        <v>9</v>
      </c>
      <c r="C1715" s="10" t="s">
        <v>9</v>
      </c>
      <c r="D1715" s="5" t="s">
        <v>1654</v>
      </c>
      <c r="E1715" s="1" t="str">
        <f ca="1">IFERROR(__xludf.DUMMYFUNCTION("GOOGLETRANSLATE(D1715, ""bn"", ""en"")"),"Direct Struggle Day (16 August 1946), also known as the Calcutta Massacre of 1946, was a day of nationwide communal riots.[5] It led to greater violence against Muslims and Hindus in the city of Kolkata in the British Indian province of Bengal.")</f>
        <v>Direct Struggle Day (16 August 1946), also known as the Calcutta Massacre of 1946, was a day of nationwide communal riots.[5] It led to greater violence against Muslims and Hindus in the city of Kolkata in the British Indian province of Bengal.</v>
      </c>
      <c r="F1715" s="1"/>
      <c r="G1715" s="1"/>
      <c r="H1715" s="1"/>
      <c r="I1715" s="1"/>
    </row>
    <row r="1716" spans="1:9" ht="15.6" x14ac:dyDescent="0.3">
      <c r="A1716" s="1" t="s">
        <v>9</v>
      </c>
      <c r="B1716" s="1" t="s">
        <v>9</v>
      </c>
      <c r="C1716" s="10" t="s">
        <v>9</v>
      </c>
      <c r="D1716" s="5" t="s">
        <v>1655</v>
      </c>
      <c r="E1716" s="1" t="str">
        <f ca="1">IFERROR(__xludf.DUMMYFUNCTION("GOOGLETRANSLATE(D1716, ""bn"", ""en"")"),"They are being done deliberately to prevent a communal riot in the country. Because India's Lok Sabha elections are ahead.")</f>
        <v>They are being done deliberately to prevent a communal riot in the country. Because India's Lok Sabha elections are ahead.</v>
      </c>
      <c r="F1716" s="1"/>
      <c r="G1716" s="1"/>
      <c r="H1716" s="1"/>
      <c r="I1716" s="1"/>
    </row>
    <row r="1717" spans="1:9" ht="15.6" x14ac:dyDescent="0.3">
      <c r="A1717" s="1" t="s">
        <v>4</v>
      </c>
      <c r="B1717" s="1" t="s">
        <v>4</v>
      </c>
      <c r="C1717" s="10" t="s">
        <v>4</v>
      </c>
      <c r="D1717" s="5" t="s">
        <v>1656</v>
      </c>
      <c r="E1717" s="1" t="str">
        <f ca="1">IFERROR(__xludf.DUMMYFUNCTION("GOOGLETRANSLATE(D1717, ""bn"", ""en"")"),"In the early 1990s, local Urdu newspapers Aftab and Al Safa called on Kashmiris to wage jihad against India and ordered the expulsion of all Hindus who chose to remain in Kashmir. ")</f>
        <v>In the early 1990s, local Urdu newspapers Aftab and Al Safa called on Kashmiris to wage jihad against India and ordered the expulsion of all Hindus who chose to remain in Kashmir. </v>
      </c>
      <c r="F1717" s="1"/>
      <c r="G1717" s="1"/>
      <c r="H1717" s="1"/>
      <c r="I1717" s="1"/>
    </row>
    <row r="1718" spans="1:9" ht="15.6" x14ac:dyDescent="0.3">
      <c r="A1718" s="1" t="s">
        <v>7</v>
      </c>
      <c r="B1718" s="1" t="s">
        <v>7</v>
      </c>
      <c r="C1718" s="10" t="s">
        <v>7</v>
      </c>
      <c r="D1718" s="5" t="s">
        <v>1657</v>
      </c>
      <c r="E1718" s="1" t="str">
        <f ca="1">IFERROR(__xludf.DUMMYFUNCTION("GOOGLETRANSLATE(D1718, ""bn"", ""en"")"),"According to the report of the World Health Organization, about 1 million people commit suicide every year in the world. Suicide is the thirteenth leading cause of death worldwide.")</f>
        <v>According to the report of the World Health Organization, about 1 million people commit suicide every year in the world. Suicide is the thirteenth leading cause of death worldwide.</v>
      </c>
      <c r="F1718" s="1"/>
      <c r="G1718" s="1"/>
      <c r="H1718" s="1"/>
      <c r="I1718" s="1"/>
    </row>
    <row r="1719" spans="1:9" ht="46.8" x14ac:dyDescent="0.3">
      <c r="A1719" s="1" t="s">
        <v>5</v>
      </c>
      <c r="B1719" s="1" t="s">
        <v>4</v>
      </c>
      <c r="C1719" s="10" t="s">
        <v>5</v>
      </c>
      <c r="D1719" s="6" t="s">
        <v>3952</v>
      </c>
      <c r="E1719" s="1" t="str">
        <f ca="1">IFERROR(__xludf.DUMMYFUNCTION("GOOGLETRANSLATE(D1719, ""bn"", ""en"")"),"Bangladesh and India have long had laws intended to maintain respect for religious sentiments. The Criminal Penal Code, which was enacted in 1960 during the British rule, has provided protection in this regard. Later it was slightly modified as per the ne"&amp;"ed of time.")</f>
        <v>Bangladesh and India have long had laws intended to maintain respect for religious sentiments. The Criminal Penal Code, which was enacted in 1960 during the British rule, has provided protection in this regard. Later it was slightly modified as per the need of time.</v>
      </c>
      <c r="F1719" s="1"/>
      <c r="G1719" s="1"/>
      <c r="H1719" s="1"/>
      <c r="I1719" s="1"/>
    </row>
    <row r="1720" spans="1:9" ht="15.6" x14ac:dyDescent="0.3">
      <c r="A1720" s="1" t="s">
        <v>5</v>
      </c>
      <c r="B1720" s="1" t="s">
        <v>5</v>
      </c>
      <c r="C1720" s="10" t="s">
        <v>5</v>
      </c>
      <c r="D1720" s="5" t="s">
        <v>1658</v>
      </c>
      <c r="E1720" s="1" t="str">
        <f ca="1">IFERROR(__xludf.DUMMYFUNCTION("GOOGLETRANSLATE(D1720, ""bn"", ""en"")"),"Allah says in the Qur'an that showing respect and love for other religions is also a part of true faith, which brings peace and prosperity.")</f>
        <v>Allah says in the Qur'an that showing respect and love for other religions is also a part of true faith, which brings peace and prosperity.</v>
      </c>
      <c r="F1720" s="1"/>
      <c r="G1720" s="1"/>
      <c r="H1720" s="1"/>
      <c r="I1720" s="1"/>
    </row>
    <row r="1721" spans="1:9" ht="46.8" x14ac:dyDescent="0.3">
      <c r="A1721" s="1" t="s">
        <v>9</v>
      </c>
      <c r="B1721" s="1" t="s">
        <v>9</v>
      </c>
      <c r="C1721" s="10" t="s">
        <v>9</v>
      </c>
      <c r="D1721" s="6" t="s">
        <v>3951</v>
      </c>
      <c r="E1721" s="1" t="str">
        <f ca="1">IFERROR(__xludf.DUMMYFUNCTION("GOOGLETRANSLATE(D1721, ""bn"", ""en"")"),"He came down with a few villagers to quell the riots and himself was assigned to guard the asylum seekers at gunpoint. On February 18, the rioters came in groups to attack. Altafuddin fired blanks to repel them. The miscreants saw him from a distance and "&amp;"threw a ball. When Altafuddin was pierced by it and fell to the ground, they killed him.")</f>
        <v>He came down with a few villagers to quell the riots and himself was assigned to guard the asylum seekers at gunpoint. On February 18, the rioters came in groups to attack. Altafuddin fired blanks to repel them. The miscreants saw him from a distance and threw a ball. When Altafuddin was pierced by it and fell to the ground, they killed him.</v>
      </c>
      <c r="F1721" s="1"/>
      <c r="G1721" s="1"/>
      <c r="H1721" s="1"/>
      <c r="I1721" s="1"/>
    </row>
    <row r="1722" spans="1:9" ht="15.6" x14ac:dyDescent="0.3">
      <c r="A1722" s="1" t="s">
        <v>4</v>
      </c>
      <c r="B1722" s="1" t="s">
        <v>5</v>
      </c>
      <c r="C1722" s="10" t="s">
        <v>4</v>
      </c>
      <c r="D1722" s="5" t="s">
        <v>1659</v>
      </c>
      <c r="E1722" s="1" t="str">
        <f ca="1">IFERROR(__xludf.DUMMYFUNCTION("GOOGLETRANSLATE(D1722, ""bn"", ""en"")"),"Bro, stop listening to the news media and dancing without verifying the truth. Bangladesh is a country of communal harmony. RDU also believes in the same ideology. Don't spread rumours.")</f>
        <v>Bro, stop listening to the news media and dancing without verifying the truth. Bangladesh is a country of communal harmony. RDU also believes in the same ideology. Don't spread rumours.</v>
      </c>
      <c r="F1722" s="1"/>
      <c r="G1722" s="1"/>
      <c r="H1722" s="1"/>
      <c r="I1722" s="1"/>
    </row>
    <row r="1723" spans="1:9" ht="15.6" x14ac:dyDescent="0.3">
      <c r="A1723" s="1" t="s">
        <v>9</v>
      </c>
      <c r="B1723" s="1" t="s">
        <v>7</v>
      </c>
      <c r="C1723" s="10" t="s">
        <v>9</v>
      </c>
      <c r="D1723" s="5" t="s">
        <v>1660</v>
      </c>
      <c r="E1723" s="1" t="str">
        <f ca="1">IFERROR(__xludf.DUMMYFUNCTION("GOOGLETRANSLATE(D1723, ""bn"", ""en"")"),"All the Hindu owned shops near the Light House cinema are being vandalized and looted.")</f>
        <v>All the Hindu owned shops near the Light House cinema are being vandalized and looted.</v>
      </c>
      <c r="F1723" s="1"/>
      <c r="G1723" s="1"/>
      <c r="H1723" s="1"/>
      <c r="I1723" s="1"/>
    </row>
    <row r="1724" spans="1:9" ht="15.6" x14ac:dyDescent="0.3">
      <c r="A1724" s="1" t="s">
        <v>7</v>
      </c>
      <c r="B1724" s="1" t="s">
        <v>7</v>
      </c>
      <c r="C1724" s="10" t="s">
        <v>7</v>
      </c>
      <c r="D1724" s="5" t="s">
        <v>1661</v>
      </c>
      <c r="E1724" s="1" t="str">
        <f ca="1">IFERROR(__xludf.DUMMYFUNCTION("GOOGLETRANSLATE(D1724, ""bn"", ""en"")"),"Nine people were killed in the bombing of the Baniachong Catholic Church in Gopalganj, one of the worst attacks on the minority Christian community in Bangladesh.")</f>
        <v>Nine people were killed in the bombing of the Baniachong Catholic Church in Gopalganj, one of the worst attacks on the minority Christian community in Bangladesh.</v>
      </c>
      <c r="F1724" s="1"/>
      <c r="G1724" s="1"/>
      <c r="H1724" s="1"/>
      <c r="I1724" s="1"/>
    </row>
    <row r="1725" spans="1:9" ht="15.6" x14ac:dyDescent="0.3">
      <c r="A1725" s="1" t="s">
        <v>7</v>
      </c>
      <c r="B1725" s="1" t="s">
        <v>7</v>
      </c>
      <c r="C1725" s="10" t="s">
        <v>7</v>
      </c>
      <c r="D1725" s="5" t="s">
        <v>1662</v>
      </c>
      <c r="E1725" s="1" t="str">
        <f ca="1">IFERROR(__xludf.DUMMYFUNCTION("GOOGLETRANSLATE(D1725, ""bn"", ""en"")"),"Death is a devastating time, which gives people a sense of inner peace. Religious beliefs can help you in times of crisis.")</f>
        <v>Death is a devastating time, which gives people a sense of inner peace. Religious beliefs can help you in times of crisis.</v>
      </c>
      <c r="F1725" s="1"/>
      <c r="G1725" s="1"/>
      <c r="H1725" s="1"/>
      <c r="I1725" s="1"/>
    </row>
    <row r="1726" spans="1:9" ht="15.6" x14ac:dyDescent="0.3">
      <c r="A1726" s="1" t="s">
        <v>5</v>
      </c>
      <c r="B1726" s="1" t="s">
        <v>5</v>
      </c>
      <c r="C1726" s="10" t="s">
        <v>5</v>
      </c>
      <c r="D1726" s="5" t="s">
        <v>1663</v>
      </c>
      <c r="E1726" s="1" t="str">
        <f ca="1">IFERROR(__xludf.DUMMYFUNCTION("GOOGLETRANSLATE(D1726, ""bn"", ""en"")"),"Charabhadrasana is located on the southern bank of the Padma. The area is sandy along the river, which changes its texture over time. The word char literally means a sandy place. Vaidyadangi, Majhidangi and Baladangi villages located on this site were Hin"&amp;"du villages of farmers and fishermen caste.")</f>
        <v>Charabhadrasana is located on the southern bank of the Padma. The area is sandy along the river, which changes its texture over time. The word char literally means a sandy place. Vaidyadangi, Majhidangi and Baladangi villages located on this site were Hindu villages of farmers and fishermen caste.</v>
      </c>
      <c r="F1726" s="1"/>
      <c r="G1726" s="1"/>
      <c r="H1726" s="1"/>
      <c r="I1726" s="1"/>
    </row>
    <row r="1727" spans="1:9" ht="15.6" x14ac:dyDescent="0.3">
      <c r="A1727" s="1" t="s">
        <v>4</v>
      </c>
      <c r="B1727" s="1" t="s">
        <v>4</v>
      </c>
      <c r="C1727" s="10" t="s">
        <v>4</v>
      </c>
      <c r="D1727" s="5" t="s">
        <v>1664</v>
      </c>
      <c r="E1727" s="1" t="str">
        <f ca="1">IFERROR(__xludf.DUMMYFUNCTION("GOOGLETRANSLATE(D1727, ""bn"", ""en"")"),"Three thousand Christian families are held hostage by a fundamentalist leader in Mujibnagar")</f>
        <v>Three thousand Christian families are held hostage by a fundamentalist leader in Mujibnagar</v>
      </c>
      <c r="F1727" s="1"/>
      <c r="G1727" s="1"/>
      <c r="H1727" s="1"/>
      <c r="I1727" s="1"/>
    </row>
    <row r="1728" spans="1:9" ht="15.6" x14ac:dyDescent="0.3">
      <c r="A1728" s="1" t="s">
        <v>9</v>
      </c>
      <c r="B1728" s="1" t="s">
        <v>9</v>
      </c>
      <c r="C1728" s="10" t="s">
        <v>9</v>
      </c>
      <c r="D1728" s="5" t="s">
        <v>1665</v>
      </c>
      <c r="E1728" s="1" t="str">
        <f ca="1">IFERROR(__xludf.DUMMYFUNCTION("GOOGLETRANSLATE(D1728, ""bn"", ""en"")"),"Recently when Vishu beat up his mother-in-law, the two families got into a dispute over the matter. Meanwhile, Bimal Das took part in the fight on one side. And to punish the opponent, the idol is vandalized in the middle of the night. The source, who did"&amp;" not want to be named, also said that the idol vandalism was a family dispute, not a communal incident.")</f>
        <v>Recently when Vishu beat up his mother-in-law, the two families got into a dispute over the matter. Meanwhile, Bimal Das took part in the fight on one side. And to punish the opponent, the idol is vandalized in the middle of the night. The source, who did not want to be named, also said that the idol vandalism was a family dispute, not a communal incident.</v>
      </c>
      <c r="F1728" s="1"/>
      <c r="G1728" s="1"/>
      <c r="H1728" s="1"/>
      <c r="I1728" s="1"/>
    </row>
    <row r="1729" spans="1:9" ht="15.6" x14ac:dyDescent="0.3">
      <c r="A1729" s="1" t="s">
        <v>9</v>
      </c>
      <c r="B1729" s="1" t="s">
        <v>5</v>
      </c>
      <c r="C1729" s="10" t="s">
        <v>9</v>
      </c>
      <c r="D1729" s="5" t="s">
        <v>1666</v>
      </c>
      <c r="E1729" s="1" t="str">
        <f ca="1">IFERROR(__xludf.DUMMYFUNCTION("GOOGLETRANSLATE(D1729, ""bn"", ""en"")"),"Attack on Hindu Community in Bangladesh: Angry Reaction of Bangladeshi Community in Australia")</f>
        <v>Attack on Hindu Community in Bangladesh: Angry Reaction of Bangladeshi Community in Australia</v>
      </c>
      <c r="F1729" s="1"/>
      <c r="G1729" s="1"/>
      <c r="H1729" s="1"/>
      <c r="I1729" s="1"/>
    </row>
    <row r="1730" spans="1:9" ht="15.6" x14ac:dyDescent="0.3">
      <c r="A1730" s="1" t="s">
        <v>7</v>
      </c>
      <c r="B1730" s="1" t="s">
        <v>7</v>
      </c>
      <c r="C1730" s="10" t="s">
        <v>7</v>
      </c>
      <c r="D1730" s="5" t="s">
        <v>1667</v>
      </c>
      <c r="E1730" s="1" t="str">
        <f ca="1">IFERROR(__xludf.DUMMYFUNCTION("GOOGLETRANSLATE(D1730, ""bn"", ""en"")"),"Unable to tolerate differences of opinion, many families have lost their loved ones in religious clashes, causing deep grief.")</f>
        <v>Unable to tolerate differences of opinion, many families have lost their loved ones in religious clashes, causing deep grief.</v>
      </c>
      <c r="F1730" s="1"/>
      <c r="G1730" s="1"/>
      <c r="H1730" s="1"/>
      <c r="I1730" s="1"/>
    </row>
    <row r="1731" spans="1:9" ht="15.6" x14ac:dyDescent="0.3">
      <c r="A1731" s="1" t="s">
        <v>4</v>
      </c>
      <c r="B1731" s="1" t="s">
        <v>4</v>
      </c>
      <c r="C1731" s="10" t="s">
        <v>4</v>
      </c>
      <c r="D1731" s="5" t="s">
        <v>1668</v>
      </c>
      <c r="E1731" s="1" t="str">
        <f ca="1">IFERROR(__xludf.DUMMYFUNCTION("GOOGLETRANSLATE(D1731, ""bn"", ""en"")"),"""This is a brand new addition to the politics of West Bengal. Direct and aggressive religious politics have never been seen before. But its root is hidden in vote bank politics. Muslims are one vote bank, Hindus are another vote bank.")</f>
        <v>"This is a brand new addition to the politics of West Bengal. Direct and aggressive religious politics have never been seen before. But its root is hidden in vote bank politics. Muslims are one vote bank, Hindus are another vote bank.</v>
      </c>
      <c r="F1731" s="1"/>
      <c r="G1731" s="1"/>
      <c r="H1731" s="1"/>
      <c r="I1731" s="1"/>
    </row>
    <row r="1732" spans="1:9" ht="15.6" x14ac:dyDescent="0.3">
      <c r="A1732" s="1" t="s">
        <v>5</v>
      </c>
      <c r="B1732" s="1" t="s">
        <v>5</v>
      </c>
      <c r="C1732" s="10" t="s">
        <v>5</v>
      </c>
      <c r="D1732" s="5" t="s">
        <v>1669</v>
      </c>
      <c r="E1732" s="1" t="str">
        <f ca="1">IFERROR(__xludf.DUMMYFUNCTION("GOOGLETRANSLATE(D1732, ""bn"", ""en"")"),"Referring to Bangladesh as a non-communal state, Prime Minister Sheikh Hasina called on no one to exaggerate religion in this country and said that her government's efforts will continue so that no other child like her younger brother Russell has to be ki"&amp;"lled.")</f>
        <v>Referring to Bangladesh as a non-communal state, Prime Minister Sheikh Hasina called on no one to exaggerate religion in this country and said that her government's efforts will continue so that no other child like her younger brother Russell has to be killed.</v>
      </c>
      <c r="F1732" s="1"/>
      <c r="G1732" s="1"/>
      <c r="H1732" s="1"/>
      <c r="I1732" s="1"/>
    </row>
    <row r="1733" spans="1:9" ht="15.6" x14ac:dyDescent="0.3">
      <c r="A1733" s="4" t="s">
        <v>7</v>
      </c>
      <c r="B1733" s="4" t="s">
        <v>7</v>
      </c>
      <c r="C1733" s="11" t="s">
        <v>7</v>
      </c>
      <c r="D1733" s="5" t="s">
        <v>1670</v>
      </c>
      <c r="E1733" s="1" t="str">
        <f ca="1">IFERROR(__xludf.DUMMYFUNCTION("GOOGLETRANSLATE(D1733, ""bn"", ""en"")"),"Tensions erupted in the early hours of 16 August when League volunteers forced Hindu traders to close their shops in North Calcutta and Hindus retaliated by blocking League processions. According to official estimates, 4,000 people were killed and 1,00,00"&amp;"0 injured in the riots.")</f>
        <v>Tensions erupted in the early hours of 16 August when League volunteers forced Hindu traders to close their shops in North Calcutta and Hindus retaliated by blocking League processions. According to official estimates, 4,000 people were killed and 1,00,000 injured in the riots.</v>
      </c>
      <c r="F1733" s="1"/>
      <c r="G1733" s="1"/>
      <c r="H1733" s="1"/>
      <c r="I1733" s="1"/>
    </row>
    <row r="1734" spans="1:9" ht="15.6" x14ac:dyDescent="0.3">
      <c r="A1734" s="1" t="s">
        <v>4</v>
      </c>
      <c r="B1734" s="1" t="s">
        <v>4</v>
      </c>
      <c r="C1734" s="10" t="s">
        <v>4</v>
      </c>
      <c r="D1734" s="5" t="s">
        <v>1671</v>
      </c>
      <c r="E1734" s="1" t="str">
        <f ca="1">IFERROR(__xludf.DUMMYFUNCTION("GOOGLETRANSLATE(D1734, ""bn"", ""en"")"),"In 1960, Pakistan's then Union Communications Minister Abdus Sabur Khan forcibly seized 30 bighas of land belonging to Rupchand Biswas, a noble Hindu landowner of Matikhali in Khulna district, and constructed a three-storey building there.")</f>
        <v>In 1960, Pakistan's then Union Communications Minister Abdus Sabur Khan forcibly seized 30 bighas of land belonging to Rupchand Biswas, a noble Hindu landowner of Matikhali in Khulna district, and constructed a three-storey building there.</v>
      </c>
      <c r="F1734" s="1"/>
      <c r="G1734" s="1"/>
      <c r="H1734" s="1"/>
      <c r="I1734" s="1"/>
    </row>
    <row r="1735" spans="1:9" ht="15.6" x14ac:dyDescent="0.3">
      <c r="A1735" s="1" t="s">
        <v>9</v>
      </c>
      <c r="B1735" s="1" t="s">
        <v>9</v>
      </c>
      <c r="C1735" s="10" t="s">
        <v>9</v>
      </c>
      <c r="D1735" s="5" t="s">
        <v>1672</v>
      </c>
      <c r="E1735" s="1" t="str">
        <f ca="1">IFERROR(__xludf.DUMMYFUNCTION("GOOGLETRANSLATE(D1735, ""bn"", ""en"")"),"In a video message after the attack, the attacker said, Allahu Akbar. My name is Abdesalem Al Gilani and I am a warrior of Allah.")</f>
        <v>In a video message after the attack, the attacker said, Allahu Akbar. My name is Abdesalem Al Gilani and I am a warrior of Allah.</v>
      </c>
      <c r="F1735" s="1"/>
      <c r="G1735" s="1"/>
      <c r="H1735" s="1"/>
      <c r="I1735" s="1"/>
    </row>
    <row r="1736" spans="1:9" ht="15.6" x14ac:dyDescent="0.3">
      <c r="A1736" s="1" t="s">
        <v>4</v>
      </c>
      <c r="B1736" s="1" t="s">
        <v>4</v>
      </c>
      <c r="C1736" s="10" t="s">
        <v>4</v>
      </c>
      <c r="D1736" s="5" t="s">
        <v>1673</v>
      </c>
      <c r="E1736" s="1" t="str">
        <f ca="1">IFERROR(__xludf.DUMMYFUNCTION("GOOGLETRANSLATE(D1736, ""bn"", ""en"")"),"The movement of the converts was under the control of the Muslims. Sometimes they had to take permission from the local Muslim leaders to go outside the village. In Khalishpara under the Ramganj police station, the Muslims extorted writings from the conve"&amp;"rted Hindus.[41]")</f>
        <v>The movement of the converts was under the control of the Muslims. Sometimes they had to take permission from the local Muslim leaders to go outside the village. In Khalishpara under the Ramganj police station, the Muslims extorted writings from the converted Hindus.[41]</v>
      </c>
      <c r="F1736" s="1"/>
      <c r="G1736" s="1"/>
      <c r="H1736" s="1"/>
      <c r="I1736" s="1"/>
    </row>
    <row r="1737" spans="1:9" ht="15.6" x14ac:dyDescent="0.3">
      <c r="A1737" s="1" t="s">
        <v>7</v>
      </c>
      <c r="B1737" s="1" t="s">
        <v>7</v>
      </c>
      <c r="C1737" s="10" t="s">
        <v>7</v>
      </c>
      <c r="D1737" s="5" t="s">
        <v>1674</v>
      </c>
      <c r="E1737" s="1" t="str">
        <f ca="1">IFERROR(__xludf.DUMMYFUNCTION("GOOGLETRANSLATE(D1737, ""bn"", ""en"")"),"From January 1 to December 29, 2016, 98 Hindus were killed across the country. 1009 people have been threatened with death. Attempts have been made to kill 18 people. There were 26 cases of rape.")</f>
        <v>From January 1 to December 29, 2016, 98 Hindus were killed across the country. 1009 people have been threatened with death. Attempts have been made to kill 18 people. There were 26 cases of rape.</v>
      </c>
      <c r="F1737" s="1"/>
      <c r="G1737" s="1"/>
      <c r="H1737" s="1"/>
      <c r="I1737" s="1"/>
    </row>
    <row r="1738" spans="1:9" ht="46.8" x14ac:dyDescent="0.3">
      <c r="A1738" s="1" t="s">
        <v>9</v>
      </c>
      <c r="B1738" s="1" t="s">
        <v>4</v>
      </c>
      <c r="C1738" s="10" t="s">
        <v>9</v>
      </c>
      <c r="D1738" s="6" t="s">
        <v>3950</v>
      </c>
      <c r="E1738" s="1" t="str">
        <f ca="1">IFERROR(__xludf.DUMMYFUNCTION("GOOGLETRANSLATE(D1738, ""bn"", ""en"")"),"It could be a well-planned blueprint for profiting by destroying the communal harmony of the country. These are part of a deeper conspiracy to destroy the enviable communal harmony of Bangladesh. After a year or two, when the puja time comes, some miscrea"&amp;"nts try to create riots by spreading religious tension for political gain.")</f>
        <v>It could be a well-planned blueprint for profiting by destroying the communal harmony of the country. These are part of a deeper conspiracy to destroy the enviable communal harmony of Bangladesh. After a year or two, when the puja time comes, some miscreants try to create riots by spreading religious tension for political gain.</v>
      </c>
      <c r="F1738" s="1"/>
      <c r="G1738" s="1"/>
      <c r="H1738" s="1"/>
      <c r="I1738" s="1"/>
    </row>
    <row r="1739" spans="1:9" ht="46.8" x14ac:dyDescent="0.3">
      <c r="A1739" s="1" t="s">
        <v>4</v>
      </c>
      <c r="B1739" s="1" t="s">
        <v>4</v>
      </c>
      <c r="C1739" s="10" t="s">
        <v>4</v>
      </c>
      <c r="D1739" s="6" t="s">
        <v>3949</v>
      </c>
      <c r="E1739" s="1" t="str">
        <f ca="1">IFERROR(__xludf.DUMMYFUNCTION("GOOGLETRANSLATE(D1739, ""bn"", ""en"")"),"It should be more important than what he thinks, his hijab, niqab, beard, cap are the sign of his 'Islam', even if he is a stranger to everyone, he is a 'Muslim' because of his clothes. Even if no one remembers him as an individual because of his one bad "&amp;"behavior, people will judge the entire Muslim community and even Islam by him.")</f>
        <v>It should be more important than what he thinks, his hijab, niqab, beard, cap are the sign of his 'Islam', even if he is a stranger to everyone, he is a 'Muslim' because of his clothes. Even if no one remembers him as an individual because of his one bad behavior, people will judge the entire Muslim community and even Islam by him.</v>
      </c>
      <c r="F1739" s="1"/>
      <c r="G1739" s="1"/>
      <c r="H1739" s="1"/>
      <c r="I1739" s="1"/>
    </row>
    <row r="1740" spans="1:9" ht="15.6" x14ac:dyDescent="0.3">
      <c r="A1740" s="1" t="s">
        <v>5</v>
      </c>
      <c r="B1740" s="1" t="s">
        <v>5</v>
      </c>
      <c r="C1740" s="10" t="s">
        <v>5</v>
      </c>
      <c r="D1740" s="5" t="s">
        <v>1675</v>
      </c>
      <c r="E1740" s="1" t="str">
        <f ca="1">IFERROR(__xludf.DUMMYFUNCTION("GOOGLETRANSLATE(D1740, ""bn"", ""en"")"),"There are two beliefs associated with the festival, the first belief is that Lord Shiva appeared as Jyotirlinga on this tithi, while the second belief is that Shiva-Parvati got married on this tithi.")</f>
        <v>There are two beliefs associated with the festival, the first belief is that Lord Shiva appeared as Jyotirlinga on this tithi, while the second belief is that Shiva-Parvati got married on this tithi.</v>
      </c>
      <c r="F1740" s="1"/>
      <c r="G1740" s="1"/>
      <c r="H1740" s="1"/>
      <c r="I1740" s="1"/>
    </row>
    <row r="1741" spans="1:9" ht="15.6" x14ac:dyDescent="0.3">
      <c r="A1741" s="1" t="s">
        <v>5</v>
      </c>
      <c r="B1741" s="1" t="s">
        <v>5</v>
      </c>
      <c r="C1741" s="10" t="s">
        <v>5</v>
      </c>
      <c r="D1741" s="5" t="s">
        <v>1676</v>
      </c>
      <c r="E1741" s="1" t="str">
        <f ca="1">IFERROR(__xludf.DUMMYFUNCTION("GOOGLETRANSLATE(D1741, ""bn"", ""en"")"),"Islam teaches unity, brotherhood, sincerity and love, which are important for the welfare of humanity.")</f>
        <v>Islam teaches unity, brotherhood, sincerity and love, which are important for the welfare of humanity.</v>
      </c>
      <c r="F1741" s="1"/>
      <c r="G1741" s="1"/>
      <c r="H1741" s="1"/>
      <c r="I1741" s="1"/>
    </row>
    <row r="1742" spans="1:9" ht="46.8" x14ac:dyDescent="0.3">
      <c r="A1742" s="1" t="s">
        <v>9</v>
      </c>
      <c r="B1742" s="1" t="s">
        <v>9</v>
      </c>
      <c r="C1742" s="10" t="s">
        <v>9</v>
      </c>
      <c r="D1742" s="6" t="s">
        <v>3948</v>
      </c>
      <c r="E1742" s="1" t="str">
        <f ca="1">IFERROR(__xludf.DUMMYFUNCTION("GOOGLETRANSLATE(D1742, ""bn"", ""en"")"),"29 cases of encroachment of temple land, 501 organized attacks, 56 attacks on temples, vandalism and arson, 219 idols vandalized, 50 idols stolen, 63 cases of injury to religious sentiments have also occurred in the country. 57 religious institutions were"&amp;" desecrated, 60 religious ceremonies were prevented, 100 people were fed religious forbidden food.")</f>
        <v>29 cases of encroachment of temple land, 501 organized attacks, 56 attacks on temples, vandalism and arson, 219 idols vandalized, 50 idols stolen, 63 cases of injury to religious sentiments have also occurred in the country. 57 religious institutions were desecrated, 60 religious ceremonies were prevented, 100 people were fed religious forbidden food.</v>
      </c>
      <c r="F1742" s="1"/>
      <c r="G1742" s="1"/>
      <c r="H1742" s="1"/>
      <c r="I1742" s="1"/>
    </row>
    <row r="1743" spans="1:9" ht="15.6" x14ac:dyDescent="0.3">
      <c r="A1743" s="1" t="s">
        <v>7</v>
      </c>
      <c r="B1743" s="1" t="s">
        <v>7</v>
      </c>
      <c r="C1743" s="10" t="s">
        <v>7</v>
      </c>
      <c r="D1743" s="5" t="s">
        <v>1677</v>
      </c>
      <c r="E1743" s="1" t="str">
        <f ca="1">IFERROR(__xludf.DUMMYFUNCTION("GOOGLETRANSLATE(D1743, ""bn"", ""en"")"),"Last December 24, a woman militant committed suicide by bursting a grenade in a raid on a house in East Ashkona of Dakshinkhan police station, a teenage militant was killed.")</f>
        <v>Last December 24, a woman militant committed suicide by bursting a grenade in a raid on a house in East Ashkona of Dakshinkhan police station, a teenage militant was killed.</v>
      </c>
      <c r="F1743" s="1"/>
      <c r="G1743" s="1"/>
      <c r="H1743" s="1"/>
      <c r="I1743" s="1"/>
    </row>
    <row r="1744" spans="1:9" ht="15.6" x14ac:dyDescent="0.3">
      <c r="A1744" s="1" t="s">
        <v>4</v>
      </c>
      <c r="B1744" s="1" t="s">
        <v>4</v>
      </c>
      <c r="C1744" s="10" t="s">
        <v>4</v>
      </c>
      <c r="D1744" s="5" t="s">
        <v>1678</v>
      </c>
      <c r="E1744" s="1" t="str">
        <f ca="1">IFERROR(__xludf.DUMMYFUNCTION("GOOGLETRANSLATE(D1744, ""bn"", ""en"")"),"Allah Ta'ala has announced severe suffering and severe punishment in this world and the hereafter for those who disrespect the Qur'an. ")</f>
        <v>Allah Ta'ala has announced severe suffering and severe punishment in this world and the hereafter for those who disrespect the Qur'an. </v>
      </c>
      <c r="F1744" s="1"/>
      <c r="G1744" s="1"/>
      <c r="H1744" s="1"/>
      <c r="I1744" s="1"/>
    </row>
    <row r="1745" spans="1:9" ht="15.6" x14ac:dyDescent="0.3">
      <c r="A1745" s="1" t="s">
        <v>4</v>
      </c>
      <c r="B1745" s="1" t="s">
        <v>5</v>
      </c>
      <c r="C1745" s="10" t="s">
        <v>4</v>
      </c>
      <c r="D1745" s="5" t="s">
        <v>1679</v>
      </c>
      <c r="E1745" s="1" t="str">
        <f ca="1">IFERROR(__xludf.DUMMYFUNCTION("GOOGLETRANSLATE(D1745, ""bn"", ""en"")"),"Puja was not held in universities in 2023? No one said anything then. Now they are saying that if they can do puja, why can't they organize iftar?")</f>
        <v>Puja was not held in universities in 2023? No one said anything then. Now they are saying that if they can do puja, why can't they organize iftar?</v>
      </c>
      <c r="F1745" s="1"/>
      <c r="G1745" s="1"/>
      <c r="H1745" s="1"/>
      <c r="I1745" s="1"/>
    </row>
    <row r="1746" spans="1:9" ht="15.6" x14ac:dyDescent="0.3">
      <c r="A1746" s="1" t="s">
        <v>5</v>
      </c>
      <c r="B1746" s="1" t="s">
        <v>5</v>
      </c>
      <c r="C1746" s="10" t="s">
        <v>5</v>
      </c>
      <c r="D1746" s="5" t="s">
        <v>1680</v>
      </c>
      <c r="E1746" s="1" t="str">
        <f ca="1">IFERROR(__xludf.DUMMYFUNCTION("GOOGLETRANSLATE(D1746, ""bn"", ""en"")"),"May severe personal punishment be given to him, God will surely punish him inshallah")</f>
        <v>May severe personal punishment be given to him, God will surely punish him inshallah</v>
      </c>
      <c r="F1746" s="1"/>
      <c r="G1746" s="1"/>
      <c r="H1746" s="1"/>
      <c r="I1746" s="1"/>
    </row>
    <row r="1747" spans="1:9" ht="15.6" x14ac:dyDescent="0.3">
      <c r="A1747" s="1" t="s">
        <v>9</v>
      </c>
      <c r="B1747" s="1" t="s">
        <v>9</v>
      </c>
      <c r="C1747" s="10" t="s">
        <v>9</v>
      </c>
      <c r="D1747" s="5" t="s">
        <v>1681</v>
      </c>
      <c r="E1747" s="1" t="str">
        <f ca="1">IFERROR(__xludf.DUMMYFUNCTION("GOOGLETRANSLATE(D1747, ""bn"", ""en"")"),"In the rest, heinous attacks for not giving cigarettes, vandalism of 5 minority houses, looting, burning of temples, molestation of women, 10 injured.")</f>
        <v>In the rest, heinous attacks for not giving cigarettes, vandalism of 5 minority houses, looting, burning of temples, molestation of women, 10 injured.</v>
      </c>
      <c r="F1747" s="1"/>
      <c r="G1747" s="1"/>
      <c r="H1747" s="1"/>
      <c r="I1747" s="1"/>
    </row>
    <row r="1748" spans="1:9" ht="15.6" x14ac:dyDescent="0.3">
      <c r="A1748" s="1" t="s">
        <v>4</v>
      </c>
      <c r="B1748" s="1" t="s">
        <v>4</v>
      </c>
      <c r="C1748" s="10" t="s">
        <v>4</v>
      </c>
      <c r="D1748" s="5" t="s">
        <v>1682</v>
      </c>
      <c r="E1748" s="1" t="str">
        <f ca="1">IFERROR(__xludf.DUMMYFUNCTION("GOOGLETRANSLATE(D1748, ""bn"", ""en"")"),"We want justice for those who are involved in such heinous acts.")</f>
        <v>We want justice for those who are involved in such heinous acts.</v>
      </c>
      <c r="F1748" s="1"/>
      <c r="G1748" s="1"/>
      <c r="H1748" s="1"/>
      <c r="I1748" s="1"/>
    </row>
    <row r="1749" spans="1:9" ht="62.4" x14ac:dyDescent="0.3">
      <c r="A1749" s="1" t="s">
        <v>7</v>
      </c>
      <c r="B1749" s="1" t="s">
        <v>7</v>
      </c>
      <c r="C1749" s="10" t="s">
        <v>7</v>
      </c>
      <c r="D1749" s="6" t="s">
        <v>3947</v>
      </c>
      <c r="E1749" s="1" t="str">
        <f ca="1">IFERROR(__xludf.DUMMYFUNCTION("GOOGLETRANSLATE(D1749, ""bn"", ""en"")"),"A Hindu was killed there again. By evening, more than 25,000 Hindus gathered at Lakshminarayan Cotton Mill Square to save their lives. All these desperate Hindus did not receive even a drop of water from anywhere for four consecutive days till January 20."&amp;" As a result, they had to spend four days without food and drink.")</f>
        <v>A Hindu was killed there again. By evening, more than 25,000 Hindus gathered at Lakshminarayan Cotton Mill Square to save their lives. All these desperate Hindus did not receive even a drop of water from anywhere for four consecutive days till January 20. As a result, they had to spend four days without food and drink.</v>
      </c>
      <c r="F1749" s="1"/>
      <c r="G1749" s="1"/>
      <c r="H1749" s="1"/>
      <c r="I1749" s="1"/>
    </row>
    <row r="1750" spans="1:9" ht="15.6" x14ac:dyDescent="0.3">
      <c r="A1750" s="1" t="s">
        <v>4</v>
      </c>
      <c r="B1750" s="1" t="s">
        <v>4</v>
      </c>
      <c r="C1750" s="10" t="s">
        <v>4</v>
      </c>
      <c r="D1750" s="5" t="s">
        <v>1683</v>
      </c>
      <c r="E1750" s="1" t="str">
        <f ca="1">IFERROR(__xludf.DUMMYFUNCTION("GOOGLETRANSLATE(D1750, ""bn"", ""en"")"),"If you compare the sex scandals of madrasas and general education institutions, you can see a stark difference. The general rate is much higher; But Googler[yellow] media doesn't highlight things.")</f>
        <v>If you compare the sex scandals of madrasas and general education institutions, you can see a stark difference. The general rate is much higher; But Googler[yellow] media doesn't highlight things.</v>
      </c>
      <c r="F1750" s="1"/>
      <c r="G1750" s="1"/>
      <c r="H1750" s="1"/>
      <c r="I1750" s="1"/>
    </row>
    <row r="1751" spans="1:9" ht="15.6" x14ac:dyDescent="0.3">
      <c r="A1751" s="1" t="s">
        <v>4</v>
      </c>
      <c r="B1751" s="1" t="s">
        <v>4</v>
      </c>
      <c r="C1751" s="10" t="s">
        <v>4</v>
      </c>
      <c r="D1751" s="5" t="s">
        <v>1684</v>
      </c>
      <c r="E1751" s="1" t="str">
        <f ca="1">IFERROR(__xludf.DUMMYFUNCTION("GOOGLETRANSLATE(D1751, ""bn"", ""en"")")," If Saraswati Puja can be celebrated with fanfare in Dhaka University, then where is the problem in Quran recitation?")</f>
        <v> If Saraswati Puja can be celebrated with fanfare in Dhaka University, then where is the problem in Quran recitation?</v>
      </c>
      <c r="F1751" s="1"/>
      <c r="G1751" s="1"/>
      <c r="H1751" s="1"/>
      <c r="I1751" s="1"/>
    </row>
    <row r="1752" spans="1:9" ht="15.6" x14ac:dyDescent="0.3">
      <c r="A1752" s="1" t="s">
        <v>9</v>
      </c>
      <c r="B1752" s="1" t="s">
        <v>4</v>
      </c>
      <c r="C1752" s="10" t="s">
        <v>9</v>
      </c>
      <c r="D1752" s="5" t="s">
        <v>1685</v>
      </c>
      <c r="E1752" s="1" t="str">
        <f ca="1">IFERROR(__xludf.DUMMYFUNCTION("GOOGLETRANSLATE(D1752, ""bn"", ""en"")"),"The Muslims went berserk in despicable brutalities like forcibly converting Hindus to Islam in village after village in riots.")</f>
        <v>The Muslims went berserk in despicable brutalities like forcibly converting Hindus to Islam in village after village in riots.</v>
      </c>
      <c r="F1752" s="1"/>
      <c r="G1752" s="1"/>
      <c r="H1752" s="1"/>
      <c r="I1752" s="1"/>
    </row>
    <row r="1753" spans="1:9" ht="15.6" x14ac:dyDescent="0.3">
      <c r="A1753" s="1" t="s">
        <v>7</v>
      </c>
      <c r="B1753" s="1" t="s">
        <v>7</v>
      </c>
      <c r="C1753" s="10" t="s">
        <v>7</v>
      </c>
      <c r="D1753" s="5" t="s">
        <v>1686</v>
      </c>
      <c r="E1753" s="1" t="str">
        <f ca="1">IFERROR(__xludf.DUMMYFUNCTION("GOOGLETRANSLATE(D1753, ""bn"", ""en"")"),"Suicide doesn't just end a life. Rather, it threatens a family, society, state and even the entire human race.")</f>
        <v>Suicide doesn't just end a life. Rather, it threatens a family, society, state and even the entire human race.</v>
      </c>
      <c r="F1753" s="1"/>
      <c r="G1753" s="1"/>
      <c r="H1753" s="1"/>
      <c r="I1753" s="1"/>
    </row>
    <row r="1754" spans="1:9" ht="31.2" x14ac:dyDescent="0.3">
      <c r="A1754" s="1" t="s">
        <v>4</v>
      </c>
      <c r="B1754" s="1" t="s">
        <v>4</v>
      </c>
      <c r="C1754" s="10" t="s">
        <v>4</v>
      </c>
      <c r="D1754" s="6" t="s">
        <v>3946</v>
      </c>
      <c r="E1754" s="1" t="str">
        <f ca="1">IFERROR(__xludf.DUMMYFUNCTION("GOOGLETRANSLATE(D1754, ""bn"", ""en"")"),"There are 72 puja mandaps in this university run by your tax money for only 1,500 Hindu students. A total of 5 Puja Mandaps were held in 5 different campuses of Calcutta University itself. 72 o'clock in DU, seventy two. ")</f>
        <v xml:space="preserve">There are 72 puja mandaps in this university run by your tax money for only 1,500 Hindu students. A total of 5 Puja Mandaps were held in 5 different campuses of Calcutta University itself. 72 o'clock in DU, seventy two. </v>
      </c>
      <c r="F1754" s="1"/>
      <c r="G1754" s="1"/>
      <c r="H1754" s="1"/>
      <c r="I1754" s="1"/>
    </row>
    <row r="1755" spans="1:9" ht="15.6" x14ac:dyDescent="0.3">
      <c r="A1755" s="1" t="s">
        <v>7</v>
      </c>
      <c r="B1755" s="1" t="s">
        <v>7</v>
      </c>
      <c r="C1755" s="10" t="s">
        <v>7</v>
      </c>
      <c r="D1755" s="5" t="s">
        <v>1687</v>
      </c>
      <c r="E1755" s="1" t="str">
        <f ca="1">IFERROR(__xludf.DUMMYFUNCTION("GOOGLETRANSLATE(D1755, ""bn"", ""en"")"),"He also burned down Buddhist temples along with religious scriptures and massacred numerous Buddhist monks.")</f>
        <v>He also burned down Buddhist temples along with religious scriptures and massacred numerous Buddhist monks.</v>
      </c>
      <c r="F1755" s="1"/>
      <c r="G1755" s="1"/>
      <c r="H1755" s="1"/>
      <c r="I1755" s="1"/>
    </row>
    <row r="1756" spans="1:9" ht="15.6" x14ac:dyDescent="0.3">
      <c r="A1756" s="1" t="s">
        <v>4</v>
      </c>
      <c r="B1756" s="1" t="s">
        <v>4</v>
      </c>
      <c r="C1756" s="10" t="s">
        <v>4</v>
      </c>
      <c r="D1756" s="5" t="s">
        <v>1688</v>
      </c>
      <c r="E1756" s="1" t="str">
        <f ca="1">IFERROR(__xludf.DUMMYFUNCTION("GOOGLETRANSLATE(D1756, ""bn"", ""en"")"),"If anyone insults any religion, not only Islam, he should be brought under punishment. Let everyone respect everyone's religion.")</f>
        <v>If anyone insults any religion, not only Islam, he should be brought under punishment. Let everyone respect everyone's religion.</v>
      </c>
      <c r="F1756" s="1"/>
      <c r="G1756" s="1"/>
      <c r="H1756" s="1"/>
      <c r="I1756" s="1"/>
    </row>
    <row r="1757" spans="1:9" ht="15.6" x14ac:dyDescent="0.3">
      <c r="A1757" s="1" t="s">
        <v>9</v>
      </c>
      <c r="B1757" s="1" t="s">
        <v>9</v>
      </c>
      <c r="C1757" s="10" t="s">
        <v>9</v>
      </c>
      <c r="D1757" s="5" t="s">
        <v>1689</v>
      </c>
      <c r="E1757" s="1" t="str">
        <f ca="1">IFERROR(__xludf.DUMMYFUNCTION("GOOGLETRANSLATE(D1757, ""bn"", ""en"")"),"The attack took place in Charamba Union Bibila Shanti Vihar of Lohagara Upazila of Chittagong. A statue of Bihar, boundary wall and windows and doors were vandalized in the attack.")</f>
        <v>The attack took place in Charamba Union Bibila Shanti Vihar of Lohagara Upazila of Chittagong. A statue of Bihar, boundary wall and windows and doors were vandalized in the attack.</v>
      </c>
      <c r="F1757" s="1"/>
      <c r="G1757" s="1"/>
      <c r="H1757" s="1"/>
      <c r="I1757" s="1"/>
    </row>
    <row r="1758" spans="1:9" ht="31.2" x14ac:dyDescent="0.3">
      <c r="A1758" s="1" t="s">
        <v>4</v>
      </c>
      <c r="B1758" s="1" t="s">
        <v>5</v>
      </c>
      <c r="C1758" s="10" t="s">
        <v>4</v>
      </c>
      <c r="D1758" s="6" t="s">
        <v>3945</v>
      </c>
      <c r="E1758" s="1" t="str">
        <f ca="1">IFERROR(__xludf.DUMMYFUNCTION("GOOGLETRANSLATE(D1758, ""bn"", ""en"")"),"In 1991-92, the Bhutanese government deported millions of Nepali Hindus to Nepal. They are all living there as refugees. Besides, they take refuge in USA, Australia, New Zealand.")</f>
        <v>In 1991-92, the Bhutanese government deported millions of Nepali Hindus to Nepal. They are all living there as refugees. Besides, they take refuge in USA, Australia, New Zealand.</v>
      </c>
      <c r="F1758" s="1"/>
      <c r="G1758" s="1"/>
      <c r="H1758" s="1"/>
      <c r="I1758" s="1"/>
    </row>
    <row r="1759" spans="1:9" ht="46.8" x14ac:dyDescent="0.3">
      <c r="A1759" s="1" t="s">
        <v>7</v>
      </c>
      <c r="B1759" s="1" t="s">
        <v>5</v>
      </c>
      <c r="C1759" s="10" t="s">
        <v>7</v>
      </c>
      <c r="D1759" s="6" t="s">
        <v>3944</v>
      </c>
      <c r="E1759" s="1" t="str">
        <f ca="1">IFERROR(__xludf.DUMMYFUNCTION("GOOGLETRANSLATE(D1759, ""bn"", ""en"")"),"Then the Holy Prophet said, ""Do not consider anyone as a martyr if he is not a martyr in the path of Allah?"" In that case, the number of your martyrs will be very few. A person killed in the way of Allah is a martyr.")</f>
        <v>Then the Holy Prophet said, "Do not consider anyone as a martyr if he is not a martyr in the path of Allah?" In that case, the number of your martyrs will be very few. A person killed in the way of Allah is a martyr.</v>
      </c>
      <c r="F1759" s="1"/>
      <c r="G1759" s="1"/>
      <c r="H1759" s="1"/>
      <c r="I1759" s="1"/>
    </row>
    <row r="1760" spans="1:9" ht="15.6" x14ac:dyDescent="0.3">
      <c r="A1760" s="1" t="s">
        <v>7</v>
      </c>
      <c r="B1760" s="1" t="s">
        <v>7</v>
      </c>
      <c r="C1760" s="10" t="s">
        <v>7</v>
      </c>
      <c r="D1760" s="5" t="s">
        <v>1690</v>
      </c>
      <c r="E1760" s="1" t="str">
        <f ca="1">IFERROR(__xludf.DUMMYFUNCTION("GOOGLETRANSLATE(D1760, ""bn"", ""en"")"),"Suicide is the intentional giving up of one's life by a person. Businessman Mohsin Khan committed suicide on Facebook live recently.")</f>
        <v>Suicide is the intentional giving up of one's life by a person. Businessman Mohsin Khan committed suicide on Facebook live recently.</v>
      </c>
      <c r="F1760" s="1"/>
      <c r="G1760" s="1"/>
      <c r="H1760" s="1"/>
      <c r="I1760" s="1"/>
    </row>
    <row r="1761" spans="1:9" ht="15.6" x14ac:dyDescent="0.3">
      <c r="A1761" s="1" t="s">
        <v>4</v>
      </c>
      <c r="B1761" s="1" t="s">
        <v>4</v>
      </c>
      <c r="C1761" s="10" t="s">
        <v>4</v>
      </c>
      <c r="D1761" s="5" t="s">
        <v>1691</v>
      </c>
      <c r="E1761" s="1" t="str">
        <f ca="1">IFERROR(__xludf.DUMMYFUNCTION("GOOGLETRANSLATE(D1761, ""bn"", ""en"")"),"I strongly condemn the President of Sweden and the administration and with this I thank the President Putin, may Almighty Allah keep him alive for a thousand years.")</f>
        <v>I strongly condemn the President of Sweden and the administration and with this I thank the President Putin, may Almighty Allah keep him alive for a thousand years.</v>
      </c>
      <c r="F1761" s="1"/>
      <c r="G1761" s="1"/>
      <c r="H1761" s="1"/>
      <c r="I1761" s="1"/>
    </row>
    <row r="1762" spans="1:9" ht="46.8" x14ac:dyDescent="0.3">
      <c r="A1762" s="1" t="s">
        <v>9</v>
      </c>
      <c r="B1762" s="1" t="s">
        <v>9</v>
      </c>
      <c r="C1762" s="10" t="s">
        <v>9</v>
      </c>
      <c r="D1762" s="6" t="s">
        <v>3943</v>
      </c>
      <c r="E1762" s="1" t="str">
        <f ca="1">IFERROR(__xludf.DUMMYFUNCTION("GOOGLETRANSLATE(D1762, ""bn"", ""en"")"),"Several Hindu neighborhoods, markets and temples in Dighlia Union of Lohagra Upazila of Narail were attacked, looted and set on fire around 8 pm on Friday. The miscreants completely burnt the house of Govind Saha in Saha Para Four-five more houses were at"&amp;"tacked and set on fire ")</f>
        <v>Several Hindu neighborhoods, markets and temples in Dighlia Union of Lohagra Upazila of Narail were attacked, looted and set on fire around 8 pm on Friday. The miscreants completely burnt the house of Govind Saha in Saha Para Four-five more houses were attacked and set on fire </v>
      </c>
      <c r="F1762" s="1"/>
      <c r="G1762" s="1"/>
      <c r="H1762" s="1"/>
      <c r="I1762" s="1"/>
    </row>
    <row r="1763" spans="1:9" ht="15.6" x14ac:dyDescent="0.3">
      <c r="A1763" s="1" t="s">
        <v>4</v>
      </c>
      <c r="B1763" s="1" t="s">
        <v>4</v>
      </c>
      <c r="C1763" s="10" t="s">
        <v>4</v>
      </c>
      <c r="D1763" s="5" t="s">
        <v>1692</v>
      </c>
      <c r="E1763" s="1" t="str">
        <f ca="1">IFERROR(__xludf.DUMMYFUNCTION("GOOGLETRANSLATE(D1763, ""bn"", ""en"")"),"O Allah, You protect Your Holy Qur'an and send down wrath on these infidels.")</f>
        <v>O Allah, You protect Your Holy Qur'an and send down wrath on these infidels.</v>
      </c>
      <c r="F1763" s="1"/>
      <c r="G1763" s="1"/>
      <c r="H1763" s="1"/>
      <c r="I1763" s="1"/>
    </row>
    <row r="1764" spans="1:9" ht="31.2" x14ac:dyDescent="0.3">
      <c r="A1764" s="1" t="s">
        <v>7</v>
      </c>
      <c r="B1764" s="1" t="s">
        <v>7</v>
      </c>
      <c r="C1764" s="10" t="s">
        <v>7</v>
      </c>
      <c r="D1764" s="6" t="s">
        <v>3942</v>
      </c>
      <c r="E1764" s="1" t="str">
        <f ca="1">IFERROR(__xludf.DUMMYFUNCTION("GOOGLETRANSLATE(D1764, ""bn"", ""en"")"),"Price successfully argued in court that while the law does not state that cremation is legal, it also does not say that it is illegal. The case set the precedent that allowed the cremation society to move forward.")</f>
        <v>Price successfully argued in court that while the law does not state that cremation is legal, it also does not say that it is illegal. The case set the precedent that allowed the cremation society to move forward.</v>
      </c>
      <c r="F1764" s="1"/>
      <c r="G1764" s="1"/>
      <c r="H1764" s="1"/>
      <c r="I1764" s="1"/>
    </row>
    <row r="1765" spans="1:9" ht="31.2" x14ac:dyDescent="0.3">
      <c r="A1765" s="1" t="s">
        <v>9</v>
      </c>
      <c r="B1765" s="1" t="s">
        <v>9</v>
      </c>
      <c r="C1765" s="10" t="s">
        <v>9</v>
      </c>
      <c r="D1765" s="6" t="s">
        <v>3941</v>
      </c>
      <c r="E1765" s="1" t="str">
        <f ca="1">IFERROR(__xludf.DUMMYFUNCTION("GOOGLETRANSLATE(D1765, ""bn"", ""en"")"),"Even in 1971, there was no incident of such torture on the Buddhist community. Another researcher said, ""During the liberation war of 1971, 1,600 Rakhine families left their homeland due to the torture of the Pakistani invaders.""")</f>
        <v>Even in 1971, there was no incident of such torture on the Buddhist community. Another researcher said, "During the liberation war of 1971, 1,600 Rakhine families left their homeland due to the torture of the Pakistani invaders."</v>
      </c>
      <c r="F1765" s="1"/>
      <c r="G1765" s="1"/>
      <c r="H1765" s="1"/>
      <c r="I1765" s="1"/>
    </row>
    <row r="1766" spans="1:9" ht="46.8" x14ac:dyDescent="0.3">
      <c r="A1766" s="1" t="s">
        <v>4</v>
      </c>
      <c r="B1766" s="1" t="s">
        <v>4</v>
      </c>
      <c r="C1766" s="10" t="s">
        <v>4</v>
      </c>
      <c r="D1766" s="6" t="s">
        <v>3940</v>
      </c>
      <c r="E1766" s="1" t="str">
        <f ca="1">IFERROR(__xludf.DUMMYFUNCTION("GOOGLETRANSLATE(D1766, ""bn"", ""en"")"),"Bro, you are so good and post educational, thought-provoking, introspective videos, which encourage people to turn from bad paths and go on good paths. But in some of your videos I see ads for ruining people's lives and apocalyptic gambling.")</f>
        <v>Bro, you are so good and post educational, thought-provoking, introspective videos, which encourage people to turn from bad paths and go on good paths. But in some of your videos I see ads for ruining people's lives and apocalyptic gambling.</v>
      </c>
      <c r="F1766" s="1"/>
      <c r="G1766" s="1"/>
      <c r="H1766" s="1"/>
      <c r="I1766" s="1"/>
    </row>
    <row r="1767" spans="1:9" ht="15.6" x14ac:dyDescent="0.3">
      <c r="A1767" s="1" t="s">
        <v>5</v>
      </c>
      <c r="B1767" s="1" t="s">
        <v>5</v>
      </c>
      <c r="C1767" s="10" t="s">
        <v>5</v>
      </c>
      <c r="D1767" s="5" t="s">
        <v>1693</v>
      </c>
      <c r="E1767" s="1" t="str">
        <f ca="1">IFERROR(__xludf.DUMMYFUNCTION("GOOGLETRANSLATE(D1767, ""bn"", ""en"")"),"Tanjim Shakib is claiming to be a preacher somewhere? Or identified himself as a religious guru? Or forced something on someone?")</f>
        <v>Tanjim Shakib is claiming to be a preacher somewhere? Or identified himself as a religious guru? Or forced something on someone?</v>
      </c>
      <c r="F1767" s="1"/>
      <c r="G1767" s="1"/>
      <c r="H1767" s="1"/>
      <c r="I1767" s="1"/>
    </row>
    <row r="1768" spans="1:9" ht="15.6" x14ac:dyDescent="0.3">
      <c r="A1768" s="1" t="s">
        <v>5</v>
      </c>
      <c r="B1768" s="1" t="s">
        <v>5</v>
      </c>
      <c r="C1768" s="10" t="s">
        <v>5</v>
      </c>
      <c r="D1768" s="5" t="s">
        <v>1694</v>
      </c>
      <c r="E1768" s="1" t="str">
        <f ca="1">IFERROR(__xludf.DUMMYFUNCTION("GOOGLETRANSLATE(D1768, ""bn"", ""en"")"),"Everything inside and outside the planets, including the Earth, the Moon, and the Sun, are perfectly described in the Qur'an.")</f>
        <v>Everything inside and outside the planets, including the Earth, the Moon, and the Sun, are perfectly described in the Qur'an.</v>
      </c>
      <c r="F1768" s="1"/>
      <c r="G1768" s="1"/>
      <c r="H1768" s="1"/>
      <c r="I1768" s="1"/>
    </row>
    <row r="1769" spans="1:9" ht="15.6" x14ac:dyDescent="0.3">
      <c r="A1769" s="1" t="s">
        <v>9</v>
      </c>
      <c r="B1769" s="1" t="s">
        <v>9</v>
      </c>
      <c r="C1769" s="10" t="s">
        <v>9</v>
      </c>
      <c r="D1769" s="5" t="s">
        <v>1695</v>
      </c>
      <c r="E1769" s="1" t="str">
        <f ca="1">IFERROR(__xludf.DUMMYFUNCTION("GOOGLETRANSLATE(D1769, ""bn"", ""en"")"),"People standing outside an Islamic center were physically attacked, injuring several Muslims. The event took place in 2021 in Canada.")</f>
        <v>People standing outside an Islamic center were physically attacked, injuring several Muslims. The event took place in 2021 in Canada.</v>
      </c>
      <c r="F1769" s="1"/>
      <c r="G1769" s="1"/>
      <c r="H1769" s="1"/>
      <c r="I1769" s="1"/>
    </row>
    <row r="1770" spans="1:9" ht="31.2" x14ac:dyDescent="0.3">
      <c r="A1770" s="4" t="s">
        <v>7</v>
      </c>
      <c r="B1770" s="4" t="s">
        <v>7</v>
      </c>
      <c r="C1770" s="11" t="s">
        <v>7</v>
      </c>
      <c r="D1770" s="6" t="s">
        <v>3939</v>
      </c>
      <c r="E1770" s="1" t="str">
        <f ca="1">IFERROR(__xludf.DUMMYFUNCTION("GOOGLETRANSLATE(D1770, ""bn"", ""en"")"),"The massacres in Noakhali and Tippera districts in October 1946 are considered to be an infamous aftermath of the Great Calcutta Killings.  Some claim that this almost destroyed the Hindu population in Noakhali.")</f>
        <v>The massacres in Noakhali and Tippera districts in October 1946 are considered to be an infamous aftermath of the Great Calcutta Killings.  Some claim that this almost destroyed the Hindu population in Noakhali.</v>
      </c>
      <c r="F1770" s="1"/>
      <c r="G1770" s="1"/>
      <c r="H1770" s="1"/>
      <c r="I1770" s="1"/>
    </row>
    <row r="1771" spans="1:9" ht="31.2" x14ac:dyDescent="0.3">
      <c r="A1771" s="1" t="s">
        <v>5</v>
      </c>
      <c r="B1771" s="1" t="s">
        <v>5</v>
      </c>
      <c r="C1771" s="10" t="s">
        <v>5</v>
      </c>
      <c r="D1771" s="6" t="s">
        <v>3938</v>
      </c>
      <c r="E1771" s="1" t="str">
        <f ca="1">IFERROR(__xludf.DUMMYFUNCTION("GOOGLETRANSLATE(D1771,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F1771" s="1"/>
      <c r="G1771" s="1"/>
      <c r="H1771" s="1"/>
      <c r="I1771" s="1"/>
    </row>
    <row r="1772" spans="1:9" ht="15.6" x14ac:dyDescent="0.3">
      <c r="A1772" s="1" t="s">
        <v>5</v>
      </c>
      <c r="B1772" s="1" t="s">
        <v>5</v>
      </c>
      <c r="C1772" s="10" t="s">
        <v>5</v>
      </c>
      <c r="D1772" s="5" t="s">
        <v>1696</v>
      </c>
      <c r="E1772" s="1" t="str">
        <f ca="1">IFERROR(__xludf.DUMMYFUNCTION("GOOGLETRANSLATE(D1772, ""bn"", ""en"")"),"Does your religion have any advantages that other religions have? Does your religion allow wrongdoing?")</f>
        <v>Does your religion have any advantages that other religions have? Does your religion allow wrongdoing?</v>
      </c>
      <c r="F1772" s="1"/>
      <c r="G1772" s="1"/>
      <c r="H1772" s="1"/>
      <c r="I1772" s="1"/>
    </row>
    <row r="1773" spans="1:9" ht="46.8" x14ac:dyDescent="0.3">
      <c r="A1773" s="1" t="s">
        <v>7</v>
      </c>
      <c r="B1773" s="1" t="s">
        <v>7</v>
      </c>
      <c r="C1773" s="10" t="s">
        <v>7</v>
      </c>
      <c r="D1773" s="6" t="s">
        <v>3937</v>
      </c>
      <c r="E1773" s="1" t="str">
        <f ca="1">IFERROR(__xludf.DUMMYFUNCTION("GOOGLETRANSLATE(D1773, ""bn"", ""en"")"),"Suicide is basically the name of self-deception. Because giving up one's life is not a solution to any problem; Not even a success but an utter and utter failure. Nothing is gained by it; Rather, both have to lose everything. Humans are not meant to destr"&amp;"oy anything, but to protect creation")</f>
        <v>Suicide is basically the name of self-deception. Because giving up one's life is not a solution to any problem; Not even a success but an utter and utter failure. Nothing is gained by it; Rather, both have to lose everything. Humans are not meant to destroy anything, but to protect creation</v>
      </c>
      <c r="F1773" s="1"/>
      <c r="G1773" s="1"/>
      <c r="H1773" s="1"/>
      <c r="I1773" s="1"/>
    </row>
    <row r="1774" spans="1:9" ht="15.6" x14ac:dyDescent="0.3">
      <c r="A1774" s="1" t="s">
        <v>4</v>
      </c>
      <c r="B1774" s="1" t="s">
        <v>4</v>
      </c>
      <c r="C1774" s="10" t="s">
        <v>4</v>
      </c>
      <c r="D1774" s="5" t="s">
        <v>1697</v>
      </c>
      <c r="E1774" s="1" t="str">
        <f ca="1">IFERROR(__xludf.DUMMYFUNCTION("GOOGLETRANSLATE(D1774, ""bn"", ""en"")"),"Poetry-concert can be held in the basement, but why will your heart burn if you recite the Quran again in the same basement?")</f>
        <v>Poetry-concert can be held in the basement, but why will your heart burn if you recite the Quran again in the same basement?</v>
      </c>
      <c r="F1774" s="1"/>
      <c r="G1774" s="1"/>
      <c r="H1774" s="1"/>
      <c r="I1774" s="1"/>
    </row>
    <row r="1775" spans="1:9" ht="15.6" x14ac:dyDescent="0.3">
      <c r="A1775" s="1" t="s">
        <v>9</v>
      </c>
      <c r="B1775" s="1" t="s">
        <v>9</v>
      </c>
      <c r="C1775" s="10" t="s">
        <v>9</v>
      </c>
      <c r="D1775" s="5" t="s">
        <v>1698</v>
      </c>
      <c r="E1775" s="1" t="str">
        <f ca="1">IFERROR(__xludf.DUMMYFUNCTION("GOOGLETRANSLATE(D1775, ""bn"", ""en"")"),"Law enforcement forces clash with protestors against desecration of Holy Quran.")</f>
        <v>Law enforcement forces clash with protestors against desecration of Holy Quran.</v>
      </c>
      <c r="F1775" s="1"/>
      <c r="G1775" s="1"/>
      <c r="H1775" s="1"/>
      <c r="I1775" s="1"/>
    </row>
    <row r="1776" spans="1:9" ht="46.8" x14ac:dyDescent="0.3">
      <c r="A1776" s="1" t="s">
        <v>4</v>
      </c>
      <c r="B1776" s="1" t="s">
        <v>4</v>
      </c>
      <c r="C1776" s="10" t="s">
        <v>4</v>
      </c>
      <c r="D1776" s="6" t="s">
        <v>3936</v>
      </c>
      <c r="E1776" s="1" t="str">
        <f ca="1">IFERROR(__xludf.DUMMYFUNCTION("GOOGLETRANSLATE(D1776, ""bn"", ""en"")"),"Expert Option—What is it? What kind of philanthropy is this, bro? I thought you were a really good person, but now I see it's all just a money making scheme. Otherwise, no good minded person can push people towards destruction by promoting illegal ways li"&amp;"ke this. Your facial expression and inner character are completely different.")</f>
        <v>Expert Option—What is it? What kind of philanthropy is this, bro? I thought you were a really good person, but now I see it's all just a money making scheme. Otherwise, no good minded person can push people towards destruction by promoting illegal ways like this. Your facial expression and inner character are completely different.</v>
      </c>
      <c r="F1776" s="1"/>
      <c r="G1776" s="1"/>
      <c r="H1776" s="1"/>
      <c r="I1776" s="1"/>
    </row>
    <row r="1777" spans="1:9" ht="15.6" x14ac:dyDescent="0.3">
      <c r="A1777" s="1" t="s">
        <v>5</v>
      </c>
      <c r="B1777" s="1" t="s">
        <v>5</v>
      </c>
      <c r="C1777" s="10" t="s">
        <v>5</v>
      </c>
      <c r="D1777" s="5" t="s">
        <v>1699</v>
      </c>
      <c r="E1777" s="1" t="str">
        <f ca="1">IFERROR(__xludf.DUMMYFUNCTION("GOOGLETRANSLATE(D1777, ""bn"", ""en"")"),"We are Muslim Indians or Bangladeshis, we are brothers and sisters")</f>
        <v>We are Muslim Indians or Bangladeshis, we are brothers and sisters</v>
      </c>
      <c r="F1777" s="1"/>
      <c r="G1777" s="1"/>
      <c r="H1777" s="1"/>
      <c r="I1777" s="1"/>
    </row>
    <row r="1778" spans="1:9" ht="15.6" x14ac:dyDescent="0.3">
      <c r="A1778" s="1" t="s">
        <v>7</v>
      </c>
      <c r="B1778" s="1" t="s">
        <v>7</v>
      </c>
      <c r="C1778" s="10" t="s">
        <v>7</v>
      </c>
      <c r="D1778" s="5" t="s">
        <v>1700</v>
      </c>
      <c r="E1778" s="1" t="str">
        <f ca="1">IFERROR(__xludf.DUMMYFUNCTION("GOOGLETRANSLATE(D1778, ""bn"", ""en"")"),"In 1970, hundreds of people were killed in Hindu-Muslim clashes in Bhiwandi, Maharashtra.")</f>
        <v>In 1970, hundreds of people were killed in Hindu-Muslim clashes in Bhiwandi, Maharashtra.</v>
      </c>
      <c r="F1778" s="1"/>
      <c r="G1778" s="1"/>
      <c r="H1778" s="1"/>
      <c r="I1778" s="1"/>
    </row>
    <row r="1779" spans="1:9" ht="15.6" x14ac:dyDescent="0.3">
      <c r="A1779" s="1" t="s">
        <v>7</v>
      </c>
      <c r="B1779" s="1" t="s">
        <v>7</v>
      </c>
      <c r="C1779" s="10" t="s">
        <v>7</v>
      </c>
      <c r="D1779" s="5" t="s">
        <v>1701</v>
      </c>
      <c r="E1779" s="1" t="str">
        <f ca="1">IFERROR(__xludf.DUMMYFUNCTION("GOOGLETRANSLATE(D1779, ""bn"", ""en"")"),"Satidah or Sutti is the historical practice of Hindu widows committing suicide by immolating themselves on their husband's funeral pyre.")</f>
        <v>Satidah or Sutti is the historical practice of Hindu widows committing suicide by immolating themselves on their husband's funeral pyre.</v>
      </c>
      <c r="F1779" s="1"/>
      <c r="G1779" s="1"/>
      <c r="H1779" s="1"/>
      <c r="I1779" s="1"/>
    </row>
    <row r="1780" spans="1:9" ht="15.6" x14ac:dyDescent="0.3">
      <c r="A1780" s="1" t="s">
        <v>7</v>
      </c>
      <c r="B1780" s="1" t="s">
        <v>5</v>
      </c>
      <c r="C1780" s="10" t="s">
        <v>7</v>
      </c>
      <c r="D1780" s="5" t="s">
        <v>1702</v>
      </c>
      <c r="E1780" s="1" t="str">
        <f ca="1">IFERROR(__xludf.DUMMYFUNCTION("GOOGLETRANSLATE(D1780, ""bn"", ""en"")"),"Villagers mark the massacre site after the war ends. But so far no memorial has been erected at the site of the slaughter, nor have the names of the victims of the massacre been traced.")</f>
        <v>Villagers mark the massacre site after the war ends. But so far no memorial has been erected at the site of the slaughter, nor have the names of the victims of the massacre been traced.</v>
      </c>
      <c r="F1780" s="1"/>
      <c r="G1780" s="1"/>
      <c r="H1780" s="1"/>
      <c r="I1780" s="1"/>
    </row>
    <row r="1781" spans="1:9" ht="31.2" x14ac:dyDescent="0.3">
      <c r="A1781" s="1" t="s">
        <v>7</v>
      </c>
      <c r="B1781" s="1" t="s">
        <v>7</v>
      </c>
      <c r="C1781" s="10" t="s">
        <v>7</v>
      </c>
      <c r="D1781" s="6" t="s">
        <v>3935</v>
      </c>
      <c r="E1781" s="1" t="str">
        <f ca="1">IFERROR(__xludf.DUMMYFUNCTION("GOOGLETRANSLATE(D1781, ""bn"", ""en"")"),"He saw at least six people who were forcibly married by Muslims and one of whom was brutally murdered. During the riots, the zamindar of Noakhali Noori, Yashoda Ranjan Das, was publicly killed. ")</f>
        <v>He saw at least six people who were forcibly married by Muslims and one of whom was brutally murdered. During the riots, the zamindar of Noakhali Noori, Yashoda Ranjan Das, was publicly killed. </v>
      </c>
      <c r="F1781" s="1"/>
      <c r="G1781" s="1"/>
      <c r="H1781" s="1"/>
      <c r="I1781" s="1"/>
    </row>
    <row r="1782" spans="1:9" ht="15.6" x14ac:dyDescent="0.3">
      <c r="A1782" s="1" t="s">
        <v>7</v>
      </c>
      <c r="B1782" s="1" t="s">
        <v>7</v>
      </c>
      <c r="C1782" s="10" t="s">
        <v>7</v>
      </c>
      <c r="D1782" s="5" t="s">
        <v>1703</v>
      </c>
      <c r="E1782" s="1" t="str">
        <f ca="1">IFERROR(__xludf.DUMMYFUNCTION("GOOGLETRANSLATE(D1782, ""bn"", ""en"")"),"85 people were killed in the bombing of the Jewish Community Center (AMIA) in Buenos Aires.")</f>
        <v>85 people were killed in the bombing of the Jewish Community Center (AMIA) in Buenos Aires.</v>
      </c>
      <c r="F1782" s="1"/>
      <c r="G1782" s="1"/>
      <c r="H1782" s="1"/>
      <c r="I1782" s="1"/>
    </row>
    <row r="1783" spans="1:9" ht="46.8" x14ac:dyDescent="0.3">
      <c r="A1783" s="1" t="s">
        <v>9</v>
      </c>
      <c r="B1783" s="1" t="s">
        <v>9</v>
      </c>
      <c r="C1783" s="10" t="s">
        <v>9</v>
      </c>
      <c r="D1783" s="6" t="s">
        <v>3934</v>
      </c>
      <c r="E1783" s="1" t="str">
        <f ca="1">IFERROR(__xludf.DUMMYFUNCTION("GOOGLETRANSLATE(D1783, ""bn"", ""en"")"),"Five suspects have been arrested two days after an attack and arson attack on a Hindu community's house and temple in a village of Lohagra upazila in Narail district of Bangladesh for allegedly 'posting insulting religion on Facebook'. There is still fear"&amp;" among Hindu families in the village")</f>
        <v>Five suspects have been arrested two days after an attack and arson attack on a Hindu community's house and temple in a village of Lohagra upazila in Narail district of Bangladesh for allegedly 'posting insulting religion on Facebook'. There is still fear among Hindu families in the village</v>
      </c>
      <c r="F1783" s="1"/>
      <c r="G1783" s="1"/>
      <c r="H1783" s="1"/>
      <c r="I1783" s="1"/>
    </row>
    <row r="1784" spans="1:9" ht="31.2" x14ac:dyDescent="0.3">
      <c r="A1784" s="1" t="s">
        <v>9</v>
      </c>
      <c r="B1784" s="1" t="s">
        <v>4</v>
      </c>
      <c r="C1784" s="10" t="s">
        <v>9</v>
      </c>
      <c r="D1784" s="6" t="s">
        <v>3933</v>
      </c>
      <c r="E1784" s="1" t="str">
        <f ca="1">IFERROR(__xludf.DUMMYFUNCTION("GOOGLETRANSLATE(D1784, ""bn"", ""en"")"),"On 25 August 2017, a cluster of villages known as Kh Maung Sek in North Maungdoo District, Rakhine State, Myanmar, were attacked by Rohingya Muslims belonging to the Arakan Rohingya Salvation Army (ARSA).")</f>
        <v>On 25 August 2017, a cluster of villages known as Kh Maung Sek in North Maungdoo District, Rakhine State, Myanmar, were attacked by Rohingya Muslims belonging to the Arakan Rohingya Salvation Army (ARSA).</v>
      </c>
      <c r="F1784" s="1"/>
      <c r="G1784" s="1"/>
      <c r="H1784" s="1"/>
      <c r="I1784" s="1"/>
    </row>
    <row r="1785" spans="1:9" ht="46.8" x14ac:dyDescent="0.3">
      <c r="A1785" s="1" t="s">
        <v>4</v>
      </c>
      <c r="B1785" s="1" t="s">
        <v>4</v>
      </c>
      <c r="C1785" s="10" t="s">
        <v>4</v>
      </c>
      <c r="D1785" s="6" t="s">
        <v>3932</v>
      </c>
      <c r="E1785" s="1" t="str">
        <f ca="1">IFERROR(__xludf.DUMMYFUNCTION("GOOGLETRANSLATE(D1785, ""bn"", ""en"")"),"After BJP leader Nupur Sharma's controversial comments in India, communalism is on the rise in both India-Bangladesh countries. Incitement using social media is on the rise in Bangladesh Sometimes government party people and administration are getting inv"&amp;"olved with it This is evident in the case of Naraile College Principal being accused of blasphemy")</f>
        <v>After BJP leader Nupur Sharma's controversial comments in India, communalism is on the rise in both India-Bangladesh countries. Incitement using social media is on the rise in Bangladesh Sometimes government party people and administration are getting involved with it This is evident in the case of Naraile College Principal being accused of blasphemy</v>
      </c>
      <c r="F1785" s="1"/>
      <c r="G1785" s="1"/>
      <c r="H1785" s="1"/>
      <c r="I1785" s="1"/>
    </row>
    <row r="1786" spans="1:9" ht="15.6" x14ac:dyDescent="0.3">
      <c r="A1786" s="1" t="s">
        <v>9</v>
      </c>
      <c r="B1786" s="1" t="s">
        <v>9</v>
      </c>
      <c r="C1786" s="10" t="s">
        <v>9</v>
      </c>
      <c r="D1786" s="5" t="s">
        <v>1704</v>
      </c>
      <c r="E1786" s="1" t="str">
        <f ca="1">IFERROR(__xludf.DUMMYFUNCTION("GOOGLETRANSLATE(D1786, ""bn"", ""en"")"),"In 2020, anti-Islamic groups in Norway carried out provocative actions such as the public burning of Qurans.")</f>
        <v>In 2020, anti-Islamic groups in Norway carried out provocative actions such as the public burning of Qurans.</v>
      </c>
      <c r="F1786" s="1"/>
      <c r="G1786" s="1"/>
      <c r="H1786" s="1"/>
      <c r="I1786" s="1"/>
    </row>
    <row r="1787" spans="1:9" ht="15.6" x14ac:dyDescent="0.3">
      <c r="A1787" s="1" t="s">
        <v>9</v>
      </c>
      <c r="B1787" s="1" t="s">
        <v>9</v>
      </c>
      <c r="C1787" s="10" t="s">
        <v>9</v>
      </c>
      <c r="D1787" s="5" t="s">
        <v>1705</v>
      </c>
      <c r="E1787" s="1" t="str">
        <f ca="1">IFERROR(__xludf.DUMMYFUNCTION("GOOGLETRANSLATE(D1787, ""bn"", ""en"")"),"Hindus in Madurai and Kanthalakhi areas were also beaten up and subjected to forced conversions. The houses of Baikuntha Roy and Rasbihari Roy of Fulsain village of Golapganj police station were also looted.")</f>
        <v>Hindus in Madurai and Kanthalakhi areas were also beaten up and subjected to forced conversions. The houses of Baikuntha Roy and Rasbihari Roy of Fulsain village of Golapganj police station were also looted.</v>
      </c>
      <c r="F1787" s="1"/>
      <c r="G1787" s="1"/>
      <c r="H1787" s="1"/>
      <c r="I1787" s="1"/>
    </row>
    <row r="1788" spans="1:9" ht="15.6" x14ac:dyDescent="0.3">
      <c r="A1788" s="1" t="s">
        <v>5</v>
      </c>
      <c r="B1788" s="1" t="s">
        <v>5</v>
      </c>
      <c r="C1788" s="10" t="s">
        <v>5</v>
      </c>
      <c r="D1788" s="5" t="s">
        <v>1706</v>
      </c>
      <c r="E1788" s="1" t="str">
        <f ca="1">IFERROR(__xludf.DUMMYFUNCTION("GOOGLETRANSLATE(D1788, ""bn"", ""en"")"),"Muslims celebrate Eid-ul-Fitr, Eid-ul-Azha, Muharram, Milad-un-Nabi, Shab-i-Barat and Chad Raat across the country. ")</f>
        <v>Muslims celebrate Eid-ul-Fitr, Eid-ul-Azha, Muharram, Milad-un-Nabi, Shab-i-Barat and Chad Raat across the country. </v>
      </c>
      <c r="F1788" s="1"/>
      <c r="G1788" s="1"/>
      <c r="H1788" s="1"/>
      <c r="I1788" s="1"/>
    </row>
    <row r="1789" spans="1:9" ht="15.6" x14ac:dyDescent="0.3">
      <c r="A1789" s="1" t="s">
        <v>4</v>
      </c>
      <c r="B1789" s="1" t="s">
        <v>4</v>
      </c>
      <c r="C1789" s="10" t="s">
        <v>4</v>
      </c>
      <c r="D1789" s="5" t="s">
        <v>1707</v>
      </c>
      <c r="E1789" s="1" t="str">
        <f ca="1">IFERROR(__xludf.DUMMYFUNCTION("GOOGLETRANSLATE(D1789, ""bn"", ""en"")"),"But experts who work on Islam say that women are not subordinated to men in Islam. Women were not deprived of the right to inherit property and make decisions about themselves.")</f>
        <v>But experts who work on Islam say that women are not subordinated to men in Islam. Women were not deprived of the right to inherit property and make decisions about themselves.</v>
      </c>
      <c r="F1789" s="1"/>
      <c r="G1789" s="1"/>
      <c r="H1789" s="1"/>
      <c r="I1789" s="1"/>
    </row>
    <row r="1790" spans="1:9" ht="15.6" x14ac:dyDescent="0.3">
      <c r="A1790" s="1" t="s">
        <v>4</v>
      </c>
      <c r="B1790" s="1" t="s">
        <v>4</v>
      </c>
      <c r="C1790" s="10" t="s">
        <v>4</v>
      </c>
      <c r="D1790" s="5" t="s">
        <v>1708</v>
      </c>
      <c r="E1790" s="1" t="str">
        <f ca="1">IFERROR(__xludf.DUMMYFUNCTION("GOOGLETRANSLATE(D1790, ""bn"", ""en"")"),"Brahma Harita declares that entering a Buddhist temple is a sin, which can only be absolved by ritual bathing. Even in dramas or puthis written for the general public, Brahmin priests spread hatred against the Buddha.")</f>
        <v>Brahma Harita declares that entering a Buddhist temple is a sin, which can only be absolved by ritual bathing. Even in dramas or puthis written for the general public, Brahmin priests spread hatred against the Buddha.</v>
      </c>
      <c r="F1790" s="1"/>
      <c r="G1790" s="1"/>
      <c r="H1790" s="1"/>
      <c r="I1790" s="1"/>
    </row>
    <row r="1791" spans="1:9" ht="15.6" x14ac:dyDescent="0.3">
      <c r="A1791" s="1" t="s">
        <v>9</v>
      </c>
      <c r="B1791" s="1" t="s">
        <v>9</v>
      </c>
      <c r="C1791" s="10" t="s">
        <v>9</v>
      </c>
      <c r="D1791" s="5" t="s">
        <v>1709</v>
      </c>
      <c r="E1791" s="1" t="str">
        <f ca="1">IFERROR(__xludf.DUMMYFUNCTION("GOOGLETRANSLATE(D1791, ""bn"", ""en"")"),"Since politics is involved in this communal violence, the problem will not be solved as long as religion is politicized in this country. However, the government has not taken adequate security measures even though it is known that it may be an attempt to "&amp;"take political advantage.")</f>
        <v>Since politics is involved in this communal violence, the problem will not be solved as long as religion is politicized in this country. However, the government has not taken adequate security measures even though it is known that it may be an attempt to take political advantage.</v>
      </c>
      <c r="F1791" s="1"/>
      <c r="G1791" s="1"/>
      <c r="H1791" s="1"/>
      <c r="I1791" s="1"/>
    </row>
    <row r="1792" spans="1:9" ht="15.6" x14ac:dyDescent="0.3">
      <c r="A1792" s="1" t="s">
        <v>5</v>
      </c>
      <c r="B1792" s="1" t="s">
        <v>5</v>
      </c>
      <c r="C1792" s="10" t="s">
        <v>5</v>
      </c>
      <c r="D1792" s="5" t="s">
        <v>1710</v>
      </c>
      <c r="E1792" s="1" t="str">
        <f ca="1">IFERROR(__xludf.DUMMYFUNCTION("GOOGLETRANSLATE(D1792, ""bn"", ""en"")"),"Bhaire bhai, in the comment section, some people wanted to know the religion of Chanchal Chowdhury, so-called Susheel started the situation in the media and Facebook!")</f>
        <v>Bhaire bhai, in the comment section, some people wanted to know the religion of Chanchal Chowdhury, so-called Susheel started the situation in the media and Facebook!</v>
      </c>
      <c r="F1792" s="1"/>
      <c r="G1792" s="1"/>
      <c r="H1792" s="1"/>
      <c r="I1792" s="1"/>
    </row>
    <row r="1793" spans="1:9" ht="15.6" x14ac:dyDescent="0.3">
      <c r="A1793" s="1" t="s">
        <v>7</v>
      </c>
      <c r="B1793" s="1" t="s">
        <v>7</v>
      </c>
      <c r="C1793" s="10" t="s">
        <v>7</v>
      </c>
      <c r="D1793" s="5" t="s">
        <v>1711</v>
      </c>
      <c r="E1793" s="1" t="str">
        <f ca="1">IFERROR(__xludf.DUMMYFUNCTION("GOOGLETRANSLATE(D1793, ""bn"", ""en"")"),"Even if it is said that the dead should not be dishonored in religion, the super religious cannot control it. Therefore the artist is apt to be dishonored both in life and death")</f>
        <v>Even if it is said that the dead should not be dishonored in religion, the super religious cannot control it. Therefore the artist is apt to be dishonored both in life and death</v>
      </c>
      <c r="F1793" s="1"/>
      <c r="G1793" s="1"/>
      <c r="H1793" s="1"/>
      <c r="I1793" s="1"/>
    </row>
    <row r="1794" spans="1:9" ht="15.6" x14ac:dyDescent="0.3">
      <c r="A1794" s="1" t="s">
        <v>4</v>
      </c>
      <c r="B1794" s="1" t="s">
        <v>4</v>
      </c>
      <c r="C1794" s="10" t="s">
        <v>4</v>
      </c>
      <c r="D1794" s="5" t="s">
        <v>1712</v>
      </c>
      <c r="E1794" s="1" t="str">
        <f ca="1">IFERROR(__xludf.DUMMYFUNCTION("GOOGLETRANSLATE(D1794, ""bn"", ""en"")"),"On March 18, Director General of RAB appeared in Shalla and assured that the criminals will be brought under appropriate punishment. [13] Prominent individuals and various organizations in a joint statement condemned the attack by fanatics and demanded to"&amp;" ensure the safety of the victims. ")</f>
        <v>On March 18, Director General of RAB appeared in Shalla and assured that the criminals will be brought under appropriate punishment. [13] Prominent individuals and various organizations in a joint statement condemned the attack by fanatics and demanded to ensure the safety of the victims. </v>
      </c>
      <c r="F1794" s="1"/>
      <c r="G1794" s="1"/>
      <c r="H1794" s="1"/>
      <c r="I1794" s="1"/>
    </row>
    <row r="1795" spans="1:9" ht="15.6" x14ac:dyDescent="0.3">
      <c r="A1795" s="1" t="s">
        <v>7</v>
      </c>
      <c r="B1795" s="1" t="s">
        <v>7</v>
      </c>
      <c r="C1795" s="10" t="s">
        <v>7</v>
      </c>
      <c r="D1795" s="5" t="s">
        <v>1713</v>
      </c>
      <c r="E1795" s="1" t="str">
        <f ca="1">IFERROR(__xludf.DUMMYFUNCTION("GOOGLETRANSLATE(D1795, ""bn"", ""en"")"),"They were taken to the outskirts, near Murad Nagar in Ghaziabad district, where they were shot and their bodies dumped in a canal. A few days later the bodies were found floating in the canals. ")</f>
        <v>They were taken to the outskirts, near Murad Nagar in Ghaziabad district, where they were shot and their bodies dumped in a canal. A few days later the bodies were found floating in the canals. </v>
      </c>
      <c r="F1795" s="1"/>
      <c r="G1795" s="1"/>
      <c r="H1795" s="1"/>
      <c r="I1795" s="1"/>
    </row>
    <row r="1796" spans="1:9" ht="15.6" x14ac:dyDescent="0.3">
      <c r="A1796" s="1" t="s">
        <v>5</v>
      </c>
      <c r="B1796" s="1" t="s">
        <v>5</v>
      </c>
      <c r="C1796" s="10" t="s">
        <v>5</v>
      </c>
      <c r="D1796" s="5" t="s">
        <v>1714</v>
      </c>
      <c r="E1796" s="1" t="str">
        <f ca="1">IFERROR(__xludf.DUMMYFUNCTION("GOOGLETRANSLATE(D1796, ""bn"", ""en"")"),"The change that the people of the Hindu community have noticed towards Islam during the tenure of the current government has created a different experience compared to the previous period.")</f>
        <v>The change that the people of the Hindu community have noticed towards Islam during the tenure of the current government has created a different experience compared to the previous period.</v>
      </c>
      <c r="F1796" s="1"/>
      <c r="G1796" s="1"/>
      <c r="H1796" s="1"/>
      <c r="I1796" s="1"/>
    </row>
    <row r="1797" spans="1:9" ht="15.6" x14ac:dyDescent="0.3">
      <c r="A1797" s="1" t="s">
        <v>4</v>
      </c>
      <c r="B1797" s="1" t="s">
        <v>4</v>
      </c>
      <c r="C1797" s="10" t="s">
        <v>4</v>
      </c>
      <c r="D1797" s="5" t="s">
        <v>1715</v>
      </c>
      <c r="E1797" s="1" t="str">
        <f ca="1">IFERROR(__xludf.DUMMYFUNCTION("GOOGLETRANSLATE(D1797, ""bn"", ""en"")"),"Even on the instructions of the Prime Minister, this Awami government is always sitting silently by instigating communally. They can take advantage if Hindu Muslims riot.")</f>
        <v>Even on the instructions of the Prime Minister, this Awami government is always sitting silently by instigating communally. They can take advantage if Hindu Muslims riot.</v>
      </c>
      <c r="F1797" s="1"/>
      <c r="G1797" s="1"/>
      <c r="H1797" s="1"/>
      <c r="I1797" s="1"/>
    </row>
    <row r="1798" spans="1:9" ht="15.6" x14ac:dyDescent="0.3">
      <c r="A1798" s="1" t="s">
        <v>9</v>
      </c>
      <c r="B1798" s="1" t="s">
        <v>9</v>
      </c>
      <c r="C1798" s="10" t="s">
        <v>9</v>
      </c>
      <c r="D1798" s="5" t="s">
        <v>1716</v>
      </c>
      <c r="E1798" s="1" t="str">
        <f ca="1">IFERROR(__xludf.DUMMYFUNCTION("GOOGLETRANSLATE(D1798, ""bn"", ""en"")"),"In Sweden, Muslim women have had their headscarves pulled and physically assaulted in public.")</f>
        <v>In Sweden, Muslim women have had their headscarves pulled and physically assaulted in public.</v>
      </c>
      <c r="F1798" s="1"/>
      <c r="G1798" s="1"/>
      <c r="H1798" s="1"/>
      <c r="I1798" s="1"/>
    </row>
    <row r="1799" spans="1:9" ht="15.6" x14ac:dyDescent="0.3">
      <c r="A1799" s="1" t="s">
        <v>5</v>
      </c>
      <c r="B1799" s="1" t="s">
        <v>5</v>
      </c>
      <c r="C1799" s="10" t="s">
        <v>5</v>
      </c>
      <c r="D1799" s="5" t="s">
        <v>1717</v>
      </c>
      <c r="E1799" s="1" t="str">
        <f ca="1">IFERROR(__xludf.DUMMYFUNCTION("GOOGLETRANSLATE(D1799, ""bn"", ""en"")"),"I was very afraid that I will ever go to Jannah, listening to your video has increased my confidence Alhamdulillah.")</f>
        <v>I was very afraid that I will ever go to Jannah, listening to your video has increased my confidence Alhamdulillah.</v>
      </c>
      <c r="F1799" s="1"/>
      <c r="G1799" s="1"/>
      <c r="H1799" s="1"/>
      <c r="I1799" s="1"/>
    </row>
    <row r="1800" spans="1:9" ht="15.6" x14ac:dyDescent="0.3">
      <c r="A1800" s="1" t="s">
        <v>4</v>
      </c>
      <c r="B1800" s="1" t="s">
        <v>5</v>
      </c>
      <c r="C1800" s="10" t="s">
        <v>4</v>
      </c>
      <c r="D1800" s="5" t="s">
        <v>1718</v>
      </c>
      <c r="E1800" s="1" t="str">
        <f ca="1">IFERROR(__xludf.DUMMYFUNCTION("GOOGLETRANSLATE(D1800, ""bn"", ""en"")"),"Maryam Nawaz has been making controversial comments about the former prime minister of Pakistan since the beginning. All the policies implemented by Imran Khan have been counterproductive for our country.”")</f>
        <v>Maryam Nawaz has been making controversial comments about the former prime minister of Pakistan since the beginning. All the policies implemented by Imran Khan have been counterproductive for our country.”</v>
      </c>
      <c r="F1800" s="1"/>
      <c r="G1800" s="1"/>
      <c r="H1800" s="1"/>
      <c r="I1800" s="1"/>
    </row>
    <row r="1801" spans="1:9" ht="15.6" x14ac:dyDescent="0.3">
      <c r="A1801" s="4" t="s">
        <v>7</v>
      </c>
      <c r="B1801" s="4" t="s">
        <v>7</v>
      </c>
      <c r="C1801" s="11" t="s">
        <v>7</v>
      </c>
      <c r="D1801" s="5" t="s">
        <v>1719</v>
      </c>
      <c r="E1801" s="1" t="str">
        <f ca="1">IFERROR(__xludf.DUMMYFUNCTION("GOOGLETRANSLATE(D1801, ""bn"", ""en"")"),"Yesterday was August 16. History of 78 years ago. Most Hindus may not know the relevance of the day to the present generation. Therefore, a re-evaluation of this history closed in the coffin is absolutely necessary. The streets of Calcutta itself became b"&amp;"loody due to the joint initiative of the Muslim League and the Left. ")</f>
        <v xml:space="preserve">Yesterday was August 16. History of 78 years ago. Most Hindus may not know the relevance of the day to the present generation. Therefore, a re-evaluation of this history closed in the coffin is absolutely necessary. The streets of Calcutta itself became bloody due to the joint initiative of the Muslim League and the Left. </v>
      </c>
      <c r="F1801" s="1"/>
      <c r="G1801" s="1"/>
      <c r="H1801" s="1"/>
      <c r="I1801" s="1"/>
    </row>
    <row r="1802" spans="1:9" ht="15.6" x14ac:dyDescent="0.3">
      <c r="A1802" s="1" t="s">
        <v>7</v>
      </c>
      <c r="B1802" s="1" t="s">
        <v>7</v>
      </c>
      <c r="C1802" s="10" t="s">
        <v>7</v>
      </c>
      <c r="D1802" s="5" t="s">
        <v>1720</v>
      </c>
      <c r="E1802" s="1" t="str">
        <f ca="1">IFERROR(__xludf.DUMMYFUNCTION("GOOGLETRANSLATE(D1802, ""bn"", ""en"")"),"From 1815 to 1818, deaths from satire doubled. Rammohan Roy launched an attack on satire which ""evoked such fury that his life was in danger for a while"".")</f>
        <v>From 1815 to 1818, deaths from satire doubled. Rammohan Roy launched an attack on satire which "evoked such fury that his life was in danger for a while".</v>
      </c>
      <c r="F1802" s="1"/>
      <c r="G1802" s="1"/>
      <c r="H1802" s="1"/>
      <c r="I1802" s="1"/>
    </row>
    <row r="1803" spans="1:9" ht="15.6" x14ac:dyDescent="0.3">
      <c r="A1803" s="1" t="s">
        <v>4</v>
      </c>
      <c r="B1803" s="1" t="s">
        <v>4</v>
      </c>
      <c r="C1803" s="10" t="s">
        <v>4</v>
      </c>
      <c r="D1803" s="5" t="s">
        <v>1721</v>
      </c>
      <c r="E1803" s="1" t="str">
        <f ca="1">IFERROR(__xludf.DUMMYFUNCTION("GOOGLETRANSLATE(D1803, ""bn"", ""en"")"),"Worst hit were members of the Hindu community who were looted of their land and shops, systematically killed, and in some places, painted with yellow patches marked ""H"". All this is officially sanctioned, ordered and enforced under martial law from Isla"&amp;"mabad")</f>
        <v>Worst hit were members of the Hindu community who were looted of their land and shops, systematically killed, and in some places, painted with yellow patches marked "H". All this is officially sanctioned, ordered and enforced under martial law from Islamabad</v>
      </c>
      <c r="F1803" s="1"/>
      <c r="G1803" s="1"/>
      <c r="H1803" s="1"/>
      <c r="I1803" s="1"/>
    </row>
    <row r="1804" spans="1:9" ht="15.6" x14ac:dyDescent="0.3">
      <c r="A1804" s="1" t="s">
        <v>9</v>
      </c>
      <c r="B1804" s="1" t="s">
        <v>9</v>
      </c>
      <c r="C1804" s="10" t="s">
        <v>9</v>
      </c>
      <c r="D1804" s="5" t="s">
        <v>1722</v>
      </c>
      <c r="E1804" s="1" t="str">
        <f ca="1">IFERROR(__xludf.DUMMYFUNCTION("GOOGLETRANSLATE(D1804, ""bn"", ""en"")"),"A group of Muslim extremists stormed a mosque in Switzerland, breaking windows and doors and desecrating religious texts.")</f>
        <v>A group of Muslim extremists stormed a mosque in Switzerland, breaking windows and doors and desecrating religious texts.</v>
      </c>
      <c r="F1804" s="1"/>
      <c r="G1804" s="1"/>
      <c r="H1804" s="1"/>
      <c r="I1804" s="1"/>
    </row>
    <row r="1805" spans="1:9" ht="15.6" x14ac:dyDescent="0.3">
      <c r="A1805" s="1" t="s">
        <v>4</v>
      </c>
      <c r="B1805" s="1" t="s">
        <v>4</v>
      </c>
      <c r="C1805" s="10" t="s">
        <v>4</v>
      </c>
      <c r="D1805" s="5" t="s">
        <v>1723</v>
      </c>
      <c r="E1805" s="1" t="str">
        <f ca="1">IFERROR(__xludf.DUMMYFUNCTION("GOOGLETRANSLATE(D1805, ""bn"", ""en"")"),"This action is the most heinous atrocity of this Ramadan,,,,Is the university run by Israel?")</f>
        <v>This action is the most heinous atrocity of this Ramadan,,,,Is the university run by Israel?</v>
      </c>
      <c r="F1805" s="1"/>
      <c r="G1805" s="1"/>
      <c r="H1805" s="1"/>
      <c r="I1805" s="1"/>
    </row>
    <row r="1806" spans="1:9" ht="15.6" x14ac:dyDescent="0.3">
      <c r="A1806" s="1" t="s">
        <v>9</v>
      </c>
      <c r="B1806" s="1" t="s">
        <v>9</v>
      </c>
      <c r="C1806" s="10" t="s">
        <v>9</v>
      </c>
      <c r="D1806" s="5" t="s">
        <v>1724</v>
      </c>
      <c r="E1806" s="1" t="str">
        <f ca="1">IFERROR(__xludf.DUMMYFUNCTION("GOOGLETRANSLATE(D1806, ""bn"", ""en"")"),"Let your scholars open Sanatan Dharma so that everyone can understand,, before you did not let the common people know the truth,, how much oppression you used to do even in the matter of sati-immolation.")</f>
        <v>Let your scholars open Sanatan Dharma so that everyone can understand,, before you did not let the common people know the truth,, how much oppression you used to do even in the matter of sati-immolation.</v>
      </c>
      <c r="F1806" s="1"/>
      <c r="G1806" s="1"/>
      <c r="H1806" s="1"/>
      <c r="I1806" s="1"/>
    </row>
    <row r="1807" spans="1:9" ht="15.6" x14ac:dyDescent="0.3">
      <c r="A1807" s="1" t="s">
        <v>9</v>
      </c>
      <c r="B1807" s="1" t="s">
        <v>9</v>
      </c>
      <c r="C1807" s="10" t="s">
        <v>9</v>
      </c>
      <c r="D1807" s="5" t="s">
        <v>1725</v>
      </c>
      <c r="E1807" s="1" t="str">
        <f ca="1">IFERROR(__xludf.DUMMYFUNCTION("GOOGLETRANSLATE(D1807, ""bn"", ""en"")"),"I am very sorry to inform you that 4 consultants of my company Lifespring including myself have been subjected to the wrath of several miscreants for their personal religious beliefs.")</f>
        <v>I am very sorry to inform you that 4 consultants of my company Lifespring including myself have been subjected to the wrath of several miscreants for their personal religious beliefs.</v>
      </c>
      <c r="F1807" s="1"/>
      <c r="G1807" s="1"/>
      <c r="H1807" s="1"/>
      <c r="I1807" s="1"/>
    </row>
    <row r="1808" spans="1:9" ht="15.6" x14ac:dyDescent="0.3">
      <c r="A1808" s="1" t="s">
        <v>4</v>
      </c>
      <c r="B1808" s="1" t="s">
        <v>5</v>
      </c>
      <c r="C1808" s="10" t="s">
        <v>4</v>
      </c>
      <c r="D1808" s="5" t="s">
        <v>1726</v>
      </c>
      <c r="E1808" s="1" t="str">
        <f ca="1">IFERROR(__xludf.DUMMYFUNCTION("GOOGLETRANSLATE(D1808, ""bn"", ""en"")"),"Humanity is lost today the Muslim world is sleeping sleep you don't need to wake up God save you we have none but you God save the Palestinians")</f>
        <v>Humanity is lost today the Muslim world is sleeping sleep you don't need to wake up God save you we have none but you God save the Palestinians</v>
      </c>
      <c r="F1808" s="1"/>
      <c r="G1808" s="1"/>
      <c r="H1808" s="1"/>
      <c r="I1808" s="1"/>
    </row>
    <row r="1809" spans="1:9" ht="15.6" x14ac:dyDescent="0.3">
      <c r="A1809" s="1" t="s">
        <v>5</v>
      </c>
      <c r="B1809" s="1" t="s">
        <v>5</v>
      </c>
      <c r="C1809" s="10" t="s">
        <v>5</v>
      </c>
      <c r="D1809" s="5" t="s">
        <v>1727</v>
      </c>
      <c r="E1809" s="1" t="str">
        <f ca="1">IFERROR(__xludf.DUMMYFUNCTION("GOOGLETRANSLATE(D1809, ""bn"", ""en"")"),"In fact, the idea that people have about religion is completely wrong. As a result of which so many problems are created, religion is not exactly like that. We see all the religions of the world so far.")</f>
        <v>In fact, the idea that people have about religion is completely wrong. As a result of which so many problems are created, religion is not exactly like that. We see all the religions of the world so far.</v>
      </c>
      <c r="F1809" s="1"/>
      <c r="G1809" s="1"/>
      <c r="H1809" s="1"/>
      <c r="I1809" s="1"/>
    </row>
    <row r="1810" spans="1:9" ht="15.6" x14ac:dyDescent="0.3">
      <c r="A1810" s="9" t="s">
        <v>4</v>
      </c>
      <c r="B1810" s="1" t="s">
        <v>7</v>
      </c>
      <c r="C1810" s="10" t="s">
        <v>7</v>
      </c>
      <c r="D1810" s="5" t="s">
        <v>1728</v>
      </c>
      <c r="E1810" s="1" t="str">
        <f ca="1">IFERROR(__xludf.DUMMYFUNCTION("GOOGLETRANSLATE(D1810, ""bn"", ""en"")"),"People become disgusted with life out of depression. Being impatient, he wishes for his own death. The Prophet (peace be upon him) clearly forbade his Ummah to despair of life and wish for death.")</f>
        <v>People become disgusted with life out of depression. Being impatient, he wishes for his own death. The Prophet (peace be upon him) clearly forbade his Ummah to despair of life and wish for death.</v>
      </c>
      <c r="F1810" s="1"/>
      <c r="G1810" s="1"/>
      <c r="H1810" s="1"/>
      <c r="I1810" s="1"/>
    </row>
    <row r="1811" spans="1:9" ht="31.2" x14ac:dyDescent="0.3">
      <c r="A1811" s="1" t="s">
        <v>5</v>
      </c>
      <c r="B1811" s="1" t="s">
        <v>5</v>
      </c>
      <c r="C1811" s="10" t="s">
        <v>5</v>
      </c>
      <c r="D1811" s="6" t="s">
        <v>3931</v>
      </c>
      <c r="E1811" s="1" t="str">
        <f ca="1">IFERROR(__xludf.DUMMYFUNCTION("GOOGLETRANSLATE(D1811, ""bn"", ""en"")"),"In a statement that night, ISKCON Bangladesh said that as a traditional organization, they work to protect the religious freedom and rights of minority communities in Bangladesh, such as Hindus, Buddhists, Christians and others.")</f>
        <v>In a statement that night, ISKCON Bangladesh said that as a traditional organization, they work to protect the religious freedom and rights of minority communities in Bangladesh, such as Hindus, Buddhists, Christians and others.</v>
      </c>
      <c r="F1811" s="1"/>
      <c r="G1811" s="1"/>
      <c r="H1811" s="1"/>
      <c r="I1811" s="1"/>
    </row>
    <row r="1812" spans="1:9" ht="31.2" x14ac:dyDescent="0.3">
      <c r="A1812" s="1" t="s">
        <v>5</v>
      </c>
      <c r="B1812" s="1" t="s">
        <v>5</v>
      </c>
      <c r="C1812" s="10" t="s">
        <v>5</v>
      </c>
      <c r="D1812" s="6" t="s">
        <v>3930</v>
      </c>
      <c r="E1812" s="1" t="str">
        <f ca="1">IFERROR(__xludf.DUMMYFUNCTION("GOOGLETRANSLATE(D1812, ""bn"", ""en"")"),"God has described the path of liberation from constant karma and man's sins and heaven/Paradham/Ishvarloka/or God's gift place for God's worship whatever you call it. That God is omnipotent is clearly described in the Gita of Sanatana or Hinduism.")</f>
        <v>God has described the path of liberation from constant karma and man's sins and heaven/Paradham/Ishvarloka/or God's gift place for God's worship whatever you call it. That God is omnipotent is clearly described in the Gita of Sanatana or Hinduism.</v>
      </c>
      <c r="F1812" s="1"/>
      <c r="G1812" s="1"/>
      <c r="H1812" s="1"/>
      <c r="I1812" s="1"/>
    </row>
    <row r="1813" spans="1:9" ht="31.2" x14ac:dyDescent="0.3">
      <c r="A1813" s="1" t="s">
        <v>7</v>
      </c>
      <c r="B1813" s="1" t="s">
        <v>7</v>
      </c>
      <c r="C1813" s="10" t="s">
        <v>7</v>
      </c>
      <c r="D1813" s="6" t="s">
        <v>3929</v>
      </c>
      <c r="E1813" s="1" t="str">
        <f ca="1">IFERROR(__xludf.DUMMYFUNCTION("GOOGLETRANSLATE(D1813, ""bn"", ""en"")")," A 75-year-old Naveen Sadhu, who was reciting from the Gita, was similarly shot dead. The attackers surrounded the village priest and forced them to break the idols they were worshiping. The priests were then shot dead.")</f>
        <v> A 75-year-old Naveen Sadhu, who was reciting from the Gita, was similarly shot dead. The attackers surrounded the village priest and forced them to break the idols they were worshiping. The priests were then shot dead.</v>
      </c>
      <c r="F1813" s="1"/>
      <c r="G1813" s="1"/>
      <c r="H1813" s="1"/>
      <c r="I1813" s="1"/>
    </row>
    <row r="1814" spans="1:9" ht="15.6" x14ac:dyDescent="0.3">
      <c r="A1814" s="1" t="s">
        <v>9</v>
      </c>
      <c r="B1814" s="1" t="s">
        <v>9</v>
      </c>
      <c r="C1814" s="10" t="s">
        <v>9</v>
      </c>
      <c r="D1814" s="5" t="s">
        <v>1729</v>
      </c>
      <c r="E1814" s="1" t="str">
        <f ca="1">IFERROR(__xludf.DUMMYFUNCTION("GOOGLETRANSLATE(D1814, ""bn"", ""en"")"),"On March 5 miscreants tried to set fire to the Guthia Sarvajanin Kali Mandir in Guthia Union of Ujirpur Upazila. In the early hours of March 5, a Kali temple was vandalized in Pakshia union under Borhanuddin upazila of Bhola district.")</f>
        <v>On March 5 miscreants tried to set fire to the Guthia Sarvajanin Kali Mandir in Guthia Union of Ujirpur Upazila. In the early hours of March 5, a Kali temple was vandalized in Pakshia union under Borhanuddin upazila of Bhola district.</v>
      </c>
      <c r="F1814" s="1"/>
      <c r="G1814" s="1"/>
      <c r="H1814" s="1"/>
      <c r="I1814" s="1"/>
    </row>
    <row r="1815" spans="1:9" ht="15.6" x14ac:dyDescent="0.3">
      <c r="A1815" s="1" t="s">
        <v>7</v>
      </c>
      <c r="B1815" s="1" t="s">
        <v>7</v>
      </c>
      <c r="C1815" s="10" t="s">
        <v>7</v>
      </c>
      <c r="D1815" s="5" t="s">
        <v>1730</v>
      </c>
      <c r="E1815" s="1" t="str">
        <f ca="1">IFERROR(__xludf.DUMMYFUNCTION("GOOGLETRANSLATE(D1815, ""bn"", ""en"")"),"Extremist Muslim groups in the country attacked the Ahmadiyya Muslim community, killing several.")</f>
        <v>Extremist Muslim groups in the country attacked the Ahmadiyya Muslim community, killing several.</v>
      </c>
      <c r="F1815" s="1"/>
      <c r="G1815" s="1"/>
      <c r="H1815" s="1"/>
      <c r="I1815" s="1"/>
    </row>
    <row r="1816" spans="1:9" ht="46.8" x14ac:dyDescent="0.3">
      <c r="A1816" s="1" t="s">
        <v>4</v>
      </c>
      <c r="B1816" s="1" t="s">
        <v>4</v>
      </c>
      <c r="C1816" s="10" t="s">
        <v>4</v>
      </c>
      <c r="D1816" s="6" t="s">
        <v>3928</v>
      </c>
      <c r="E1816" s="1" t="str">
        <f ca="1">IFERROR(__xludf.DUMMYFUNCTION("GOOGLETRANSLATE(D1816, ""bn"", ""en"")"),"A protest rally took place at Dhaka University, and according to media and social media reports, it was attended by student organizations of various persuasions. The rally condemned the French president for inciting Islamophobia in the name of freedom of "&amp;"expression.")</f>
        <v>A protest rally took place at Dhaka University, and according to media and social media reports, it was attended by student organizations of various persuasions. The rally condemned the French president for inciting Islamophobia in the name of freedom of expression.</v>
      </c>
      <c r="F1816" s="1"/>
      <c r="G1816" s="1"/>
      <c r="H1816" s="1"/>
      <c r="I1816" s="1"/>
    </row>
    <row r="1817" spans="1:9" ht="15.6" x14ac:dyDescent="0.3">
      <c r="A1817" s="1" t="s">
        <v>5</v>
      </c>
      <c r="B1817" s="1" t="s">
        <v>5</v>
      </c>
      <c r="C1817" s="10" t="s">
        <v>5</v>
      </c>
      <c r="D1817" s="5" t="s">
        <v>1731</v>
      </c>
      <c r="E1817" s="1" t="str">
        <f ca="1">IFERROR(__xludf.DUMMYFUNCTION("GOOGLETRANSLATE(D1817, ""bn"", ""en"")"),"We got independence from Pakistan but we did not get independence from India.")</f>
        <v>We got independence from Pakistan but we did not get independence from India.</v>
      </c>
      <c r="F1817" s="1"/>
      <c r="G1817" s="1"/>
      <c r="H1817" s="1"/>
      <c r="I1817" s="1"/>
    </row>
    <row r="1818" spans="1:9" ht="31.2" x14ac:dyDescent="0.3">
      <c r="A1818" s="1" t="s">
        <v>9</v>
      </c>
      <c r="B1818" s="1" t="s">
        <v>9</v>
      </c>
      <c r="C1818" s="10" t="s">
        <v>9</v>
      </c>
      <c r="D1818" s="6" t="s">
        <v>3927</v>
      </c>
      <c r="E1818" s="1" t="str">
        <f ca="1">IFERROR(__xludf.DUMMYFUNCTION("GOOGLETRANSLATE(D1818, ""bn"", ""en"")"),"After the violence in Comilla, attackers vandalized central temples in Hajiganj in Chandpur, Banshkhali in Chittagong, Pekuate in Cox's Bazar and Lamay in Bandarban. [11] Tensions spread in at least 15 districts when the issue of Quran desecration went vi"&amp;"ral on social media.")</f>
        <v>After the violence in Comilla, attackers vandalized central temples in Hajiganj in Chandpur, Banshkhali in Chittagong, Pekuate in Cox's Bazar and Lamay in Bandarban. [11] Tensions spread in at least 15 districts when the issue of Quran desecration went viral on social media.</v>
      </c>
      <c r="F1818" s="1"/>
      <c r="G1818" s="1"/>
      <c r="H1818" s="1"/>
      <c r="I1818" s="1"/>
    </row>
    <row r="1819" spans="1:9" ht="15.6" x14ac:dyDescent="0.3">
      <c r="A1819" s="1" t="s">
        <v>5</v>
      </c>
      <c r="B1819" s="1" t="s">
        <v>5</v>
      </c>
      <c r="C1819" s="10" t="s">
        <v>5</v>
      </c>
      <c r="D1819" s="5" t="s">
        <v>1732</v>
      </c>
      <c r="E1819" s="1" t="str">
        <f ca="1">IFERROR(__xludf.DUMMYFUNCTION("GOOGLETRANSLATE(D1819, ""bn"", ""en"")"),"Judaism and Islam have many similarities. Basically, Jesus Christ and Muhammad (pbuh) are seen separately as prophets, which is why Jews are not Muslims even though they look like Muslims.")</f>
        <v>Judaism and Islam have many similarities. Basically, Jesus Christ and Muhammad (pbuh) are seen separately as prophets, which is why Jews are not Muslims even though they look like Muslims.</v>
      </c>
      <c r="F1819" s="1"/>
      <c r="G1819" s="1"/>
      <c r="H1819" s="1"/>
      <c r="I1819" s="1"/>
    </row>
    <row r="1820" spans="1:9" ht="31.2" x14ac:dyDescent="0.3">
      <c r="A1820" s="1" t="s">
        <v>4</v>
      </c>
      <c r="B1820" s="1" t="s">
        <v>4</v>
      </c>
      <c r="C1820" s="10" t="s">
        <v>4</v>
      </c>
      <c r="D1820" s="6" t="s">
        <v>3926</v>
      </c>
      <c r="E1820" s="1" t="str">
        <f ca="1">IFERROR(__xludf.DUMMYFUNCTION("GOOGLETRANSLATE(D1820, ""bn"", ""en"")"),"Those who call us bigots, I wonder at the limitations of their intellect. They understand our posts on social media as their own and imagine in their hearts that Lifespring is a Madrasa. ")</f>
        <v xml:space="preserve">Those who call us bigots, I wonder at the limitations of their intellect. They understand our posts on social media as their own and imagine in their hearts that Lifespring is a Madrasa. </v>
      </c>
      <c r="F1820" s="1"/>
      <c r="G1820" s="1"/>
      <c r="H1820" s="1"/>
      <c r="I1820" s="1"/>
    </row>
    <row r="1821" spans="1:9" ht="31.2" x14ac:dyDescent="0.3">
      <c r="A1821" s="1" t="s">
        <v>9</v>
      </c>
      <c r="B1821" s="1" t="s">
        <v>9</v>
      </c>
      <c r="C1821" s="10" t="s">
        <v>9</v>
      </c>
      <c r="D1821" s="6" t="s">
        <v>3925</v>
      </c>
      <c r="E1821" s="1" t="str">
        <f ca="1">IFERROR(__xludf.DUMMYFUNCTION("GOOGLETRANSLATE(D1821, ""bn"", ""en"")"),"The century-old Chandamani Rakshakali Temple is located in the town's Chowkbazar area (Kapuriyapatti), about one kilometer from Nanua Dighi. The Chandamani Kali temple was attacked in three phases between 11 am and 3 am. The said temple was attacked 3 tim"&amp;"es in four hours. ")</f>
        <v>The century-old Chandamani Rakshakali Temple is located in the town's Chowkbazar area (Kapuriyapatti), about one kilometer from Nanua Dighi. The Chandamani Kali temple was attacked in three phases between 11 am and 3 am. The said temple was attacked 3 times in four hours. </v>
      </c>
      <c r="F1821" s="1"/>
      <c r="G1821" s="1"/>
      <c r="H1821" s="1"/>
      <c r="I1821" s="1"/>
    </row>
    <row r="1822" spans="1:9" ht="15.6" x14ac:dyDescent="0.3">
      <c r="A1822" s="1" t="s">
        <v>7</v>
      </c>
      <c r="B1822" s="1" t="s">
        <v>7</v>
      </c>
      <c r="C1822" s="10" t="s">
        <v>7</v>
      </c>
      <c r="D1822" s="5" t="s">
        <v>1733</v>
      </c>
      <c r="E1822" s="1" t="str">
        <f ca="1">IFERROR(__xludf.DUMMYFUNCTION("GOOGLETRANSLATE(D1822, ""bn"", ""en"")"),"It is not a sin to cut the neck of those who speak ill of Islam.")</f>
        <v>It is not a sin to cut the neck of those who speak ill of Islam.</v>
      </c>
      <c r="F1822" s="1"/>
      <c r="G1822" s="1"/>
      <c r="H1822" s="1"/>
      <c r="I1822" s="1"/>
    </row>
    <row r="1823" spans="1:9" ht="46.8" x14ac:dyDescent="0.3">
      <c r="A1823" s="1" t="s">
        <v>5</v>
      </c>
      <c r="B1823" s="1" t="s">
        <v>5</v>
      </c>
      <c r="C1823" s="10" t="s">
        <v>5</v>
      </c>
      <c r="D1823" s="6" t="s">
        <v>3924</v>
      </c>
      <c r="E1823" s="1" t="str">
        <f ca="1">IFERROR(__xludf.DUMMYFUNCTION("GOOGLETRANSLATE(D1823, ""bn"", ""en"")"),"""Finland"" is again the first in the list of happiest countries. The country has retained this achievement for 7 consecutive times. The people of the country are roughly 'atheists'. Almost half of parliament is women, head of government is also a woman ("&amp;"2019), age 34. Bangladesh is 129 in the list of happiest countries. At the bottom is the fanatical, Taliban state of Afghanistan")</f>
        <v>"Finland" is again the first in the list of happiest countries. The country has retained this achievement for 7 consecutive times. The people of the country are roughly 'atheists'. Almost half of parliament is women, head of government is also a woman (2019), age 34. Bangladesh is 129 in the list of happiest countries. At the bottom is the fanatical, Taliban state of Afghanistan</v>
      </c>
      <c r="F1823" s="1"/>
      <c r="G1823" s="1"/>
      <c r="H1823" s="1"/>
      <c r="I1823" s="1"/>
    </row>
    <row r="1824" spans="1:9" ht="46.8" x14ac:dyDescent="0.3">
      <c r="A1824" s="1" t="s">
        <v>9</v>
      </c>
      <c r="B1824" s="1" t="s">
        <v>4</v>
      </c>
      <c r="C1824" s="10" t="s">
        <v>9</v>
      </c>
      <c r="D1824" s="6" t="s">
        <v>3923</v>
      </c>
      <c r="E1824" s="1" t="str">
        <f ca="1">IFERROR(__xludf.DUMMYFUNCTION("GOOGLETRANSLATE(D1824, ""bn"", ""en"")"),"Recently, there have been repeated cases of burning of the Holy Quran in Sweden and Denmark in Europe. In response to this, protests have continued in several Muslim countries for the past few weeks. The Muslim world, including Saudi Arabia, was quick to "&amp;"express its outrage. Not only that, the Swedish and Danish ambassadors were summoned and made a formal protest.")</f>
        <v>Recently, there have been repeated cases of burning of the Holy Quran in Sweden and Denmark in Europe. In response to this, protests have continued in several Muslim countries for the past few weeks. The Muslim world, including Saudi Arabia, was quick to express its outrage. Not only that, the Swedish and Danish ambassadors were summoned and made a formal protest.</v>
      </c>
      <c r="F1824" s="1"/>
      <c r="G1824" s="1"/>
      <c r="H1824" s="1"/>
      <c r="I1824" s="1"/>
    </row>
    <row r="1825" spans="1:9" ht="15.6" x14ac:dyDescent="0.3">
      <c r="A1825" s="1" t="s">
        <v>9</v>
      </c>
      <c r="B1825" s="1" t="s">
        <v>9</v>
      </c>
      <c r="C1825" s="10" t="s">
        <v>9</v>
      </c>
      <c r="D1825" s="5" t="s">
        <v>1734</v>
      </c>
      <c r="E1825" s="1" t="str">
        <f ca="1">IFERROR(__xludf.DUMMYFUNCTION("GOOGLETRANSLATE(D1825, ""bn"", ""en"")"),"On August 1, police arrested 4 juveniles for allegedly vandalizing an idol at Sheetala Temple in Kathulia area of ​​Pirojpur Sadar Upazila. All of them are between 12 and 17 years old.")</f>
        <v>On August 1, police arrested 4 juveniles for allegedly vandalizing an idol at Sheetala Temple in Kathulia area of ​​Pirojpur Sadar Upazila. All of them are between 12 and 17 years old.</v>
      </c>
      <c r="F1825" s="1"/>
      <c r="G1825" s="1"/>
      <c r="H1825" s="1"/>
      <c r="I1825" s="1"/>
    </row>
    <row r="1826" spans="1:9" ht="15.6" x14ac:dyDescent="0.3">
      <c r="A1826" s="1" t="s">
        <v>9</v>
      </c>
      <c r="B1826" s="1" t="s">
        <v>5</v>
      </c>
      <c r="C1826" s="10" t="s">
        <v>9</v>
      </c>
      <c r="D1826" s="5" t="s">
        <v>1735</v>
      </c>
      <c r="E1826" s="1" t="str">
        <f ca="1">IFERROR(__xludf.DUMMYFUNCTION("GOOGLETRANSLATE(D1826, ""bn"", ""en"")"),"On July 20, the Iraqi prime minister immediately ordered the Swedish ambassador to Baghdad to leave Iraq after Muslims were again allowed to burn the Holy Quran. He also summoned the Iraqi ambassador in Stockholm. ")</f>
        <v>On July 20, the Iraqi prime minister immediately ordered the Swedish ambassador to Baghdad to leave Iraq after Muslims were again allowed to burn the Holy Quran. He also summoned the Iraqi ambassador in Stockholm. </v>
      </c>
      <c r="F1826" s="1"/>
      <c r="G1826" s="1"/>
      <c r="H1826" s="1"/>
      <c r="I1826" s="1"/>
    </row>
    <row r="1827" spans="1:9" ht="15.6" x14ac:dyDescent="0.3">
      <c r="A1827" s="1" t="s">
        <v>7</v>
      </c>
      <c r="B1827" s="1" t="s">
        <v>7</v>
      </c>
      <c r="C1827" s="10" t="s">
        <v>7</v>
      </c>
      <c r="D1827" s="5" t="s">
        <v>1736</v>
      </c>
      <c r="E1827" s="1" t="str">
        <f ca="1">IFERROR(__xludf.DUMMYFUNCTION("GOOGLETRANSLATE(D1827, ""bn"", ""en"")"),"A white supremacist gunman attacked a Sikh gurdwara in Wisconsin, killing six people, in an example of violence fueled by religious hatred.")</f>
        <v>A white supremacist gunman attacked a Sikh gurdwara in Wisconsin, killing six people, in an example of violence fueled by religious hatred.</v>
      </c>
      <c r="F1827" s="1"/>
      <c r="G1827" s="1"/>
      <c r="H1827" s="1"/>
      <c r="I1827" s="1"/>
    </row>
    <row r="1828" spans="1:9" ht="15.6" x14ac:dyDescent="0.3">
      <c r="A1828" s="1" t="s">
        <v>4</v>
      </c>
      <c r="B1828" s="1" t="s">
        <v>5</v>
      </c>
      <c r="C1828" s="10" t="s">
        <v>4</v>
      </c>
      <c r="D1828" s="5" t="s">
        <v>1737</v>
      </c>
      <c r="E1828" s="1" t="str">
        <f ca="1">IFERROR(__xludf.DUMMYFUNCTION("GOOGLETRANSLATE(D1828, ""bn"", ""en"")"),"How many girls can not smoke cigarettes in any law. 70'/ in Saudi Arabia. The girl smokes a cigarette. All the descendants of Huzur have come.")</f>
        <v>How many girls can not smoke cigarettes in any law. 70'/ in Saudi Arabia. The girl smokes a cigarette. All the descendants of Huzur have come.</v>
      </c>
      <c r="F1828" s="1"/>
      <c r="G1828" s="1"/>
      <c r="H1828" s="1"/>
      <c r="I1828" s="1"/>
    </row>
    <row r="1829" spans="1:9" ht="15.6" x14ac:dyDescent="0.3">
      <c r="A1829" s="1" t="s">
        <v>4</v>
      </c>
      <c r="B1829" s="1" t="s">
        <v>4</v>
      </c>
      <c r="C1829" s="10" t="s">
        <v>4</v>
      </c>
      <c r="D1829" s="5" t="s">
        <v>1738</v>
      </c>
      <c r="E1829" s="1" t="str">
        <f ca="1">IFERROR(__xludf.DUMMYFUNCTION("GOOGLETRANSLATE(D1829, ""bn"", ""en"")"),"British Muslim preacher Anjem Chowdhury has been charged with three offences, police said on Monday. He was arrested in London last week. He will be produced in a London court on Monday.")</f>
        <v>British Muslim preacher Anjem Chowdhury has been charged with three offences, police said on Monday. He was arrested in London last week. He will be produced in a London court on Monday.</v>
      </c>
      <c r="F1829" s="1"/>
      <c r="G1829" s="1"/>
      <c r="H1829" s="1"/>
      <c r="I1829" s="1"/>
    </row>
    <row r="1830" spans="1:9" ht="15.6" x14ac:dyDescent="0.3">
      <c r="A1830" s="1" t="s">
        <v>9</v>
      </c>
      <c r="B1830" s="1" t="s">
        <v>4</v>
      </c>
      <c r="C1830" s="10" t="s">
        <v>9</v>
      </c>
      <c r="D1830" s="5" t="s">
        <v>1739</v>
      </c>
      <c r="E1830" s="1" t="str">
        <f ca="1">IFERROR(__xludf.DUMMYFUNCTION("GOOGLETRANSLATE(D1830, ""bn"", ""en"")"),"In 2021, idols were vandalized in this temple as well, locals said. Hindu Buddhist Christian Unity Council of the country has condemned the incident.")</f>
        <v>In 2021, idols were vandalized in this temple as well, locals said. Hindu Buddhist Christian Unity Council of the country has condemned the incident.</v>
      </c>
      <c r="F1830" s="1"/>
      <c r="G1830" s="1"/>
      <c r="H1830" s="1"/>
      <c r="I1830" s="1"/>
    </row>
    <row r="1831" spans="1:9" ht="15.6" x14ac:dyDescent="0.3">
      <c r="A1831" s="1" t="s">
        <v>9</v>
      </c>
      <c r="B1831" s="1" t="s">
        <v>9</v>
      </c>
      <c r="C1831" s="10" t="s">
        <v>9</v>
      </c>
      <c r="D1831" s="5" t="s">
        <v>1740</v>
      </c>
      <c r="E1831" s="1" t="str">
        <f ca="1">IFERROR(__xludf.DUMMYFUNCTION("GOOGLETRANSLATE(D1831, ""bn"", ""en"")"),"Even though Hindu-Muslim hatred and riots started in India due to the British divide and rule policy, the constitution of 47 years of independence guaranteed equal rights to all citizens.")</f>
        <v>Even though Hindu-Muslim hatred and riots started in India due to the British divide and rule policy, the constitution of 47 years of independence guaranteed equal rights to all citizens.</v>
      </c>
      <c r="F1831" s="1"/>
      <c r="G1831" s="1"/>
      <c r="H1831" s="1"/>
      <c r="I1831" s="1"/>
    </row>
    <row r="1832" spans="1:9" ht="15.6" x14ac:dyDescent="0.3">
      <c r="A1832" s="1" t="s">
        <v>4</v>
      </c>
      <c r="B1832" s="1" t="s">
        <v>5</v>
      </c>
      <c r="C1832" s="10" t="s">
        <v>4</v>
      </c>
      <c r="D1832" s="5" t="s">
        <v>1741</v>
      </c>
      <c r="E1832" s="1" t="str">
        <f ca="1">IFERROR(__xludf.DUMMYFUNCTION("GOOGLETRANSLATE(D1832, ""bn"", ""en"")"),"How can my Muslim brother kill a brother and the brother remains. Where am I today? May Allah judge them.")</f>
        <v>How can my Muslim brother kill a brother and the brother remains. Where am I today? May Allah judge them.</v>
      </c>
      <c r="F1832" s="1"/>
      <c r="G1832" s="1"/>
      <c r="H1832" s="1"/>
      <c r="I1832" s="1"/>
    </row>
    <row r="1833" spans="1:9" ht="15.6" x14ac:dyDescent="0.3">
      <c r="A1833" s="1" t="s">
        <v>5</v>
      </c>
      <c r="B1833" s="1" t="s">
        <v>5</v>
      </c>
      <c r="C1833" s="10" t="s">
        <v>5</v>
      </c>
      <c r="D1833" s="5" t="s">
        <v>1742</v>
      </c>
      <c r="E1833" s="1" t="str">
        <f ca="1">IFERROR(__xludf.DUMMYFUNCTION("GOOGLETRANSLATE(D1833, ""bn"", ""en"")"),"Those who follow Allah's commands, they achieve success in this world and the Hereafter, because Allah guides them to the right path.")</f>
        <v>Those who follow Allah's commands, they achieve success in this world and the Hereafter, because Allah guides them to the right path.</v>
      </c>
      <c r="F1833" s="1"/>
      <c r="G1833" s="1"/>
      <c r="H1833" s="1"/>
      <c r="I1833" s="1"/>
    </row>
    <row r="1834" spans="1:9" ht="15.6" x14ac:dyDescent="0.3">
      <c r="A1834" s="1" t="s">
        <v>5</v>
      </c>
      <c r="B1834" s="1" t="s">
        <v>5</v>
      </c>
      <c r="C1834" s="10" t="s">
        <v>5</v>
      </c>
      <c r="D1834" s="5" t="s">
        <v>1743</v>
      </c>
      <c r="E1834" s="1" t="str">
        <f ca="1">IFERROR(__xludf.DUMMYFUNCTION("GOOGLETRANSLATE(D1834, ""bn"", ""en"")"),"When Hindu Muslims live together peacefully, respect and understanding of each other's culture and religious beliefs is established in the society, which promotes peace and harmony.")</f>
        <v>When Hindu Muslims live together peacefully, respect and understanding of each other's culture and religious beliefs is established in the society, which promotes peace and harmony.</v>
      </c>
      <c r="F1834" s="1"/>
      <c r="G1834" s="1"/>
      <c r="H1834" s="1"/>
      <c r="I1834" s="1"/>
    </row>
    <row r="1835" spans="1:9" ht="46.8" x14ac:dyDescent="0.3">
      <c r="A1835" s="1" t="s">
        <v>4</v>
      </c>
      <c r="B1835" s="1" t="s">
        <v>4</v>
      </c>
      <c r="C1835" s="10" t="s">
        <v>4</v>
      </c>
      <c r="D1835" s="6" t="s">
        <v>3922</v>
      </c>
      <c r="E1835" s="1" t="str">
        <f ca="1">IFERROR(__xludf.DUMMYFUNCTION("GOOGLETRANSLATE(D1835, ""bn"", ""en"")"),"No one has survived by insulting the Qur'an and will not survive in the future, inshallah. Thank you for protesting and protesting from far Baitullah Sharif. And I am requesting prayers for the three of you and my family members. May Allah protect our Mus"&amp;"lim Ummah.")</f>
        <v>No one has survived by insulting the Qur'an and will not survive in the future, inshallah. Thank you for protesting and protesting from far Baitullah Sharif. And I am requesting prayers for the three of you and my family members. May Allah protect our Muslim Ummah.</v>
      </c>
      <c r="F1835" s="1"/>
      <c r="G1835" s="1"/>
      <c r="H1835" s="1"/>
      <c r="I1835" s="1"/>
    </row>
    <row r="1836" spans="1:9" ht="15.6" x14ac:dyDescent="0.3">
      <c r="A1836" s="1" t="s">
        <v>9</v>
      </c>
      <c r="B1836" s="9" t="s">
        <v>4</v>
      </c>
      <c r="C1836" s="10" t="s">
        <v>9</v>
      </c>
      <c r="D1836" s="5" t="s">
        <v>1744</v>
      </c>
      <c r="E1836" s="1" t="str">
        <f ca="1">IFERROR(__xludf.DUMMYFUNCTION("GOOGLETRANSLATE(D1836, ""bn"", ""en"")"),"Jessore puja celebration council leader beaten up")</f>
        <v>Jessore puja celebration council leader beaten up</v>
      </c>
      <c r="F1836" s="1"/>
      <c r="G1836" s="1"/>
      <c r="H1836" s="1"/>
      <c r="I1836" s="1"/>
    </row>
    <row r="1837" spans="1:9" ht="15.6" x14ac:dyDescent="0.3">
      <c r="A1837" s="1" t="s">
        <v>4</v>
      </c>
      <c r="B1837" s="1" t="s">
        <v>5</v>
      </c>
      <c r="C1837" s="10" t="s">
        <v>5</v>
      </c>
      <c r="D1837" s="5" t="s">
        <v>1745</v>
      </c>
      <c r="E1837" s="1" t="str">
        <f ca="1">IFERROR(__xludf.DUMMYFUNCTION("GOOGLETRANSLATE(D1837, ""bn"", ""en"")"),"The above words of the Prophet will also be followed: contrast with the Gentiles. ")</f>
        <v xml:space="preserve">The above words of the Prophet will also be followed: contrast with the Gentiles. </v>
      </c>
      <c r="F1837" s="1"/>
      <c r="G1837" s="1"/>
      <c r="H1837" s="1"/>
      <c r="I1837" s="1"/>
    </row>
    <row r="1838" spans="1:9" ht="15.6" x14ac:dyDescent="0.3">
      <c r="A1838" s="1" t="s">
        <v>5</v>
      </c>
      <c r="B1838" s="1" t="s">
        <v>5</v>
      </c>
      <c r="C1838" s="10" t="s">
        <v>5</v>
      </c>
      <c r="D1838" s="5" t="s">
        <v>1746</v>
      </c>
      <c r="E1838" s="1" t="str">
        <f ca="1">IFERROR(__xludf.DUMMYFUNCTION("GOOGLETRANSLATE(D1838, ""bn"", ""en"")"),"The interpreter's name is not religion, religion is to live life in full compliance. ")</f>
        <v xml:space="preserve">The interpreter's name is not religion, religion is to live life in full compliance. </v>
      </c>
      <c r="F1838" s="1"/>
      <c r="G1838" s="1"/>
      <c r="H1838" s="1"/>
      <c r="I1838" s="1"/>
    </row>
    <row r="1839" spans="1:9" ht="15.6" x14ac:dyDescent="0.3">
      <c r="A1839" s="1" t="s">
        <v>7</v>
      </c>
      <c r="B1839" s="1" t="s">
        <v>7</v>
      </c>
      <c r="C1839" s="10" t="s">
        <v>7</v>
      </c>
      <c r="D1839" s="5" t="s">
        <v>1747</v>
      </c>
      <c r="E1839" s="1" t="str">
        <f ca="1">IFERROR(__xludf.DUMMYFUNCTION("GOOGLETRANSLATE(D1839, ""bn"", ""en"")"),"The way he will die until the end of the day will continue to be the punishment!")</f>
        <v>The way he will die until the end of the day will continue to be the punishment!</v>
      </c>
      <c r="F1839" s="1"/>
      <c r="G1839" s="1"/>
      <c r="H1839" s="1"/>
      <c r="I1839" s="1"/>
    </row>
    <row r="1840" spans="1:9" ht="15.6" x14ac:dyDescent="0.3">
      <c r="A1840" s="1" t="s">
        <v>4</v>
      </c>
      <c r="B1840" s="1" t="s">
        <v>4</v>
      </c>
      <c r="C1840" s="10" t="s">
        <v>4</v>
      </c>
      <c r="D1840" s="5" t="s">
        <v>1748</v>
      </c>
      <c r="E1840" s="1" t="str">
        <f ca="1">IFERROR(__xludf.DUMMYFUNCTION("GOOGLETRANSLATE(D1840, ""bn"", ""en"")"),"Indeed, those who hurt Allah and His Messenger, Allah curses them in this world and the Hereafter, and He has prepared for them a humiliating punishment.")</f>
        <v>Indeed, those who hurt Allah and His Messenger, Allah curses them in this world and the Hereafter, and He has prepared for them a humiliating punishment.</v>
      </c>
      <c r="F1840" s="1"/>
      <c r="G1840" s="1"/>
      <c r="H1840" s="1"/>
      <c r="I1840" s="1"/>
    </row>
    <row r="1841" spans="1:9" ht="15.6" x14ac:dyDescent="0.3">
      <c r="A1841" s="1" t="s">
        <v>9</v>
      </c>
      <c r="B1841" s="1" t="s">
        <v>9</v>
      </c>
      <c r="C1841" s="10" t="s">
        <v>9</v>
      </c>
      <c r="D1841" s="5" t="s">
        <v>1749</v>
      </c>
      <c r="E1841" s="1" t="str">
        <f ca="1">IFERROR(__xludf.DUMMYFUNCTION("GOOGLETRANSLATE(D1841, ""bn"", ""en"")"),"An incident of attack, arson and looting took place in Bara Karimpur Kasba Hindu village of Ramnathpur Union of Pirganj Upazila of Rangpur due to religious insulting comments on Facebook. At that time, the house of 39 families was completely burnt in the "&amp;"fire and vandalism and looting took place.")</f>
        <v>An incident of attack, arson and looting took place in Bara Karimpur Kasba Hindu village of Ramnathpur Union of Pirganj Upazila of Rangpur due to religious insulting comments on Facebook. At that time, the house of 39 families was completely burnt in the fire and vandalism and looting took place.</v>
      </c>
      <c r="F1841" s="1"/>
      <c r="G1841" s="1"/>
      <c r="H1841" s="1"/>
      <c r="I1841" s="1"/>
    </row>
    <row r="1842" spans="1:9" ht="15.6" x14ac:dyDescent="0.3">
      <c r="A1842" s="1" t="s">
        <v>5</v>
      </c>
      <c r="B1842" s="1" t="s">
        <v>5</v>
      </c>
      <c r="C1842" s="10" t="s">
        <v>5</v>
      </c>
      <c r="D1842" s="5" t="s">
        <v>1750</v>
      </c>
      <c r="E1842" s="1" t="str">
        <f ca="1">IFERROR(__xludf.DUMMYFUNCTION("GOOGLETRANSLATE(D1842, ""bn"", ""en"")"),"My religion is the best for me.")</f>
        <v>My religion is the best for me.</v>
      </c>
      <c r="F1842" s="1"/>
      <c r="G1842" s="1"/>
      <c r="H1842" s="1"/>
      <c r="I1842" s="1"/>
    </row>
    <row r="1843" spans="1:9" ht="15.6" x14ac:dyDescent="0.3">
      <c r="A1843" s="1" t="s">
        <v>4</v>
      </c>
      <c r="B1843" s="1" t="s">
        <v>5</v>
      </c>
      <c r="C1843" s="10" t="s">
        <v>5</v>
      </c>
      <c r="D1843" s="5" t="s">
        <v>1751</v>
      </c>
      <c r="E1843" s="1" t="str">
        <f ca="1">IFERROR(__xludf.DUMMYFUNCTION("GOOGLETRANSLATE(D1843, ""bn"", ""en"")"),"Hinduism is the only religion in the world that does not insult or disrespect any other religion. Because your religion teaches you as good as Islam.")</f>
        <v>Hinduism is the only religion in the world that does not insult or disrespect any other religion. Because your religion teaches you as good as Islam.</v>
      </c>
      <c r="F1843" s="1"/>
      <c r="G1843" s="1"/>
      <c r="H1843" s="1"/>
      <c r="I1843" s="1"/>
    </row>
    <row r="1844" spans="1:9" ht="15.6" x14ac:dyDescent="0.3">
      <c r="A1844" s="1" t="s">
        <v>9</v>
      </c>
      <c r="B1844" s="1" t="s">
        <v>4</v>
      </c>
      <c r="C1844" s="10" t="s">
        <v>9</v>
      </c>
      <c r="D1844" s="5" t="s">
        <v>1752</v>
      </c>
      <c r="E1844" s="1" t="str">
        <f ca="1">IFERROR(__xludf.DUMMYFUNCTION("GOOGLETRANSLATE(D1844, ""bn"", ""en"")"),"Qur'an Sharif is the life of Muslims. To set fire to Qur'an Sharif is to set fire to ourselves. We condemn Sweden")</f>
        <v>Qur'an Sharif is the life of Muslims. To set fire to Qur'an Sharif is to set fire to ourselves. We condemn Sweden</v>
      </c>
      <c r="F1844" s="1"/>
      <c r="G1844" s="1"/>
      <c r="H1844" s="1"/>
      <c r="I1844" s="1"/>
    </row>
    <row r="1845" spans="1:9" ht="15.6" x14ac:dyDescent="0.3">
      <c r="A1845" s="1" t="s">
        <v>7</v>
      </c>
      <c r="B1845" s="1" t="s">
        <v>4</v>
      </c>
      <c r="C1845" s="10" t="s">
        <v>7</v>
      </c>
      <c r="D1845" s="5" t="s">
        <v>1753</v>
      </c>
      <c r="E1845" s="1" t="str">
        <f ca="1">IFERROR(__xludf.DUMMYFUNCTION("GOOGLETRANSLATE(D1845, ""bn"", ""en"")"),"The issue of religion has come to the fore in Bangladesh recently after various killings and attacks. It is also seen through social media that an attempt is being made to attack the opponent by using religion.")</f>
        <v>The issue of religion has come to the fore in Bangladesh recently after various killings and attacks. It is also seen through social media that an attempt is being made to attack the opponent by using religion.</v>
      </c>
      <c r="F1845" s="1"/>
      <c r="G1845" s="1"/>
      <c r="H1845" s="1"/>
      <c r="I1845" s="1"/>
    </row>
    <row r="1846" spans="1:9" ht="46.8" x14ac:dyDescent="0.3">
      <c r="A1846" s="1" t="s">
        <v>7</v>
      </c>
      <c r="B1846" s="1" t="s">
        <v>4</v>
      </c>
      <c r="C1846" s="10" t="s">
        <v>7</v>
      </c>
      <c r="D1846" s="6" t="s">
        <v>3921</v>
      </c>
      <c r="E1846" s="1" t="str">
        <f ca="1">IFERROR(__xludf.DUMMYFUNCTION("GOOGLETRANSLATE(D1846, ""bn"", ""en"")"),"Chandrakumar Karmakar of Manpura and Jamini De, a hotel employee of Ghoshbagh, were killed near Jamalpur. Ashu Sen of Devisinghpur was brutally beaten at Tajumiya market in Char Parvati. Rajkumar Chowdhury of Banshpara was severely beaten and left injured"&amp;" on his way to his home.")</f>
        <v>Chandrakumar Karmakar of Manpura and Jamini De, a hotel employee of Ghoshbagh, were killed near Jamalpur. Ashu Sen of Devisinghpur was brutally beaten at Tajumiya market in Char Parvati. Rajkumar Chowdhury of Banshpara was severely beaten and left injured on his way to his home.</v>
      </c>
      <c r="F1846" s="1"/>
      <c r="G1846" s="1"/>
      <c r="H1846" s="1"/>
      <c r="I1846" s="1"/>
    </row>
    <row r="1847" spans="1:9" ht="15.6" x14ac:dyDescent="0.3">
      <c r="A1847" s="1" t="s">
        <v>5</v>
      </c>
      <c r="B1847" s="1" t="s">
        <v>5</v>
      </c>
      <c r="C1847" s="10" t="s">
        <v>5</v>
      </c>
      <c r="D1847" s="5" t="s">
        <v>1754</v>
      </c>
      <c r="E1847" s="1" t="str">
        <f ca="1">IFERROR(__xludf.DUMMYFUNCTION("GOOGLETRANSLATE(D1847, ""bn"", ""en"")"),"I like Chanchal Chowdhury by his acting, not considering whether he is Hindu or Muslim.")</f>
        <v>I like Chanchal Chowdhury by his acting, not considering whether he is Hindu or Muslim.</v>
      </c>
      <c r="F1847" s="1"/>
      <c r="G1847" s="1"/>
      <c r="H1847" s="1"/>
      <c r="I1847" s="1"/>
    </row>
    <row r="1848" spans="1:9" ht="15.6" x14ac:dyDescent="0.3">
      <c r="A1848" s="1" t="s">
        <v>9</v>
      </c>
      <c r="B1848" s="1" t="s">
        <v>4</v>
      </c>
      <c r="C1848" s="10" t="s">
        <v>9</v>
      </c>
      <c r="D1848" s="5" t="s">
        <v>1755</v>
      </c>
      <c r="E1848" s="1" t="str">
        <f ca="1">IFERROR(__xludf.DUMMYFUNCTION("GOOGLETRANSLATE(D1848, ""bn"", ""en"")"),"Attempting to construct a mosque fraudulently on Kantjio/ Kantjir/ Kantnagar temple land is an unknown future plan to hurt the religious sentiments of the minorities and create a local Hindu-Muslim riot apart from the show of religious exaggeration.")</f>
        <v>Attempting to construct a mosque fraudulently on Kantjio/ Kantjir/ Kantnagar temple land is an unknown future plan to hurt the religious sentiments of the minorities and create a local Hindu-Muslim riot apart from the show of religious exaggeration.</v>
      </c>
      <c r="F1848" s="1"/>
      <c r="G1848" s="1"/>
      <c r="H1848" s="1"/>
      <c r="I1848" s="1"/>
    </row>
    <row r="1849" spans="1:9" ht="15.6" x14ac:dyDescent="0.3">
      <c r="A1849" s="1" t="s">
        <v>7</v>
      </c>
      <c r="B1849" s="1" t="s">
        <v>7</v>
      </c>
      <c r="C1849" s="10" t="s">
        <v>7</v>
      </c>
      <c r="D1849" s="5" t="s">
        <v>1756</v>
      </c>
      <c r="E1849" s="1" t="str">
        <f ca="1">IFERROR(__xludf.DUMMYFUNCTION("GOOGLETRANSLATE(D1849, ""bn"", ""en"")"),"Millions of people lost their lives as Christian and Muslim forces clashed during the Crusades, one of the bloodiest wars waged in the name of religion.")</f>
        <v>Millions of people lost their lives as Christian and Muslim forces clashed during the Crusades, one of the bloodiest wars waged in the name of religion.</v>
      </c>
      <c r="F1849" s="1"/>
      <c r="G1849" s="1"/>
      <c r="H1849" s="1"/>
      <c r="I1849" s="1"/>
    </row>
    <row r="1850" spans="1:9" ht="15.6" x14ac:dyDescent="0.3">
      <c r="A1850" s="1" t="s">
        <v>9</v>
      </c>
      <c r="B1850" s="1" t="s">
        <v>9</v>
      </c>
      <c r="C1850" s="10" t="s">
        <v>9</v>
      </c>
      <c r="D1850" s="5" t="s">
        <v>1757</v>
      </c>
      <c r="E1850" s="1" t="str">
        <f ca="1">IFERROR(__xludf.DUMMYFUNCTION("GOOGLETRANSLATE(D1850, ""bn"", ""en"")"),"All the incidents of temple attacks and vandalism of idols in the country have been done to sideline BNP's movement and to file cases in the name of BNP's leaders and activists.")</f>
        <v>All the incidents of temple attacks and vandalism of idols in the country have been done to sideline BNP's movement and to file cases in the name of BNP's leaders and activists.</v>
      </c>
      <c r="F1850" s="1"/>
      <c r="G1850" s="1"/>
      <c r="H1850" s="1"/>
      <c r="I1850" s="1"/>
    </row>
    <row r="1851" spans="1:9" ht="15.6" x14ac:dyDescent="0.3">
      <c r="A1851" s="1" t="s">
        <v>7</v>
      </c>
      <c r="B1851" s="1" t="s">
        <v>7</v>
      </c>
      <c r="C1851" s="10" t="s">
        <v>7</v>
      </c>
      <c r="D1851" s="5" t="s">
        <v>1758</v>
      </c>
      <c r="E1851" s="1" t="str">
        <f ca="1">IFERROR(__xludf.DUMMYFUNCTION("GOOGLETRANSLATE(D1851, ""bn"", ""en"")"),"Music artist Sadi Mohammad committed suicide due to shame and depression")</f>
        <v>Music artist Sadi Mohammad committed suicide due to shame and depression</v>
      </c>
      <c r="F1851" s="1"/>
      <c r="G1851" s="1"/>
      <c r="H1851" s="1"/>
      <c r="I1851" s="1"/>
    </row>
    <row r="1852" spans="1:9" ht="15.6" x14ac:dyDescent="0.3">
      <c r="A1852" s="1" t="s">
        <v>5</v>
      </c>
      <c r="B1852" s="1" t="s">
        <v>5</v>
      </c>
      <c r="C1852" s="10" t="s">
        <v>5</v>
      </c>
      <c r="D1852" s="5" t="s">
        <v>1759</v>
      </c>
      <c r="E1852" s="1" t="str">
        <f ca="1">IFERROR(__xludf.DUMMYFUNCTION("GOOGLETRANSLATE(D1852, ""bn"", ""en"")"),"This is the document of Allah's Messenger Muhammad for Banu Damara. People of this tribe will get security of their lives and property. They will spend their lives peacefully as long as they do not engage in acts of rebellion against the religion of Allah"&amp;".")</f>
        <v>This is the document of Allah's Messenger Muhammad for Banu Damara. People of this tribe will get security of their lives and property. They will spend their lives peacefully as long as they do not engage in acts of rebellion against the religion of Allah.</v>
      </c>
      <c r="F1852" s="1"/>
      <c r="G1852" s="1"/>
      <c r="H1852" s="1"/>
      <c r="I1852" s="1"/>
    </row>
    <row r="1853" spans="1:9" ht="15.6" x14ac:dyDescent="0.3">
      <c r="A1853" s="1" t="s">
        <v>4</v>
      </c>
      <c r="B1853" s="1" t="s">
        <v>4</v>
      </c>
      <c r="C1853" s="10" t="s">
        <v>4</v>
      </c>
      <c r="D1853" s="5" t="s">
        <v>1760</v>
      </c>
      <c r="E1853" s="1" t="str">
        <f ca="1">IFERROR(__xludf.DUMMYFUNCTION("GOOGLETRANSLATE(D1853, ""bn"", ""en"")"),"May Allah protect all our Muslim brothers and sisters and also guide us to the right path, Ameen. And also those who burned the Quran, may Allah destroy them, Ameen.")</f>
        <v>May Allah protect all our Muslim brothers and sisters and also guide us to the right path, Ameen. And also those who burned the Quran, may Allah destroy them, Ameen.</v>
      </c>
      <c r="F1853" s="1"/>
      <c r="G1853" s="1"/>
      <c r="H1853" s="1"/>
      <c r="I1853" s="1"/>
    </row>
    <row r="1854" spans="1:9" ht="15.6" x14ac:dyDescent="0.3">
      <c r="A1854" s="1" t="s">
        <v>4</v>
      </c>
      <c r="B1854" s="1" t="s">
        <v>5</v>
      </c>
      <c r="C1854" s="10" t="s">
        <v>4</v>
      </c>
      <c r="D1854" s="5" t="s">
        <v>1761</v>
      </c>
      <c r="E1854" s="1" t="str">
        <f ca="1">IFERROR(__xludf.DUMMYFUNCTION("GOOGLETRANSLATE(D1854, ""bn"", ""en"")"),"The main problem of all is really in Islam. Sometimes it feels very sad to see them. Do I really live in a Muslim country??")</f>
        <v>The main problem of all is really in Islam. Sometimes it feels very sad to see them. Do I really live in a Muslim country??</v>
      </c>
      <c r="F1854" s="1"/>
      <c r="G1854" s="1"/>
      <c r="H1854" s="1"/>
      <c r="I1854" s="1"/>
    </row>
    <row r="1855" spans="1:9" ht="15.6" x14ac:dyDescent="0.3">
      <c r="A1855" s="1" t="s">
        <v>5</v>
      </c>
      <c r="B1855" s="1" t="s">
        <v>5</v>
      </c>
      <c r="C1855" s="10" t="s">
        <v>5</v>
      </c>
      <c r="D1855" s="5" t="s">
        <v>1762</v>
      </c>
      <c r="E1855" s="1" t="str">
        <f ca="1">IFERROR(__xludf.DUMMYFUNCTION("GOOGLETRANSLATE(D1855, ""bn"", ""en"")"),"At this age, their conversion, sainthood, and desertion occur. If you put it on solid myr, you will see that Sadhugiri will run away. ")</f>
        <v xml:space="preserve">At this age, their conversion, sainthood, and desertion occur. If you put it on solid myr, you will see that Sadhugiri will run away. </v>
      </c>
      <c r="F1855" s="1"/>
      <c r="G1855" s="1"/>
      <c r="H1855" s="1"/>
      <c r="I1855" s="1"/>
    </row>
    <row r="1856" spans="1:9" ht="15.6" x14ac:dyDescent="0.3">
      <c r="A1856" s="1" t="s">
        <v>4</v>
      </c>
      <c r="B1856" s="1" t="s">
        <v>4</v>
      </c>
      <c r="C1856" s="10" t="s">
        <v>4</v>
      </c>
      <c r="D1856" s="5" t="s">
        <v>1763</v>
      </c>
      <c r="E1856" s="1" t="str">
        <f ca="1">IFERROR(__xludf.DUMMYFUNCTION("GOOGLETRANSLATE(D1856, ""bn"", ""en"")"),"I feel very sad when I see the image of idols in some masjids and again the image of idols of Quran in Patham Kabar. ")</f>
        <v xml:space="preserve">I feel very sad when I see the image of idols in some masjids and again the image of idols of Quran in Patham Kabar. </v>
      </c>
      <c r="F1856" s="1"/>
      <c r="G1856" s="1"/>
      <c r="H1856" s="1"/>
      <c r="I1856" s="1"/>
    </row>
    <row r="1857" spans="1:9" ht="15.6" x14ac:dyDescent="0.3">
      <c r="A1857" s="1" t="s">
        <v>5</v>
      </c>
      <c r="B1857" s="1" t="s">
        <v>5</v>
      </c>
      <c r="C1857" s="10" t="s">
        <v>5</v>
      </c>
      <c r="D1857" s="5" t="s">
        <v>1764</v>
      </c>
      <c r="E1857" s="1" t="str">
        <f ca="1">IFERROR(__xludf.DUMMYFUNCTION("GOOGLETRANSLATE(D1857, ""bn"", ""en"")"),"As humans, everyone has a religion, a culture; There is history and tradition. All people have a religion. Whatever religion he follows is his religion. ")</f>
        <v xml:space="preserve">As humans, everyone has a religion, a culture; There is history and tradition. All people have a religion. Whatever religion he follows is his religion. </v>
      </c>
      <c r="F1857" s="1"/>
      <c r="G1857" s="1"/>
      <c r="H1857" s="1"/>
      <c r="I1857" s="1"/>
    </row>
    <row r="1858" spans="1:9" ht="46.8" x14ac:dyDescent="0.3">
      <c r="A1858" s="1" t="s">
        <v>7</v>
      </c>
      <c r="B1858" s="1" t="s">
        <v>4</v>
      </c>
      <c r="C1858" s="10" t="s">
        <v>7</v>
      </c>
      <c r="D1858" s="6" t="s">
        <v>3920</v>
      </c>
      <c r="E1858" s="1" t="str">
        <f ca="1">IFERROR(__xludf.DUMMYFUNCTION("GOOGLETRANSLATE(D1858, ""bn"", ""en"")"),"Suman Kumar Mahant, OC of Patgram Police Station, said that among the three cases, the murder case was filed by the family of the victim. A case of vandalism of government buildings has been filed by the Union Parishad Chairman. And the police have filed "&amp;"a case under sections of obstructing government work and some others.")</f>
        <v>Suman Kumar Mahant, OC of Patgram Police Station, said that among the three cases, the murder case was filed by the family of the victim. A case of vandalism of government buildings has been filed by the Union Parishad Chairman. And the police have filed a case under sections of obstructing government work and some others.</v>
      </c>
      <c r="F1858" s="1"/>
      <c r="G1858" s="1"/>
      <c r="H1858" s="1"/>
      <c r="I1858" s="1"/>
    </row>
    <row r="1859" spans="1:9" ht="15.6" x14ac:dyDescent="0.3">
      <c r="A1859" s="1" t="s">
        <v>5</v>
      </c>
      <c r="B1859" s="1" t="s">
        <v>5</v>
      </c>
      <c r="C1859" s="10" t="s">
        <v>5</v>
      </c>
      <c r="D1859" s="5" t="s">
        <v>1765</v>
      </c>
      <c r="E1859" s="1" t="str">
        <f ca="1">IFERROR(__xludf.DUMMYFUNCTION("GOOGLETRANSLATE(D1859, ""bn"", ""en"")"),"Hmmm aunty, the Taliban have won and will continue to do so in sha Allah. You feminists should be prepared.....")</f>
        <v>Hmmm aunty, the Taliban have won and will continue to do so in sha Allah. You feminists should be prepared.....</v>
      </c>
      <c r="F1859" s="1"/>
      <c r="G1859" s="1"/>
      <c r="H1859" s="1"/>
      <c r="I1859" s="1"/>
    </row>
    <row r="1860" spans="1:9" ht="17.399999999999999" x14ac:dyDescent="0.3">
      <c r="A1860" s="1" t="s">
        <v>5</v>
      </c>
      <c r="B1860" s="1" t="s">
        <v>5</v>
      </c>
      <c r="C1860" s="10" t="s">
        <v>5</v>
      </c>
      <c r="D1860" s="5" t="s">
        <v>3508</v>
      </c>
      <c r="E1860" s="1" t="str">
        <f ca="1">IFERROR(__xludf.DUMMYFUNCTION("GOOGLETRANSLATE(D1860, ""bn"", ""en"")"),"The Catholic Church has played an important role in the history and development of Western civilization.[17] It has influenced Western philosophy, culture, science, and art. In 1054, a dispute over the authority of the Pope in Rome led to the separation o"&amp;"f the Eastern Orthodox Church.")</f>
        <v>The Catholic Church has played an important role in the history and development of Western civilization.[17] It has influenced Western philosophy, culture, science, and art. In 1054, a dispute over the authority of the Pope in Rome led to the separation of the Eastern Orthodox Church.</v>
      </c>
      <c r="F1860" s="1"/>
      <c r="G1860" s="1"/>
      <c r="H1860" s="1"/>
      <c r="I1860" s="1"/>
    </row>
    <row r="1861" spans="1:9" ht="15.6" x14ac:dyDescent="0.3">
      <c r="A1861" s="1" t="s">
        <v>4</v>
      </c>
      <c r="B1861" s="1" t="s">
        <v>9</v>
      </c>
      <c r="C1861" s="10" t="s">
        <v>4</v>
      </c>
      <c r="D1861" s="5" t="s">
        <v>1766</v>
      </c>
      <c r="E1861" s="1" t="str">
        <f ca="1">IFERROR(__xludf.DUMMYFUNCTION("GOOGLETRANSLATE(D1861, ""bn"", ""en"")"),"Recently, various self-interested individuals or circles are trying to create conflict among the people of Bangladesh, who are bound by the bonds of communal harmony and love. ")</f>
        <v xml:space="preserve">Recently, various self-interested individuals or circles are trying to create conflict among the people of Bangladesh, who are bound by the bonds of communal harmony and love. </v>
      </c>
      <c r="F1861" s="1"/>
      <c r="G1861" s="1"/>
      <c r="H1861" s="1"/>
      <c r="I1861" s="1"/>
    </row>
    <row r="1862" spans="1:9" ht="15.6" x14ac:dyDescent="0.3">
      <c r="A1862" s="1" t="s">
        <v>9</v>
      </c>
      <c r="B1862" s="1" t="s">
        <v>9</v>
      </c>
      <c r="C1862" s="10" t="s">
        <v>9</v>
      </c>
      <c r="D1862" s="5" t="s">
        <v>1767</v>
      </c>
      <c r="E1862" s="1" t="str">
        <f ca="1">IFERROR(__xludf.DUMMYFUNCTION("GOOGLETRANSLATE(D1862, ""bn"", ""en"")"),"Sadly this trend continues; Islamist groups in Bangladesh, nearing the 50th anniversary of the Bengali Hindu genocide, set fire to and vandalized several Hindu temples, including 80 houses.")</f>
        <v>Sadly this trend continues; Islamist groups in Bangladesh, nearing the 50th anniversary of the Bengali Hindu genocide, set fire to and vandalized several Hindu temples, including 80 houses.</v>
      </c>
      <c r="F1862" s="1"/>
      <c r="G1862" s="1"/>
      <c r="H1862" s="1"/>
      <c r="I1862" s="1"/>
    </row>
    <row r="1863" spans="1:9" ht="15.6" x14ac:dyDescent="0.3">
      <c r="A1863" s="1" t="s">
        <v>5</v>
      </c>
      <c r="B1863" s="1" t="s">
        <v>5</v>
      </c>
      <c r="C1863" s="10" t="s">
        <v>5</v>
      </c>
      <c r="D1863" s="5" t="s">
        <v>1768</v>
      </c>
      <c r="E1863" s="1" t="str">
        <f ca="1">IFERROR(__xludf.DUMMYFUNCTION("GOOGLETRANSLATE(D1863, ""bn"", ""en"")"),"Your attitude is clearly communicated. Comment or decision should be made only after fact-checking, without taking any decision based on the words of others. It is always a good way to respect each other.")</f>
        <v>Your attitude is clearly communicated. Comment or decision should be made only after fact-checking, without taking any decision based on the words of others. It is always a good way to respect each other.</v>
      </c>
      <c r="F1863" s="1"/>
      <c r="G1863" s="1"/>
      <c r="H1863" s="1"/>
      <c r="I1863" s="1"/>
    </row>
    <row r="1864" spans="1:9" ht="15.6" x14ac:dyDescent="0.3">
      <c r="A1864" s="1" t="s">
        <v>5</v>
      </c>
      <c r="B1864" s="1" t="s">
        <v>5</v>
      </c>
      <c r="C1864" s="10" t="s">
        <v>5</v>
      </c>
      <c r="D1864" s="5" t="s">
        <v>1769</v>
      </c>
      <c r="E1864" s="1" t="str">
        <f ca="1">IFERROR(__xludf.DUMMYFUNCTION("GOOGLETRANSLATE(D1864, ""bn"", ""en"")"),"One of the most important sources of Islamic teachings is the Hadith collection, which contains accounts of the Prophet Muhammad's verbal and behavioral teachings and practices.")</f>
        <v>One of the most important sources of Islamic teachings is the Hadith collection, which contains accounts of the Prophet Muhammad's verbal and behavioral teachings and practices.</v>
      </c>
      <c r="F1864" s="1"/>
      <c r="G1864" s="1"/>
      <c r="H1864" s="1"/>
      <c r="I1864" s="1"/>
    </row>
    <row r="1865" spans="1:9" ht="15.6" x14ac:dyDescent="0.3">
      <c r="A1865" s="1" t="s">
        <v>5</v>
      </c>
      <c r="B1865" s="1" t="s">
        <v>5</v>
      </c>
      <c r="C1865" s="10" t="s">
        <v>5</v>
      </c>
      <c r="D1865" s="5" t="s">
        <v>1770</v>
      </c>
      <c r="E1865" s="1" t="str">
        <f ca="1">IFERROR(__xludf.DUMMYFUNCTION("GOOGLETRANSLATE(D1865, ""bn"", ""en"")"),"The life and teachings of Jesus Christ teach us that steadfast faith and love for God brings true peace in our lives, and that we can be kind and compassionate to one another, so that love and peace can be established in our society.")</f>
        <v>The life and teachings of Jesus Christ teach us that steadfast faith and love for God brings true peace in our lives, and that we can be kind and compassionate to one another, so that love and peace can be established in our society.</v>
      </c>
      <c r="F1865" s="1"/>
      <c r="G1865" s="1"/>
      <c r="H1865" s="1"/>
      <c r="I1865" s="1"/>
    </row>
    <row r="1866" spans="1:9" ht="15.6" x14ac:dyDescent="0.3">
      <c r="A1866" s="1" t="s">
        <v>5</v>
      </c>
      <c r="B1866" s="1" t="s">
        <v>5</v>
      </c>
      <c r="C1866" s="10" t="s">
        <v>5</v>
      </c>
      <c r="D1866" s="5" t="s">
        <v>1771</v>
      </c>
      <c r="E1866" s="1" t="str">
        <f ca="1">IFERROR(__xludf.DUMMYFUNCTION("GOOGLETRANSLATE(D1866, ""bn"", ""en"")"),"A software modeled after a human society is being tested to see if it can help stop religious violence.")</f>
        <v>A software modeled after a human society is being tested to see if it can help stop religious violence.</v>
      </c>
      <c r="F1866" s="1"/>
      <c r="G1866" s="1"/>
      <c r="H1866" s="1"/>
      <c r="I1866" s="1"/>
    </row>
    <row r="1867" spans="1:9" ht="15.6" x14ac:dyDescent="0.3">
      <c r="A1867" s="1" t="s">
        <v>4</v>
      </c>
      <c r="B1867" s="1" t="s">
        <v>5</v>
      </c>
      <c r="C1867" s="10" t="s">
        <v>4</v>
      </c>
      <c r="D1867" s="5" t="s">
        <v>1772</v>
      </c>
      <c r="E1867" s="1" t="str">
        <f ca="1">IFERROR(__xludf.DUMMYFUNCTION("GOOGLETRANSLATE(D1867, ""bn"", ""en"")"),"The misinterpretations of atheists were refuted and it was proved that slavery does not exist in Islam. ")</f>
        <v xml:space="preserve">The misinterpretations of atheists were refuted and it was proved that slavery does not exist in Islam. </v>
      </c>
      <c r="F1867" s="1"/>
      <c r="G1867" s="1"/>
      <c r="H1867" s="1"/>
      <c r="I1867" s="1"/>
    </row>
    <row r="1868" spans="1:9" ht="15.6" x14ac:dyDescent="0.3">
      <c r="A1868" s="1" t="s">
        <v>5</v>
      </c>
      <c r="B1868" s="1" t="s">
        <v>5</v>
      </c>
      <c r="C1868" s="10" t="s">
        <v>5</v>
      </c>
      <c r="D1868" s="5" t="s">
        <v>1773</v>
      </c>
      <c r="E1868" s="1" t="str">
        <f ca="1">IFERROR(__xludf.DUMMYFUNCTION("GOOGLETRANSLATE(D1868, ""bn"", ""en"")"),"Muslims are the main community of the country and they are in the majority position in 8 divisions of Bangladesh. 88 percent of Muslims in Bangladesh are Bengali Muslims and 2 percent are Bihari Muslims. ")</f>
        <v>Muslims are the main community of the country and they are in the majority position in 8 divisions of Bangladesh. 88 percent of Muslims in Bangladesh are Bengali Muslims and 2 percent are Bihari Muslims. </v>
      </c>
      <c r="F1868" s="1"/>
      <c r="G1868" s="1"/>
      <c r="H1868" s="1"/>
      <c r="I1868" s="1"/>
    </row>
    <row r="1869" spans="1:9" ht="15.6" x14ac:dyDescent="0.3">
      <c r="A1869" s="1" t="s">
        <v>5</v>
      </c>
      <c r="B1869" s="1" t="s">
        <v>5</v>
      </c>
      <c r="C1869" s="10" t="s">
        <v>5</v>
      </c>
      <c r="D1869" s="5" t="s">
        <v>1774</v>
      </c>
      <c r="E1869" s="1" t="str">
        <f ca="1">IFERROR(__xludf.DUMMYFUNCTION("GOOGLETRANSLATE(D1869, ""bn"", ""en"")"),"The Babri Masjid (pronounced Babur's Mosque) was located on Ramkot Hill in the city of Ayodhya in the Faizabad district of Uttar Pradesh, India. It is believed to have been built in Rama Janmabhoomi, the purported birthplace of Rama, the main deity of Hin"&amp;"duism. ")</f>
        <v>The Babri Masjid (pronounced Babur's Mosque) was located on Ramkot Hill in the city of Ayodhya in the Faizabad district of Uttar Pradesh, India. It is believed to have been built in Rama Janmabhoomi, the purported birthplace of Rama, the main deity of Hinduism. </v>
      </c>
      <c r="F1869" s="1"/>
      <c r="G1869" s="1"/>
      <c r="H1869" s="1"/>
      <c r="I1869" s="1"/>
    </row>
    <row r="1870" spans="1:9" ht="15.6" x14ac:dyDescent="0.3">
      <c r="A1870" s="4" t="s">
        <v>7</v>
      </c>
      <c r="B1870" s="4" t="s">
        <v>7</v>
      </c>
      <c r="C1870" s="11" t="s">
        <v>7</v>
      </c>
      <c r="D1870" s="5" t="s">
        <v>1775</v>
      </c>
      <c r="E1870" s="1" t="str">
        <f ca="1">IFERROR(__xludf.DUMMYFUNCTION("GOOGLETRANSLATE(D1870, ""bn"", ""en"")"),"The historical context of the Kandhamal violence is the spread of Hindutva ideology... The planned attack on the Christian minority in Orissa during the waiting period after the 2002 Gujarat massacre was a tragedy. The attack killed over 2,000 Muslims and"&amp;" destroyed the community.")</f>
        <v>The historical context of the Kandhamal violence is the spread of Hindutva ideology... The planned attack on the Christian minority in Orissa during the waiting period after the 2002 Gujarat massacre was a tragedy. The attack killed over 2,000 Muslims and destroyed the community.</v>
      </c>
      <c r="F1870" s="1"/>
      <c r="G1870" s="1"/>
      <c r="H1870" s="1"/>
      <c r="I1870" s="1"/>
    </row>
    <row r="1871" spans="1:9" ht="15.6" x14ac:dyDescent="0.3">
      <c r="A1871" s="1" t="s">
        <v>4</v>
      </c>
      <c r="B1871" s="1" t="s">
        <v>5</v>
      </c>
      <c r="C1871" s="10" t="s">
        <v>4</v>
      </c>
      <c r="D1871" s="5" t="s">
        <v>1776</v>
      </c>
      <c r="E1871" s="1" t="str">
        <f ca="1">IFERROR(__xludf.DUMMYFUNCTION("GOOGLETRANSLATE(D1871, ""bn"", ""en"")"),"Violence on rumors of blasphemy in Bangladesh, how the government views the situation")</f>
        <v>Violence on rumors of blasphemy in Bangladesh, how the government views the situation</v>
      </c>
      <c r="F1871" s="1"/>
      <c r="G1871" s="1"/>
      <c r="H1871" s="1"/>
      <c r="I1871" s="1"/>
    </row>
    <row r="1872" spans="1:9" ht="15.6" x14ac:dyDescent="0.3">
      <c r="A1872" s="1" t="s">
        <v>5</v>
      </c>
      <c r="B1872" s="1" t="s">
        <v>4</v>
      </c>
      <c r="C1872" s="10" t="s">
        <v>5</v>
      </c>
      <c r="D1872" s="5" t="s">
        <v>1777</v>
      </c>
      <c r="E1872" s="1" t="str">
        <f ca="1">IFERROR(__xludf.DUMMYFUNCTION("GOOGLETRANSLATE(D1872, ""bn"", ""en"")"),"Muslim rulers treated Buddhists so liberally that Buddhists converted wholesale to Islam. Pandit Harprasad Shastri wrote, 'Half of the Buddhists of Bengal have become Muslims.")</f>
        <v>Muslim rulers treated Buddhists so liberally that Buddhists converted wholesale to Islam. Pandit Harprasad Shastri wrote, 'Half of the Buddhists of Bengal have become Muslims.</v>
      </c>
      <c r="F1872" s="1"/>
      <c r="G1872" s="1"/>
      <c r="H1872" s="1"/>
      <c r="I1872" s="1"/>
    </row>
    <row r="1873" spans="1:9" ht="15.6" x14ac:dyDescent="0.3">
      <c r="A1873" s="1" t="s">
        <v>4</v>
      </c>
      <c r="B1873" s="1" t="s">
        <v>5</v>
      </c>
      <c r="C1873" s="10" t="s">
        <v>5</v>
      </c>
      <c r="D1873" s="5" t="s">
        <v>1778</v>
      </c>
      <c r="E1873" s="1" t="str">
        <f ca="1">IFERROR(__xludf.DUMMYFUNCTION("GOOGLETRANSLATE(D1873, ""bn"", ""en"")"),"Well, before idol worship was invented or started in Hinduism in ancient times, various gods and goddesses were worshiped and worshiped by drawing instruments, want a detailed podcast on this.")</f>
        <v>Well, before idol worship was invented or started in Hinduism in ancient times, various gods and goddesses were worshiped and worshiped by drawing instruments, want a detailed podcast on this.</v>
      </c>
      <c r="F1873" s="1"/>
      <c r="G1873" s="1"/>
      <c r="H1873" s="1"/>
      <c r="I1873" s="1"/>
    </row>
    <row r="1874" spans="1:9" ht="15.6" x14ac:dyDescent="0.3">
      <c r="A1874" s="1" t="s">
        <v>9</v>
      </c>
      <c r="B1874" s="1" t="s">
        <v>5</v>
      </c>
      <c r="C1874" s="10" t="s">
        <v>9</v>
      </c>
      <c r="D1874" s="5" t="s">
        <v>1779</v>
      </c>
      <c r="E1874" s="1" t="str">
        <f ca="1">IFERROR(__xludf.DUMMYFUNCTION("GOOGLETRANSLATE(D1874, ""bn"", ""en"")")," Thousands of radical Muslims especially Biharis listened to this provocative speech with all the terrible weapons in hand. Sabur Khan took this opportunity to deliver a fiery anti-Hindu and anti-India speech. Immediately, about 20,000 Muslim Janata from "&amp;"Senhati (Dighlia Upazila),")</f>
        <v> Thousands of radical Muslims especially Biharis listened to this provocative speech with all the terrible weapons in hand. Sabur Khan took this opportunity to deliver a fiery anti-Hindu and anti-India speech. Immediately, about 20,000 Muslim Janata from Senhati (Dighlia Upazila),</v>
      </c>
      <c r="F1874" s="1"/>
      <c r="G1874" s="1"/>
      <c r="H1874" s="1"/>
      <c r="I1874" s="1"/>
    </row>
    <row r="1875" spans="1:9" ht="15.6" x14ac:dyDescent="0.3">
      <c r="A1875" s="1" t="s">
        <v>7</v>
      </c>
      <c r="B1875" s="1" t="s">
        <v>7</v>
      </c>
      <c r="C1875" s="10" t="s">
        <v>7</v>
      </c>
      <c r="D1875" s="5" t="s">
        <v>1780</v>
      </c>
      <c r="E1875" s="1" t="str">
        <f ca="1">IFERROR(__xludf.DUMMYFUNCTION("GOOGLETRANSLATE(D1875, ""bn"", ""en"")"),"Hindus must be killed continuously and reduced in numbers.")</f>
        <v>Hindus must be killed continuously and reduced in numbers.</v>
      </c>
      <c r="F1875" s="1"/>
      <c r="G1875" s="1"/>
      <c r="H1875" s="1"/>
      <c r="I1875" s="1"/>
    </row>
    <row r="1876" spans="1:9" ht="15.6" x14ac:dyDescent="0.3">
      <c r="A1876" s="1" t="s">
        <v>7</v>
      </c>
      <c r="B1876" s="1" t="s">
        <v>7</v>
      </c>
      <c r="C1876" s="10" t="s">
        <v>7</v>
      </c>
      <c r="D1876" s="5" t="s">
        <v>1781</v>
      </c>
      <c r="E1876" s="1" t="str">
        <f ca="1">IFERROR(__xludf.DUMMYFUNCTION("GOOGLETRANSLATE(D1876, ""bn"", ""en"")"),"He visited Dhaka's Nawabpur, Sadarghat, Patuatuli, Islampur, Digbazar, English Road, Bangshal and Chawkbazar. [20] On February 12, Muslims attacked 60 Indian-bound passengers at Kurmitola Airport. [18] Every non-Muslim passenger who arrived at Tejgaon Air"&amp;"port was stabbed.[21]")</f>
        <v>He visited Dhaka's Nawabpur, Sadarghat, Patuatuli, Islampur, Digbazar, English Road, Bangshal and Chawkbazar. [20] On February 12, Muslims attacked 60 Indian-bound passengers at Kurmitola Airport. [18] Every non-Muslim passenger who arrived at Tejgaon Airport was stabbed.[21]</v>
      </c>
      <c r="F1876" s="1"/>
      <c r="G1876" s="1"/>
      <c r="H1876" s="1"/>
      <c r="I1876" s="1"/>
    </row>
    <row r="1877" spans="1:9" ht="15.6" x14ac:dyDescent="0.3">
      <c r="A1877" s="1" t="s">
        <v>5</v>
      </c>
      <c r="B1877" s="1" t="s">
        <v>5</v>
      </c>
      <c r="C1877" s="10" t="s">
        <v>5</v>
      </c>
      <c r="D1877" s="5" t="s">
        <v>1782</v>
      </c>
      <c r="E1877" s="1" t="str">
        <f ca="1">IFERROR(__xludf.DUMMYFUNCTION("GOOGLETRANSLATE(D1877, ""bn"", ""en"")"),"Loves Quran and tries to read it with Bengali translation. Listen to the lectures of great scholars, then know what and why Shabarat.")</f>
        <v>Loves Quran and tries to read it with Bengali translation. Listen to the lectures of great scholars, then know what and why Shabarat.</v>
      </c>
      <c r="F1877" s="1"/>
      <c r="G1877" s="1"/>
      <c r="H1877" s="1"/>
      <c r="I1877" s="1"/>
    </row>
    <row r="1878" spans="1:9" ht="15.6" x14ac:dyDescent="0.3">
      <c r="A1878" s="1" t="s">
        <v>9</v>
      </c>
      <c r="B1878" s="1" t="s">
        <v>9</v>
      </c>
      <c r="C1878" s="10" t="s">
        <v>9</v>
      </c>
      <c r="D1878" s="5" t="s">
        <v>1783</v>
      </c>
      <c r="E1878" s="1" t="str">
        <f ca="1">IFERROR(__xludf.DUMMYFUNCTION("GOOGLETRANSLATE(D1878, ""bn"", ""en"")")," Hindu attacks on Muslims have increased")</f>
        <v xml:space="preserve"> Hindu attacks on Muslims have increased</v>
      </c>
      <c r="F1878" s="1"/>
      <c r="G1878" s="1"/>
      <c r="H1878" s="1"/>
      <c r="I1878" s="1"/>
    </row>
    <row r="1879" spans="1:9" ht="15.6" x14ac:dyDescent="0.3">
      <c r="A1879" s="1" t="s">
        <v>9</v>
      </c>
      <c r="B1879" s="1" t="s">
        <v>4</v>
      </c>
      <c r="C1879" s="10" t="s">
        <v>9</v>
      </c>
      <c r="D1879" s="5" t="s">
        <v>1784</v>
      </c>
      <c r="E1879" s="1" t="str">
        <f ca="1">IFERROR(__xludf.DUMMYFUNCTION("GOOGLETRANSLATE(D1879, ""bn"", ""en"")"),"Insulting religion is an absolute loss to our humanity. I have seen humiliation, confusion and existential crisis in society in the name of religion.")</f>
        <v>Insulting religion is an absolute loss to our humanity. I have seen humiliation, confusion and existential crisis in society in the name of religion.</v>
      </c>
      <c r="F1879" s="1"/>
      <c r="G1879" s="1"/>
      <c r="H1879" s="1"/>
      <c r="I1879" s="1"/>
    </row>
    <row r="1880" spans="1:9" ht="15.6" x14ac:dyDescent="0.3">
      <c r="A1880" s="1" t="s">
        <v>9</v>
      </c>
      <c r="B1880" s="1" t="s">
        <v>9</v>
      </c>
      <c r="C1880" s="10" t="s">
        <v>9</v>
      </c>
      <c r="D1880" s="5" t="s">
        <v>1785</v>
      </c>
      <c r="E1880" s="1" t="str">
        <f ca="1">IFERROR(__xludf.DUMMYFUNCTION("GOOGLETRANSLATE(D1880, ""bn"", ""en"")"),"Eight Hindu houses were attacked and looted in Kamaria village of Shailkupa upazila of Jhenaidah at around 8.30 pm on July 31. At least 15 Hindus including women were injured in this incident.")</f>
        <v>Eight Hindu houses were attacked and looted in Kamaria village of Shailkupa upazila of Jhenaidah at around 8.30 pm on July 31. At least 15 Hindus including women were injured in this incident.</v>
      </c>
      <c r="F1880" s="1"/>
      <c r="G1880" s="1"/>
      <c r="H1880" s="1"/>
      <c r="I1880" s="1"/>
    </row>
    <row r="1881" spans="1:9" ht="46.8" x14ac:dyDescent="0.3">
      <c r="A1881" s="1" t="s">
        <v>9</v>
      </c>
      <c r="B1881" s="1" t="s">
        <v>9</v>
      </c>
      <c r="C1881" s="10" t="s">
        <v>9</v>
      </c>
      <c r="D1881" s="6" t="s">
        <v>3919</v>
      </c>
      <c r="E1881" s="1" t="str">
        <f ca="1">IFERROR(__xludf.DUMMYFUNCTION("GOOGLETRANSLATE(D1881, ""bn"", ""en"")"),"Every house in the two settlements was looted and set on fire and the sacred temples built for the worship of the Hindu community were destroyed. [19] Tajuddin Ahmed toured different parts of Dhaka from 1 pm to 6 pm and was forced to admit the inhuman bar"&amp;"baric torture and destruction inflicted on the Hindus by the Muslims. ")</f>
        <v>Every house in the two settlements was looted and set on fire and the sacred temples built for the worship of the Hindu community were destroyed. [19] Tajuddin Ahmed toured different parts of Dhaka from 1 pm to 6 pm and was forced to admit the inhuman barbaric torture and destruction inflicted on the Hindus by the Muslims. </v>
      </c>
      <c r="F1881" s="1"/>
      <c r="G1881" s="1"/>
      <c r="H1881" s="1"/>
      <c r="I1881" s="1"/>
    </row>
    <row r="1882" spans="1:9" ht="17.399999999999999" x14ac:dyDescent="0.3">
      <c r="A1882" s="1" t="s">
        <v>7</v>
      </c>
      <c r="B1882" s="1" t="s">
        <v>7</v>
      </c>
      <c r="C1882" s="10" t="s">
        <v>7</v>
      </c>
      <c r="D1882" s="5" t="s">
        <v>3509</v>
      </c>
      <c r="E1882" s="1" t="str">
        <f ca="1">IFERROR(__xludf.DUMMYFUNCTION("GOOGLETRANSLATE(D1882, ""bn"", ""en"")"),"The practice of sati acquired the additional meaning that men were killed as a means of protecting the honor of women,[15] similar to the practice of Jawhar,[52][53] the ideologies of Jawhar and Sati reinforce each other.")</f>
        <v>The practice of sati acquired the additional meaning that men were killed as a means of protecting the honor of women,[15] similar to the practice of Jawhar,[52][53] the ideologies of Jawhar and Sati reinforce each other.</v>
      </c>
      <c r="F1882" s="1"/>
      <c r="G1882" s="1"/>
      <c r="H1882" s="1"/>
      <c r="I1882" s="1"/>
    </row>
    <row r="1883" spans="1:9" ht="15.6" x14ac:dyDescent="0.3">
      <c r="A1883" s="1" t="s">
        <v>4</v>
      </c>
      <c r="B1883" s="1" t="s">
        <v>4</v>
      </c>
      <c r="C1883" s="10" t="s">
        <v>4</v>
      </c>
      <c r="D1883" s="5" t="s">
        <v>1786</v>
      </c>
      <c r="E1883" s="1" t="str">
        <f ca="1">IFERROR(__xludf.DUMMYFUNCTION("GOOGLETRANSLATE(D1883, ""bn"", ""en"")"),"Embrace all the visible symbols of Islam. Increase from what they used to hold. The above words of the Prophet will also be followed: contrast with the Gentiles.")</f>
        <v>Embrace all the visible symbols of Islam. Increase from what they used to hold. The above words of the Prophet will also be followed: contrast with the Gentiles.</v>
      </c>
      <c r="F1883" s="1"/>
      <c r="G1883" s="1"/>
      <c r="H1883" s="1"/>
      <c r="I1883" s="1"/>
    </row>
    <row r="1884" spans="1:9" ht="15.6" x14ac:dyDescent="0.3">
      <c r="A1884" s="1" t="s">
        <v>9</v>
      </c>
      <c r="B1884" s="1" t="s">
        <v>9</v>
      </c>
      <c r="C1884" s="10" t="s">
        <v>9</v>
      </c>
      <c r="D1884" s="5" t="s">
        <v>1787</v>
      </c>
      <c r="E1884" s="1" t="str">
        <f ca="1">IFERROR(__xludf.DUMMYFUNCTION("GOOGLETRANSLATE(D1884, ""bn"", ""en"")"),"The Ramu violence of 2012 refers to the series of attacks on Buddhist monasteries, temples and houses in the midnight of 29 September 2012 by local mobs in Ramu upazila of Cox's Bazar district, Bangladesh[1].")</f>
        <v>The Ramu violence of 2012 refers to the series of attacks on Buddhist monasteries, temples and houses in the midnight of 29 September 2012 by local mobs in Ramu upazila of Cox's Bazar district, Bangladesh[1].</v>
      </c>
      <c r="F1884" s="1"/>
      <c r="G1884" s="1"/>
      <c r="H1884" s="1"/>
      <c r="I1884" s="1"/>
    </row>
    <row r="1885" spans="1:9" ht="15.6" x14ac:dyDescent="0.3">
      <c r="A1885" s="1" t="s">
        <v>9</v>
      </c>
      <c r="B1885" s="1" t="s">
        <v>4</v>
      </c>
      <c r="C1885" s="10" t="s">
        <v>9</v>
      </c>
      <c r="D1885" s="5" t="s">
        <v>1788</v>
      </c>
      <c r="E1885" s="1" t="str">
        <f ca="1">IFERROR(__xludf.DUMMYFUNCTION("GOOGLETRANSLATE(D1885, ""bn"", ""en"")")," Hindus bring iron tins and expensive wooden arches from their homes. They tried to close down cinema halls owned by Hindus. Muslims demanded 50% looms where almost all looms were owned by Hindus of the Yogi community.")</f>
        <v> Hindus bring iron tins and expensive wooden arches from their homes. They tried to close down cinema halls owned by Hindus. Muslims demanded 50% looms where almost all looms were owned by Hindus of the Yogi community.</v>
      </c>
      <c r="F1885" s="1"/>
      <c r="G1885" s="1"/>
      <c r="H1885" s="1"/>
      <c r="I1885" s="1"/>
    </row>
    <row r="1886" spans="1:9" ht="15.6" x14ac:dyDescent="0.3">
      <c r="A1886" s="1" t="s">
        <v>4</v>
      </c>
      <c r="B1886" s="1" t="s">
        <v>5</v>
      </c>
      <c r="C1886" s="10" t="s">
        <v>4</v>
      </c>
      <c r="D1886" s="5" t="s">
        <v>1789</v>
      </c>
      <c r="E1886" s="1" t="str">
        <f ca="1">IFERROR(__xludf.DUMMYFUNCTION("GOOGLETRANSLATE(D1886, ""bn"", ""en"")"),"I have never seen a Muslim child like you in my life, may God's wrath be upon you ")</f>
        <v xml:space="preserve">I have never seen a Muslim child like you in my life, may God's wrath be upon you </v>
      </c>
      <c r="F1886" s="1"/>
      <c r="G1886" s="1"/>
      <c r="H1886" s="1"/>
      <c r="I1886" s="1"/>
    </row>
    <row r="1887" spans="1:9" ht="15.6" x14ac:dyDescent="0.3">
      <c r="A1887" s="1" t="s">
        <v>4</v>
      </c>
      <c r="B1887" s="1" t="s">
        <v>5</v>
      </c>
      <c r="C1887" s="10" t="s">
        <v>4</v>
      </c>
      <c r="D1887" s="5" t="s">
        <v>1790</v>
      </c>
      <c r="E1887" s="1" t="str">
        <f ca="1">IFERROR(__xludf.DUMMYFUNCTION("GOOGLETRANSLATE(D1887, ""bn"", ""en"")"),"Those responsible for this should be impartially identified and punished")</f>
        <v>Those responsible for this should be impartially identified and punished</v>
      </c>
      <c r="F1887" s="1"/>
      <c r="G1887" s="1"/>
      <c r="H1887" s="1"/>
      <c r="I1887" s="1"/>
    </row>
    <row r="1888" spans="1:9" ht="62.4" x14ac:dyDescent="0.3">
      <c r="A1888" s="1" t="s">
        <v>4</v>
      </c>
      <c r="B1888" s="1" t="s">
        <v>4</v>
      </c>
      <c r="C1888" s="10" t="s">
        <v>4</v>
      </c>
      <c r="D1888" s="6" t="s">
        <v>3918</v>
      </c>
      <c r="E1888" s="1" t="str">
        <f ca="1">IFERROR(__xludf.DUMMYFUNCTION("GOOGLETRANSLATE(D1888, ""bn"", ""en"")"),"SM Saikat Mandal (24), a post-graduate student of philosophy department of Rangpur Carmichael College and the number 1 vice-president of the Chhatra League committee in that department, led and organized the local radical Muslims. On the day of the incide"&amp;"nt, Saikat Mandal started provoking the local people by spreading rumors through various inflammatory statements and false posts on Facebook. [4] [7] [8] On the other hand, Rabiul Islam, an associate of Saikat Mandal, gathered the local people by miking f"&amp;"rom a mosque and giving provocative speeches.")</f>
        <v>SM Saikat Mandal (24), a post-graduate student of philosophy department of Rangpur Carmichael College and the number 1 vice-president of the Chhatra League committee in that department, led and organized the local radical Muslims. On the day of the incident, Saikat Mandal started provoking the local people by spreading rumors through various inflammatory statements and false posts on Facebook. [4] [7] [8] On the other hand, Rabiul Islam, an associate of Saikat Mandal, gathered the local people by miking from a mosque and giving provocative speeches.</v>
      </c>
      <c r="F1888" s="1"/>
      <c r="G1888" s="1"/>
      <c r="H1888" s="1"/>
      <c r="I1888" s="1"/>
    </row>
    <row r="1889" spans="1:9" ht="15.6" x14ac:dyDescent="0.3">
      <c r="A1889" s="1" t="s">
        <v>9</v>
      </c>
      <c r="B1889" s="1" t="s">
        <v>9</v>
      </c>
      <c r="C1889" s="10" t="s">
        <v>9</v>
      </c>
      <c r="D1889" s="5" t="s">
        <v>1791</v>
      </c>
      <c r="E1889" s="1" t="str">
        <f ca="1">IFERROR(__xludf.DUMMYFUNCTION("GOOGLETRANSLATE(D1889, ""bn"", ""en"")"),"In Gazipur district, Muslim mobs vandalized and looted Kashimpur Subal Das's family temple and Kashimpur Bazar Kali temple on 13 October.[36] Sri Sri Radha Govinda Temple in Kashimpur was attacked in the morning on 14 October.")</f>
        <v>In Gazipur district, Muslim mobs vandalized and looted Kashimpur Subal Das's family temple and Kashimpur Bazar Kali temple on 13 October.[36] Sri Sri Radha Govinda Temple in Kashimpur was attacked in the morning on 14 October.</v>
      </c>
      <c r="F1889" s="1"/>
      <c r="G1889" s="1"/>
      <c r="H1889" s="1"/>
      <c r="I1889" s="1"/>
    </row>
    <row r="1890" spans="1:9" ht="15.6" x14ac:dyDescent="0.3">
      <c r="A1890" s="1" t="s">
        <v>4</v>
      </c>
      <c r="B1890" s="1" t="s">
        <v>4</v>
      </c>
      <c r="C1890" s="10" t="s">
        <v>4</v>
      </c>
      <c r="D1890" s="5" t="s">
        <v>1792</v>
      </c>
      <c r="E1890" s="1" t="str">
        <f ca="1">IFERROR(__xludf.DUMMYFUNCTION("GOOGLETRANSLATE(D1890, ""bn"", ""en"")"),"A number of radical extremists living in Muslim countries are posting anti-Muslim Islamophobia on the social networking site Facebook.")</f>
        <v>A number of radical extremists living in Muslim countries are posting anti-Muslim Islamophobia on the social networking site Facebook.</v>
      </c>
      <c r="F1890" s="1"/>
      <c r="G1890" s="1"/>
      <c r="H1890" s="1"/>
      <c r="I1890" s="1"/>
    </row>
    <row r="1891" spans="1:9" ht="93.6" x14ac:dyDescent="0.3">
      <c r="A1891" s="1" t="s">
        <v>7</v>
      </c>
      <c r="B1891" s="1" t="s">
        <v>7</v>
      </c>
      <c r="C1891" s="10" t="s">
        <v>7</v>
      </c>
      <c r="D1891" s="6" t="s">
        <v>3917</v>
      </c>
      <c r="E1891" s="1" t="str">
        <f ca="1">IFERROR(__xludf.DUMMYFUNCTION("GOOGLETRANSLATE(D1891, ""bn"", ""en"")"),"Used as an insult before the 18th century, [59] atheism was punishable by death in ancient Greece as well as in the Christian [controversial - discuss] and Muslim worlds during the Middle Ages. [citation needed] Today, atheism is punishable by death in 12"&amp;" countries (Afghanistan, Iran, Malaysia, Maldives, Mauritania, Nigeria, Pakistan, Qatar, Saudi Arabia, Somalia, Sudan and Yemen), all of them Muslim, while ""192 UN The vast majority of member states ""at best discriminate against citizens who do not beli"&amp;"eve in God and at worst can jail them for the crime of blasphemy"".")</f>
        <v>Used as an insult before the 18th century, [59] atheism was punishable by death in ancient Greece as well as in the Christian [controversial - discuss] and Muslim worlds during the Middle Ages. [citation needed] Today, atheism is punishable by death in 12 countries (Afghanistan, Iran, Malaysia, Maldives, Mauritania, Nigeria, Pakistan, Qatar, Saudi Arabia, Somalia, Sudan and Yemen), all of them Muslim, while "192 UN The vast majority of member states "at best discriminate against citizens who do not believe in God and at worst can jail them for the crime of blasphemy".</v>
      </c>
      <c r="F1891" s="1"/>
      <c r="G1891" s="1"/>
      <c r="H1891" s="1"/>
      <c r="I1891" s="1"/>
    </row>
    <row r="1892" spans="1:9" ht="15.6" x14ac:dyDescent="0.3">
      <c r="A1892" s="1" t="s">
        <v>9</v>
      </c>
      <c r="B1892" s="1" t="s">
        <v>7</v>
      </c>
      <c r="C1892" s="10" t="s">
        <v>9</v>
      </c>
      <c r="D1892" s="5" t="s">
        <v>1793</v>
      </c>
      <c r="E1892" s="1" t="str">
        <f ca="1">IFERROR(__xludf.DUMMYFUNCTION("GOOGLETRANSLATE(D1892, ""bn"", ""en"")"),"Sydney resident Amal Dutta believes that this attack was planned in 22 districts of Bangladesh. He said, this Bangladesh achieved through the Great War of Liberation is Bangladesh achieved with the blood of Hindu-Muslim-Buddhist-Christian. The attack was "&amp;"carried out as part of a plan to wipe out minorities from that Bangladesh.")</f>
        <v>Sydney resident Amal Dutta believes that this attack was planned in 22 districts of Bangladesh. He said, this Bangladesh achieved through the Great War of Liberation is Bangladesh achieved with the blood of Hindu-Muslim-Buddhist-Christian. The attack was carried out as part of a plan to wipe out minorities from that Bangladesh.</v>
      </c>
      <c r="F1892" s="1"/>
      <c r="G1892" s="1"/>
      <c r="H1892" s="1"/>
      <c r="I1892" s="1"/>
    </row>
    <row r="1893" spans="1:9" ht="15.6" x14ac:dyDescent="0.3">
      <c r="A1893" s="1" t="s">
        <v>4</v>
      </c>
      <c r="B1893" s="1" t="s">
        <v>4</v>
      </c>
      <c r="C1893" s="10" t="s">
        <v>4</v>
      </c>
      <c r="D1893" s="5" t="s">
        <v>1794</v>
      </c>
      <c r="E1893" s="1" t="str">
        <f ca="1">IFERROR(__xludf.DUMMYFUNCTION("GOOGLETRANSLATE(D1893, ""bn"", ""en"")"),"'You can think; Navmi day and my course semester finals. I want to defer my course exam; The department said, 'If you take leave, take it later. You will get leave from tenth day")</f>
        <v>'You can think; Navmi day and my course semester finals. I want to defer my course exam; The department said, 'If you take leave, take it later. You will get leave from tenth day</v>
      </c>
      <c r="F1893" s="1"/>
      <c r="G1893" s="1"/>
      <c r="H1893" s="1"/>
      <c r="I1893" s="1"/>
    </row>
    <row r="1894" spans="1:9" ht="15.6" x14ac:dyDescent="0.3">
      <c r="A1894" s="1" t="s">
        <v>5</v>
      </c>
      <c r="B1894" s="1" t="s">
        <v>5</v>
      </c>
      <c r="C1894" s="10" t="s">
        <v>5</v>
      </c>
      <c r="D1894" s="5" t="s">
        <v>1795</v>
      </c>
      <c r="E1894" s="1" t="str">
        <f ca="1">IFERROR(__xludf.DUMMYFUNCTION("GOOGLETRANSLATE(D1894, ""bn"", ""en"")"),"Sir, please make a separate series about Qur'an about Allah, life in the eyes of Islam, research and share with us. We will also benefit, we want to be the people of the Qur'an, help us, insha'Allah, may Allah give you a lot of mercy. Our faith will be st"&amp;"rengthened if we discuss the Qur'an in more detail.")</f>
        <v>Sir, please make a separate series about Qur'an about Allah, life in the eyes of Islam, research and share with us. We will also benefit, we want to be the people of the Qur'an, help us, insha'Allah, may Allah give you a lot of mercy. Our faith will be strengthened if we discuss the Qur'an in more detail.</v>
      </c>
      <c r="F1894" s="1"/>
      <c r="G1894" s="1"/>
      <c r="H1894" s="1"/>
      <c r="I1894" s="1"/>
    </row>
    <row r="1895" spans="1:9" ht="15.6" x14ac:dyDescent="0.3">
      <c r="A1895" s="1" t="s">
        <v>4</v>
      </c>
      <c r="B1895" s="1" t="s">
        <v>5</v>
      </c>
      <c r="C1895" s="10" t="s">
        <v>4</v>
      </c>
      <c r="D1895" s="5" t="s">
        <v>1796</v>
      </c>
      <c r="E1895" s="1" t="str">
        <f ca="1">IFERROR(__xludf.DUMMYFUNCTION("GOOGLETRANSLATE(D1895, ""bn"", ""en"")"),"Islam has not taught us to shame anyone. Even though she is a woman, she should have been respected.")</f>
        <v>Islam has not taught us to shame anyone. Even though she is a woman, she should have been respected.</v>
      </c>
      <c r="F1895" s="1"/>
      <c r="G1895" s="1"/>
      <c r="H1895" s="1"/>
      <c r="I1895" s="1"/>
    </row>
    <row r="1896" spans="1:9" ht="15.6" x14ac:dyDescent="0.3">
      <c r="A1896" s="1" t="s">
        <v>7</v>
      </c>
      <c r="B1896" s="1" t="s">
        <v>7</v>
      </c>
      <c r="C1896" s="10" t="s">
        <v>7</v>
      </c>
      <c r="D1896" s="5" t="s">
        <v>1797</v>
      </c>
      <c r="E1896" s="1" t="str">
        <f ca="1">IFERROR(__xludf.DUMMYFUNCTION("GOOGLETRANSLATE(D1896, ""bn"", ""en"")"),"In no time 2,000 frenzied Muslims pounced on the unarmed helpless Hindus with deadly weapons. 3 unfortunate Hindus were brutally killed and more than 12 others injured.")</f>
        <v>In no time 2,000 frenzied Muslims pounced on the unarmed helpless Hindus with deadly weapons. 3 unfortunate Hindus were brutally killed and more than 12 others injured.</v>
      </c>
      <c r="F1896" s="1"/>
      <c r="G1896" s="1"/>
      <c r="H1896" s="1"/>
      <c r="I1896" s="1"/>
    </row>
    <row r="1897" spans="1:9" ht="15.6" x14ac:dyDescent="0.3">
      <c r="A1897" s="1" t="s">
        <v>5</v>
      </c>
      <c r="B1897" s="1" t="s">
        <v>5</v>
      </c>
      <c r="C1897" s="10" t="s">
        <v>5</v>
      </c>
      <c r="D1897" s="5" t="s">
        <v>1798</v>
      </c>
      <c r="E1897" s="1" t="str">
        <f ca="1">IFERROR(__xludf.DUMMYFUNCTION("GOOGLETRANSLATE(D1897, ""bn"", ""en"")"),"I have seen you many times with my father in Hashar field. I have no sin, there is no god but Allah, there is no god but Allah, Allah La Ilaha Illallahu Muhammadur Rasulullah. Heaven is created, earth is created by one God, there is no one but God. La ila"&amp;"ha illallahu mohammadur rasulullah.")</f>
        <v>I have seen you many times with my father in Hashar field. I have no sin, there is no god but Allah, there is no god but Allah, Allah La Ilaha Illallahu Muhammadur Rasulullah. Heaven is created, earth is created by one God, there is no one but God. La ilaha illallahu mohammadur rasulullah.</v>
      </c>
      <c r="F1897" s="1"/>
      <c r="G1897" s="1"/>
      <c r="H1897" s="1"/>
      <c r="I1897" s="1"/>
    </row>
    <row r="1898" spans="1:9" ht="15.6" x14ac:dyDescent="0.3">
      <c r="A1898" s="1" t="s">
        <v>4</v>
      </c>
      <c r="B1898" s="1" t="s">
        <v>4</v>
      </c>
      <c r="C1898" s="10" t="s">
        <v>4</v>
      </c>
      <c r="D1898" s="5" t="s">
        <v>1799</v>
      </c>
      <c r="E1898" s="1" t="str">
        <f ca="1">IFERROR(__xludf.DUMMYFUNCTION("GOOGLETRANSLATE(D1898, ""bn"", ""en"")"),"On Saturday, the lawyer approached the police against Udayanidhi for making controversial comments on 'Sanatan Dharma'.")</f>
        <v>On Saturday, the lawyer approached the police against Udayanidhi for making controversial comments on 'Sanatan Dharma'.</v>
      </c>
      <c r="F1898" s="1"/>
      <c r="G1898" s="1"/>
      <c r="H1898" s="1"/>
      <c r="I1898" s="1"/>
    </row>
    <row r="1899" spans="1:9" ht="15.6" x14ac:dyDescent="0.3">
      <c r="A1899" s="1" t="s">
        <v>4</v>
      </c>
      <c r="B1899" s="1" t="s">
        <v>4</v>
      </c>
      <c r="C1899" s="10" t="s">
        <v>4</v>
      </c>
      <c r="D1899" s="5" t="s">
        <v>1800</v>
      </c>
      <c r="E1899" s="1" t="str">
        <f ca="1">IFERROR(__xludf.DUMMYFUNCTION("GOOGLETRANSLATE(D1899, ""bn"", ""en"")"),"Hindutvaists stand up for Israel because of Muslim opposition.")</f>
        <v>Hindutvaists stand up for Israel because of Muslim opposition.</v>
      </c>
      <c r="F1899" s="1"/>
      <c r="G1899" s="1"/>
      <c r="H1899" s="1"/>
      <c r="I1899" s="1"/>
    </row>
    <row r="1900" spans="1:9" ht="15.6" x14ac:dyDescent="0.3">
      <c r="A1900" s="1" t="s">
        <v>7</v>
      </c>
      <c r="B1900" s="1" t="s">
        <v>7</v>
      </c>
      <c r="C1900" s="10" t="s">
        <v>7</v>
      </c>
      <c r="D1900" s="5" t="s">
        <v>1801</v>
      </c>
      <c r="E1900" s="1" t="str">
        <f ca="1">IFERROR(__xludf.DUMMYFUNCTION("GOOGLETRANSLATE(D1900, ""bn"", ""en"")"),"Muslims will brutally kill Hindu religious minority citizens")</f>
        <v>Muslims will brutally kill Hindu religious minority citizens</v>
      </c>
      <c r="F1900" s="1"/>
      <c r="G1900" s="1"/>
      <c r="H1900" s="1"/>
      <c r="I1900" s="1"/>
    </row>
    <row r="1901" spans="1:9" ht="15.6" x14ac:dyDescent="0.3">
      <c r="A1901" s="1" t="s">
        <v>7</v>
      </c>
      <c r="B1901" s="1" t="s">
        <v>7</v>
      </c>
      <c r="C1901" s="10" t="s">
        <v>7</v>
      </c>
      <c r="D1901" s="5" t="s">
        <v>1802</v>
      </c>
      <c r="E1901" s="1" t="str">
        <f ca="1">IFERROR(__xludf.DUMMYFUNCTION("GOOGLETRANSLATE(D1901, ""bn"", ""en"")"),"Every person born on earth is bound to die. Allah Ta'ala says in the Holy Qur'an, wherever you are, death will reach you; Even though you stay in high and strong fortresses.")</f>
        <v>Every person born on earth is bound to die. Allah Ta'ala says in the Holy Qur'an, wherever you are, death will reach you; Even though you stay in high and strong fortresses.</v>
      </c>
      <c r="F1901" s="1"/>
      <c r="G1901" s="1"/>
      <c r="H1901" s="1"/>
      <c r="I1901" s="1"/>
    </row>
    <row r="1902" spans="1:9" ht="15.6" x14ac:dyDescent="0.3">
      <c r="A1902" s="1" t="s">
        <v>9</v>
      </c>
      <c r="B1902" s="1" t="s">
        <v>9</v>
      </c>
      <c r="C1902" s="10" t="s">
        <v>9</v>
      </c>
      <c r="D1902" s="5" t="s">
        <v>1803</v>
      </c>
      <c r="E1902" s="1" t="str">
        <f ca="1">IFERROR(__xludf.DUMMYFUNCTION("GOOGLETRANSLATE(D1902, ""bn"", ""en"")"),"A procession came from Moninag area of ​​Hajiganj Upazila of Chandpur district and attacked the Lakshminarayan Jeor Akhara (temple) after 8 pm on 13th October. [31] Apart from that temple in Bazar, Trinayani Sangh Pujamandap, Lahminarayanji Akhara, Ramakr"&amp;"ishna Mission Ashram, Jamidarbari Durga Mandir, Shamshan Kali Mandir, Navadurga Sangh Pujamandap, Dasbhuja Sangh Pujamandap, Sonaimuri Village Pujamandap, Hajiganj City Pujamandap, Rampur Loknath Temple, Bhadrakali Temple, Trishul Sangh Pujamandap, Rampur"&amp;" Balakshar Bazar Pujamandap, Hajiganj Radha Gobind Temple, Bazargaon Mukund Sahar Bari Durga Temple, Hatila Ganganagar Durga Temple were also attacked.")</f>
        <v>A procession came from Moninag area of ​​Hajiganj Upazila of Chandpur district and attacked the Lakshminarayan Jeor Akhara (temple) after 8 pm on 13th October. [31] Apart from that temple in Bazar, Trinayani Sangh Pujamandap, Lahminarayanji Akhara, Ramakrishna Mission Ashram, Jamidarbari Durga Mandir, Shamshan Kali Mandir, Navadurga Sangh Pujamandap, Dasbhuja Sangh Pujamandap, Sonaimuri Village Pujamandap, Hajiganj City Pujamandap, Rampur Loknath Temple, Bhadrakali Temple, Trishul Sangh Pujamandap, Rampur Balakshar Bazar Pujamandap, Hajiganj Radha Gobind Temple, Bazargaon Mukund Sahar Bari Durga Temple, Hatila Ganganagar Durga Temple were also attacked.</v>
      </c>
      <c r="F1902" s="1"/>
      <c r="G1902" s="1"/>
      <c r="H1902" s="1"/>
      <c r="I1902" s="1"/>
    </row>
    <row r="1903" spans="1:9" ht="15.6" x14ac:dyDescent="0.3">
      <c r="A1903" s="1" t="s">
        <v>5</v>
      </c>
      <c r="B1903" s="1" t="s">
        <v>5</v>
      </c>
      <c r="C1903" s="10" t="s">
        <v>5</v>
      </c>
      <c r="D1903" s="5" t="s">
        <v>1804</v>
      </c>
      <c r="E1903" s="1" t="str">
        <f ca="1">IFERROR(__xludf.DUMMYFUNCTION("GOOGLETRANSLATE(D1903, ""bn"", ""en"")"),"When Hindus and Muslims live together in peace, their society develops sympathy and cooperation for each other, which lends a helping hand to each other in times of trouble.")</f>
        <v>When Hindus and Muslims live together in peace, their society develops sympathy and cooperation for each other, which lends a helping hand to each other in times of trouble.</v>
      </c>
      <c r="F1903" s="1"/>
      <c r="G1903" s="1"/>
      <c r="H1903" s="1"/>
      <c r="I1903" s="1"/>
    </row>
    <row r="1904" spans="1:9" ht="15.6" x14ac:dyDescent="0.3">
      <c r="A1904" s="1" t="s">
        <v>5</v>
      </c>
      <c r="B1904" s="1" t="s">
        <v>5</v>
      </c>
      <c r="C1904" s="10" t="s">
        <v>5</v>
      </c>
      <c r="D1904" s="5" t="s">
        <v>1805</v>
      </c>
      <c r="E1904" s="1" t="str">
        <f ca="1">IFERROR(__xludf.DUMMYFUNCTION("GOOGLETRANSLATE(D1904, ""bn"", ""en"")"),"The effort and study you put into making this video really surprised me. Allah Almighty says that science can never prove Allah Almighty, but Allah says that, have you not seen My signs? Those who do not believe after seeing these signs of Allah are truly"&amp;" unfortunate. Allahu Akbar")</f>
        <v>The effort and study you put into making this video really surprised me. Allah Almighty says that science can never prove Allah Almighty, but Allah says that, have you not seen My signs? Those who do not believe after seeing these signs of Allah are truly unfortunate. Allahu Akbar</v>
      </c>
      <c r="F1904" s="1"/>
      <c r="G1904" s="1"/>
      <c r="H1904" s="1"/>
      <c r="I1904" s="1"/>
    </row>
    <row r="1905" spans="1:9" ht="15.6" x14ac:dyDescent="0.3">
      <c r="A1905" s="1" t="s">
        <v>4</v>
      </c>
      <c r="B1905" s="1" t="s">
        <v>4</v>
      </c>
      <c r="C1905" s="10" t="s">
        <v>4</v>
      </c>
      <c r="D1905" s="5" t="s">
        <v>1806</v>
      </c>
      <c r="E1905" s="1" t="str">
        <f ca="1">IFERROR(__xludf.DUMMYFUNCTION("GOOGLETRANSLATE(D1905, ""bn"", ""en"")"),"Earlier it was reported that the Facebook account of a Buddhist youth named Uttam Barua from a computer shop had insulted Islam, the Quran or the Prophet.")</f>
        <v>Earlier it was reported that the Facebook account of a Buddhist youth named Uttam Barua from a computer shop had insulted Islam, the Quran or the Prophet.</v>
      </c>
      <c r="F1905" s="1"/>
      <c r="G1905" s="1"/>
      <c r="H1905" s="1"/>
      <c r="I1905" s="1"/>
    </row>
    <row r="1906" spans="1:9" ht="15.6" x14ac:dyDescent="0.3">
      <c r="A1906" s="1" t="s">
        <v>4</v>
      </c>
      <c r="B1906" s="1" t="s">
        <v>5</v>
      </c>
      <c r="C1906" s="10" t="s">
        <v>4</v>
      </c>
      <c r="D1906" s="5" t="s">
        <v>1807</v>
      </c>
      <c r="E1906" s="1" t="str">
        <f ca="1">IFERROR(__xludf.DUMMYFUNCTION("GOOGLETRANSLATE(D1906, ""bn"", ""en"")"),"Please don't be overzealous and spread the venom of communalism. Demand justice through processions but do not quarrel with anyone.")</f>
        <v>Please don't be overzealous and spread the venom of communalism. Demand justice through processions but do not quarrel with anyone.</v>
      </c>
      <c r="F1906" s="1"/>
      <c r="G1906" s="1"/>
      <c r="H1906" s="1"/>
      <c r="I1906" s="1"/>
    </row>
    <row r="1907" spans="1:9" ht="15.6" x14ac:dyDescent="0.3">
      <c r="A1907" s="1" t="s">
        <v>4</v>
      </c>
      <c r="B1907" s="1" t="s">
        <v>5</v>
      </c>
      <c r="C1907" s="10" t="s">
        <v>4</v>
      </c>
      <c r="D1907" s="5" t="s">
        <v>1808</v>
      </c>
      <c r="E1907" s="1" t="str">
        <f ca="1">IFERROR(__xludf.DUMMYFUNCTION("GOOGLETRANSLATE(D1907, ""bn"", ""en"")"),"Some social media are also calling for support for them by raising the flag of Israel in the stadium to watch the Cricket World Cup again. Some such pictures from the World Cup grounds have also been posted on social media.")</f>
        <v>Some social media are also calling for support for them by raising the flag of Israel in the stadium to watch the Cricket World Cup again. Some such pictures from the World Cup grounds have also been posted on social media.</v>
      </c>
      <c r="F1907" s="1"/>
      <c r="G1907" s="1"/>
      <c r="H1907" s="1"/>
      <c r="I1907" s="1"/>
    </row>
    <row r="1908" spans="1:9" ht="15.6" x14ac:dyDescent="0.3">
      <c r="A1908" s="1" t="s">
        <v>7</v>
      </c>
      <c r="B1908" s="1" t="s">
        <v>7</v>
      </c>
      <c r="C1908" s="10" t="s">
        <v>7</v>
      </c>
      <c r="D1908" s="5" t="s">
        <v>1809</v>
      </c>
      <c r="E1908" s="1" t="str">
        <f ca="1">IFERROR(__xludf.DUMMYFUNCTION("GOOGLETRANSLATE(D1908, ""bn"", ""en"")"),"The US Embassy mourns the murder of two Christians in Faridpur")</f>
        <v>The US Embassy mourns the murder of two Christians in Faridpur</v>
      </c>
      <c r="F1908" s="1"/>
      <c r="G1908" s="1"/>
      <c r="H1908" s="1"/>
      <c r="I1908" s="1"/>
    </row>
    <row r="1909" spans="1:9" ht="15.6" x14ac:dyDescent="0.3">
      <c r="A1909" s="1" t="s">
        <v>4</v>
      </c>
      <c r="B1909" s="1" t="s">
        <v>5</v>
      </c>
      <c r="C1909" s="10" t="s">
        <v>4</v>
      </c>
      <c r="D1909" s="5" t="s">
        <v>1810</v>
      </c>
      <c r="E1909" s="1" t="str">
        <f ca="1">IFERROR(__xludf.DUMMYFUNCTION("GOOGLETRANSLATE(D1909, ""bn"", ""en"")"),"Distorting religious values ​​into unexpected words. Ignoring religious texts, customs and beliefs is creating various differences. ")</f>
        <v xml:space="preserve">Distorting religious values ​​into unexpected words. Ignoring religious texts, customs and beliefs is creating various differences. </v>
      </c>
      <c r="F1909" s="1"/>
      <c r="G1909" s="1"/>
      <c r="H1909" s="1"/>
      <c r="I1909" s="1"/>
    </row>
    <row r="1910" spans="1:9" ht="15.6" x14ac:dyDescent="0.3">
      <c r="A1910" s="1" t="s">
        <v>9</v>
      </c>
      <c r="B1910" s="1" t="s">
        <v>9</v>
      </c>
      <c r="C1910" s="10" t="s">
        <v>9</v>
      </c>
      <c r="D1910" s="5" t="s">
        <v>1811</v>
      </c>
      <c r="E1910" s="1" t="str">
        <f ca="1">IFERROR(__xludf.DUMMYFUNCTION("GOOGLETRANSLATE(D1910, ""bn"", ""en"")"),"A number of Muslim extremists in Mai announced an attack in which 88 houses and 7/8 family shrines were vandalized and furniture destroyed.")</f>
        <v>A number of Muslim extremists in Mai announced an attack in which 88 houses and 7/8 family shrines were vandalized and furniture destroyed.</v>
      </c>
      <c r="F1910" s="1"/>
      <c r="G1910" s="1"/>
      <c r="H1910" s="1"/>
      <c r="I1910" s="1"/>
    </row>
    <row r="1911" spans="1:9" ht="15.6" x14ac:dyDescent="0.3">
      <c r="A1911" s="1" t="s">
        <v>9</v>
      </c>
      <c r="B1911" s="1" t="s">
        <v>9</v>
      </c>
      <c r="C1911" s="10" t="s">
        <v>9</v>
      </c>
      <c r="D1911" s="5" t="s">
        <v>1812</v>
      </c>
      <c r="E1911" s="1" t="str">
        <f ca="1">IFERROR(__xludf.DUMMYFUNCTION("GOOGLETRANSLATE(D1911, ""bn"", ""en"")"),"The famous Hindu hostel 'Bani Bhavan' on Ishwar Das Lane was completely destroyed after the looting. The resident students fled to nearby shelters for their lives.")</f>
        <v>The famous Hindu hostel 'Bani Bhavan' on Ishwar Das Lane was completely destroyed after the looting. The resident students fled to nearby shelters for their lives.</v>
      </c>
      <c r="F1911" s="1"/>
      <c r="G1911" s="1"/>
      <c r="H1911" s="1"/>
      <c r="I1911" s="1"/>
    </row>
    <row r="1912" spans="1:9" ht="15.6" x14ac:dyDescent="0.3">
      <c r="A1912" s="1" t="s">
        <v>7</v>
      </c>
      <c r="B1912" s="1" t="s">
        <v>7</v>
      </c>
      <c r="C1912" s="10" t="s">
        <v>7</v>
      </c>
      <c r="D1912" s="5" t="s">
        <v>1813</v>
      </c>
      <c r="E1912" s="1" t="str">
        <f ca="1">IFERROR(__xludf.DUMMYFUNCTION("GOOGLETRANSLATE(D1912, ""bn"", ""en"")"),"Above, the girl said that if the society knew that she was raped, her parents would end the respect of her family, so she committed suicide. If the society was sympathetic, the girl would not have committed suicide but would have gone to the police and to"&amp;"ld them to arrest the culprit.")</f>
        <v>Above, the girl said that if the society knew that she was raped, her parents would end the respect of her family, so she committed suicide. If the society was sympathetic, the girl would not have committed suicide but would have gone to the police and told them to arrest the culprit.</v>
      </c>
      <c r="F1912" s="1"/>
      <c r="G1912" s="1"/>
      <c r="H1912" s="1"/>
      <c r="I1912" s="1"/>
    </row>
    <row r="1913" spans="1:9" ht="15.6" x14ac:dyDescent="0.3">
      <c r="A1913" s="1" t="s">
        <v>4</v>
      </c>
      <c r="B1913" s="1" t="s">
        <v>5</v>
      </c>
      <c r="C1913" s="10" t="s">
        <v>4</v>
      </c>
      <c r="D1913" s="5" t="s">
        <v>1814</v>
      </c>
      <c r="E1913" s="1" t="str">
        <f ca="1">IFERROR(__xludf.DUMMYFUNCTION("GOOGLETRANSLATE(D1913, ""bn"", ""en"")"),"You don't even have the right to poke at the bad person's religion.")</f>
        <v>You don't even have the right to poke at the bad person's religion.</v>
      </c>
      <c r="F1913" s="1"/>
      <c r="G1913" s="1"/>
      <c r="H1913" s="1"/>
      <c r="I1913" s="1"/>
    </row>
    <row r="1914" spans="1:9" ht="15.6" x14ac:dyDescent="0.3">
      <c r="A1914" s="1" t="s">
        <v>5</v>
      </c>
      <c r="B1914" s="1" t="s">
        <v>5</v>
      </c>
      <c r="C1914" s="10" t="s">
        <v>5</v>
      </c>
      <c r="D1914" s="5" t="s">
        <v>1815</v>
      </c>
      <c r="E1914" s="1" t="str">
        <f ca="1">IFERROR(__xludf.DUMMYFUNCTION("GOOGLETRANSLATE(D1914, ""bn"", ""en"")"),"Assalamu Alaikum Allahu Akbar, may the echo of Allahu Akbar reach the throne of Allah and may victory begin. Alhamdulillah of Islam, the best religion in the world. One day, by the grace of Allah, the flag of Kalima will fly in the sky of this country. On"&amp;" that day, everyone will forget their sorrows and sorrows, inshallah.")</f>
        <v>Assalamu Alaikum Allahu Akbar, may the echo of Allahu Akbar reach the throne of Allah and may victory begin. Alhamdulillah of Islam, the best religion in the world. One day, by the grace of Allah, the flag of Kalima will fly in the sky of this country. On that day, everyone will forget their sorrows and sorrows, inshallah.</v>
      </c>
      <c r="F1914" s="1"/>
      <c r="G1914" s="1"/>
      <c r="H1914" s="1"/>
      <c r="I1914" s="1"/>
    </row>
    <row r="1915" spans="1:9" ht="15.6" x14ac:dyDescent="0.3">
      <c r="A1915" s="1" t="s">
        <v>7</v>
      </c>
      <c r="B1915" s="1" t="s">
        <v>7</v>
      </c>
      <c r="C1915" s="10" t="s">
        <v>7</v>
      </c>
      <c r="D1915" s="5" t="s">
        <v>1816</v>
      </c>
      <c r="E1915" s="1" t="str">
        <f ca="1">IFERROR(__xludf.DUMMYFUNCTION("GOOGLETRANSLATE(D1915, ""bn"", ""en"")"),"Even before last 10 to 15 years there was a kind of belief that Satan worshipers are organized, secretive and secretly conspiring, they commit various immoral activities like killing people, torturing animals and raping children in the name of Satan.")</f>
        <v>Even before last 10 to 15 years there was a kind of belief that Satan worshipers are organized, secretive and secretly conspiring, they commit various immoral activities like killing people, torturing animals and raping children in the name of Satan.</v>
      </c>
      <c r="F1915" s="1"/>
      <c r="G1915" s="1"/>
      <c r="H1915" s="1"/>
      <c r="I1915" s="1"/>
    </row>
    <row r="1916" spans="1:9" ht="15.6" x14ac:dyDescent="0.3">
      <c r="A1916" s="1" t="s">
        <v>9</v>
      </c>
      <c r="B1916" s="1" t="s">
        <v>9</v>
      </c>
      <c r="C1916" s="10" t="s">
        <v>9</v>
      </c>
      <c r="D1916" s="5" t="s">
        <v>1817</v>
      </c>
      <c r="E1916" s="1" t="str">
        <f ca="1">IFERROR(__xludf.DUMMYFUNCTION("GOOGLETRANSLATE(D1916, ""bn"", ""en"")"),"Thousands of Hindu men and women of the area protested the idol vandalism and demanded justice for those involved since the morning after the incident. In this incident, police arrested Khizir Shah and his son Zahidul Islam and Umar Khandkar of Shahpur ar"&amp;"ea of ​​the upazila and Ansar members Rajib and Bajlu on duty.")</f>
        <v>Thousands of Hindu men and women of the area protested the idol vandalism and demanded justice for those involved since the morning after the incident. In this incident, police arrested Khizir Shah and his son Zahidul Islam and Umar Khandkar of Shahpur area of ​​the upazila and Ansar members Rajib and Bajlu on duty.</v>
      </c>
      <c r="F1916" s="1"/>
      <c r="G1916" s="1"/>
      <c r="H1916" s="1"/>
      <c r="I1916" s="1"/>
    </row>
    <row r="1917" spans="1:9" ht="15.6" x14ac:dyDescent="0.3">
      <c r="A1917" s="1" t="s">
        <v>4</v>
      </c>
      <c r="B1917" s="1" t="s">
        <v>4</v>
      </c>
      <c r="C1917" s="10" t="s">
        <v>4</v>
      </c>
      <c r="D1917" s="5" t="s">
        <v>1818</v>
      </c>
      <c r="E1917" s="1" t="str">
        <f ca="1">IFERROR(__xludf.DUMMYFUNCTION("GOOGLETRANSLATE(D1917, ""bn"", ""en"")"),"Signs of weak faith - Immersion in sin, haram acts. Feeling hard on the heart, not being affected by advice or janaza. Lack of concentration in worship, rather indifference. Showing laxity and laziness in worship and obedience.")</f>
        <v>Signs of weak faith - Immersion in sin, haram acts. Feeling hard on the heart, not being affected by advice or janaza. Lack of concentration in worship, rather indifference. Showing laxity and laziness in worship and obedience.</v>
      </c>
      <c r="F1917" s="1"/>
      <c r="G1917" s="1"/>
      <c r="H1917" s="1"/>
      <c r="I1917" s="1"/>
    </row>
    <row r="1918" spans="1:9" ht="46.8" x14ac:dyDescent="0.3">
      <c r="A1918" s="1" t="s">
        <v>9</v>
      </c>
      <c r="B1918" s="1" t="s">
        <v>5</v>
      </c>
      <c r="C1918" s="10" t="s">
        <v>9</v>
      </c>
      <c r="D1918" s="6" t="s">
        <v>3916</v>
      </c>
      <c r="E1918" s="1" t="str">
        <f ca="1">IFERROR(__xludf.DUMMYFUNCTION("GOOGLETRANSLATE(D1918, ""bn"", ""en"")"),"When a Muslim child regains life in the blood of a Christian, when a Hindu old man regains life in the blood of a Muslim brother, when a Christian regains life in the blood of a Hindu, then when everyone's blood color is red, what is the difference? And w"&amp;"hat is communal riots? ")</f>
        <v xml:space="preserve">When a Muslim child regains life in the blood of a Christian, when a Hindu old man regains life in the blood of a Muslim brother, when a Christian regains life in the blood of a Hindu, then when everyone's blood color is red, what is the difference? And what is communal riots? </v>
      </c>
      <c r="F1918" s="1"/>
      <c r="G1918" s="1"/>
      <c r="H1918" s="1"/>
      <c r="I1918" s="1"/>
    </row>
    <row r="1919" spans="1:9" ht="15.6" x14ac:dyDescent="0.3">
      <c r="A1919" s="1" t="s">
        <v>7</v>
      </c>
      <c r="B1919" s="1" t="s">
        <v>7</v>
      </c>
      <c r="C1919" s="10" t="s">
        <v>7</v>
      </c>
      <c r="D1919" s="5" t="s">
        <v>1819</v>
      </c>
      <c r="E1919" s="1" t="str">
        <f ca="1">IFERROR(__xludf.DUMMYFUNCTION("GOOGLETRANSLATE(D1919, ""bn"", ""en"")"),"After the elections, the clerics will be accused of attacks, disappearances, murders, tortures, tortures, and arrests.")</f>
        <v>After the elections, the clerics will be accused of attacks, disappearances, murders, tortures, tortures, and arrests.</v>
      </c>
      <c r="F1919" s="1"/>
      <c r="G1919" s="1"/>
      <c r="H1919" s="1"/>
      <c r="I1919" s="1"/>
    </row>
    <row r="1920" spans="1:9" ht="15.6" x14ac:dyDescent="0.3">
      <c r="A1920" s="1" t="s">
        <v>5</v>
      </c>
      <c r="B1920" s="1" t="s">
        <v>5</v>
      </c>
      <c r="C1920" s="10" t="s">
        <v>5</v>
      </c>
      <c r="D1920" s="5" t="s">
        <v>1820</v>
      </c>
      <c r="E1920" s="1" t="str">
        <f ca="1">IFERROR(__xludf.DUMMYFUNCTION("GOOGLETRANSLATE(D1920, ""bn"", ""en"")"),"Ramadan brings the joy of the glory of forgiveness to the sinful heart - what could be more joyous?")</f>
        <v>Ramadan brings the joy of the glory of forgiveness to the sinful heart - what could be more joyous?</v>
      </c>
      <c r="F1920" s="1"/>
      <c r="G1920" s="1"/>
      <c r="H1920" s="1"/>
      <c r="I1920" s="1"/>
    </row>
    <row r="1921" spans="1:9" ht="31.2" x14ac:dyDescent="0.3">
      <c r="A1921" s="1" t="s">
        <v>7</v>
      </c>
      <c r="B1921" s="1" t="s">
        <v>4</v>
      </c>
      <c r="C1921" s="10" t="s">
        <v>7</v>
      </c>
      <c r="D1921" s="6" t="s">
        <v>3915</v>
      </c>
      <c r="E1921" s="1" t="str">
        <f ca="1">IFERROR(__xludf.DUMMYFUNCTION("GOOGLETRANSLATE(D1921, ""bn"", ""en"")"),"SP Abida Sultana said that the accused are being identified after seeing the video of a man named Shahidun Nabi Jewel being beaten to death and burnt on fire which has spread through social media.")</f>
        <v>SP Abida Sultana said that the accused are being identified after seeing the video of a man named Shahidun Nabi Jewel being beaten to death and burnt on fire which has spread through social media.</v>
      </c>
      <c r="F1921" s="1"/>
      <c r="G1921" s="1"/>
      <c r="H1921" s="1"/>
      <c r="I1921" s="1"/>
    </row>
    <row r="1922" spans="1:9" ht="62.4" x14ac:dyDescent="0.3">
      <c r="A1922" s="1" t="s">
        <v>5</v>
      </c>
      <c r="B1922" s="1" t="s">
        <v>5</v>
      </c>
      <c r="C1922" s="10" t="s">
        <v>5</v>
      </c>
      <c r="D1922" s="6" t="s">
        <v>3914</v>
      </c>
      <c r="E1922" s="1" t="str">
        <f ca="1">IFERROR(__xludf.DUMMYFUNCTION("GOOGLETRANSLATE(D1922, ""bn"", ""en"")"),"Religion is the purpose and meaning of human life. It is the shining light of the moral and spiritual ideals of human society. Through religion, man can find his true path and make the right decision. It is an assimilation and ideal that helps people face"&amp;" all kinds of difficult plans and hardships for a long time. Religion guides people to the path of human elevation and peace. It opens the doors of brotherhood and relationship between people, and creates love, compassion and peace in society.")</f>
        <v>Religion is the purpose and meaning of human life. It is the shining light of the moral and spiritual ideals of human society. Through religion, man can find his true path and make the right decision. It is an assimilation and ideal that helps people face all kinds of difficult plans and hardships for a long time. Religion guides people to the path of human elevation and peace. It opens the doors of brotherhood and relationship between people, and creates love, compassion and peace in society.</v>
      </c>
      <c r="F1922" s="1"/>
      <c r="G1922" s="1"/>
      <c r="H1922" s="1"/>
      <c r="I1922" s="1"/>
    </row>
    <row r="1923" spans="1:9" ht="15.6" x14ac:dyDescent="0.3">
      <c r="A1923" s="1" t="s">
        <v>5</v>
      </c>
      <c r="B1923" s="1" t="s">
        <v>5</v>
      </c>
      <c r="C1923" s="10" t="s">
        <v>5</v>
      </c>
      <c r="D1923" s="5" t="s">
        <v>1821</v>
      </c>
      <c r="E1923" s="1" t="str">
        <f ca="1">IFERROR(__xludf.DUMMYFUNCTION("GOOGLETRANSLATE(D1923, ""bn"", ""en"")"),"Sadhu sadhu sadhu Lord Buddha who is preaching Dharma. I bestow upon them the fruits of my birth. ")</f>
        <v xml:space="preserve">Sadhu sadhu sadhu Lord Buddha who is preaching Dharma. I bestow upon them the fruits of my birth. </v>
      </c>
      <c r="F1923" s="1"/>
      <c r="G1923" s="1"/>
      <c r="H1923" s="1"/>
      <c r="I1923" s="1"/>
    </row>
    <row r="1924" spans="1:9" ht="15.6" x14ac:dyDescent="0.3">
      <c r="A1924" s="4" t="s">
        <v>7</v>
      </c>
      <c r="B1924" s="4" t="s">
        <v>7</v>
      </c>
      <c r="C1924" s="11" t="s">
        <v>7</v>
      </c>
      <c r="D1924" s="5" t="s">
        <v>1822</v>
      </c>
      <c r="E1924" s="1" t="str">
        <f ca="1">IFERROR(__xludf.DUMMYFUNCTION("GOOGLETRANSLATE(D1924, ""bn"", ""en"")"),"The Chinese government has suspended all activities of the media and kept 2.2 million Muslims locked up in various detention camps for years and continues to commit crimes including torture, sexual assault, and murder through their representatives.")</f>
        <v>The Chinese government has suspended all activities of the media and kept 2.2 million Muslims locked up in various detention camps for years and continues to commit crimes including torture, sexual assault, and murder through their representatives.</v>
      </c>
      <c r="F1924" s="1"/>
      <c r="G1924" s="1"/>
      <c r="H1924" s="1"/>
      <c r="I1924" s="1"/>
    </row>
    <row r="1925" spans="1:9" ht="15.6" x14ac:dyDescent="0.3">
      <c r="A1925" s="1" t="s">
        <v>9</v>
      </c>
      <c r="B1925" s="1" t="s">
        <v>4</v>
      </c>
      <c r="C1925" s="10" t="s">
        <v>9</v>
      </c>
      <c r="D1925" s="5" t="s">
        <v>1823</v>
      </c>
      <c r="E1925" s="1" t="str">
        <f ca="1">IFERROR(__xludf.DUMMYFUNCTION("GOOGLETRANSLATE(D1925, ""bn"", ""en"")"),"I respect the Bible, Gita, all religious books, unfortunately, I condemn the Muslims for burning Al-Quran and creating a different paradigm...May Allah protect the Holy Quran, Ameen.")</f>
        <v>I respect the Bible, Gita, all religious books, unfortunately, I condemn the Muslims for burning Al-Quran and creating a different paradigm...May Allah protect the Holy Quran, Ameen.</v>
      </c>
      <c r="F1925" s="1"/>
      <c r="G1925" s="1"/>
      <c r="H1925" s="1"/>
      <c r="I1925" s="1"/>
    </row>
    <row r="1926" spans="1:9" ht="15.6" x14ac:dyDescent="0.3">
      <c r="A1926" s="1" t="s">
        <v>4</v>
      </c>
      <c r="B1926" s="1" t="s">
        <v>4</v>
      </c>
      <c r="C1926" s="10" t="s">
        <v>4</v>
      </c>
      <c r="D1926" s="5" t="s">
        <v>1824</v>
      </c>
      <c r="E1926" s="1" t="str">
        <f ca="1">IFERROR(__xludf.DUMMYFUNCTION("GOOGLETRANSLATE(D1926, ""bn"", ""en"")"),"Recently, the Hindu community has stopped the construction of a mosque on the land of Kantnagar temple in Dinajpur, raising one such complaint. But according to newspaper reports, mosque committee president Abdus Salam said, there was already a crude mosq"&amp;"ue here.")</f>
        <v>Recently, the Hindu community has stopped the construction of a mosque on the land of Kantnagar temple in Dinajpur, raising one such complaint. But according to newspaper reports, mosque committee president Abdus Salam said, there was already a crude mosque here.</v>
      </c>
      <c r="F1926" s="1"/>
      <c r="G1926" s="1"/>
      <c r="H1926" s="1"/>
      <c r="I1926" s="1"/>
    </row>
    <row r="1927" spans="1:9" ht="31.2" x14ac:dyDescent="0.3">
      <c r="A1927" s="1" t="s">
        <v>9</v>
      </c>
      <c r="B1927" s="1" t="s">
        <v>4</v>
      </c>
      <c r="C1927" s="10" t="s">
        <v>9</v>
      </c>
      <c r="D1927" s="6" t="s">
        <v>3913</v>
      </c>
      <c r="E1927" s="1" t="str">
        <f ca="1">IFERROR(__xludf.DUMMYFUNCTION("GOOGLETRANSLATE(D1927, ""bn"", ""en"")"),"The attack was prepared for several days. Sometimes extremists hold rallies. On Friday, November 10, 2017, at 3:30 pm during Friday prayers, it was said that the religion of Islam has been insulted and they should take revenge.")</f>
        <v>The attack was prepared for several days. Sometimes extremists hold rallies. On Friday, November 10, 2017, at 3:30 pm during Friday prayers, it was said that the religion of Islam has been insulted and they should take revenge.</v>
      </c>
      <c r="F1927" s="1"/>
      <c r="G1927" s="1"/>
      <c r="H1927" s="1"/>
      <c r="I1927" s="1"/>
    </row>
    <row r="1928" spans="1:9" ht="15.6" x14ac:dyDescent="0.3">
      <c r="A1928" s="1" t="s">
        <v>9</v>
      </c>
      <c r="B1928" s="1" t="s">
        <v>5</v>
      </c>
      <c r="C1928" s="10" t="s">
        <v>9</v>
      </c>
      <c r="D1928" s="5" t="s">
        <v>1825</v>
      </c>
      <c r="E1928" s="1" t="str">
        <f ca="1">IFERROR(__xludf.DUMMYFUNCTION("GOOGLETRANSLATE(D1928, ""bn"", ""en"")"),"In front of the National Press Club on Friday morning, the Bangladesh Jatiya Hindu Mahazot and the Bangladesh Hindu Parishad's separate charters referred to the attack in Shalla as hellish.")</f>
        <v>In front of the National Press Club on Friday morning, the Bangladesh Jatiya Hindu Mahazot and the Bangladesh Hindu Parishad's separate charters referred to the attack in Shalla as hellish.</v>
      </c>
      <c r="F1928" s="1"/>
      <c r="G1928" s="1"/>
      <c r="H1928" s="1"/>
      <c r="I1928" s="1"/>
    </row>
    <row r="1929" spans="1:9" ht="15.6" x14ac:dyDescent="0.3">
      <c r="A1929" s="1" t="s">
        <v>4</v>
      </c>
      <c r="B1929" s="1" t="s">
        <v>5</v>
      </c>
      <c r="C1929" s="10" t="s">
        <v>4</v>
      </c>
      <c r="D1929" s="5" t="s">
        <v>1826</v>
      </c>
      <c r="E1929" s="1" t="str">
        <f ca="1">IFERROR(__xludf.DUMMYFUNCTION("GOOGLETRANSLATE(D1929, ""bn"", ""en"")"),"Facebook has become active with various comments or statuses on the two-phase announcement of the National Moon Sighting Committee on the sighting of the moon in the month of Shawwal in Bangladesh.")</f>
        <v>Facebook has become active with various comments or statuses on the two-phase announcement of the National Moon Sighting Committee on the sighting of the moon in the month of Shawwal in Bangladesh.</v>
      </c>
      <c r="F1929" s="1"/>
      <c r="G1929" s="1"/>
      <c r="H1929" s="1"/>
      <c r="I1929" s="1"/>
    </row>
    <row r="1930" spans="1:9" ht="15.6" x14ac:dyDescent="0.3">
      <c r="A1930" s="1" t="s">
        <v>7</v>
      </c>
      <c r="B1930" s="1" t="s">
        <v>7</v>
      </c>
      <c r="C1930" s="10" t="s">
        <v>7</v>
      </c>
      <c r="D1930" s="5" t="s">
        <v>1827</v>
      </c>
      <c r="E1930" s="1" t="str">
        <f ca="1">IFERROR(__xludf.DUMMYFUNCTION("GOOGLETRANSLATE(D1930, ""bn"", ""en"")"),"Still, if you listened to Wednesday's radio program, you must have heard the report about those who died in the Chandpur temple attack.")</f>
        <v>Still, if you listened to Wednesday's radio program, you must have heard the report about those who died in the Chandpur temple attack.</v>
      </c>
      <c r="F1930" s="1"/>
      <c r="G1930" s="1"/>
      <c r="H1930" s="1"/>
      <c r="I1930" s="1"/>
    </row>
    <row r="1931" spans="1:9" ht="46.8" x14ac:dyDescent="0.3">
      <c r="A1931" s="1" t="s">
        <v>7</v>
      </c>
      <c r="B1931" s="1" t="s">
        <v>7</v>
      </c>
      <c r="C1931" s="10" t="s">
        <v>7</v>
      </c>
      <c r="D1931" s="6" t="s">
        <v>3912</v>
      </c>
      <c r="E1931" s="1" t="str">
        <f ca="1">IFERROR(__xludf.DUMMYFUNCTION("GOOGLETRANSLATE(D1931, ""bn"", ""en"")"),"The Akhira massacre was a massacre that took place on 17 April 1971 near Barihat in Dinajpur district of then East Pakistan. The massacre was carried out by Pakistani forces with the help of local Rajakars against the migrant Hindus.")</f>
        <v>The Akhira massacre was a massacre that took place on 17 April 1971 near Barihat in Dinajpur district of then East Pakistan. The massacre was carried out by Pakistani forces with the help of local Rajakars against the migrant Hindus.</v>
      </c>
      <c r="F1931" s="1"/>
      <c r="G1931" s="1"/>
      <c r="H1931" s="1"/>
      <c r="I1931" s="1"/>
    </row>
    <row r="1932" spans="1:9" ht="15.6" x14ac:dyDescent="0.3">
      <c r="A1932" s="1" t="s">
        <v>7</v>
      </c>
      <c r="B1932" s="1" t="s">
        <v>5</v>
      </c>
      <c r="C1932" s="10" t="s">
        <v>7</v>
      </c>
      <c r="D1932" s="5" t="s">
        <v>1828</v>
      </c>
      <c r="E1932" s="1" t="str">
        <f ca="1">IFERROR(__xludf.DUMMYFUNCTION("GOOGLETRANSLATE(D1932, ""bn"", ""en"")"),"Brother, will your religion be pulled everywhere? When a gentile teacher or friend of yours dies, do you laugh at their death or offer condolences?")</f>
        <v>Brother, will your religion be pulled everywhere? When a gentile teacher or friend of yours dies, do you laugh at their death or offer condolences?</v>
      </c>
      <c r="F1932" s="1"/>
      <c r="G1932" s="1"/>
      <c r="H1932" s="1"/>
      <c r="I1932" s="1"/>
    </row>
    <row r="1933" spans="1:9" ht="15.6" x14ac:dyDescent="0.3">
      <c r="A1933" s="1" t="s">
        <v>9</v>
      </c>
      <c r="B1933" s="1" t="s">
        <v>9</v>
      </c>
      <c r="C1933" s="10" t="s">
        <v>9</v>
      </c>
      <c r="D1933" s="5" t="s">
        <v>1829</v>
      </c>
      <c r="E1933" s="1" t="str">
        <f ca="1">IFERROR(__xludf.DUMMYFUNCTION("GOOGLETRANSLATE(D1933, ""bn"", ""en"")"),"Kali statue vandalized in Bagerhat, complaint lodged at police station")</f>
        <v>Kali statue vandalized in Bagerhat, complaint lodged at police station</v>
      </c>
      <c r="F1933" s="1"/>
      <c r="G1933" s="1"/>
      <c r="H1933" s="1"/>
      <c r="I1933" s="1"/>
    </row>
    <row r="1934" spans="1:9" ht="31.2" x14ac:dyDescent="0.3">
      <c r="A1934" s="1" t="s">
        <v>5</v>
      </c>
      <c r="B1934" s="1" t="s">
        <v>5</v>
      </c>
      <c r="C1934" s="10" t="s">
        <v>5</v>
      </c>
      <c r="D1934" s="6" t="s">
        <v>3911</v>
      </c>
      <c r="E1934" s="1" t="str">
        <f ca="1">IFERROR(__xludf.DUMMYFUNCTION("GOOGLETRANSLATE(D1934, ""bn"", ""en"")"),"When politics weakens, it ties in with religion, which politicians understand better how to represent religion properly, thus making the game more constructive.")</f>
        <v>When politics weakens, it ties in with religion, which politicians understand better how to represent religion properly, thus making the game more constructive.</v>
      </c>
      <c r="F1934" s="1"/>
      <c r="G1934" s="1"/>
      <c r="H1934" s="1"/>
      <c r="I1934" s="1"/>
    </row>
    <row r="1935" spans="1:9" ht="31.2" x14ac:dyDescent="0.3">
      <c r="A1935" s="1" t="s">
        <v>5</v>
      </c>
      <c r="B1935" s="1" t="s">
        <v>5</v>
      </c>
      <c r="C1935" s="10" t="s">
        <v>5</v>
      </c>
      <c r="D1935" s="6" t="s">
        <v>3910</v>
      </c>
      <c r="E1935" s="1" t="str">
        <f ca="1">IFERROR(__xludf.DUMMYFUNCTION("GOOGLETRANSLATE(D1935, ""bn"", ""en"")"),"Water is drunk from the well here. The army then advanced through the plains of Farsh Milal. The Muslims then crossed the small mountainous region of Yamama and reached Ushaira through the plains of Yanbu.[3][4] They planned to march there.")</f>
        <v>Water is drunk from the well here. The army then advanced through the plains of Farsh Milal. The Muslims then crossed the small mountainous region of Yamama and reached Ushaira through the plains of Yanbu.[3][4] They planned to march there.</v>
      </c>
      <c r="F1935" s="1"/>
      <c r="G1935" s="1"/>
      <c r="H1935" s="1"/>
      <c r="I1935" s="1"/>
    </row>
    <row r="1936" spans="1:9" ht="46.8" x14ac:dyDescent="0.3">
      <c r="A1936" s="1" t="s">
        <v>4</v>
      </c>
      <c r="B1936" s="1" t="s">
        <v>4</v>
      </c>
      <c r="C1936" s="10" t="s">
        <v>4</v>
      </c>
      <c r="D1936" s="6" t="s">
        <v>3909</v>
      </c>
      <c r="E1936" s="1" t="str">
        <f ca="1">IFERROR(__xludf.DUMMYFUNCTION("GOOGLETRANSLATE(D1936, ""bn"", ""en"")"),"Thousands of Muslim workers of Khulna Shipyard, Dada Company, Ispahani Company, Kata Company, Solman Company, etc., committed this heinous, inhuman act of brutality on Hindus. The Chairman of Loppur Union encouraged them to kill Hindus by supplying them w"&amp;"ith weapons.")</f>
        <v>Thousands of Muslim workers of Khulna Shipyard, Dada Company, Ispahani Company, Kata Company, Solman Company, etc., committed this heinous, inhuman act of brutality on Hindus. The Chairman of Loppur Union encouraged them to kill Hindus by supplying them with weapons.</v>
      </c>
      <c r="F1936" s="1"/>
      <c r="G1936" s="1"/>
      <c r="H1936" s="1"/>
      <c r="I1936" s="1"/>
    </row>
    <row r="1937" spans="1:9" ht="15.6" x14ac:dyDescent="0.3">
      <c r="A1937" s="1" t="s">
        <v>9</v>
      </c>
      <c r="B1937" s="1" t="s">
        <v>5</v>
      </c>
      <c r="C1937" s="10" t="s">
        <v>9</v>
      </c>
      <c r="D1937" s="5" t="s">
        <v>1830</v>
      </c>
      <c r="E1937" s="1" t="str">
        <f ca="1">IFERROR(__xludf.DUMMYFUNCTION("GOOGLETRANSLATE(D1937, ""bn"", ""en"")"),"Stop building mosques instead of temples. And if that place does not belong to a temple, then a mosque should not be built there.")</f>
        <v>Stop building mosques instead of temples. And if that place does not belong to a temple, then a mosque should not be built there.</v>
      </c>
      <c r="F1937" s="1"/>
      <c r="G1937" s="1"/>
      <c r="H1937" s="1"/>
      <c r="I1937" s="1"/>
    </row>
    <row r="1938" spans="1:9" ht="15.6" x14ac:dyDescent="0.3">
      <c r="A1938" s="1" t="s">
        <v>9</v>
      </c>
      <c r="B1938" s="1" t="s">
        <v>5</v>
      </c>
      <c r="C1938" s="10" t="s">
        <v>9</v>
      </c>
      <c r="D1938" s="5" t="s">
        <v>1831</v>
      </c>
      <c r="E1938" s="1" t="str">
        <f ca="1">IFERROR(__xludf.DUMMYFUNCTION("GOOGLETRANSLATE(D1938, ""bn"", ""en"")"),"As much as I feel bad for the desecration of my religious books today, I know that my Hindu friends in different parts of the country feel the same about the desecration of idols.")</f>
        <v>As much as I feel bad for the desecration of my religious books today, I know that my Hindu friends in different parts of the country feel the same about the desecration of idols.</v>
      </c>
      <c r="F1938" s="1"/>
      <c r="G1938" s="1"/>
      <c r="H1938" s="1"/>
      <c r="I1938" s="1"/>
    </row>
    <row r="1939" spans="1:9" ht="62.4" x14ac:dyDescent="0.3">
      <c r="A1939" s="1" t="s">
        <v>9</v>
      </c>
      <c r="B1939" s="1" t="s">
        <v>4</v>
      </c>
      <c r="C1939" s="10" t="s">
        <v>9</v>
      </c>
      <c r="D1939" s="6" t="s">
        <v>3908</v>
      </c>
      <c r="E1939" s="1" t="str">
        <f ca="1">IFERROR(__xludf.DUMMYFUNCTION("GOOGLETRANSLATE(D1939, ""bn"", ""en"")"),"The Palestinians are (if no country in the world shelters the Jews) the only country that has given shelter to these Jews and now the legal Jewish Israeli state is occupying and occupying the Palestinians illegally. _ What do you call this?")</f>
        <v>The Palestinians are (if no country in the world shelters the Jews) the only country that has given shelter to these Jews and now the legal Jewish Israeli state is occupying and occupying the Palestinians illegally. _ What do you call this?</v>
      </c>
      <c r="F1939" s="1"/>
      <c r="G1939" s="1"/>
      <c r="H1939" s="1"/>
      <c r="I1939" s="1"/>
    </row>
    <row r="1940" spans="1:9" ht="31.2" x14ac:dyDescent="0.3">
      <c r="A1940" s="1" t="s">
        <v>5</v>
      </c>
      <c r="B1940" s="1" t="s">
        <v>5</v>
      </c>
      <c r="C1940" s="10" t="s">
        <v>5</v>
      </c>
      <c r="D1940" s="6" t="s">
        <v>3907</v>
      </c>
      <c r="E1940" s="1" t="str">
        <f ca="1">IFERROR(__xludf.DUMMYFUNCTION("GOOGLETRANSLATE(D1940, ""bn"", ""en"")"),"I have not seen Swaraswati Puja anywhere outside Jagannath Hall. How many years have I been in DU today? Jagannath is a separate place for Hindu Buddhist Christians. I have not seen the worship ceremony in Battala, department, faculty till date.")</f>
        <v>I have not seen Swaraswati Puja anywhere outside Jagannath Hall. How many years have I been in DU today? Jagannath is a separate place for Hindu Buddhist Christians. I have not seen the worship ceremony in Battala, department, faculty till date.</v>
      </c>
      <c r="F1940" s="1"/>
      <c r="G1940" s="1"/>
      <c r="H1940" s="1"/>
      <c r="I1940" s="1"/>
    </row>
    <row r="1941" spans="1:9" ht="62.4" x14ac:dyDescent="0.3">
      <c r="A1941" s="1" t="s">
        <v>7</v>
      </c>
      <c r="B1941" s="1" t="s">
        <v>7</v>
      </c>
      <c r="C1941" s="10" t="s">
        <v>7</v>
      </c>
      <c r="D1941" s="6" t="s">
        <v>3906</v>
      </c>
      <c r="E1941" s="1" t="str">
        <f ca="1">IFERROR(__xludf.DUMMYFUNCTION("GOOGLETRANSLATE(D1941, ""bn"", ""en"")"),"Abraham Foxman, chairman of the Anti-Defamation League in the United States, compared it to the regime of Nazi Germany. Where Jews were required to wear labels that identified them and [265] comparisons were drawn by Tom Lantos, a California Democrat and "&amp;"Holocaust survivor, and Eliot L. Engel, a New York Democrat and anti-Hindu activist, author of the bipartisan 'Sense of the Congress'.")</f>
        <v>Abraham Foxman, chairman of the Anti-Defamation League in the United States, compared it to the regime of Nazi Germany. Where Jews were required to wear labels that identified them and [265] comparisons were drawn by Tom Lantos, a California Democrat and Holocaust survivor, and Eliot L. Engel, a New York Democrat and anti-Hindu activist, author of the bipartisan 'Sense of the Congress'.</v>
      </c>
      <c r="F1941" s="1"/>
      <c r="G1941" s="1"/>
      <c r="H1941" s="1"/>
      <c r="I1941" s="1"/>
    </row>
    <row r="1942" spans="1:9" ht="15.6" x14ac:dyDescent="0.3">
      <c r="A1942" s="1" t="s">
        <v>5</v>
      </c>
      <c r="B1942" s="1" t="s">
        <v>5</v>
      </c>
      <c r="C1942" s="10" t="s">
        <v>5</v>
      </c>
      <c r="D1942" s="5" t="s">
        <v>1832</v>
      </c>
      <c r="E1942" s="1" t="str">
        <f ca="1">IFERROR(__xludf.DUMMYFUNCTION("GOOGLETRANSLATE(D1942, ""bn"", ""en"")"),"Peace and love are the natural states of Hinduism, which are beneficial to all living beings.")</f>
        <v>Peace and love are the natural states of Hinduism, which are beneficial to all living beings.</v>
      </c>
      <c r="F1942" s="1"/>
      <c r="G1942" s="1"/>
      <c r="H1942" s="1"/>
      <c r="I1942" s="1"/>
    </row>
    <row r="1943" spans="1:9" ht="15.6" x14ac:dyDescent="0.3">
      <c r="A1943" s="1" t="s">
        <v>7</v>
      </c>
      <c r="B1943" s="1" t="s">
        <v>7</v>
      </c>
      <c r="C1943" s="10" t="s">
        <v>7</v>
      </c>
      <c r="D1943" s="5" t="s">
        <v>1833</v>
      </c>
      <c r="E1943" s="1" t="str">
        <f ca="1">IFERROR(__xludf.DUMMYFUNCTION("GOOGLETRANSLATE(D1943, ""bn"", ""en"")"),"He committed suicide so can't post about him. If he was a Muslim, he would never have committed suicide, other religions did the same.")</f>
        <v>He committed suicide so can't post about him. If he was a Muslim, he would never have committed suicide, other religions did the same.</v>
      </c>
      <c r="F1943" s="1"/>
      <c r="G1943" s="1"/>
      <c r="H1943" s="1"/>
      <c r="I1943" s="1"/>
    </row>
    <row r="1944" spans="1:9" ht="46.8" x14ac:dyDescent="0.3">
      <c r="A1944" s="1" t="s">
        <v>9</v>
      </c>
      <c r="B1944" s="1" t="s">
        <v>9</v>
      </c>
      <c r="C1944" s="10" t="s">
        <v>9</v>
      </c>
      <c r="D1944" s="6" t="s">
        <v>3905</v>
      </c>
      <c r="E1944" s="1" t="str">
        <f ca="1">IFERROR(__xludf.DUMMYFUNCTION("GOOGLETRANSLATE(D1944, ""bn"", ""en"")"),"On October 30, while the then President of Bangladesh Hussain Muhammad Ershad was addressing a youth conference at his residence, Bangabhaban, armed Muslims set fire to a Gaudiya monastery south of Bangabhaban and indiscriminately looted and attacked Hind"&amp;"u-owned businesses.")</f>
        <v>On October 30, while the then President of Bangladesh Hussain Muhammad Ershad was addressing a youth conference at his residence, Bangabhaban, armed Muslims set fire to a Gaudiya monastery south of Bangabhaban and indiscriminately looted and attacked Hindu-owned businesses.</v>
      </c>
      <c r="F1944" s="1"/>
      <c r="G1944" s="1"/>
      <c r="H1944" s="1"/>
      <c r="I1944" s="1"/>
    </row>
    <row r="1945" spans="1:9" ht="31.2" x14ac:dyDescent="0.3">
      <c r="A1945" s="4" t="s">
        <v>7</v>
      </c>
      <c r="B1945" s="4" t="s">
        <v>7</v>
      </c>
      <c r="C1945" s="11" t="s">
        <v>7</v>
      </c>
      <c r="D1945" s="6" t="s">
        <v>3904</v>
      </c>
      <c r="E1945" s="1" t="str">
        <f ca="1">IFERROR(__xludf.DUMMYFUNCTION("GOOGLETRANSLATE(D1945, ""bn"", ""en"")"),"A devastating communal riot broke out in Bihar in late 1946. A large-scale massacre in Bihar between October 30 and November 7 led to the inevitable partition of the country.")</f>
        <v>A devastating communal riot broke out in Bihar in late 1946. A large-scale massacre in Bihar between October 30 and November 7 led to the inevitable partition of the country.</v>
      </c>
      <c r="F1945" s="1"/>
      <c r="G1945" s="1"/>
      <c r="H1945" s="1"/>
      <c r="I1945" s="1"/>
    </row>
    <row r="1946" spans="1:9" ht="15.6" x14ac:dyDescent="0.3">
      <c r="A1946" s="1" t="s">
        <v>4</v>
      </c>
      <c r="B1946" s="1" t="s">
        <v>5</v>
      </c>
      <c r="C1946" s="10" t="s">
        <v>4</v>
      </c>
      <c r="D1946" s="5" t="s">
        <v>1834</v>
      </c>
      <c r="E1946" s="1" t="str">
        <f ca="1">IFERROR(__xludf.DUMMYFUNCTION("GOOGLETRANSLATE(D1946, ""bn"", ""en"")"),"I can't accept insults with greetings. I have not yet become your civil servant. Do not talk bad about Islam.")</f>
        <v>I can't accept insults with greetings. I have not yet become your civil servant. Do not talk bad about Islam.</v>
      </c>
      <c r="F1946" s="1"/>
      <c r="G1946" s="1"/>
      <c r="H1946" s="1"/>
      <c r="I1946" s="1"/>
    </row>
    <row r="1947" spans="1:9" ht="46.8" x14ac:dyDescent="0.3">
      <c r="A1947" s="1" t="s">
        <v>7</v>
      </c>
      <c r="B1947" s="1" t="s">
        <v>7</v>
      </c>
      <c r="C1947" s="10" t="s">
        <v>7</v>
      </c>
      <c r="D1947" s="6" t="s">
        <v>3903</v>
      </c>
      <c r="E1947" s="1" t="str">
        <f ca="1">IFERROR(__xludf.DUMMYFUNCTION("GOOGLETRANSLATE(D1947, ""bn"", ""en"")"),"The Prophet (peace and blessings of Allah be upon him) said, ""None of you should expect death in any way and should not pray for it before it comes."" For when one of you dies, his deeds cease. And the long life of the believer brings only welfare for hi"&amp;"m.")</f>
        <v>The Prophet (peace and blessings of Allah be upon him) said, "None of you should expect death in any way and should not pray for it before it comes." For when one of you dies, his deeds cease. And the long life of the believer brings only welfare for him.</v>
      </c>
      <c r="F1947" s="1"/>
      <c r="G1947" s="1"/>
      <c r="H1947" s="1"/>
      <c r="I1947" s="1"/>
    </row>
    <row r="1948" spans="1:9" ht="31.2" x14ac:dyDescent="0.3">
      <c r="A1948" s="1" t="s">
        <v>7</v>
      </c>
      <c r="B1948" s="1" t="s">
        <v>7</v>
      </c>
      <c r="C1948" s="10" t="s">
        <v>7</v>
      </c>
      <c r="D1948" s="6" t="s">
        <v>3902</v>
      </c>
      <c r="E1948" s="1" t="str">
        <f ca="1">IFERROR(__xludf.DUMMYFUNCTION("GOOGLETRANSLATE(D1948, ""bn"", ""en"")")," Muslims were abducted and shot dead by unidentified miscreants in Barui at night. Another villager named Vinod Bihari Barui, who defended the village during the attack, was strangled to death. Later the case disappeared from the court as well as the poli"&amp;"ce station.")</f>
        <v xml:space="preserve"> Muslims were abducted and shot dead by unidentified miscreants in Barui at night. Another villager named Vinod Bihari Barui, who defended the village during the attack, was strangled to death. Later the case disappeared from the court as well as the police station.</v>
      </c>
      <c r="F1948" s="1"/>
      <c r="G1948" s="1"/>
      <c r="H1948" s="1"/>
      <c r="I1948" s="1"/>
    </row>
    <row r="1949" spans="1:9" ht="31.2" x14ac:dyDescent="0.3">
      <c r="A1949" s="1" t="s">
        <v>9</v>
      </c>
      <c r="B1949" s="1" t="s">
        <v>9</v>
      </c>
      <c r="C1949" s="10" t="s">
        <v>9</v>
      </c>
      <c r="D1949" s="6" t="s">
        <v>3901</v>
      </c>
      <c r="E1949" s="1" t="str">
        <f ca="1">IFERROR(__xludf.DUMMYFUNCTION("GOOGLETRANSLATE(D1949, ""bn"", ""en"")"),"Prabir Kumar Biswas, President of Central Hari Mandir and President of Upazila Puja Celebration Committee, told Prothom Alo that three temple idols were vandalized between 1:00 AM on Friday and 6:00 AM on Saturday. ")</f>
        <v xml:space="preserve">Prabir Kumar Biswas, President of Central Hari Mandir and President of Upazila Puja Celebration Committee, told Prothom Alo that three temple idols were vandalized between 1:00 AM on Friday and 6:00 AM on Saturday. </v>
      </c>
      <c r="F1949" s="1"/>
      <c r="G1949" s="1"/>
      <c r="H1949" s="1"/>
      <c r="I1949" s="1"/>
    </row>
    <row r="1950" spans="1:9" ht="15.6" x14ac:dyDescent="0.3">
      <c r="A1950" s="1" t="s">
        <v>7</v>
      </c>
      <c r="B1950" s="1" t="s">
        <v>7</v>
      </c>
      <c r="C1950" s="10" t="s">
        <v>7</v>
      </c>
      <c r="D1950" s="5" t="s">
        <v>1835</v>
      </c>
      <c r="E1950" s="1" t="str">
        <f ca="1">IFERROR(__xludf.DUMMYFUNCTION("GOOGLETRANSLATE(D1950, ""bn"", ""en"")"),"No religion in the world supports suicide. ")</f>
        <v>No religion in the world supports suicide. </v>
      </c>
      <c r="F1950" s="1"/>
      <c r="G1950" s="1"/>
      <c r="H1950" s="1"/>
      <c r="I1950" s="1"/>
    </row>
    <row r="1951" spans="1:9" ht="31.2" x14ac:dyDescent="0.3">
      <c r="A1951" s="1" t="s">
        <v>5</v>
      </c>
      <c r="B1951" s="1" t="s">
        <v>5</v>
      </c>
      <c r="C1951" s="10" t="s">
        <v>5</v>
      </c>
      <c r="D1951" s="6" t="s">
        <v>3900</v>
      </c>
      <c r="E1951" s="1" t="str">
        <f ca="1">IFERROR(__xludf.DUMMYFUNCTION("GOOGLETRANSLATE(D1951, ""bn"", ""en"")"),"They thought that all the religions in the world have the same principle. Even in the small differences of religions there is a great unity. People have deliberately created differences in religion.")</f>
        <v>They thought that all the religions in the world have the same principle. Even in the small differences of religions there is a great unity. People have deliberately created differences in religion.</v>
      </c>
      <c r="F1951" s="1"/>
      <c r="G1951" s="1"/>
      <c r="H1951" s="1"/>
      <c r="I1951" s="1"/>
    </row>
    <row r="1952" spans="1:9" ht="15.6" x14ac:dyDescent="0.3">
      <c r="A1952" s="1" t="s">
        <v>9</v>
      </c>
      <c r="B1952" s="1" t="s">
        <v>9</v>
      </c>
      <c r="C1952" s="10" t="s">
        <v>9</v>
      </c>
      <c r="D1952" s="5" t="s">
        <v>1836</v>
      </c>
      <c r="E1952" s="1" t="str">
        <f ca="1">IFERROR(__xludf.DUMMYFUNCTION("GOOGLETRANSLATE(D1952, ""bn"", ""en"")"),"Miscreants attacked, looted and set fire to 12 Buddhist monasteries in Ramu, Cox's Bazar at midnight on September 29, 2012.")</f>
        <v>Miscreants attacked, looted and set fire to 12 Buddhist monasteries in Ramu, Cox's Bazar at midnight on September 29, 2012.</v>
      </c>
      <c r="F1952" s="1"/>
      <c r="G1952" s="1"/>
      <c r="H1952" s="1"/>
      <c r="I1952" s="1"/>
    </row>
    <row r="1953" spans="1:9" ht="46.8" x14ac:dyDescent="0.3">
      <c r="A1953" s="1" t="s">
        <v>4</v>
      </c>
      <c r="B1953" s="1" t="s">
        <v>5</v>
      </c>
      <c r="C1953" s="10" t="s">
        <v>4</v>
      </c>
      <c r="D1953" s="6" t="s">
        <v>3899</v>
      </c>
      <c r="E1953" s="1" t="str">
        <f ca="1">IFERROR(__xludf.DUMMYFUNCTION("GOOGLETRANSLATE(D1953, ""bn"", ""en"")"),"We have given information about the cycle to the Ministry of Home Affairs several times but nothing has been done And the police administration did not take any action to stop any attack even though they received information in advance."" He said, ""They "&amp;"want to expel Hindus from Bangladesh. Wants to grab the wealth of Hindus for political gain")</f>
        <v>We have given information about the cycle to the Ministry of Home Affairs several times but nothing has been done And the police administration did not take any action to stop any attack even though they received information in advance." He said, "They want to expel Hindus from Bangladesh. Wants to grab the wealth of Hindus for political gain</v>
      </c>
      <c r="F1953" s="1"/>
      <c r="G1953" s="1"/>
      <c r="H1953" s="1"/>
      <c r="I1953" s="1"/>
    </row>
    <row r="1954" spans="1:9" ht="15.6" x14ac:dyDescent="0.3">
      <c r="A1954" s="1" t="s">
        <v>4</v>
      </c>
      <c r="B1954" s="1" t="s">
        <v>4</v>
      </c>
      <c r="C1954" s="10" t="s">
        <v>4</v>
      </c>
      <c r="D1954" s="5" t="s">
        <v>1837</v>
      </c>
      <c r="E1954" s="1" t="str">
        <f ca="1">IFERROR(__xludf.DUMMYFUNCTION("GOOGLETRANSLATE(D1954, ""bn"", ""en"")"),"Many innocent people were arrested due to this incident. In particular, he alleged that many Muslim residents were evicted from their homes by making false allegations out of personal enmity.")</f>
        <v>Many innocent people were arrested due to this incident. In particular, he alleged that many Muslim residents were evicted from their homes by making false allegations out of personal enmity.</v>
      </c>
      <c r="F1954" s="1"/>
      <c r="G1954" s="1"/>
      <c r="H1954" s="1"/>
      <c r="I1954" s="1"/>
    </row>
    <row r="1955" spans="1:9" ht="15.6" x14ac:dyDescent="0.3">
      <c r="A1955" s="1" t="s">
        <v>4</v>
      </c>
      <c r="B1955" s="1" t="s">
        <v>5</v>
      </c>
      <c r="C1955" s="10" t="s">
        <v>4</v>
      </c>
      <c r="D1955" s="5" t="s">
        <v>1838</v>
      </c>
      <c r="E1955" s="1" t="str">
        <f ca="1">IFERROR(__xludf.DUMMYFUNCTION("GOOGLETRANSLATE(D1955, ""bn"", ""en"")"),"After Kerr's post yesterday, many people have asked how much of a problem it is? I repeat this law is an apocalyptic law irrespective of caste, religion, language.")</f>
        <v>After Kerr's post yesterday, many people have asked how much of a problem it is? I repeat this law is an apocalyptic law irrespective of caste, religion, language.</v>
      </c>
      <c r="F1955" s="1"/>
      <c r="G1955" s="1"/>
      <c r="H1955" s="1"/>
      <c r="I1955" s="1"/>
    </row>
    <row r="1956" spans="1:9" ht="15.6" x14ac:dyDescent="0.3">
      <c r="A1956" s="1" t="s">
        <v>4</v>
      </c>
      <c r="B1956" s="1" t="s">
        <v>4</v>
      </c>
      <c r="C1956" s="10" t="s">
        <v>4</v>
      </c>
      <c r="D1956" s="5" t="s">
        <v>1839</v>
      </c>
      <c r="E1956" s="1" t="str">
        <f ca="1">IFERROR(__xludf.DUMMYFUNCTION("GOOGLETRANSLATE(D1956, ""bn"", ""en"")"),"Allah does not know what punishment you will give to these infidels. Allah who insult your Quran. You punish them in such a way that no one else will do such a thing.")</f>
        <v>Allah does not know what punishment you will give to these infidels. Allah who insult your Quran. You punish them in such a way that no one else will do such a thing.</v>
      </c>
      <c r="F1956" s="1"/>
      <c r="G1956" s="1"/>
      <c r="H1956" s="1"/>
      <c r="I1956" s="1"/>
    </row>
    <row r="1957" spans="1:9" ht="15.6" x14ac:dyDescent="0.3">
      <c r="A1957" s="1" t="s">
        <v>4</v>
      </c>
      <c r="B1957" s="1" t="s">
        <v>5</v>
      </c>
      <c r="C1957" s="10" t="s">
        <v>4</v>
      </c>
      <c r="D1957" s="5" t="s">
        <v>1840</v>
      </c>
      <c r="E1957" s="1" t="str">
        <f ca="1">IFERROR(__xludf.DUMMYFUNCTION("GOOGLETRANSLATE(D1957, ""bn"", ""en"")"),"Women don't want to follow religion, they marry whoever they find, they only understand two things, chat and stomach.")</f>
        <v>Women don't want to follow religion, they marry whoever they find, they only understand two things, chat and stomach.</v>
      </c>
      <c r="F1957" s="1"/>
      <c r="G1957" s="1"/>
      <c r="H1957" s="1"/>
      <c r="I1957" s="1"/>
    </row>
    <row r="1958" spans="1:9" ht="31.2" x14ac:dyDescent="0.3">
      <c r="A1958" s="1" t="s">
        <v>5</v>
      </c>
      <c r="B1958" s="1" t="s">
        <v>5</v>
      </c>
      <c r="C1958" s="10" t="s">
        <v>5</v>
      </c>
      <c r="D1958" s="6" t="s">
        <v>3898</v>
      </c>
      <c r="E1958" s="1" t="str">
        <f ca="1">IFERROR(__xludf.DUMMYFUNCTION("GOOGLETRANSLATE(D1958, ""bn"", ""en"")"),"ISKCON has long been banned in Singapore since its inception. The association's registration was withheld. But later ISKCON activities started in that country with a different name, now there is a temple and ISKCON devotees work openly.")</f>
        <v>ISKCON has long been banned in Singapore since its inception. The association's registration was withheld. But later ISKCON activities started in that country with a different name, now there is a temple and ISKCON devotees work openly.</v>
      </c>
      <c r="F1958" s="1"/>
      <c r="G1958" s="1"/>
      <c r="H1958" s="1"/>
      <c r="I1958" s="1"/>
    </row>
    <row r="1959" spans="1:9" ht="15.6" x14ac:dyDescent="0.3">
      <c r="A1959" s="1" t="s">
        <v>4</v>
      </c>
      <c r="B1959" s="1" t="s">
        <v>4</v>
      </c>
      <c r="C1959" s="10" t="s">
        <v>4</v>
      </c>
      <c r="D1959" s="5" t="s">
        <v>1841</v>
      </c>
      <c r="E1959" s="1" t="str">
        <f ca="1">IFERROR(__xludf.DUMMYFUNCTION("GOOGLETRANSLATE(D1959, ""bn"", ""en"")"),"Most Christians view Islam as a false religion because its followers reject the Trinity, the divinity of Christ, and the crucifixion and resurrection of Christ.")</f>
        <v>Most Christians view Islam as a false religion because its followers reject the Trinity, the divinity of Christ, and the crucifixion and resurrection of Christ.</v>
      </c>
      <c r="F1959" s="1"/>
      <c r="G1959" s="1"/>
      <c r="H1959" s="1"/>
      <c r="I1959" s="1"/>
    </row>
    <row r="1960" spans="1:9" ht="15.6" x14ac:dyDescent="0.3">
      <c r="A1960" s="1" t="s">
        <v>5</v>
      </c>
      <c r="B1960" s="1" t="s">
        <v>5</v>
      </c>
      <c r="C1960" s="10" t="s">
        <v>5</v>
      </c>
      <c r="D1960" s="5" t="s">
        <v>1842</v>
      </c>
      <c r="E1960" s="1" t="str">
        <f ca="1">IFERROR(__xludf.DUMMYFUNCTION("GOOGLETRANSLATE(D1960, ""bn"", ""en"")"),"If you love Allah and His Messenger, you must be engaged in regular prayers and be madly in love with Allah to enter Paradise. Then you can be Ashek.")</f>
        <v>If you love Allah and His Messenger, you must be engaged in regular prayers and be madly in love with Allah to enter Paradise. Then you can be Ashek.</v>
      </c>
      <c r="F1960" s="1"/>
      <c r="G1960" s="1"/>
      <c r="H1960" s="1"/>
      <c r="I1960" s="1"/>
    </row>
    <row r="1961" spans="1:9" ht="15.6" x14ac:dyDescent="0.3">
      <c r="A1961" s="1" t="s">
        <v>4</v>
      </c>
      <c r="B1961" s="1" t="s">
        <v>4</v>
      </c>
      <c r="C1961" s="10" t="s">
        <v>4</v>
      </c>
      <c r="D1961" s="5" t="s">
        <v>1843</v>
      </c>
      <c r="E1961" s="1" t="str">
        <f ca="1">IFERROR(__xludf.DUMMYFUNCTION("GOOGLETRANSLATE(D1961, ""bn"", ""en"")"),"Respecting your religious sentiments, shirk is the biggest crime in our religion, but repentance can be forgiven.")</f>
        <v>Respecting your religious sentiments, shirk is the biggest crime in our religion, but repentance can be forgiven.</v>
      </c>
      <c r="F1961" s="1"/>
      <c r="G1961" s="1"/>
      <c r="H1961" s="1"/>
      <c r="I1961" s="1"/>
    </row>
    <row r="1962" spans="1:9" ht="15.6" x14ac:dyDescent="0.3">
      <c r="A1962" s="1" t="s">
        <v>5</v>
      </c>
      <c r="B1962" s="1" t="s">
        <v>5</v>
      </c>
      <c r="C1962" s="10" t="s">
        <v>5</v>
      </c>
      <c r="D1962" s="5" t="s">
        <v>1844</v>
      </c>
      <c r="E1962" s="1" t="str">
        <f ca="1">IFERROR(__xludf.DUMMYFUNCTION("GOOGLETRANSLATE(D1962, ""bn"", ""en"")"),"I can't explain, this video broke my heart, by Allah, nothing could be better than this. ")</f>
        <v xml:space="preserve">I can't explain, this video broke my heart, by Allah, nothing could be better than this. </v>
      </c>
      <c r="F1962" s="1"/>
      <c r="G1962" s="1"/>
      <c r="H1962" s="1"/>
      <c r="I1962" s="1"/>
    </row>
    <row r="1963" spans="1:9" ht="46.8" x14ac:dyDescent="0.3">
      <c r="A1963" s="1" t="s">
        <v>9</v>
      </c>
      <c r="B1963" s="1" t="s">
        <v>9</v>
      </c>
      <c r="C1963" s="10" t="s">
        <v>9</v>
      </c>
      <c r="D1963" s="6" t="s">
        <v>3897</v>
      </c>
      <c r="E1963" s="1" t="str">
        <f ca="1">IFERROR(__xludf.DUMMYFUNCTION("GOOGLETRANSLATE(D1963, ""bn"", ""en"")"),"King Mihirakula (reigned 515 AD) suppressed Buddhism. He even destroyed the existing Buddhist temples. [Note: The White Huns later adopted Rajput Hinduism for the welfare of the Brahmins and became hostile to Buddhism.] And these Buddhist monasteries were"&amp;" destroyed long before Islam entered these regions.")</f>
        <v>King Mihirakula (reigned 515 AD) suppressed Buddhism. He even destroyed the existing Buddhist temples. [Note: The White Huns later adopted Rajput Hinduism for the welfare of the Brahmins and became hostile to Buddhism.] And these Buddhist monasteries were destroyed long before Islam entered these regions.</v>
      </c>
      <c r="F1963" s="1"/>
      <c r="G1963" s="1"/>
      <c r="H1963" s="1"/>
      <c r="I1963" s="1"/>
    </row>
    <row r="1964" spans="1:9" ht="15.6" x14ac:dyDescent="0.3">
      <c r="A1964" s="1" t="s">
        <v>4</v>
      </c>
      <c r="B1964" s="1" t="s">
        <v>5</v>
      </c>
      <c r="C1964" s="10" t="s">
        <v>5</v>
      </c>
      <c r="D1964" s="5" t="s">
        <v>1845</v>
      </c>
      <c r="E1964" s="1" t="str">
        <f ca="1">IFERROR(__xludf.DUMMYFUNCTION("GOOGLETRANSLATE(D1964, ""bn"", ""en"")"),"Our chairman has made a place for praying in the corner of the department despite the fact that there is a mosque next to it.")</f>
        <v>Our chairman has made a place for praying in the corner of the department despite the fact that there is a mosque next to it.</v>
      </c>
      <c r="F1964" s="1"/>
      <c r="G1964" s="1"/>
      <c r="H1964" s="1"/>
      <c r="I1964" s="1"/>
    </row>
    <row r="1965" spans="1:9" ht="15.6" x14ac:dyDescent="0.3">
      <c r="A1965" s="1" t="s">
        <v>5</v>
      </c>
      <c r="B1965" s="1" t="s">
        <v>5</v>
      </c>
      <c r="C1965" s="10" t="s">
        <v>5</v>
      </c>
      <c r="D1965" s="5" t="s">
        <v>1846</v>
      </c>
      <c r="E1965" s="1" t="str">
        <f ca="1">IFERROR(__xludf.DUMMYFUNCTION("GOOGLETRANSLATE(D1965, ""bn"", ""en"")"),"Aaron Bushlen, who sacrificed his life for the freedom-seeking people of Palestine, is a symbol of human civilization in the world.")</f>
        <v>Aaron Bushlen, who sacrificed his life for the freedom-seeking people of Palestine, is a symbol of human civilization in the world.</v>
      </c>
      <c r="F1965" s="1"/>
      <c r="G1965" s="1"/>
      <c r="H1965" s="1"/>
      <c r="I1965" s="1"/>
    </row>
    <row r="1966" spans="1:9" ht="46.8" x14ac:dyDescent="0.3">
      <c r="A1966" s="1" t="s">
        <v>5</v>
      </c>
      <c r="B1966" s="1" t="s">
        <v>5</v>
      </c>
      <c r="C1966" s="10" t="s">
        <v>5</v>
      </c>
      <c r="D1966" s="6" t="s">
        <v>3896</v>
      </c>
      <c r="E1966" s="1" t="str">
        <f ca="1">IFERROR(__xludf.DUMMYFUNCTION("GOOGLETRANSLATE(D1966, ""bn"", ""en"")"),"Eighty-three years ago, the Hindu Widows' Property Act of 1937 gave only widows rights to the husband's estate. Now, in the context of a High Court judgment, Hindu widows will be entitled to all the property of their husbands. Very relevantly, the issue o"&amp;"f Hindu women securing their right to her father's property also came up in the discussion.")</f>
        <v>Eighty-three years ago, the Hindu Widows' Property Act of 1937 gave only widows rights to the husband's estate. Now, in the context of a High Court judgment, Hindu widows will be entitled to all the property of their husbands. Very relevantly, the issue of Hindu women securing their right to her father's property also came up in the discussion.</v>
      </c>
      <c r="F1966" s="1"/>
      <c r="G1966" s="1"/>
      <c r="H1966" s="1"/>
      <c r="I1966" s="1"/>
    </row>
    <row r="1967" spans="1:9" ht="15.6" x14ac:dyDescent="0.3">
      <c r="A1967" s="1" t="s">
        <v>5</v>
      </c>
      <c r="B1967" s="1" t="s">
        <v>5</v>
      </c>
      <c r="C1967" s="10" t="s">
        <v>5</v>
      </c>
      <c r="D1967" s="5" t="s">
        <v>1847</v>
      </c>
      <c r="E1967" s="1" t="str">
        <f ca="1">IFERROR(__xludf.DUMMYFUNCTION("GOOGLETRANSLATE(D1967,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F1967" s="1"/>
      <c r="G1967" s="1"/>
      <c r="H1967" s="1"/>
      <c r="I1967" s="1"/>
    </row>
    <row r="1968" spans="1:9" ht="15.6" x14ac:dyDescent="0.3">
      <c r="A1968" s="1" t="s">
        <v>5</v>
      </c>
      <c r="B1968" s="1" t="s">
        <v>5</v>
      </c>
      <c r="C1968" s="10" t="s">
        <v>5</v>
      </c>
      <c r="D1968" s="5" t="s">
        <v>1848</v>
      </c>
      <c r="E1968" s="1" t="str">
        <f ca="1">IFERROR(__xludf.DUMMYFUNCTION("GOOGLETRANSLATE(D1968, ""bn"", ""en"")"),"At first I felt very sorry to see this post. My point is that if you want to protect Sanatan Dharma, first educate your sons and daughters in religious education.")</f>
        <v>At first I felt very sorry to see this post. My point is that if you want to protect Sanatan Dharma, first educate your sons and daughters in religious education.</v>
      </c>
      <c r="F1968" s="1"/>
      <c r="G1968" s="1"/>
      <c r="H1968" s="1"/>
      <c r="I1968" s="1"/>
    </row>
    <row r="1969" spans="1:9" ht="15.6" x14ac:dyDescent="0.3">
      <c r="A1969" s="1" t="s">
        <v>5</v>
      </c>
      <c r="B1969" s="1" t="s">
        <v>5</v>
      </c>
      <c r="C1969" s="10" t="s">
        <v>5</v>
      </c>
      <c r="D1969" s="5" t="s">
        <v>1849</v>
      </c>
      <c r="E1969" s="1" t="str">
        <f ca="1">IFERROR(__xludf.DUMMYFUNCTION("GOOGLETRANSLATE(D1969, ""bn"", ""en"")"),"Justice, education and religion are mentioned in every scripture.")</f>
        <v>Justice, education and religion are mentioned in every scripture.</v>
      </c>
      <c r="F1969" s="1"/>
      <c r="G1969" s="1"/>
      <c r="H1969" s="1"/>
      <c r="I1969" s="1"/>
    </row>
    <row r="1970" spans="1:9" ht="15.6" x14ac:dyDescent="0.3">
      <c r="A1970" s="1" t="s">
        <v>5</v>
      </c>
      <c r="B1970" s="1" t="s">
        <v>5</v>
      </c>
      <c r="C1970" s="10" t="s">
        <v>5</v>
      </c>
      <c r="D1970" s="5" t="s">
        <v>1850</v>
      </c>
      <c r="E1970" s="1" t="str">
        <f ca="1">IFERROR(__xludf.DUMMYFUNCTION("GOOGLETRANSLATE(D1970, ""bn"", ""en"")"),"Hinduism emphasizes resilience and self-confidence to face life's crises.")</f>
        <v>Hinduism emphasizes resilience and self-confidence to face life's crises.</v>
      </c>
      <c r="F1970" s="1"/>
      <c r="G1970" s="1"/>
      <c r="H1970" s="1"/>
      <c r="I1970" s="1"/>
    </row>
    <row r="1971" spans="1:9" ht="15.6" x14ac:dyDescent="0.3">
      <c r="A1971" s="1" t="s">
        <v>7</v>
      </c>
      <c r="B1971" s="1" t="s">
        <v>7</v>
      </c>
      <c r="C1971" s="10" t="s">
        <v>7</v>
      </c>
      <c r="D1971" s="5" t="s">
        <v>1851</v>
      </c>
      <c r="E1971" s="1" t="str">
        <f ca="1">IFERROR(__xludf.DUMMYFUNCTION("GOOGLETRANSLATE(D1971, ""bn"", ""en"")")," After the massacre, Nadia became a deserted village and the dead bodies lay there for lack of cremation. The skeletons of Kamini Kumar Dev and his wife were recovered from their burnt house two days later. As the stench of the corpses became unbearable, "&amp;"the Rajakars asked their relatives to bury the corpses or threatened to kill them.")</f>
        <v> After the massacre, Nadia became a deserted village and the dead bodies lay there for lack of cremation. The skeletons of Kamini Kumar Dev and his wife were recovered from their burnt house two days later. As the stench of the corpses became unbearable, the Rajakars asked their relatives to bury the corpses or threatened to kill them.</v>
      </c>
      <c r="F1971" s="1"/>
      <c r="G1971" s="1"/>
      <c r="H1971" s="1"/>
      <c r="I1971" s="1"/>
    </row>
    <row r="1972" spans="1:9" ht="15.6" x14ac:dyDescent="0.3">
      <c r="A1972" s="1" t="s">
        <v>9</v>
      </c>
      <c r="B1972" s="1" t="s">
        <v>9</v>
      </c>
      <c r="C1972" s="10" t="s">
        <v>9</v>
      </c>
      <c r="D1972" s="5" t="s">
        <v>1852</v>
      </c>
      <c r="E1972" s="1" t="str">
        <f ca="1">IFERROR(__xludf.DUMMYFUNCTION("GOOGLETRANSLATE(D1972, ""bn"", ""en"")"),"On 27 March 1934, a Hindu-Muslim riot broke out in Ayodhya, triggered by the slaughter of cows in the nearby village of Shahjahanpur. The walls around the mosque and one of the domes of the mosque were damaged during the riots.")</f>
        <v>On 27 March 1934, a Hindu-Muslim riot broke out in Ayodhya, triggered by the slaughter of cows in the nearby village of Shahjahanpur. The walls around the mosque and one of the domes of the mosque were damaged during the riots.</v>
      </c>
      <c r="F1972" s="1"/>
      <c r="G1972" s="1"/>
      <c r="H1972" s="1"/>
      <c r="I1972" s="1"/>
    </row>
    <row r="1973" spans="1:9" ht="15.6" x14ac:dyDescent="0.3">
      <c r="A1973" s="1" t="s">
        <v>5</v>
      </c>
      <c r="B1973" s="1" t="s">
        <v>5</v>
      </c>
      <c r="C1973" s="10" t="s">
        <v>5</v>
      </c>
      <c r="D1973" s="5" t="s">
        <v>1853</v>
      </c>
      <c r="E1973" s="1" t="str">
        <f ca="1">IFERROR(__xludf.DUMMYFUNCTION("GOOGLETRANSLATE(D1973, ""bn"", ""en"")"),"Because he does not have the ability to understand the majesty of Allah Pak, he may not understand Him. He is Allah Pak. May Allah grant me the grace to paint my life with your colors (Amin).")</f>
        <v>Because he does not have the ability to understand the majesty of Allah Pak, he may not understand Him. He is Allah Pak. May Allah grant me the grace to paint my life with your colors (Amin).</v>
      </c>
      <c r="F1973" s="1"/>
      <c r="G1973" s="1"/>
      <c r="H1973" s="1"/>
      <c r="I1973" s="1"/>
    </row>
    <row r="1974" spans="1:9" ht="15.6" x14ac:dyDescent="0.3">
      <c r="A1974" s="1" t="s">
        <v>9</v>
      </c>
      <c r="B1974" s="1" t="s">
        <v>9</v>
      </c>
      <c r="C1974" s="10" t="s">
        <v>9</v>
      </c>
      <c r="D1974" s="5" t="s">
        <v>1854</v>
      </c>
      <c r="E1974" s="1" t="str">
        <f ca="1">IFERROR(__xludf.DUMMYFUNCTION("GOOGLETRANSLATE(D1974, ""bn"", ""en"")"),"They especially attacked the Hindu minority, destroying their homes and businesses, vandalizing and setting fire to their temples. According to community leaders, more than 50 Hindu temples and 1,500 Hindu houses were destroyed in 20 districts.")</f>
        <v>They especially attacked the Hindu minority, destroying their homes and businesses, vandalizing and setting fire to their temples. According to community leaders, more than 50 Hindu temples and 1,500 Hindu houses were destroyed in 20 districts.</v>
      </c>
      <c r="F1974" s="1"/>
      <c r="G1974" s="1"/>
      <c r="H1974" s="1"/>
      <c r="I1974" s="1"/>
    </row>
    <row r="1975" spans="1:9" ht="15.6" x14ac:dyDescent="0.3">
      <c r="A1975" s="1" t="s">
        <v>9</v>
      </c>
      <c r="B1975" s="1" t="s">
        <v>9</v>
      </c>
      <c r="C1975" s="10" t="s">
        <v>9</v>
      </c>
      <c r="D1975" s="5" t="s">
        <v>1855</v>
      </c>
      <c r="E1975" s="1" t="str">
        <f ca="1">IFERROR(__xludf.DUMMYFUNCTION("GOOGLETRANSLATE(D1975, ""bn"", ""en"")"),"There is very little precedent for identifying those involved in these attacks and taking legal action against them. And that's why they think that idol vandalism happens every year in different parts of the country.")</f>
        <v>There is very little precedent for identifying those involved in these attacks and taking legal action against them. And that's why they think that idol vandalism happens every year in different parts of the country.</v>
      </c>
      <c r="F1975" s="1"/>
      <c r="G1975" s="1"/>
      <c r="H1975" s="1"/>
      <c r="I1975" s="1"/>
    </row>
    <row r="1976" spans="1:9" ht="15.6" x14ac:dyDescent="0.3">
      <c r="A1976" s="1" t="s">
        <v>5</v>
      </c>
      <c r="B1976" s="1" t="s">
        <v>9</v>
      </c>
      <c r="C1976" s="10" t="s">
        <v>9</v>
      </c>
      <c r="D1976" s="5" t="s">
        <v>1856</v>
      </c>
      <c r="E1976" s="1" t="str">
        <f ca="1">IFERROR(__xludf.DUMMYFUNCTION("GOOGLETRANSLATE(D1976, ""bn"", ""en"")"),"A white supremacist gunman opened fire at a black church, an example of racial and religious hatred.")</f>
        <v>A white supremacist gunman opened fire at a black church, an example of racial and religious hatred.</v>
      </c>
      <c r="F1976" s="1"/>
      <c r="G1976" s="1"/>
      <c r="H1976" s="1"/>
      <c r="I1976" s="1"/>
    </row>
    <row r="1977" spans="1:9" ht="17.399999999999999" x14ac:dyDescent="0.3">
      <c r="A1977" s="1" t="s">
        <v>7</v>
      </c>
      <c r="B1977" s="1" t="s">
        <v>7</v>
      </c>
      <c r="C1977" s="10" t="s">
        <v>7</v>
      </c>
      <c r="D1977" s="5" t="s">
        <v>3510</v>
      </c>
      <c r="E1977" s="1" t="str">
        <f ca="1">IFERROR(__xludf.DUMMYFUNCTION("GOOGLETRANSLATE(D1977, ""bn"", ""en"")"),"In Cambodia, in the fifteenth and sixteenth centuries both the lord and the wife of the deceased king voluntarily immolated themselves.[")</f>
        <v>In Cambodia, in the fifteenth and sixteenth centuries both the lord and the wife of the deceased king voluntarily immolated themselves.[</v>
      </c>
      <c r="F1977" s="1"/>
      <c r="G1977" s="1"/>
      <c r="H1977" s="1"/>
      <c r="I1977" s="1"/>
    </row>
    <row r="1978" spans="1:9" ht="15.6" x14ac:dyDescent="0.3">
      <c r="A1978" s="1" t="s">
        <v>5</v>
      </c>
      <c r="B1978" s="1" t="s">
        <v>5</v>
      </c>
      <c r="C1978" s="10" t="s">
        <v>5</v>
      </c>
      <c r="D1978" s="5" t="s">
        <v>1857</v>
      </c>
      <c r="E1978" s="1" t="str">
        <f ca="1">IFERROR(__xludf.DUMMYFUNCTION("GOOGLETRANSLATE(D1978, ""bn"", ""en"")"),"oh god I left everything to you. You will punish them with such a terrible punishment that it will be an example for all the disbelievers of this world. Amen Amen Amen God you judge.")</f>
        <v>oh god I left everything to you. You will punish them with such a terrible punishment that it will be an example for all the disbelievers of this world. Amen Amen Amen God you judge.</v>
      </c>
      <c r="F1978" s="1"/>
      <c r="G1978" s="1"/>
      <c r="H1978" s="1"/>
      <c r="I1978" s="1"/>
    </row>
    <row r="1979" spans="1:9" ht="15.6" x14ac:dyDescent="0.3">
      <c r="A1979" s="1" t="s">
        <v>9</v>
      </c>
      <c r="B1979" s="1" t="s">
        <v>9</v>
      </c>
      <c r="C1979" s="10" t="s">
        <v>9</v>
      </c>
      <c r="D1979" s="5" t="s">
        <v>1858</v>
      </c>
      <c r="E1979" s="1" t="str">
        <f ca="1">IFERROR(__xludf.DUMMYFUNCTION("GOOGLETRANSLATE(D1979, ""bn"", ""en"")"),"According to inscriptions on the walls, the Babri Masjid was built on the orders of Emperor Babur. Local tradition says it was built after demolishing a temple (ruins) at Rama's birthplace.")</f>
        <v>According to inscriptions on the walls, the Babri Masjid was built on the orders of Emperor Babur. Local tradition says it was built after demolishing a temple (ruins) at Rama's birthplace.</v>
      </c>
      <c r="F1979" s="1"/>
      <c r="G1979" s="1"/>
      <c r="H1979" s="1"/>
      <c r="I1979" s="1"/>
    </row>
    <row r="1980" spans="1:9" ht="15.6" x14ac:dyDescent="0.3">
      <c r="A1980" s="1" t="s">
        <v>7</v>
      </c>
      <c r="B1980" s="1" t="s">
        <v>7</v>
      </c>
      <c r="C1980" s="10" t="s">
        <v>7</v>
      </c>
      <c r="D1980" s="5" t="s">
        <v>1859</v>
      </c>
      <c r="E1980" s="1" t="str">
        <f ca="1">IFERROR(__xludf.DUMMYFUNCTION("GOOGLETRANSLATE(D1980, ""bn"", ""en"")"),"May Allah give you good life and give us tawfiq to convey such lessons from the Qur'an to us, Ameen.")</f>
        <v>May Allah give you good life and give us tawfiq to convey such lessons from the Qur'an to us, Ameen.</v>
      </c>
      <c r="F1980" s="1"/>
      <c r="G1980" s="1"/>
      <c r="H1980" s="1"/>
      <c r="I1980" s="1"/>
    </row>
    <row r="1981" spans="1:9" ht="15.6" x14ac:dyDescent="0.3">
      <c r="A1981" s="1" t="s">
        <v>4</v>
      </c>
      <c r="B1981" s="1" t="s">
        <v>5</v>
      </c>
      <c r="C1981" s="10" t="s">
        <v>4</v>
      </c>
      <c r="D1981" s="5" t="s">
        <v>1860</v>
      </c>
      <c r="E1981" s="1" t="str">
        <f ca="1">IFERROR(__xludf.DUMMYFUNCTION("GOOGLETRANSLATE(D1981, ""bn"", ""en"")"),"I say to the Hindu brothers, do not take anything to heart, what is the logic of worshiping or worshiping a doll made of clay with your own hands?")</f>
        <v>I say to the Hindu brothers, do not take anything to heart, what is the logic of worshiping or worshiping a doll made of clay with your own hands?</v>
      </c>
      <c r="F1981" s="1"/>
      <c r="G1981" s="1"/>
      <c r="H1981" s="1"/>
      <c r="I1981" s="1"/>
    </row>
    <row r="1982" spans="1:9" ht="62.4" x14ac:dyDescent="0.3">
      <c r="A1982" s="1" t="s">
        <v>4</v>
      </c>
      <c r="B1982" s="1" t="s">
        <v>5</v>
      </c>
      <c r="C1982" s="10" t="s">
        <v>4</v>
      </c>
      <c r="D1982" s="6" t="s">
        <v>3895</v>
      </c>
      <c r="E1982" s="1" t="str">
        <f ca="1">IFERROR(__xludf.DUMMYFUNCTION("GOOGLETRANSLATE(D1982, ""bn"", ""en"")"),"If there is so much disagreement and conflict among Muslims, the external enemies will take advantage! Ahmadiyya, Shia, Sunni, Salafi, Wahhabi, Sufi Muslim, Islam of India, Persian Islam, Islamic practices of Arab countries, Islam of Europe and America, I"&amp;"slam of Africa, and finally the terrorist doctrine of the so-called Islamic State of Syria-Iraq - the people of our country do not understand the Islam of so many different cultures because the people of our country are not used to seeing people of differ"&amp;"ent cultures, languages, clothes, customs.")</f>
        <v>If there is so much disagreement and conflict among Muslims, the external enemies will take advantage! Ahmadiyya, Shia, Sunni, Salafi, Wahhabi, Sufi Muslim, Islam of India, Persian Islam, Islamic practices of Arab countries, Islam of Europe and America, Islam of Africa, and finally the terrorist doctrine of the so-called Islamic State of Syria-Iraq - the people of our country do not understand the Islam of so many different cultures because the people of our country are not used to seeing people of different cultures, languages, clothes, customs.</v>
      </c>
      <c r="F1982" s="1"/>
      <c r="G1982" s="1"/>
      <c r="H1982" s="1"/>
      <c r="I1982" s="1"/>
    </row>
    <row r="1983" spans="1:9" ht="15.6" x14ac:dyDescent="0.3">
      <c r="A1983" s="1" t="s">
        <v>4</v>
      </c>
      <c r="B1983" s="1" t="s">
        <v>4</v>
      </c>
      <c r="C1983" s="10" t="s">
        <v>4</v>
      </c>
      <c r="D1983" s="5" t="s">
        <v>1861</v>
      </c>
      <c r="E1983" s="1" t="str">
        <f ca="1">IFERROR(__xludf.DUMMYFUNCTION("GOOGLETRANSLATE(D1983, ""bn"", ""en"")"),"No one has noticed this mosque since all these years. Today when Mr. Zaka wanted to develop the mosque at the same place. And that's when so much discussion started nationwide. When the allotment was coming in the name of that mosque, did no one see it. W"&amp;"hy is this happening and why will it happen?")</f>
        <v>No one has noticed this mosque since all these years. Today when Mr. Zaka wanted to develop the mosque at the same place. And that's when so much discussion started nationwide. When the allotment was coming in the name of that mosque, did no one see it. Why is this happening and why will it happen?</v>
      </c>
      <c r="F1983" s="1"/>
      <c r="G1983" s="1"/>
      <c r="H1983" s="1"/>
      <c r="I1983" s="1"/>
    </row>
    <row r="1984" spans="1:9" ht="15.6" x14ac:dyDescent="0.3">
      <c r="A1984" s="1" t="s">
        <v>7</v>
      </c>
      <c r="B1984" s="1" t="s">
        <v>7</v>
      </c>
      <c r="C1984" s="10" t="s">
        <v>7</v>
      </c>
      <c r="D1984" s="5" t="s">
        <v>1862</v>
      </c>
      <c r="E1984" s="1" t="str">
        <f ca="1">IFERROR(__xludf.DUMMYFUNCTION("GOOGLETRANSLATE(D1984, ""bn"", ""en"")"),"After the janaza and prayers, the dead person should be immediately taken to the graveyard and buried in the ground after making a grave in Islamic manner.")</f>
        <v>After the janaza and prayers, the dead person should be immediately taken to the graveyard and buried in the ground after making a grave in Islamic manner.</v>
      </c>
      <c r="F1984" s="1"/>
      <c r="G1984" s="1"/>
      <c r="H1984" s="1"/>
      <c r="I1984" s="1"/>
    </row>
    <row r="1985" spans="1:9" ht="15.6" x14ac:dyDescent="0.3">
      <c r="A1985" s="1" t="s">
        <v>5</v>
      </c>
      <c r="B1985" s="1" t="s">
        <v>5</v>
      </c>
      <c r="C1985" s="10" t="s">
        <v>5</v>
      </c>
      <c r="D1985" s="5" t="s">
        <v>1863</v>
      </c>
      <c r="E1985" s="1" t="str">
        <f ca="1">IFERROR(__xludf.DUMMYFUNCTION("GOOGLETRANSLATE(D1985, ""bn"", ""en"")"),"The Vedas, Puranas and Shastras are the main sources of Hinduism, which teach the path of kindness and compassion.")</f>
        <v>The Vedas, Puranas and Shastras are the main sources of Hinduism, which teach the path of kindness and compassion.</v>
      </c>
      <c r="F1985" s="1"/>
      <c r="G1985" s="1"/>
      <c r="H1985" s="1"/>
      <c r="I1985" s="1"/>
    </row>
    <row r="1986" spans="1:9" ht="15.6" x14ac:dyDescent="0.3">
      <c r="A1986" s="1" t="s">
        <v>4</v>
      </c>
      <c r="B1986" s="1" t="s">
        <v>5</v>
      </c>
      <c r="C1986" s="10" t="s">
        <v>4</v>
      </c>
      <c r="D1986" s="5" t="s">
        <v>1864</v>
      </c>
      <c r="E1986" s="1" t="str">
        <f ca="1">IFERROR(__xludf.DUMMYFUNCTION("GOOGLETRANSLATE(D1986, ""bn"", ""en"")"),"Most countries in the Muslim world, including Saudi Arabia, Iran and Pakistan, have condemned the burning of the Holy Quran in Europe.")</f>
        <v>Most countries in the Muslim world, including Saudi Arabia, Iran and Pakistan, have condemned the burning of the Holy Quran in Europe.</v>
      </c>
      <c r="F1986" s="1"/>
      <c r="G1986" s="1"/>
      <c r="H1986" s="1"/>
      <c r="I1986" s="1"/>
    </row>
    <row r="1987" spans="1:9" ht="15.6" x14ac:dyDescent="0.3">
      <c r="A1987" s="1" t="s">
        <v>5</v>
      </c>
      <c r="B1987" s="1" t="s">
        <v>5</v>
      </c>
      <c r="C1987" s="10" t="s">
        <v>5</v>
      </c>
      <c r="D1987" s="5" t="s">
        <v>1865</v>
      </c>
      <c r="E1987" s="1" t="str">
        <f ca="1">IFERROR(__xludf.DUMMYFUNCTION("GOOGLETRANSLATE(D1987, ""bn"", ""en"")"),"""Religion is an important part of our lives, and we can do it more respectfully. So many blessings of Allah in the month of fasting, it's a pleasure to post about them!""")</f>
        <v>"Religion is an important part of our lives, and we can do it more respectfully. So many blessings of Allah in the month of fasting, it's a pleasure to post about them!"</v>
      </c>
      <c r="F1987" s="1"/>
      <c r="G1987" s="1"/>
      <c r="H1987" s="1"/>
      <c r="I1987" s="1"/>
    </row>
    <row r="1988" spans="1:9" ht="15.6" x14ac:dyDescent="0.3">
      <c r="A1988" s="1" t="s">
        <v>9</v>
      </c>
      <c r="B1988" s="1" t="s">
        <v>9</v>
      </c>
      <c r="C1988" s="10" t="s">
        <v>9</v>
      </c>
      <c r="D1988" s="5" t="s">
        <v>1866</v>
      </c>
      <c r="E1988" s="1" t="str">
        <f ca="1">IFERROR(__xludf.DUMMYFUNCTION("GOOGLETRANSLATE(D1988, ""bn"", ""en"")"),"The 2012 Chirirbandar violence refers to an attack by Islamic extremists on the minority Hindu community on 4 August 2012 in Chirirbandar upazila of Dinajpur district in the Rangpur division of Bangladesh.")</f>
        <v>The 2012 Chirirbandar violence refers to an attack by Islamic extremists on the minority Hindu community on 4 August 2012 in Chirirbandar upazila of Dinajpur district in the Rangpur division of Bangladesh.</v>
      </c>
      <c r="F1988" s="1"/>
      <c r="G1988" s="1"/>
      <c r="H1988" s="1"/>
      <c r="I1988" s="1"/>
    </row>
    <row r="1989" spans="1:9" ht="15.6" x14ac:dyDescent="0.3">
      <c r="A1989" s="1" t="s">
        <v>4</v>
      </c>
      <c r="B1989" s="1" t="s">
        <v>9</v>
      </c>
      <c r="C1989" s="10" t="s">
        <v>9</v>
      </c>
      <c r="D1989" s="5" t="s">
        <v>1867</v>
      </c>
      <c r="E1989" s="1" t="str">
        <f ca="1">IFERROR(__xludf.DUMMYFUNCTION("GOOGLETRANSLATE(D1989, ""bn"", ""en"")"),"The Chinese government is holding and torturing Uyghur Muslims in detention camps, which is a major human rights violation.")</f>
        <v>The Chinese government is holding and torturing Uyghur Muslims in detention camps, which is a major human rights violation.</v>
      </c>
      <c r="F1989" s="1"/>
      <c r="G1989" s="1"/>
      <c r="H1989" s="1"/>
      <c r="I1989" s="1"/>
    </row>
    <row r="1990" spans="1:9" ht="15.6" x14ac:dyDescent="0.3">
      <c r="A1990" s="1" t="s">
        <v>9</v>
      </c>
      <c r="B1990" s="1" t="s">
        <v>5</v>
      </c>
      <c r="C1990" s="10" t="s">
        <v>9</v>
      </c>
      <c r="D1990" s="5" t="s">
        <v>1868</v>
      </c>
      <c r="E1990" s="1" t="str">
        <f ca="1">IFERROR(__xludf.DUMMYFUNCTION("GOOGLETRANSLATE(D1990, ""bn"", ""en"")"),"The Congress leadership accepted the partition of India resulting in the abandonment of peace missions and relief efforts for the victims. Most of the survivors and affected Hindus left their homes and migrated to West Bengal, Tripura[11] and Assam.[12]")</f>
        <v>The Congress leadership accepted the partition of India resulting in the abandonment of peace missions and relief efforts for the victims. Most of the survivors and affected Hindus left their homes and migrated to West Bengal, Tripura[11] and Assam.[12]</v>
      </c>
      <c r="F1990" s="1"/>
      <c r="G1990" s="1"/>
      <c r="H1990" s="1"/>
      <c r="I1990" s="1"/>
    </row>
    <row r="1991" spans="1:9" ht="15.6" x14ac:dyDescent="0.3">
      <c r="A1991" s="1" t="s">
        <v>5</v>
      </c>
      <c r="B1991" s="1" t="s">
        <v>5</v>
      </c>
      <c r="C1991" s="10" t="s">
        <v>5</v>
      </c>
      <c r="D1991" s="5" t="s">
        <v>1869</v>
      </c>
      <c r="E1991" s="1" t="str">
        <f ca="1">IFERROR(__xludf.DUMMYFUNCTION("GOOGLETRANSLATE(D1991, ""bn"", ""en"")"),"InshaAllah soon the immigrant Jews will leave the Holy Land of Jerusalem. Only Muslims, Christians and the original inhabitants of the Jews have the right to live in Palestine.")</f>
        <v>InshaAllah soon the immigrant Jews will leave the Holy Land of Jerusalem. Only Muslims, Christians and the original inhabitants of the Jews have the right to live in Palestine.</v>
      </c>
      <c r="F1991" s="1"/>
      <c r="G1991" s="1"/>
      <c r="H1991" s="1"/>
      <c r="I1991" s="1"/>
    </row>
    <row r="1992" spans="1:9" ht="15.6" x14ac:dyDescent="0.3">
      <c r="A1992" s="1" t="s">
        <v>4</v>
      </c>
      <c r="B1992" s="1" t="s">
        <v>4</v>
      </c>
      <c r="C1992" s="10" t="s">
        <v>4</v>
      </c>
      <c r="D1992" s="5" t="s">
        <v>1870</v>
      </c>
      <c r="E1992" s="1" t="str">
        <f ca="1">IFERROR(__xludf.DUMMYFUNCTION("GOOGLETRANSLATE(D1992, ""bn"", ""en"")"),"Strongly condemned, protested, Muslim world unite, Sweden should boycott Bangladesh")</f>
        <v>Strongly condemned, protested, Muslim world unite, Sweden should boycott Bangladesh</v>
      </c>
      <c r="F1992" s="1"/>
      <c r="G1992" s="1"/>
      <c r="H1992" s="1"/>
      <c r="I1992" s="1"/>
    </row>
    <row r="1993" spans="1:9" ht="15.6" x14ac:dyDescent="0.3">
      <c r="A1993" s="1" t="s">
        <v>5</v>
      </c>
      <c r="B1993" s="1" t="s">
        <v>5</v>
      </c>
      <c r="C1993" s="10" t="s">
        <v>5</v>
      </c>
      <c r="D1993" s="5" t="s">
        <v>1871</v>
      </c>
      <c r="E1993" s="1" t="str">
        <f ca="1">IFERROR(__xludf.DUMMYFUNCTION("GOOGLETRANSLATE(D1993, ""bn"", ""en"")"),"The prime minister also said that Ziaur Rahman amended the constitution, which changed some articles related to religious freedom and rights of all religions.")</f>
        <v>The prime minister also said that Ziaur Rahman amended the constitution, which changed some articles related to religious freedom and rights of all religions.</v>
      </c>
      <c r="F1993" s="1"/>
      <c r="G1993" s="1"/>
      <c r="H1993" s="1"/>
      <c r="I1993" s="1"/>
    </row>
    <row r="1994" spans="1:9" ht="78" x14ac:dyDescent="0.3">
      <c r="A1994" s="1" t="s">
        <v>5</v>
      </c>
      <c r="B1994" s="1" t="s">
        <v>5</v>
      </c>
      <c r="C1994" s="10" t="s">
        <v>5</v>
      </c>
      <c r="D1994" s="6" t="s">
        <v>3894</v>
      </c>
      <c r="E1994" s="1" t="str">
        <f ca="1">IFERROR(__xludf.DUMMYFUNCTION("GOOGLETRANSLATE(D1994, ""bn"", ""en"")"),"It is true that Islam believes that fate or destiny is in the hands of Allah and is solely dependent on Allah's will. All the events of human life, good and bad, sorrow and happiness, life and death are all determined in the plan of Allah. However, Allah "&amp;"has given us free will to do good and follow His path. Human understanding of fate is limited, and none but Allah knows its exact secrets. However, it is a lesson for us that we can do our best according to our own actions and desires, and make life beaut"&amp;"iful by trusting in Allah.")</f>
        <v>It is true that Islam believes that fate or destiny is in the hands of Allah and is solely dependent on Allah's will. All the events of human life, good and bad, sorrow and happiness, life and death are all determined in the plan of Allah. However, Allah has given us free will to do good and follow His path. Human understanding of fate is limited, and none but Allah knows its exact secrets. However, it is a lesson for us that we can do our best according to our own actions and desires, and make life beautiful by trusting in Allah.</v>
      </c>
      <c r="F1994" s="1"/>
      <c r="G1994" s="1"/>
      <c r="H1994" s="1"/>
      <c r="I1994" s="1"/>
    </row>
    <row r="1995" spans="1:9" ht="15.6" x14ac:dyDescent="0.3">
      <c r="A1995" s="1" t="s">
        <v>4</v>
      </c>
      <c r="B1995" s="1" t="s">
        <v>5</v>
      </c>
      <c r="C1995" s="10" t="s">
        <v>4</v>
      </c>
      <c r="D1995" s="5" t="s">
        <v>1872</v>
      </c>
      <c r="E1995" s="1" t="str">
        <f ca="1">IFERROR(__xludf.DUMMYFUNCTION("GOOGLETRANSLATE(D1995, ""bn"", ""en"")"),"Wasn't Shamsu crazy saying that girls should stop studying after intermediate?")</f>
        <v>Wasn't Shamsu crazy saying that girls should stop studying after intermediate?</v>
      </c>
      <c r="F1995" s="1"/>
      <c r="G1995" s="1"/>
      <c r="H1995" s="1"/>
      <c r="I1995" s="1"/>
    </row>
    <row r="1996" spans="1:9" ht="46.8" x14ac:dyDescent="0.3">
      <c r="A1996" s="1" t="s">
        <v>7</v>
      </c>
      <c r="B1996" s="1" t="s">
        <v>7</v>
      </c>
      <c r="C1996" s="10" t="s">
        <v>7</v>
      </c>
      <c r="D1996" s="6" t="s">
        <v>3893</v>
      </c>
      <c r="E1996" s="1" t="str">
        <f ca="1">IFERROR(__xludf.DUMMYFUNCTION("GOOGLETRANSLATE(D1996, ""bn"", ""en"")"),"Companions of the Pakistani occupation army, including Razakar, Al Badr, resisted the escape of the villagers. More than a hundred women, men and children were detained and later brought to the home of Kamini Kumar Dev, a Hindu villager. Women and childre"&amp;"n, segregated from the men and confined to a single cell.")</f>
        <v>Companions of the Pakistani occupation army, including Razakar, Al Badr, resisted the escape of the villagers. More than a hundred women, men and children were detained and later brought to the home of Kamini Kumar Dev, a Hindu villager. Women and children, segregated from the men and confined to a single cell.</v>
      </c>
      <c r="F1996" s="1"/>
      <c r="G1996" s="1"/>
      <c r="H1996" s="1"/>
      <c r="I1996" s="1"/>
    </row>
    <row r="1997" spans="1:9" ht="15.6" x14ac:dyDescent="0.3">
      <c r="A1997" s="1" t="s">
        <v>4</v>
      </c>
      <c r="B1997" s="1" t="s">
        <v>4</v>
      </c>
      <c r="C1997" s="10" t="s">
        <v>4</v>
      </c>
      <c r="D1997" s="5" t="s">
        <v>1873</v>
      </c>
      <c r="E1997" s="1" t="str">
        <f ca="1">IFERROR(__xludf.DUMMYFUNCTION("GOOGLETRANSLATE(D1997, ""bn"", ""en"")"),"You said that playing music or gambling will not be allowed, but in every puja or mandap of yours, they are allowed. You say one and do the other.")</f>
        <v>You said that playing music or gambling will not be allowed, but in every puja or mandap of yours, they are allowed. You say one and do the other.</v>
      </c>
      <c r="F1997" s="1"/>
      <c r="G1997" s="1"/>
      <c r="H1997" s="1"/>
      <c r="I1997" s="1"/>
    </row>
    <row r="1998" spans="1:9" ht="15.6" x14ac:dyDescent="0.3">
      <c r="A1998" s="1" t="s">
        <v>7</v>
      </c>
      <c r="B1998" s="1" t="s">
        <v>7</v>
      </c>
      <c r="C1998" s="10" t="s">
        <v>7</v>
      </c>
      <c r="D1998" s="5" t="s">
        <v>1874</v>
      </c>
      <c r="E1998" s="1" t="str">
        <f ca="1">IFERROR(__xludf.DUMMYFUNCTION("GOOGLETRANSLATE(D1998, ""bn"", ""en"")"),"Bangladesh has witnessed 1,45 incidents of communal violence and persecution in the last one year and at least 45 people from religious and ethnic minorities have died. This information is given in the report of Hindu Buddhist Christian Unity Council")</f>
        <v>Bangladesh has witnessed 1,45 incidents of communal violence and persecution in the last one year and at least 45 people from religious and ethnic minorities have died. This information is given in the report of Hindu Buddhist Christian Unity Council</v>
      </c>
      <c r="F1998" s="1"/>
      <c r="G1998" s="1"/>
      <c r="H1998" s="1"/>
      <c r="I1998" s="1"/>
    </row>
    <row r="1999" spans="1:9" ht="15.6" x14ac:dyDescent="0.3">
      <c r="A1999" s="1" t="s">
        <v>5</v>
      </c>
      <c r="B1999" s="1" t="s">
        <v>5</v>
      </c>
      <c r="C1999" s="10" t="s">
        <v>5</v>
      </c>
      <c r="D1999" s="5" t="s">
        <v>1875</v>
      </c>
      <c r="E1999" s="1" t="str">
        <f ca="1">IFERROR(__xludf.DUMMYFUNCTION("GOOGLETRANSLATE(D1999, ""bn"", ""en"")"),"""Freedom of religion"" is its basic framework guaranteed by the Bangladeshi constitution where it calls for equal rights for all its citizens regardless of their religious differences and it prohibits discrimination of religion in various fields. ")</f>
        <v>"Freedom of religion" is its basic framework guaranteed by the Bangladeshi constitution where it calls for equal rights for all its citizens regardless of their religious differences and it prohibits discrimination of religion in various fields. </v>
      </c>
      <c r="F1999" s="1"/>
      <c r="G1999" s="1"/>
      <c r="H1999" s="1"/>
      <c r="I1999" s="1"/>
    </row>
    <row r="2000" spans="1:9" ht="15.6" x14ac:dyDescent="0.3">
      <c r="A2000" s="1" t="s">
        <v>4</v>
      </c>
      <c r="B2000" s="1" t="s">
        <v>4</v>
      </c>
      <c r="C2000" s="10" t="s">
        <v>4</v>
      </c>
      <c r="D2000" s="5" t="s">
        <v>1876</v>
      </c>
      <c r="E2000" s="1" t="str">
        <f ca="1">IFERROR(__xludf.DUMMYFUNCTION("GOOGLETRANSLATE(D2000, ""bn"", ""en"")"),"Those who say about us that we do 'Sharia treatment', brainwash with religion - don't they tremble before saying this?")</f>
        <v>Those who say about us that we do 'Sharia treatment', brainwash with religion - don't they tremble before saying this?</v>
      </c>
      <c r="F2000" s="1"/>
      <c r="G2000" s="1"/>
      <c r="H2000" s="1"/>
      <c r="I2000" s="1"/>
    </row>
    <row r="2001" spans="1:9" ht="15.6" x14ac:dyDescent="0.3">
      <c r="A2001" s="1" t="s">
        <v>5</v>
      </c>
      <c r="B2001" s="1" t="s">
        <v>5</v>
      </c>
      <c r="C2001" s="10" t="s">
        <v>5</v>
      </c>
      <c r="D2001" s="5" t="s">
        <v>1877</v>
      </c>
      <c r="E2001" s="1" t="str">
        <f ca="1">IFERROR(__xludf.DUMMYFUNCTION("GOOGLETRANSLATE(D2001, ""bn"", ""en"")"),"One who fasts will fulfill his duty.. Why should one who does not fast follow such rules ")</f>
        <v>One who fasts will fulfill his duty.. Why should one who does not fast follow such rules </v>
      </c>
      <c r="F2001" s="1"/>
      <c r="G2001" s="1"/>
      <c r="H2001" s="1"/>
      <c r="I2001" s="1"/>
    </row>
    <row r="2002" spans="1:9" ht="15.6" x14ac:dyDescent="0.3">
      <c r="A2002" s="4" t="s">
        <v>7</v>
      </c>
      <c r="B2002" s="4" t="s">
        <v>7</v>
      </c>
      <c r="C2002" s="11" t="s">
        <v>7</v>
      </c>
      <c r="D2002" s="5" t="s">
        <v>1878</v>
      </c>
      <c r="E2002" s="1" t="str">
        <f ca="1">IFERROR(__xludf.DUMMYFUNCTION("GOOGLETRANSLATE(D2002, ""bn"", ""en"")"),"Thus, Hafez Al-Assad established his power in Syria by mass killing Muslims. He has killed millions of Sunni Muslims over the past 11 years, and continues to do so today.")</f>
        <v>Thus, Hafez Al-Assad established his power in Syria by mass killing Muslims. He has killed millions of Sunni Muslims over the past 11 years, and continues to do so today.</v>
      </c>
      <c r="F2002" s="1"/>
      <c r="G2002" s="1"/>
      <c r="H2002" s="1"/>
      <c r="I2002" s="1"/>
    </row>
    <row r="2003" spans="1:9" ht="15.6" x14ac:dyDescent="0.3">
      <c r="A2003" s="1" t="s">
        <v>9</v>
      </c>
      <c r="B2003" s="1" t="s">
        <v>9</v>
      </c>
      <c r="C2003" s="10" t="s">
        <v>9</v>
      </c>
      <c r="D2003" s="5" t="s">
        <v>1879</v>
      </c>
      <c r="E2003" s="1" t="str">
        <f ca="1">IFERROR(__xludf.DUMMYFUNCTION("GOOGLETRANSLATE(D2003, ""bn"", ""en"")"),"A group of about 1,000 refugees from Mymensingh crossed the border when Pakistani rifles fired indiscriminately at them in an inhumane and despicable manner.[")</f>
        <v>A group of about 1,000 refugees from Mymensingh crossed the border when Pakistani rifles fired indiscriminately at them in an inhumane and despicable manner.[</v>
      </c>
      <c r="F2003" s="1"/>
      <c r="G2003" s="1"/>
      <c r="H2003" s="1"/>
      <c r="I2003" s="1"/>
    </row>
    <row r="2004" spans="1:9" ht="15.6" x14ac:dyDescent="0.3">
      <c r="A2004" s="1" t="s">
        <v>9</v>
      </c>
      <c r="B2004" s="1" t="s">
        <v>5</v>
      </c>
      <c r="C2004" s="10" t="s">
        <v>9</v>
      </c>
      <c r="D2004" s="5" t="s">
        <v>1880</v>
      </c>
      <c r="E2004" s="1" t="str">
        <f ca="1">IFERROR(__xludf.DUMMYFUNCTION("GOOGLETRANSLATE(D2004, ""bn"", ""en"")"),"According to supporters of the Muslim League, the Congress party was behind the violence in an attempt to weaken the fragile Muslim League government in Bengal. [43] Historian Jaya Chatterjee specifically blames Suhrawardy for failing to contain the riots"&amp;" and telling the police to remain silent, while noting that Hindu leaders were also to blame.")</f>
        <v>According to supporters of the Muslim League, the Congress party was behind the violence in an attempt to weaken the fragile Muslim League government in Bengal. [43] Historian Jaya Chatterjee specifically blames Suhrawardy for failing to contain the riots and telling the police to remain silent, while noting that Hindu leaders were also to blame.</v>
      </c>
      <c r="F2004" s="1"/>
      <c r="G2004" s="1"/>
      <c r="H2004" s="1"/>
      <c r="I2004" s="1"/>
    </row>
    <row r="2005" spans="1:9" ht="15.6" x14ac:dyDescent="0.3">
      <c r="A2005" s="1" t="s">
        <v>9</v>
      </c>
      <c r="B2005" s="1" t="s">
        <v>9</v>
      </c>
      <c r="C2005" s="10" t="s">
        <v>9</v>
      </c>
      <c r="D2005" s="5" t="s">
        <v>1881</v>
      </c>
      <c r="E2005" s="1" t="str">
        <f ca="1">IFERROR(__xludf.DUMMYFUNCTION("GOOGLETRANSLATE(D2005, ""bn"", ""en"")"),"70 to 80 BNP leaders and activists on January 5 in Abhaynagar Upazila of Jessore District; Around 10 am at least 5 Hindus were attacked for the crime of voting.")</f>
        <v>70 to 80 BNP leaders and activists on January 5 in Abhaynagar Upazila of Jessore District; Around 10 am at least 5 Hindus were attacked for the crime of voting.</v>
      </c>
      <c r="F2005" s="1"/>
      <c r="G2005" s="1"/>
      <c r="H2005" s="1"/>
      <c r="I2005" s="1"/>
    </row>
    <row r="2006" spans="1:9" ht="62.4" x14ac:dyDescent="0.3">
      <c r="A2006" s="1" t="s">
        <v>7</v>
      </c>
      <c r="B2006" s="1" t="s">
        <v>4</v>
      </c>
      <c r="C2006" s="10" t="s">
        <v>7</v>
      </c>
      <c r="D2006" s="6" t="s">
        <v>3892</v>
      </c>
      <c r="E2006" s="1" t="str">
        <f ca="1">IFERROR(__xludf.DUMMYFUNCTION("GOOGLETRANSLATE(D2006, ""bn"", ""en"")"),"F.M.E. Schools, Public Library, Vivekananda Physical Club, Hiralal Lahia Charitable Hospital and many other institutions were burnt to ashes by Muslims. [21] Under the supervision of the army, the dead bodies were brought to the hospital by trucks and the"&amp;"y were taken directly from there and buried. In this way, the dead bodies of hundreds of Hindus were disappeared by the army. They lost it without handing it over.")</f>
        <v>F.M.E. Schools, Public Library, Vivekananda Physical Club, Hiralal Lahia Charitable Hospital and many other institutions were burnt to ashes by Muslims. [21] Under the supervision of the army, the dead bodies were brought to the hospital by trucks and they were taken directly from there and buried. In this way, the dead bodies of hundreds of Hindus were disappeared by the army. They lost it without handing it over.</v>
      </c>
      <c r="F2006" s="1"/>
      <c r="G2006" s="1"/>
      <c r="H2006" s="1"/>
      <c r="I2006" s="1"/>
    </row>
    <row r="2007" spans="1:9" ht="15.6" x14ac:dyDescent="0.3">
      <c r="A2007" s="1" t="s">
        <v>7</v>
      </c>
      <c r="B2007" s="1" t="s">
        <v>7</v>
      </c>
      <c r="C2007" s="10" t="s">
        <v>7</v>
      </c>
      <c r="D2007" s="5" t="s">
        <v>1882</v>
      </c>
      <c r="E2007" s="1" t="str">
        <f ca="1">IFERROR(__xludf.DUMMYFUNCTION("GOOGLETRANSLATE(D2007, ""bn"", ""en"")"),"No matter what you do in this world, no matter what you do, at least leave a will to your relatives that you are buried in a religious manner after your death. ")</f>
        <v xml:space="preserve">No matter what you do in this world, no matter what you do, at least leave a will to your relatives that you are buried in a religious manner after your death. </v>
      </c>
      <c r="F2007" s="1"/>
      <c r="G2007" s="1"/>
      <c r="H2007" s="1"/>
      <c r="I2007" s="1"/>
    </row>
    <row r="2008" spans="1:9" ht="15.6" x14ac:dyDescent="0.3">
      <c r="A2008" s="1" t="s">
        <v>9</v>
      </c>
      <c r="B2008" s="1" t="s">
        <v>5</v>
      </c>
      <c r="C2008" s="10" t="s">
        <v>9</v>
      </c>
      <c r="D2008" s="5" t="s">
        <v>1883</v>
      </c>
      <c r="E2008" s="1" t="str">
        <f ca="1">IFERROR(__xludf.DUMMYFUNCTION("GOOGLETRANSLATE(D2008, ""bn"", ""en"")"),"Hundreds of Dalits left Hinduism and became Buddhists to protest the persecution in India")</f>
        <v>Hundreds of Dalits left Hinduism and became Buddhists to protest the persecution in India</v>
      </c>
      <c r="F2008" s="1"/>
      <c r="G2008" s="1"/>
      <c r="H2008" s="1"/>
      <c r="I2008" s="1"/>
    </row>
    <row r="2009" spans="1:9" ht="15.6" x14ac:dyDescent="0.3">
      <c r="A2009" s="1" t="s">
        <v>4</v>
      </c>
      <c r="B2009" s="1" t="s">
        <v>4</v>
      </c>
      <c r="C2009" s="10" t="s">
        <v>4</v>
      </c>
      <c r="D2009" s="5" t="s">
        <v>1884</v>
      </c>
      <c r="E2009" s="1" t="str">
        <f ca="1">IFERROR(__xludf.DUMMYFUNCTION("GOOGLETRANSLATE(D2009, ""bn"", ""en"")"),"If Islam is insulted, we Muslims will protest from any part of the world. When the proposal to desecrate the Quran was raised in the United Nations, the United States, France, Sweden and Britain opposed us. They can never stand for the Muslim nation.")</f>
        <v>If Islam is insulted, we Muslims will protest from any part of the world. When the proposal to desecrate the Quran was raised in the United Nations, the United States, France, Sweden and Britain opposed us. They can never stand for the Muslim nation.</v>
      </c>
      <c r="F2009" s="1"/>
      <c r="G2009" s="1"/>
      <c r="H2009" s="1"/>
      <c r="I2009" s="1"/>
    </row>
    <row r="2010" spans="1:9" ht="15.6" x14ac:dyDescent="0.3">
      <c r="A2010" s="1" t="s">
        <v>7</v>
      </c>
      <c r="B2010" s="1" t="s">
        <v>7</v>
      </c>
      <c r="C2010" s="10" t="s">
        <v>7</v>
      </c>
      <c r="D2010" s="5" t="s">
        <v>1885</v>
      </c>
      <c r="E2010" s="1" t="str">
        <f ca="1">IFERROR(__xludf.DUMMYFUNCTION("GOOGLETRANSLATE(D2010, ""bn"", ""en"")"),"Sectarian violence between Muslims and Christians is a regular occurrence in northern Nigeria, where many villages have been burned and thousands killed.")</f>
        <v>Sectarian violence between Muslims and Christians is a regular occurrence in northern Nigeria, where many villages have been burned and thousands killed.</v>
      </c>
      <c r="F2010" s="1"/>
      <c r="G2010" s="1"/>
      <c r="H2010" s="1"/>
      <c r="I2010" s="1"/>
    </row>
    <row r="2011" spans="1:9" ht="15.6" x14ac:dyDescent="0.3">
      <c r="A2011" s="4" t="s">
        <v>7</v>
      </c>
      <c r="B2011" s="4" t="s">
        <v>7</v>
      </c>
      <c r="C2011" s="11" t="s">
        <v>7</v>
      </c>
      <c r="D2011" s="5" t="s">
        <v>1886</v>
      </c>
      <c r="E2011" s="1" t="str">
        <f ca="1">IFERROR(__xludf.DUMMYFUNCTION("GOOGLETRANSLATE(D2011, ""bn"", ""en"")"),"A senior Indian journalist, Gauri Lankesh, was shot dead outside her home in Bangalore on Tuesday night. Gauri Lankesh was an outspoken critic of the Hindu Right through her writings.")</f>
        <v>A senior Indian journalist, Gauri Lankesh, was shot dead outside her home in Bangalore on Tuesday night. Gauri Lankesh was an outspoken critic of the Hindu Right through her writings.</v>
      </c>
      <c r="F2011" s="1"/>
      <c r="G2011" s="1"/>
      <c r="H2011" s="1"/>
      <c r="I2011" s="1"/>
    </row>
    <row r="2012" spans="1:9" ht="31.2" x14ac:dyDescent="0.3">
      <c r="A2012" s="1" t="s">
        <v>4</v>
      </c>
      <c r="B2012" s="1" t="s">
        <v>4</v>
      </c>
      <c r="C2012" s="10" t="s">
        <v>4</v>
      </c>
      <c r="D2012" s="6" t="s">
        <v>3891</v>
      </c>
      <c r="E2012" s="1" t="str">
        <f ca="1">IFERROR(__xludf.DUMMYFUNCTION("GOOGLETRANSLATE(D2012, ""bn"", ""en"")"),"Al-Aqsa is the wealth of the Muslim Ummah, Israel is the land of the Arabs, the Zionists are the occupiers, we say Israel is the occupier, you leave the land of the Arabs and build a state in Europe-America, or the wrath of God will surround you, you will"&amp;" have no place to escape.")</f>
        <v>Al-Aqsa is the wealth of the Muslim Ummah, Israel is the land of the Arabs, the Zionists are the occupiers, we say Israel is the occupier, you leave the land of the Arabs and build a state in Europe-America, or the wrath of God will surround you, you will have no place to escape.</v>
      </c>
      <c r="F2012" s="1"/>
      <c r="G2012" s="1"/>
      <c r="H2012" s="1"/>
      <c r="I2012" s="1"/>
    </row>
    <row r="2013" spans="1:9" ht="15.6" x14ac:dyDescent="0.3">
      <c r="A2013" s="1" t="s">
        <v>7</v>
      </c>
      <c r="B2013" s="1" t="s">
        <v>7</v>
      </c>
      <c r="C2013" s="10" t="s">
        <v>7</v>
      </c>
      <c r="D2013" s="5" t="s">
        <v>1887</v>
      </c>
      <c r="E2013" s="1" t="str">
        <f ca="1">IFERROR(__xludf.DUMMYFUNCTION("GOOGLETRANSLATE(D2013, ""bn"", ""en"")"),"A lot of talk is heard after suicide, but does anyone ever think about how helpless a person can make a decision to commit suicide? ")</f>
        <v xml:space="preserve">A lot of talk is heard after suicide, but does anyone ever think about how helpless a person can make a decision to commit suicide? </v>
      </c>
      <c r="F2013" s="1"/>
      <c r="G2013" s="1"/>
      <c r="H2013" s="1"/>
      <c r="I2013" s="1"/>
    </row>
    <row r="2014" spans="1:9" ht="15.6" x14ac:dyDescent="0.3">
      <c r="A2014" s="1" t="s">
        <v>7</v>
      </c>
      <c r="B2014" s="1" t="s">
        <v>7</v>
      </c>
      <c r="C2014" s="10" t="s">
        <v>7</v>
      </c>
      <c r="D2014" s="5" t="s">
        <v>1888</v>
      </c>
      <c r="E2014" s="1" t="str">
        <f ca="1">IFERROR(__xludf.DUMMYFUNCTION("GOOGLETRANSLATE(D2014, ""bn"", ""en"")"),"The interim government took this demand of the Hindu Buddhist Christian Unity Parishad very seriously and collected the list of the said 23 murders. The list was sent by the Office of the Chief Counsel to the police asking for the actual cause of each inc"&amp;"ident and the legal action taken. ")</f>
        <v>The interim government took this demand of the Hindu Buddhist Christian Unity Parishad very seriously and collected the list of the said 23 murders. The list was sent by the Office of the Chief Counsel to the police asking for the actual cause of each incident and the legal action taken. </v>
      </c>
      <c r="F2014" s="1"/>
      <c r="G2014" s="1"/>
      <c r="H2014" s="1"/>
      <c r="I2014" s="1"/>
    </row>
    <row r="2015" spans="1:9" ht="15.6" x14ac:dyDescent="0.3">
      <c r="A2015" s="1" t="s">
        <v>7</v>
      </c>
      <c r="B2015" s="1" t="s">
        <v>7</v>
      </c>
      <c r="C2015" s="10" t="s">
        <v>7</v>
      </c>
      <c r="D2015" s="5" t="s">
        <v>1889</v>
      </c>
      <c r="E2015" s="1" t="str">
        <f ca="1">IFERROR(__xludf.DUMMYFUNCTION("GOOGLETRANSLATE(D2015, ""bn"", ""en"")"),"In Nigeria, the Boko Haram group has killed many people in the name of religious extremism, a horrific example of extremism.")</f>
        <v>In Nigeria, the Boko Haram group has killed many people in the name of religious extremism, a horrific example of extremism.</v>
      </c>
      <c r="F2015" s="1"/>
      <c r="G2015" s="1"/>
      <c r="H2015" s="1"/>
      <c r="I2015" s="1"/>
    </row>
    <row r="2016" spans="1:9" ht="46.8" x14ac:dyDescent="0.3">
      <c r="A2016" s="1" t="s">
        <v>5</v>
      </c>
      <c r="B2016" s="1" t="s">
        <v>5</v>
      </c>
      <c r="C2016" s="10" t="s">
        <v>5</v>
      </c>
      <c r="D2016" s="6" t="s">
        <v>3890</v>
      </c>
      <c r="E2016" s="1" t="str">
        <f ca="1">IFERROR(__xludf.DUMMYFUNCTION("GOOGLETRANSLATE(D2016, ""bn"", ""en"")"),"During the First Lohara Empire in Kashmir, which began in 1028 and ended in 1101, Buddhism slowly declined economically. Over time, Buddhist monasteries suffered greatly due to insufficient financial support. On the other hand, the status of Kashmiri mona"&amp;"steries gradually declined compared to the Bhikkhu Viharas of Central India as they fell away from Ghazni's dominions.")</f>
        <v>During the First Lohara Empire in Kashmir, which began in 1028 and ended in 1101, Buddhism slowly declined economically. Over time, Buddhist monasteries suffered greatly due to insufficient financial support. On the other hand, the status of Kashmiri monasteries gradually declined compared to the Bhikkhu Viharas of Central India as they fell away from Ghazni's dominions.</v>
      </c>
      <c r="F2016" s="1"/>
      <c r="G2016" s="1"/>
      <c r="H2016" s="1"/>
      <c r="I2016" s="1"/>
    </row>
    <row r="2017" spans="1:9" ht="15.6" x14ac:dyDescent="0.3">
      <c r="A2017" s="1" t="s">
        <v>9</v>
      </c>
      <c r="B2017" s="1" t="s">
        <v>5</v>
      </c>
      <c r="C2017" s="10" t="s">
        <v>9</v>
      </c>
      <c r="D2017" s="5" t="s">
        <v>1890</v>
      </c>
      <c r="E2017" s="1" t="str">
        <f ca="1">IFERROR(__xludf.DUMMYFUNCTION("GOOGLETRANSLATE(D2017, ""bn"", ""en"")"),"The Bengali periodical 'Desh Bani' quoted a rescue worker in Noakhali in one of their news reports that Hindus could not return to their homes even after four months of the riots. ")</f>
        <v>The Bengali periodical 'Desh Bani' quoted a rescue worker in Noakhali in one of their news reports that Hindus could not return to their homes even after four months of the riots. </v>
      </c>
      <c r="F2017" s="1"/>
      <c r="G2017" s="1"/>
      <c r="H2017" s="1"/>
      <c r="I2017" s="1"/>
    </row>
    <row r="2018" spans="1:9" ht="15.6" x14ac:dyDescent="0.3">
      <c r="A2018" s="1" t="s">
        <v>7</v>
      </c>
      <c r="B2018" s="1" t="s">
        <v>7</v>
      </c>
      <c r="C2018" s="10" t="s">
        <v>7</v>
      </c>
      <c r="D2018" s="5" t="s">
        <v>1891</v>
      </c>
      <c r="E2018" s="1" t="str">
        <f ca="1">IFERROR(__xludf.DUMMYFUNCTION("GOOGLETRANSLATE(D2018, ""bn"", ""en"")"),"The soldiers took 42 Hindus to a nearby hut and killed them with machine gun brushfire. When the survivors tried to move despite their bullet wounds, they were bayoneted to death.")</f>
        <v>The soldiers took 42 Hindus to a nearby hut and killed them with machine gun brushfire. When the survivors tried to move despite their bullet wounds, they were bayoneted to death.</v>
      </c>
      <c r="F2018" s="1"/>
      <c r="G2018" s="1"/>
      <c r="H2018" s="1"/>
      <c r="I2018" s="1"/>
    </row>
    <row r="2019" spans="1:9" ht="15.6" x14ac:dyDescent="0.3">
      <c r="A2019" s="1" t="s">
        <v>7</v>
      </c>
      <c r="B2019" s="1" t="s">
        <v>5</v>
      </c>
      <c r="C2019" s="10" t="s">
        <v>7</v>
      </c>
      <c r="D2019" s="5" t="s">
        <v>1892</v>
      </c>
      <c r="E2019" s="1" t="str">
        <f ca="1">IFERROR(__xludf.DUMMYFUNCTION("GOOGLETRANSLATE(D2019, ""bn"", ""en"")"),"The protests of the past few days have been compared to the furor that followed the 12 deaths at the offices of satirical magazine Charlie Hebdo after a cartoon of the Prophet of Islam was published in 2015.")</f>
        <v>The protests of the past few days have been compared to the furor that followed the 12 deaths at the offices of satirical magazine Charlie Hebdo after a cartoon of the Prophet of Islam was published in 2015.</v>
      </c>
      <c r="F2019" s="1"/>
      <c r="G2019" s="1"/>
      <c r="H2019" s="1"/>
      <c r="I2019" s="1"/>
    </row>
    <row r="2020" spans="1:9" ht="46.8" x14ac:dyDescent="0.3">
      <c r="A2020" s="1" t="s">
        <v>9</v>
      </c>
      <c r="B2020" s="1" t="s">
        <v>9</v>
      </c>
      <c r="C2020" s="10" t="s">
        <v>9</v>
      </c>
      <c r="D2020" s="6" t="s">
        <v>3889</v>
      </c>
      <c r="E2020" s="1" t="str">
        <f ca="1">IFERROR(__xludf.DUMMYFUNCTION("GOOGLETRANSLATE(D2020, ""bn"", ""en"")"),"In addition to the looting and vandalism of idols and idols in the Pujamandap and another Pujamandap in Pekua Union of Cox's Bazar district, 16 residential houses were also looted.[36] On Wednesday evening of 13th October, a group of people came in a proc"&amp;"ession and attacked and vandalized. When the police reached the spot after receiving the information, a chase and counter-chase happened with the attackers. Police fired blanks to bring the situation under control.")</f>
        <v>In addition to the looting and vandalism of idols and idols in the Pujamandap and another Pujamandap in Pekua Union of Cox's Bazar district, 16 residential houses were also looted.[36] On Wednesday evening of 13th October, a group of people came in a procession and attacked and vandalized. When the police reached the spot after receiving the information, a chase and counter-chase happened with the attackers. Police fired blanks to bring the situation under control.</v>
      </c>
      <c r="F2020" s="1"/>
      <c r="G2020" s="1"/>
      <c r="H2020" s="1"/>
      <c r="I2020" s="1"/>
    </row>
    <row r="2021" spans="1:9" ht="15.6" x14ac:dyDescent="0.3">
      <c r="A2021" s="1" t="s">
        <v>7</v>
      </c>
      <c r="B2021" s="1" t="s">
        <v>7</v>
      </c>
      <c r="C2021" s="10" t="s">
        <v>7</v>
      </c>
      <c r="D2021" s="5" t="s">
        <v>1893</v>
      </c>
      <c r="E2021" s="1" t="str">
        <f ca="1">IFERROR(__xludf.DUMMYFUNCTION("GOOGLETRANSLATE(D2021, ""bn"", ""en"")"),"Under Pakistan's blasphemy laws, those who insult Islam face severe punishment, including the death penalty.")</f>
        <v>Under Pakistan's blasphemy laws, those who insult Islam face severe punishment, including the death penalty.</v>
      </c>
      <c r="F2021" s="1"/>
      <c r="G2021" s="1"/>
      <c r="H2021" s="1"/>
      <c r="I2021" s="1"/>
    </row>
    <row r="2022" spans="1:9" ht="15.6" x14ac:dyDescent="0.3">
      <c r="A2022" s="1" t="s">
        <v>4</v>
      </c>
      <c r="B2022" s="1" t="s">
        <v>4</v>
      </c>
      <c r="C2022" s="10" t="s">
        <v>4</v>
      </c>
      <c r="D2022" s="5" t="s">
        <v>1894</v>
      </c>
      <c r="E2022" s="1" t="str">
        <f ca="1">IFERROR(__xludf.DUMMYFUNCTION("GOOGLETRANSLATE(D2022, ""bn"", ""en"")"),"In the broader sense of Bengali self-identity, which is closely related to national and folk culture, there was a mixed cultural tradition of Hindu-Muslim rituals. Even today, which has not completely disappeared.")</f>
        <v>In the broader sense of Bengali self-identity, which is closely related to national and folk culture, there was a mixed cultural tradition of Hindu-Muslim rituals. Even today, which has not completely disappeared.</v>
      </c>
      <c r="F2022" s="1"/>
      <c r="G2022" s="1"/>
      <c r="H2022" s="1"/>
      <c r="I2022" s="1"/>
    </row>
    <row r="2023" spans="1:9" ht="15.6" x14ac:dyDescent="0.3">
      <c r="A2023" s="1" t="s">
        <v>4</v>
      </c>
      <c r="B2023" s="1" t="s">
        <v>4</v>
      </c>
      <c r="C2023" s="10" t="s">
        <v>4</v>
      </c>
      <c r="D2023" s="5" t="s">
        <v>1895</v>
      </c>
      <c r="E2023" s="1" t="str">
        <f ca="1">IFERROR(__xludf.DUMMYFUNCTION("GOOGLETRANSLATE(D2023, ""bn"", ""en"")"),"Those who are doing it do not know what it can be after seeing the people of that religion! Know! Knowingly doing.")</f>
        <v>Those who are doing it do not know what it can be after seeing the people of that religion! Know! Knowingly doing.</v>
      </c>
      <c r="F2023" s="1"/>
      <c r="G2023" s="1"/>
      <c r="H2023" s="1"/>
      <c r="I2023" s="1"/>
    </row>
    <row r="2024" spans="1:9" ht="15.6" x14ac:dyDescent="0.3">
      <c r="A2024" s="1" t="s">
        <v>4</v>
      </c>
      <c r="B2024" s="1" t="s">
        <v>5</v>
      </c>
      <c r="C2024" s="10" t="s">
        <v>4</v>
      </c>
      <c r="D2024" s="5" t="s">
        <v>1896</v>
      </c>
      <c r="E2024" s="1" t="str">
        <f ca="1">IFERROR(__xludf.DUMMYFUNCTION("GOOGLETRANSLATE(D2024, ""bn"", ""en"")"),"Throughout the decade of partition, various parts of East Bengal, especially Dhaka and Chittagong divisions, witnessed the ethnic cleansing of Hindus. The scale of this Hindu extermination intensified in the 1940s to make the state of Pakistan inevitable "&amp;"through partition.")</f>
        <v>Throughout the decade of partition, various parts of East Bengal, especially Dhaka and Chittagong divisions, witnessed the ethnic cleansing of Hindus. The scale of this Hindu extermination intensified in the 1940s to make the state of Pakistan inevitable through partition.</v>
      </c>
      <c r="F2024" s="1"/>
      <c r="G2024" s="1"/>
      <c r="H2024" s="1"/>
      <c r="I2024" s="1"/>
    </row>
    <row r="2025" spans="1:9" ht="15.6" x14ac:dyDescent="0.3">
      <c r="A2025" s="1" t="s">
        <v>7</v>
      </c>
      <c r="B2025" s="1" t="s">
        <v>7</v>
      </c>
      <c r="C2025" s="10" t="s">
        <v>7</v>
      </c>
      <c r="D2025" s="5" t="s">
        <v>1897</v>
      </c>
      <c r="E2025" s="1" t="str">
        <f ca="1">IFERROR(__xludf.DUMMYFUNCTION("GOOGLETRANSLATE(D2025, ""bn"", ""en"")"),"It is clear that the number of pious people is gradually decreasing as the suicide rate has increased manifold. So what is the reason for the decrease in the number of religious people?")</f>
        <v>It is clear that the number of pious people is gradually decreasing as the suicide rate has increased manifold. So what is the reason for the decrease in the number of religious people?</v>
      </c>
      <c r="F2025" s="1"/>
      <c r="G2025" s="1"/>
      <c r="H2025" s="1"/>
      <c r="I2025" s="1"/>
    </row>
    <row r="2026" spans="1:9" ht="15.6" x14ac:dyDescent="0.3">
      <c r="A2026" s="1" t="s">
        <v>9</v>
      </c>
      <c r="B2026" s="1" t="s">
        <v>9</v>
      </c>
      <c r="C2026" s="10" t="s">
        <v>9</v>
      </c>
      <c r="D2026" s="5" t="s">
        <v>1898</v>
      </c>
      <c r="E2026" s="1" t="str">
        <f ca="1">IFERROR(__xludf.DUMMYFUNCTION("GOOGLETRANSLATE(D2026, ""bn"", ""en"")"),"Clashes and chases took place between the two sides for about half an hour. Seven people, including five policemen, were injured during the clash. The two injured protesters were admitted to Dhaka Medical College Hospital. Bayjidur Rahman, Assistant Commi"&amp;"ssioner of Police, Ramna Zone, said that ""five policemen including him were injured in the clash"".")</f>
        <v>Clashes and chases took place between the two sides for about half an hour. Seven people, including five policemen, were injured during the clash. The two injured protesters were admitted to Dhaka Medical College Hospital. Bayjidur Rahman, Assistant Commissioner of Police, Ramna Zone, said that "five policemen including him were injured in the clash".</v>
      </c>
      <c r="F2026" s="1"/>
      <c r="G2026" s="1"/>
      <c r="H2026" s="1"/>
      <c r="I2026" s="1"/>
    </row>
    <row r="2027" spans="1:9" ht="31.2" x14ac:dyDescent="0.3">
      <c r="A2027" s="1" t="s">
        <v>5</v>
      </c>
      <c r="B2027" s="1" t="s">
        <v>5</v>
      </c>
      <c r="C2027" s="10" t="s">
        <v>5</v>
      </c>
      <c r="D2027" s="6" t="s">
        <v>3888</v>
      </c>
      <c r="E2027" s="1" t="str">
        <f ca="1">IFERROR(__xludf.DUMMYFUNCTION("GOOGLETRANSLATE(D2027, ""bn"", ""en"")"),"The term 'Kathin Cheebar Dan' has been in use in Indian villages since the time of Gautama Buddha. The name of the event is because the work of cutting cotton, making yarn, dyeing, making each cheebur following various rituals and rules is very difficult "&amp;"in just 24 hours.")</f>
        <v>The term 'Kathin Cheebar Dan' has been in use in Indian villages since the time of Gautama Buddha. The name of the event is because the work of cutting cotton, making yarn, dyeing, making each cheebur following various rituals and rules is very difficult in just 24 hours.</v>
      </c>
      <c r="F2027" s="1"/>
      <c r="G2027" s="1"/>
      <c r="H2027" s="1"/>
      <c r="I2027" s="1"/>
    </row>
    <row r="2028" spans="1:9" ht="15.6" x14ac:dyDescent="0.3">
      <c r="A2028" s="1" t="s">
        <v>5</v>
      </c>
      <c r="B2028" s="1" t="s">
        <v>5</v>
      </c>
      <c r="C2028" s="10" t="s">
        <v>5</v>
      </c>
      <c r="D2028" s="5" t="s">
        <v>1899</v>
      </c>
      <c r="E2028" s="1" t="str">
        <f ca="1">IFERROR(__xludf.DUMMYFUNCTION("GOOGLETRANSLATE(D2028, ""bn"", ""en"")"),"Christianity states that all people have the love of God and should show respect and compassion to each other, because God has shown love to all His creations equally, and this does not in any way lead to violence or hatred.")</f>
        <v>Christianity states that all people have the love of God and should show respect and compassion to each other, because God has shown love to all His creations equally, and this does not in any way lead to violence or hatred.</v>
      </c>
      <c r="F2028" s="1"/>
      <c r="G2028" s="1"/>
      <c r="H2028" s="1"/>
      <c r="I2028" s="1"/>
    </row>
    <row r="2029" spans="1:9" ht="15.6" x14ac:dyDescent="0.3">
      <c r="A2029" s="1" t="s">
        <v>4</v>
      </c>
      <c r="B2029" s="1" t="s">
        <v>4</v>
      </c>
      <c r="C2029" s="10" t="s">
        <v>4</v>
      </c>
      <c r="D2029" s="5" t="s">
        <v>1900</v>
      </c>
      <c r="E2029" s="1" t="str">
        <f ca="1">IFERROR(__xludf.DUMMYFUNCTION("GOOGLETRANSLATE(D2029, ""bn"", ""en"")"),"Police say two Muslim men have been arrested after they hacked a Hindu man's Facebook and posted messages derogatory to the Prophet.")</f>
        <v>Police say two Muslim men have been arrested after they hacked a Hindu man's Facebook and posted messages derogatory to the Prophet.</v>
      </c>
      <c r="F2029" s="1"/>
      <c r="G2029" s="1"/>
      <c r="H2029" s="1"/>
      <c r="I2029" s="1"/>
    </row>
    <row r="2030" spans="1:9" ht="15.6" x14ac:dyDescent="0.3">
      <c r="A2030" s="1" t="s">
        <v>5</v>
      </c>
      <c r="B2030" s="1" t="s">
        <v>5</v>
      </c>
      <c r="C2030" s="10" t="s">
        <v>5</v>
      </c>
      <c r="D2030" s="5" t="s">
        <v>1901</v>
      </c>
      <c r="E2030" s="1" t="str">
        <f ca="1">IFERROR(__xludf.DUMMYFUNCTION("GOOGLETRANSLATE(D2030, ""bn"", ""en"")"),"A person who follows the guidance of Allah, his life is beautiful and successful, because Allah blesses his life.")</f>
        <v>A person who follows the guidance of Allah, his life is beautiful and successful, because Allah blesses his life.</v>
      </c>
      <c r="F2030" s="1"/>
      <c r="G2030" s="1"/>
      <c r="H2030" s="1"/>
      <c r="I2030" s="1"/>
    </row>
    <row r="2031" spans="1:9" ht="15.6" x14ac:dyDescent="0.3">
      <c r="A2031" s="1" t="s">
        <v>9</v>
      </c>
      <c r="B2031" s="1" t="s">
        <v>9</v>
      </c>
      <c r="C2031" s="10" t="s">
        <v>9</v>
      </c>
      <c r="D2031" s="5" t="s">
        <v>1902</v>
      </c>
      <c r="E2031" s="1" t="str">
        <f ca="1">IFERROR(__xludf.DUMMYFUNCTION("GOOGLETRANSLATE(D2031, ""bn"", ""en"")"),"On May 11, 2006, armed city hall officers in Kuala Lumpur forcibly demolished a section of a 600-year-old suburban temple, a place of worship for more than 1,000 Hindus. ")</f>
        <v>On May 11, 2006, armed city hall officers in Kuala Lumpur forcibly demolished a section of a 600-year-old suburban temple, a place of worship for more than 1,000 Hindus. </v>
      </c>
      <c r="F2031" s="1"/>
      <c r="G2031" s="1"/>
      <c r="H2031" s="1"/>
      <c r="I2031" s="1"/>
    </row>
    <row r="2032" spans="1:9" ht="15.6" x14ac:dyDescent="0.3">
      <c r="A2032" s="1" t="s">
        <v>9</v>
      </c>
      <c r="B2032" s="1" t="s">
        <v>9</v>
      </c>
      <c r="C2032" s="10" t="s">
        <v>9</v>
      </c>
      <c r="D2032" s="5" t="s">
        <v>1903</v>
      </c>
      <c r="E2032" s="1" t="str">
        <f ca="1">IFERROR(__xludf.DUMMYFUNCTION("GOOGLETRANSLATE(D2032, ""bn"", ""en"")"),"On December 6, 1992, workers of the Vishwa Hindu Parishad and their affiliates demolished the Babri Masjid")</f>
        <v>On December 6, 1992, workers of the Vishwa Hindu Parishad and their affiliates demolished the Babri Masjid</v>
      </c>
      <c r="F2032" s="1"/>
      <c r="G2032" s="1"/>
      <c r="H2032" s="1"/>
      <c r="I2032" s="1"/>
    </row>
    <row r="2033" spans="1:9" ht="15.6" x14ac:dyDescent="0.3">
      <c r="A2033" s="1" t="s">
        <v>7</v>
      </c>
      <c r="B2033" s="1" t="s">
        <v>7</v>
      </c>
      <c r="C2033" s="10" t="s">
        <v>7</v>
      </c>
      <c r="D2033" s="5" t="s">
        <v>1904</v>
      </c>
      <c r="E2033" s="1" t="str">
        <f ca="1">IFERROR(__xludf.DUMMYFUNCTION("GOOGLETRANSLATE(D2033, ""bn"", ""en"")"),"Manpura in Bhola, Korbanpur village in Comilla witnessed communal violence this year too. Atrocities such as burning people to death on the same charges took place in old ladies of Lalmonirhat.")</f>
        <v>Manpura in Bhola, Korbanpur village in Comilla witnessed communal violence this year too. Atrocities such as burning people to death on the same charges took place in old ladies of Lalmonirhat.</v>
      </c>
      <c r="F2033" s="1"/>
      <c r="G2033" s="1"/>
      <c r="H2033" s="1"/>
      <c r="I2033" s="1"/>
    </row>
    <row r="2034" spans="1:9" ht="15.6" x14ac:dyDescent="0.3">
      <c r="A2034" s="1" t="s">
        <v>5</v>
      </c>
      <c r="B2034" s="1" t="s">
        <v>5</v>
      </c>
      <c r="C2034" s="10" t="s">
        <v>5</v>
      </c>
      <c r="D2034" s="5" t="s">
        <v>1905</v>
      </c>
      <c r="E2034" s="1" t="str">
        <f ca="1">IFERROR(__xludf.DUMMYFUNCTION("GOOGLETRANSLATE(D2034, ""bn"", ""en"")"),"Every time I watch the video, I get a heavenly feeling. Alhamdulillah. Thank you to everyone at Baseera team.")</f>
        <v>Every time I watch the video, I get a heavenly feeling. Alhamdulillah. Thank you to everyone at Baseera team.</v>
      </c>
      <c r="F2034" s="1"/>
      <c r="G2034" s="1"/>
      <c r="H2034" s="1"/>
      <c r="I2034" s="1"/>
    </row>
    <row r="2035" spans="1:9" ht="62.4" x14ac:dyDescent="0.3">
      <c r="A2035" s="1" t="s">
        <v>9</v>
      </c>
      <c r="B2035" s="1" t="s">
        <v>9</v>
      </c>
      <c r="C2035" s="10" t="s">
        <v>9</v>
      </c>
      <c r="D2035" s="6" t="s">
        <v>3887</v>
      </c>
      <c r="E2035" s="1" t="str">
        <f ca="1">IFERROR(__xludf.DUMMYFUNCTION("GOOGLETRANSLATE(D2035, ""bn"", ""en"")"),"Around 10 am that day, a picture and video of it spread widely on social media. Where seen, the statue has the Quran near its knees and the weapon (the mace) held by the Hanuman statue is absent.[17] Many have made provocative statements on the matter and"&amp;" alleged desecration of the Quran. When the issue went viral on social media, incidents of attacks, vandalism and beatings started happening in various districts of the country.")</f>
        <v>Around 10 am that day, a picture and video of it spread widely on social media. Where seen, the statue has the Quran near its knees and the weapon (the mace) held by the Hanuman statue is absent.[17] Many have made provocative statements on the matter and alleged desecration of the Quran. When the issue went viral on social media, incidents of attacks, vandalism and beatings started happening in various districts of the country.</v>
      </c>
      <c r="F2035" s="1"/>
      <c r="G2035" s="1"/>
      <c r="H2035" s="1"/>
      <c r="I2035" s="1"/>
    </row>
    <row r="2036" spans="1:9" ht="46.8" x14ac:dyDescent="0.3">
      <c r="A2036" s="1" t="s">
        <v>5</v>
      </c>
      <c r="B2036" s="1" t="s">
        <v>5</v>
      </c>
      <c r="C2036" s="10" t="s">
        <v>5</v>
      </c>
      <c r="D2036" s="6" t="s">
        <v>3886</v>
      </c>
      <c r="E2036" s="1" t="str">
        <f ca="1">IFERROR(__xludf.DUMMYFUNCTION("GOOGLETRANSLATE(D2036, ""bn"", ""en"")"),"The bank of Nanua Dighi in Comilla town is a very familiar and favorite place of mine. In the country, I used to walk regularly in the afternoon on the banks of Nanua Dighi. Around the Dighi, Hindus and Muslims are united. Live peacefully with everyone's "&amp;"religion. I always saw a friendly atmosphere. ")</f>
        <v xml:space="preserve">The bank of Nanua Dighi in Comilla town is a very familiar and favorite place of mine. In the country, I used to walk regularly in the afternoon on the banks of Nanua Dighi. Around the Dighi, Hindus and Muslims are united. Live peacefully with everyone's religion. I always saw a friendly atmosphere. </v>
      </c>
      <c r="F2036" s="1"/>
      <c r="G2036" s="1"/>
      <c r="H2036" s="1"/>
      <c r="I2036" s="1"/>
    </row>
    <row r="2037" spans="1:9" ht="15.6" x14ac:dyDescent="0.3">
      <c r="A2037" s="1" t="s">
        <v>7</v>
      </c>
      <c r="B2037" s="1" t="s">
        <v>7</v>
      </c>
      <c r="C2037" s="10" t="s">
        <v>7</v>
      </c>
      <c r="D2037" s="5" t="s">
        <v>1906</v>
      </c>
      <c r="E2037" s="1" t="str">
        <f ca="1">IFERROR(__xludf.DUMMYFUNCTION("GOOGLETRANSLATE(D2037, ""bn"", ""en"")"),"Shankheribazar Massacre refers to the massacre that took place on March 26, 1971 in Shankheribazar area of ​​old Dhaka city.")</f>
        <v>Shankheribazar Massacre refers to the massacre that took place on March 26, 1971 in Shankheribazar area of ​​old Dhaka city.</v>
      </c>
      <c r="F2037" s="1"/>
      <c r="G2037" s="1"/>
      <c r="H2037" s="1"/>
      <c r="I2037" s="1"/>
    </row>
    <row r="2038" spans="1:9" ht="15.6" x14ac:dyDescent="0.3">
      <c r="A2038" s="1" t="s">
        <v>5</v>
      </c>
      <c r="B2038" s="1" t="s">
        <v>5</v>
      </c>
      <c r="C2038" s="10" t="s">
        <v>5</v>
      </c>
      <c r="D2038" s="5" t="s">
        <v>1907</v>
      </c>
      <c r="E2038" s="1" t="str">
        <f ca="1">IFERROR(__xludf.DUMMYFUNCTION("GOOGLETRANSLATE(D2038, ""bn"", ""en"")"),"Manoj Vajpayee can end all relations if he raises questions about religion; Know the secret of his successful marriage with Shabana")</f>
        <v>Manoj Vajpayee can end all relations if he raises questions about religion; Know the secret of his successful marriage with Shabana</v>
      </c>
      <c r="F2038" s="1"/>
      <c r="G2038" s="1"/>
      <c r="H2038" s="1"/>
      <c r="I2038" s="1"/>
    </row>
    <row r="2039" spans="1:9" ht="15.6" x14ac:dyDescent="0.3">
      <c r="A2039" s="1" t="s">
        <v>9</v>
      </c>
      <c r="B2039" s="1" t="s">
        <v>5</v>
      </c>
      <c r="C2039" s="10" t="s">
        <v>9</v>
      </c>
      <c r="D2039" s="5" t="s">
        <v>1908</v>
      </c>
      <c r="E2039" s="1" t="str">
        <f ca="1">IFERROR(__xludf.DUMMYFUNCTION("GOOGLETRANSLATE(D2039, ""bn"", ""en"")"),"If the government of the country does not take action yet, then I believe that this Hindu-Muslim conflict across the country, including our Pirganj Upazila, may take a more dire form.")</f>
        <v>If the government of the country does not take action yet, then I believe that this Hindu-Muslim conflict across the country, including our Pirganj Upazila, may take a more dire form.</v>
      </c>
      <c r="F2039" s="1"/>
      <c r="G2039" s="1"/>
      <c r="H2039" s="1"/>
      <c r="I2039" s="1"/>
    </row>
    <row r="2040" spans="1:9" ht="15.6" x14ac:dyDescent="0.3">
      <c r="A2040" s="1" t="s">
        <v>5</v>
      </c>
      <c r="B2040" s="1" t="s">
        <v>5</v>
      </c>
      <c r="C2040" s="10" t="s">
        <v>5</v>
      </c>
      <c r="D2040" s="5" t="s">
        <v>1909</v>
      </c>
      <c r="E2040" s="1" t="str">
        <f ca="1">IFERROR(__xludf.DUMMYFUNCTION("GOOGLETRANSLATE(D2040, ""bn"", ""en"")"),"Allah says in the Quran that every creature on earth is part of His creation and it is our duty to show kindness and care to them.")</f>
        <v>Allah says in the Quran that every creature on earth is part of His creation and it is our duty to show kindness and care to them.</v>
      </c>
      <c r="F2040" s="1"/>
      <c r="G2040" s="1"/>
      <c r="H2040" s="1"/>
      <c r="I2040" s="1"/>
    </row>
    <row r="2041" spans="1:9" ht="62.4" x14ac:dyDescent="0.3">
      <c r="A2041" s="1" t="s">
        <v>9</v>
      </c>
      <c r="B2041" s="1" t="s">
        <v>9</v>
      </c>
      <c r="C2041" s="10" t="s">
        <v>9</v>
      </c>
      <c r="D2041" s="6" t="s">
        <v>3885</v>
      </c>
      <c r="E2041" s="1" t="str">
        <f ca="1">IFERROR(__xludf.DUMMYFUNCTION("GOOGLETRANSLATE(D2041, ""bn"", ""en"")")," Comparing the killing of Muslims in Myanmar would be comparing a mouse to a mountain. And if the reaction of our media in these two incidents is compared, then it will be a comparison of Mushik and Parbat. Our media, cold and indifferent to Muslims, no l"&amp;"onger commands respect when it becomes hypersensitive to minorities. This seasonal sensation also in many cases crosses the line of hypocrisy and flattery.")</f>
        <v> Comparing the killing of Muslims in Myanmar would be comparing a mouse to a mountain. And if the reaction of our media in these two incidents is compared, then it will be a comparison of Mushik and Parbat. Our media, cold and indifferent to Muslims, no longer commands respect when it becomes hypersensitive to minorities. This seasonal sensation also in many cases crosses the line of hypocrisy and flattery.</v>
      </c>
      <c r="F2041" s="1"/>
      <c r="G2041" s="1"/>
      <c r="H2041" s="1"/>
      <c r="I2041" s="1"/>
    </row>
    <row r="2042" spans="1:9" ht="15.6" x14ac:dyDescent="0.3">
      <c r="A2042" s="1" t="s">
        <v>4</v>
      </c>
      <c r="B2042" s="1" t="s">
        <v>4</v>
      </c>
      <c r="C2042" s="10" t="s">
        <v>4</v>
      </c>
      <c r="D2042" s="5" t="s">
        <v>1910</v>
      </c>
      <c r="E2042" s="1" t="str">
        <f ca="1">IFERROR(__xludf.DUMMYFUNCTION("GOOGLETRANSLATE(D2042, ""bn"", ""en"")"),"Their names are similar to Muslims but their religion is different. They are followers of Shahbagi religion.")</f>
        <v>Their names are similar to Muslims but their religion is different. They are followers of Shahbagi religion.</v>
      </c>
      <c r="F2042" s="1"/>
      <c r="G2042" s="1"/>
      <c r="H2042" s="1"/>
      <c r="I2042" s="1"/>
    </row>
    <row r="2043" spans="1:9" ht="46.8" x14ac:dyDescent="0.3">
      <c r="A2043" s="1" t="s">
        <v>9</v>
      </c>
      <c r="B2043" s="1" t="s">
        <v>9</v>
      </c>
      <c r="C2043" s="10" t="s">
        <v>9</v>
      </c>
      <c r="D2043" s="6" t="s">
        <v>3884</v>
      </c>
      <c r="E2043" s="1" t="str">
        <f ca="1">IFERROR(__xludf.DUMMYFUNCTION("GOOGLETRANSLATE(D2043, ""bn"", ""en"")"),"Dotbusters primarily operates in New York and New Jersey. They did most of the crime in Jersey City. However, in 1990, the New Jersey Legislature passed a strict anti-hate crime law. But the attack continued. In 1991, 58 hate crimes against Indian Hindus "&amp;"were reported in New Jersey.[")</f>
        <v>Dotbusters primarily operates in New York and New Jersey. They did most of the crime in Jersey City. However, in 1990, the New Jersey Legislature passed a strict anti-hate crime law. But the attack continued. In 1991, 58 hate crimes against Indian Hindus were reported in New Jersey.[</v>
      </c>
      <c r="F2043" s="1"/>
      <c r="G2043" s="1"/>
      <c r="H2043" s="1"/>
      <c r="I2043" s="1"/>
    </row>
    <row r="2044" spans="1:9" ht="31.2" x14ac:dyDescent="0.3">
      <c r="A2044" s="1" t="s">
        <v>7</v>
      </c>
      <c r="B2044" s="1" t="s">
        <v>7</v>
      </c>
      <c r="C2044" s="10" t="s">
        <v>7</v>
      </c>
      <c r="D2044" s="6" t="s">
        <v>3883</v>
      </c>
      <c r="E2044" s="1" t="str">
        <f ca="1">IFERROR(__xludf.DUMMYFUNCTION("GOOGLETRANSLATE(D2044, ""bn"", ""en"")"),"More than 31,000 Palestinians have been killed and more than 73,000 injured. Almost all of Gaza's 23 residents have become refugees after losing their homes. Gazans are on the brink of famine, suffering from starvation under a strict siege and constant at"&amp;"tacks. ")</f>
        <v>More than 31,000 Palestinians have been killed and more than 73,000 injured. Almost all of Gaza's 23 residents have become refugees after losing their homes. Gazans are on the brink of famine, suffering from starvation under a strict siege and constant attacks. </v>
      </c>
      <c r="F2044" s="1"/>
      <c r="G2044" s="1"/>
      <c r="H2044" s="1"/>
      <c r="I2044" s="1"/>
    </row>
    <row r="2045" spans="1:9" ht="15.6" x14ac:dyDescent="0.3">
      <c r="A2045" s="1" t="s">
        <v>5</v>
      </c>
      <c r="B2045" s="1" t="s">
        <v>5</v>
      </c>
      <c r="C2045" s="10" t="s">
        <v>5</v>
      </c>
      <c r="D2045" s="5" t="s">
        <v>1911</v>
      </c>
      <c r="E2045" s="1" t="str">
        <f ca="1">IFERROR(__xludf.DUMMYFUNCTION("GOOGLETRANSLATE(D2045, ""bn"", ""en"")"),"May Allah reward you well for such a beautiful discussion about the Qur'an")</f>
        <v>May Allah reward you well for such a beautiful discussion about the Qur'an</v>
      </c>
      <c r="F2045" s="1"/>
      <c r="G2045" s="1"/>
      <c r="H2045" s="1"/>
      <c r="I2045" s="1"/>
    </row>
    <row r="2046" spans="1:9" ht="46.8" x14ac:dyDescent="0.3">
      <c r="A2046" s="1" t="s">
        <v>7</v>
      </c>
      <c r="B2046" s="1" t="s">
        <v>7</v>
      </c>
      <c r="C2046" s="10" t="s">
        <v>7</v>
      </c>
      <c r="D2046" s="6" t="s">
        <v>3882</v>
      </c>
      <c r="E2046" s="1" t="str">
        <f ca="1">IFERROR(__xludf.DUMMYFUNCTION("GOOGLETRANSLATE(D2046, ""bn"", ""en"")"),"The Rajshahi massacre of 1962 refers to the massacre of local Hindus, Buddhists, and Santals in Rajshahi and Pabna districts in April 1962. [1][2] Basically, Hindu property and girls were attacked. [3] More than three thousand non-Muslims were killed in t"&amp;"his massacre.")</f>
        <v>The Rajshahi massacre of 1962 refers to the massacre of local Hindus, Buddhists, and Santals in Rajshahi and Pabna districts in April 1962. [1][2] Basically, Hindu property and girls were attacked. [3] More than three thousand non-Muslims were killed in this massacre.</v>
      </c>
      <c r="F2046" s="1"/>
      <c r="G2046" s="1"/>
      <c r="H2046" s="1"/>
      <c r="I2046" s="1"/>
    </row>
    <row r="2047" spans="1:9" ht="15.6" x14ac:dyDescent="0.3">
      <c r="A2047" s="1" t="s">
        <v>7</v>
      </c>
      <c r="B2047" s="1" t="s">
        <v>7</v>
      </c>
      <c r="C2047" s="10" t="s">
        <v>7</v>
      </c>
      <c r="D2047" s="5" t="s">
        <v>1912</v>
      </c>
      <c r="E2047" s="1" t="str">
        <f ca="1">IFERROR(__xludf.DUMMYFUNCTION("GOOGLETRANSLATE(D2047, ""bn"", ""en"")"),"Opposition to Islam, under whose protection how long power? Alas, man.")</f>
        <v>Opposition to Islam, under whose protection how long power? Alas, man.</v>
      </c>
      <c r="F2047" s="1"/>
      <c r="G2047" s="1"/>
      <c r="H2047" s="1"/>
      <c r="I2047" s="1"/>
    </row>
    <row r="2048" spans="1:9" ht="15.6" x14ac:dyDescent="0.3">
      <c r="A2048" s="1" t="s">
        <v>5</v>
      </c>
      <c r="B2048" s="1" t="s">
        <v>5</v>
      </c>
      <c r="C2048" s="10" t="s">
        <v>5</v>
      </c>
      <c r="D2048" s="5" t="s">
        <v>1913</v>
      </c>
      <c r="E2048" s="1" t="str">
        <f ca="1">IFERROR(__xludf.DUMMYFUNCTION("GOOGLETRANSLATE(D2048, ""bn"", ""en"")"),"The Gita itself clearly states that all people are treated equally and that the path of worship is only one.")</f>
        <v>The Gita itself clearly states that all people are treated equally and that the path of worship is only one.</v>
      </c>
      <c r="F2048" s="1"/>
      <c r="G2048" s="1"/>
      <c r="H2048" s="1"/>
      <c r="I2048" s="1"/>
    </row>
    <row r="2049" spans="1:9" ht="15.6" x14ac:dyDescent="0.3">
      <c r="A2049" s="1" t="s">
        <v>7</v>
      </c>
      <c r="B2049" s="1" t="s">
        <v>7</v>
      </c>
      <c r="C2049" s="10" t="s">
        <v>7</v>
      </c>
      <c r="D2049" s="5" t="s">
        <v>1914</v>
      </c>
      <c r="E2049" s="1" t="str">
        <f ca="1">IFERROR(__xludf.DUMMYFUNCTION("GOOGLETRANSLATE(D2049, ""bn"", ""en"")"),"In Sarusha village of Huzuripara union under Paba police station of Paba upazila, the minority community was attacked. [7] 1,200 non-Muslims were killed in Dharsa village under Paba police station. [6] 5,000 non-Muslims were killed in Rajshahi district al"&amp;"one.")</f>
        <v>In Sarusha village of Huzuripara union under Paba police station of Paba upazila, the minority community was attacked. [7] 1,200 non-Muslims were killed in Dharsa village under Paba police station. [6] 5,000 non-Muslims were killed in Rajshahi district alone.</v>
      </c>
      <c r="F2049" s="1"/>
      <c r="G2049" s="1"/>
      <c r="H2049" s="1"/>
      <c r="I2049" s="1"/>
    </row>
    <row r="2050" spans="1:9" ht="46.8" x14ac:dyDescent="0.3">
      <c r="A2050" s="1" t="s">
        <v>4</v>
      </c>
      <c r="B2050" s="1" t="s">
        <v>4</v>
      </c>
      <c r="C2050" s="10" t="s">
        <v>4</v>
      </c>
      <c r="D2050" s="6" t="s">
        <v>3881</v>
      </c>
      <c r="E2050" s="1" t="str">
        <f ca="1">IFERROR(__xludf.DUMMYFUNCTION("GOOGLETRANSLATE(D2050, ""bn"", ""en"")"),"It is foolish to expect anything better from a country where the corrupt prime minister says that religion is the festival of everyone, and misinterprets the Holy Quran (Lakum dvinukum walia dvin) and says that religion is the festival of everyone, it is "&amp;"foolish to expect anything better from it.")</f>
        <v>It is foolish to expect anything better from a country where the corrupt prime minister says that religion is the festival of everyone, and misinterprets the Holy Quran (Lakum dvinukum walia dvin) and says that religion is the festival of everyone, it is foolish to expect anything better from it.</v>
      </c>
      <c r="F2050" s="1"/>
      <c r="G2050" s="1"/>
      <c r="H2050" s="1"/>
      <c r="I2050" s="1"/>
    </row>
    <row r="2051" spans="1:9" ht="46.8" x14ac:dyDescent="0.3">
      <c r="A2051" s="1" t="s">
        <v>7</v>
      </c>
      <c r="B2051" s="1" t="s">
        <v>7</v>
      </c>
      <c r="C2051" s="10" t="s">
        <v>7</v>
      </c>
      <c r="D2051" s="6" t="s">
        <v>3880</v>
      </c>
      <c r="E2051" s="1" t="str">
        <f ca="1">IFERROR(__xludf.DUMMYFUNCTION("GOOGLETRANSLATE(D2051, ""bn"", ""en"")"),"In particular, the residences of the Hindu workers of No. 2 Dhakeswari Cotton Mill were subjected to this heinous attack and were burnt to ashes. The manager of the mill, Satyen Roy, informed the managing director Sunil Basu at 3 o'clock in the morning ab"&amp;"out the fire caused by the mad Muslims at No. 2 Dhakeswari Cotton Mill and immediately told him about the need for police and army.")</f>
        <v>In particular, the residences of the Hindu workers of No. 2 Dhakeswari Cotton Mill were subjected to this heinous attack and were burnt to ashes. The manager of the mill, Satyen Roy, informed the managing director Sunil Basu at 3 o'clock in the morning about the fire caused by the mad Muslims at No. 2 Dhakeswari Cotton Mill and immediately told him about the need for police and army.</v>
      </c>
      <c r="F2051" s="1"/>
      <c r="G2051" s="1"/>
      <c r="H2051" s="1"/>
      <c r="I2051" s="1"/>
    </row>
    <row r="2052" spans="1:9" ht="15.6" x14ac:dyDescent="0.3">
      <c r="A2052" s="1" t="s">
        <v>4</v>
      </c>
      <c r="B2052" s="1" t="s">
        <v>4</v>
      </c>
      <c r="C2052" s="10" t="s">
        <v>4</v>
      </c>
      <c r="D2052" s="5" t="s">
        <v>1915</v>
      </c>
      <c r="E2052" s="1" t="str">
        <f ca="1">IFERROR(__xludf.DUMMYFUNCTION("GOOGLETRANSLATE(D2052, ""bn"", ""en"")"),"There is a consensus among the rest of the Muslims that those who make bad comments about Chanchal are reprehensible. ")</f>
        <v>There is a consensus among the rest of the Muslims that those who make bad comments about Chanchal are reprehensible. </v>
      </c>
      <c r="F2052" s="1"/>
      <c r="G2052" s="1"/>
      <c r="H2052" s="1"/>
      <c r="I2052" s="1"/>
    </row>
    <row r="2053" spans="1:9" ht="31.2" x14ac:dyDescent="0.3">
      <c r="A2053" s="1" t="s">
        <v>5</v>
      </c>
      <c r="B2053" s="1" t="s">
        <v>5</v>
      </c>
      <c r="C2053" s="10" t="s">
        <v>5</v>
      </c>
      <c r="D2053" s="6" t="s">
        <v>3879</v>
      </c>
      <c r="E2053" s="1" t="str">
        <f ca="1">IFERROR(__xludf.DUMMYFUNCTION("GOOGLETRANSLATE(D2053, ""bn"", ""en"")"),"Many people don't realize the pitfalls of settling permanently or at least studying or earning a few years of income in countries that are literally western or ideologically western. ")</f>
        <v xml:space="preserve">Many people don't realize the pitfalls of settling permanently or at least studying or earning a few years of income in countries that are literally western or ideologically western. </v>
      </c>
      <c r="F2053" s="1"/>
      <c r="G2053" s="1"/>
      <c r="H2053" s="1"/>
      <c r="I2053" s="1"/>
    </row>
    <row r="2054" spans="1:9" ht="15.6" x14ac:dyDescent="0.3">
      <c r="A2054" s="1" t="s">
        <v>4</v>
      </c>
      <c r="B2054" s="1" t="s">
        <v>5</v>
      </c>
      <c r="C2054" s="10" t="s">
        <v>4</v>
      </c>
      <c r="D2054" s="5" t="s">
        <v>1916</v>
      </c>
      <c r="E2054" s="1" t="str">
        <f ca="1">IFERROR(__xludf.DUMMYFUNCTION("GOOGLETRANSLATE(D2054, ""bn"", ""en"")")," So to discuss a subject like science without him at all is a disgrace to him (especially in the case of Muslims).")</f>
        <v> So to discuss a subject like science without him at all is a disgrace to him (especially in the case of Muslims).</v>
      </c>
      <c r="F2054" s="1"/>
      <c r="G2054" s="1"/>
      <c r="H2054" s="1"/>
      <c r="I2054" s="1"/>
    </row>
    <row r="2055" spans="1:9" ht="15.6" x14ac:dyDescent="0.3">
      <c r="A2055" s="1" t="s">
        <v>4</v>
      </c>
      <c r="B2055" s="1" t="s">
        <v>4</v>
      </c>
      <c r="C2055" s="10" t="s">
        <v>4</v>
      </c>
      <c r="D2055" s="5" t="s">
        <v>1917</v>
      </c>
      <c r="E2055" s="1" t="str">
        <f ca="1">IFERROR(__xludf.DUMMYFUNCTION("GOOGLETRANSLATE(D2055, ""bn"", ""en"")"),"It is natural for fasting people to be moderate. Self-realization is desirable, why in a store with a camera? To harass people? Or to be viral?")</f>
        <v>It is natural for fasting people to be moderate. Self-realization is desirable, why in a store with a camera? To harass people? Or to be viral?</v>
      </c>
      <c r="F2055" s="1"/>
      <c r="G2055" s="1"/>
      <c r="H2055" s="1"/>
      <c r="I2055" s="1"/>
    </row>
    <row r="2056" spans="1:9" ht="15.6" x14ac:dyDescent="0.3">
      <c r="A2056" s="1" t="s">
        <v>9</v>
      </c>
      <c r="B2056" s="1" t="s">
        <v>9</v>
      </c>
      <c r="C2056" s="10" t="s">
        <v>9</v>
      </c>
      <c r="D2056" s="5" t="s">
        <v>1918</v>
      </c>
      <c r="E2056" s="1" t="str">
        <f ca="1">IFERROR(__xludf.DUMMYFUNCTION("GOOGLETRANSLATE(D2056, ""bn"", ""en"")"),"On the morning of May 2, 1971, Pakistani forces entered Gava Narerkathi village with the help of the Rajakars of nearby villages. Then the meeting of the ""Peace Committee"" was called and the Hindu families of the village were asked to come out.")</f>
        <v>On the morning of May 2, 1971, Pakistani forces entered Gava Narerkathi village with the help of the Rajakars of nearby villages. Then the meeting of the "Peace Committee" was called and the Hindu families of the village were asked to come out.</v>
      </c>
      <c r="F2056" s="1"/>
      <c r="G2056" s="1"/>
      <c r="H2056" s="1"/>
      <c r="I2056" s="1"/>
    </row>
    <row r="2057" spans="1:9" ht="15.6" x14ac:dyDescent="0.3">
      <c r="A2057" s="1" t="s">
        <v>9</v>
      </c>
      <c r="B2057" s="1" t="s">
        <v>9</v>
      </c>
      <c r="C2057" s="10" t="s">
        <v>9</v>
      </c>
      <c r="D2057" s="5" t="s">
        <v>1919</v>
      </c>
      <c r="E2057" s="1" t="str">
        <f ca="1">IFERROR(__xludf.DUMMYFUNCTION("GOOGLETRANSLATE(D2057, ""bn"", ""en"")")," Hindus were attacked from the rally. About three hundred houses, temples like Gaur Mandir, Nasirnagar, idols of Gods and Goddesses, furniture, pranami boxes were vandalized in eight Hindu neighborhoods. ")</f>
        <v> Hindus were attacked from the rally. About three hundred houses, temples like Gaur Mandir, Nasirnagar, idols of Gods and Goddesses, furniture, pranami boxes were vandalized in eight Hindu neighborhoods. </v>
      </c>
      <c r="F2057" s="1"/>
      <c r="G2057" s="1"/>
      <c r="H2057" s="1"/>
      <c r="I2057" s="1"/>
    </row>
    <row r="2058" spans="1:9" ht="31.2" x14ac:dyDescent="0.3">
      <c r="A2058" s="1" t="s">
        <v>9</v>
      </c>
      <c r="B2058" s="1" t="s">
        <v>9</v>
      </c>
      <c r="C2058" s="10" t="s">
        <v>9</v>
      </c>
      <c r="D2058" s="6" t="s">
        <v>3878</v>
      </c>
      <c r="E2058" s="1" t="str">
        <f ca="1">IFERROR(__xludf.DUMMYFUNCTION("GOOGLETRANSLATE(D2058, ""bn"", ""en"")"),"In the evening they ransacked some houses of Shobhaganj Union. Hindu community leaders alleged that attackers vandalized the central Kali temple in Mithapukur upazila of Rangpur district.")</f>
        <v>In the evening they ransacked some houses of Shobhaganj Union. Hindu community leaders alleged that attackers vandalized the central Kali temple in Mithapukur upazila of Rangpur district.</v>
      </c>
      <c r="F2058" s="1"/>
      <c r="G2058" s="1"/>
      <c r="H2058" s="1"/>
      <c r="I2058" s="1"/>
    </row>
    <row r="2059" spans="1:9" ht="31.2" x14ac:dyDescent="0.3">
      <c r="A2059" s="1" t="s">
        <v>4</v>
      </c>
      <c r="B2059" s="1" t="s">
        <v>4</v>
      </c>
      <c r="C2059" s="10" t="s">
        <v>4</v>
      </c>
      <c r="D2059" s="6" t="s">
        <v>3877</v>
      </c>
      <c r="E2059" s="1" t="str">
        <f ca="1">IFERROR(__xludf.DUMMYFUNCTION("GOOGLETRANSLATE(D2059, ""bn"", ""en"")"),"Human rights activists said that the violent incidents that were discussed several times before by spreading rumors of insulting religion were not prosecuted. That is why they have doubts about how effective the government's announcement will be.")</f>
        <v>Human rights activists said that the violent incidents that were discussed several times before by spreading rumors of insulting religion were not prosecuted. That is why they have doubts about how effective the government's announcement will be.</v>
      </c>
      <c r="F2059" s="1"/>
      <c r="G2059" s="1"/>
      <c r="H2059" s="1"/>
      <c r="I2059" s="1"/>
    </row>
    <row r="2060" spans="1:9" ht="15.6" x14ac:dyDescent="0.3">
      <c r="A2060" s="1" t="s">
        <v>9</v>
      </c>
      <c r="B2060" s="1" t="s">
        <v>4</v>
      </c>
      <c r="C2060" s="10" t="s">
        <v>9</v>
      </c>
      <c r="D2060" s="5" t="s">
        <v>1920</v>
      </c>
      <c r="E2060" s="1" t="str">
        <f ca="1">IFERROR(__xludf.DUMMYFUNCTION("GOOGLETRANSLATE(D2060, ""bn"", ""en"")"),"There were about 50 cows in the cowshed of the temple and ashram. They were burned. Ramana area turned into an inferno with heavy fire, gunshots, smell of burning flesh and cries of loss of life.")</f>
        <v>There were about 50 cows in the cowshed of the temple and ashram. They were burned. Ramana area turned into an inferno with heavy fire, gunshots, smell of burning flesh and cries of loss of life.</v>
      </c>
      <c r="F2060" s="1"/>
      <c r="G2060" s="1"/>
      <c r="H2060" s="1"/>
      <c r="I2060" s="1"/>
    </row>
    <row r="2061" spans="1:9" ht="15.6" x14ac:dyDescent="0.3">
      <c r="A2061" s="1" t="s">
        <v>9</v>
      </c>
      <c r="B2061" s="1" t="s">
        <v>9</v>
      </c>
      <c r="C2061" s="10" t="s">
        <v>9</v>
      </c>
      <c r="D2061" s="5" t="s">
        <v>1921</v>
      </c>
      <c r="E2061" s="1" t="str">
        <f ca="1">IFERROR(__xludf.DUMMYFUNCTION("GOOGLETRANSLATE(D2061, ""bn"", ""en"")"),"Right after the Kolkata riots, Hussain started making provocative speeches and encouraging Muslims to kill Hindus.[18][19] In some areas, Muslims refrained from buying goods from Hindu shops.")</f>
        <v>Right after the Kolkata riots, Hussain started making provocative speeches and encouraging Muslims to kill Hindus.[18][19] In some areas, Muslims refrained from buying goods from Hindu shops.</v>
      </c>
      <c r="F2061" s="1"/>
      <c r="G2061" s="1"/>
      <c r="H2061" s="1"/>
      <c r="I2061" s="1"/>
    </row>
    <row r="2062" spans="1:9" ht="46.8" x14ac:dyDescent="0.3">
      <c r="A2062" s="1" t="s">
        <v>4</v>
      </c>
      <c r="B2062" s="1" t="s">
        <v>4</v>
      </c>
      <c r="C2062" s="10" t="s">
        <v>4</v>
      </c>
      <c r="D2062" s="6" t="s">
        <v>3876</v>
      </c>
      <c r="E2062" s="1" t="str">
        <f ca="1">IFERROR(__xludf.DUMMYFUNCTION("GOOGLETRANSLATE(D2062, ""bn"", ""en"")"),"On March 25, 1971, the Pakistan Army launched Operation Searchlight in East Pakistan. They basically aimed to wipe out the Hindu community of East Pakistan. After a few weeks, they entered Faridpur district and established an army camp. Meanwhile, the loc"&amp;"al villagers started fleeing.")</f>
        <v>On March 25, 1971, the Pakistan Army launched Operation Searchlight in East Pakistan. They basically aimed to wipe out the Hindu community of East Pakistan. After a few weeks, they entered Faridpur district and established an army camp. Meanwhile, the local villagers started fleeing.</v>
      </c>
      <c r="F2062" s="1"/>
      <c r="G2062" s="1"/>
      <c r="H2062" s="1"/>
      <c r="I2062" s="1"/>
    </row>
    <row r="2063" spans="1:9" ht="15.6" x14ac:dyDescent="0.3">
      <c r="A2063" s="1" t="s">
        <v>4</v>
      </c>
      <c r="B2063" s="1" t="s">
        <v>5</v>
      </c>
      <c r="C2063" s="10" t="s">
        <v>4</v>
      </c>
      <c r="D2063" s="5" t="s">
        <v>1922</v>
      </c>
      <c r="E2063" s="1" t="str">
        <f ca="1">IFERROR(__xludf.DUMMYFUNCTION("GOOGLETRANSLATE(D2063, ""bn"", ""en"")"),"We hold the Qur'an in our hearts. Those who devalue the Qur'an will be strongly protested against. Those Kulangars will be given a stern reply.")</f>
        <v>We hold the Qur'an in our hearts. Those who devalue the Qur'an will be strongly protested against. Those Kulangars will be given a stern reply.</v>
      </c>
      <c r="F2063" s="1"/>
      <c r="G2063" s="1"/>
      <c r="H2063" s="1"/>
      <c r="I2063" s="1"/>
    </row>
    <row r="2064" spans="1:9" ht="15.6" x14ac:dyDescent="0.3">
      <c r="A2064" s="1" t="s">
        <v>5</v>
      </c>
      <c r="B2064" s="1" t="s">
        <v>4</v>
      </c>
      <c r="C2064" s="10" t="s">
        <v>5</v>
      </c>
      <c r="D2064" s="5" t="s">
        <v>1923</v>
      </c>
      <c r="E2064" s="1" t="str">
        <f ca="1">IFERROR(__xludf.DUMMYFUNCTION("GOOGLETRANSLATE(D2064, ""bn"", ""en"")"),"In 1937, when the elections were held in the provinces of India, the provincial power of Bengal came to the hands of the Muslims. But during the long English rule, Hindus were mainly in the seat of rulership (control of landlords).")</f>
        <v>In 1937, when the elections were held in the provinces of India, the provincial power of Bengal came to the hands of the Muslims. But during the long English rule, Hindus were mainly in the seat of rulership (control of landlords).</v>
      </c>
      <c r="F2064" s="1"/>
      <c r="G2064" s="1"/>
      <c r="H2064" s="1"/>
      <c r="I2064" s="1"/>
    </row>
    <row r="2065" spans="1:9" ht="15.6" x14ac:dyDescent="0.3">
      <c r="A2065" s="1" t="s">
        <v>4</v>
      </c>
      <c r="B2065" s="1" t="s">
        <v>4</v>
      </c>
      <c r="C2065" s="10" t="s">
        <v>4</v>
      </c>
      <c r="D2065" s="5" t="s">
        <v>1924</v>
      </c>
      <c r="E2065" s="1" t="str">
        <f ca="1">IFERROR(__xludf.DUMMYFUNCTION("GOOGLETRANSLATE(D2065, ""bn"", ""en"")"),"Verily, this is the Qur'an that I have sent down, and Allah will preserve it. I strongly condemn and strongly protest against those who insulted the greatest and best book of the Muslim nation, Al-Quran, at the shrine on the banks of Comilla Nanua Dighi.")</f>
        <v>Verily, this is the Qur'an that I have sent down, and Allah will preserve it. I strongly condemn and strongly protest against those who insulted the greatest and best book of the Muslim nation, Al-Quran, at the shrine on the banks of Comilla Nanua Dighi.</v>
      </c>
      <c r="F2065" s="1"/>
      <c r="G2065" s="1"/>
      <c r="H2065" s="1"/>
      <c r="I2065" s="1"/>
    </row>
    <row r="2066" spans="1:9" ht="15.6" x14ac:dyDescent="0.3">
      <c r="A2066" s="1" t="s">
        <v>5</v>
      </c>
      <c r="B2066" s="1" t="s">
        <v>5</v>
      </c>
      <c r="C2066" s="10" t="s">
        <v>5</v>
      </c>
      <c r="D2066" s="5" t="s">
        <v>1925</v>
      </c>
      <c r="E2066" s="1" t="str">
        <f ca="1">IFERROR(__xludf.DUMMYFUNCTION("GOOGLETRANSLATE(D2066, ""bn"", ""en"")"),"About 200 yards away from the mosque was an old Kali temple. Rajapur village is a completely Hindu dominated village. There are no Muslims in the area. So the Hindus requested Professor Hamida Khatun to build a mosque 500 yards away.")</f>
        <v>About 200 yards away from the mosque was an old Kali temple. Rajapur village is a completely Hindu dominated village. There are no Muslims in the area. So the Hindus requested Professor Hamida Khatun to build a mosque 500 yards away.</v>
      </c>
      <c r="F2066" s="1"/>
      <c r="G2066" s="1"/>
      <c r="H2066" s="1"/>
      <c r="I2066" s="1"/>
    </row>
    <row r="2067" spans="1:9" ht="15.6" x14ac:dyDescent="0.3">
      <c r="A2067" s="1" t="s">
        <v>7</v>
      </c>
      <c r="B2067" s="1" t="s">
        <v>7</v>
      </c>
      <c r="C2067" s="10" t="s">
        <v>7</v>
      </c>
      <c r="D2067" s="5" t="s">
        <v>1926</v>
      </c>
      <c r="E2067" s="1" t="str">
        <f ca="1">IFERROR(__xludf.DUMMYFUNCTION("GOOGLETRANSLATE(D2067, ""bn"", ""en"")")," An anti-Semitic man opened fire at a synagogue, killing 11 people, the deadliest attack on the Jewish community in US history.")</f>
        <v xml:space="preserve"> An anti-Semitic man opened fire at a synagogue, killing 11 people, the deadliest attack on the Jewish community in US history.</v>
      </c>
      <c r="F2067" s="1"/>
      <c r="G2067" s="1"/>
      <c r="H2067" s="1"/>
      <c r="I2067" s="1"/>
    </row>
    <row r="2068" spans="1:9" ht="15.6" x14ac:dyDescent="0.3">
      <c r="A2068" s="1" t="s">
        <v>9</v>
      </c>
      <c r="B2068" s="1" t="s">
        <v>9</v>
      </c>
      <c r="C2068" s="10" t="s">
        <v>9</v>
      </c>
      <c r="D2068" s="5" t="s">
        <v>1927</v>
      </c>
      <c r="E2068" s="1" t="str">
        <f ca="1">IFERROR(__xludf.DUMMYFUNCTION("GOOGLETRANSLATE(D2068, ""bn"", ""en"")"),"On January 2, 2012, a Hindu temple was set on fire in New York City. [63]")</f>
        <v>On January 2, 2012, a Hindu temple was set on fire in New York City. [63]</v>
      </c>
      <c r="F2068" s="1"/>
      <c r="G2068" s="1"/>
      <c r="H2068" s="1"/>
      <c r="I2068" s="1"/>
    </row>
    <row r="2069" spans="1:9" ht="15.6" x14ac:dyDescent="0.3">
      <c r="A2069" s="1" t="s">
        <v>4</v>
      </c>
      <c r="B2069" s="1" t="s">
        <v>5</v>
      </c>
      <c r="C2069" s="10" t="s">
        <v>4</v>
      </c>
      <c r="D2069" s="5" t="s">
        <v>1928</v>
      </c>
      <c r="E2069" s="1" t="str">
        <f ca="1">IFERROR(__xludf.DUMMYFUNCTION("GOOGLETRANSLATE(D2069, ""bn"", ""en"")"),"In Islam, it is clearly stated that prayer should not be done in the house where there is an idol.")</f>
        <v>In Islam, it is clearly stated that prayer should not be done in the house where there is an idol.</v>
      </c>
      <c r="F2069" s="1"/>
      <c r="G2069" s="1"/>
      <c r="H2069" s="1"/>
      <c r="I2069" s="1"/>
    </row>
    <row r="2070" spans="1:9" ht="15.6" x14ac:dyDescent="0.3">
      <c r="A2070" s="1" t="s">
        <v>4</v>
      </c>
      <c r="B2070" s="1" t="s">
        <v>4</v>
      </c>
      <c r="C2070" s="10" t="s">
        <v>4</v>
      </c>
      <c r="D2070" s="5" t="s">
        <v>1929</v>
      </c>
      <c r="E2070" s="1" t="str">
        <f ca="1">IFERROR(__xludf.DUMMYFUNCTION("GOOGLETRANSLATE(D2070, ""bn"", ""en"")"),"A group among Hindus are definitely terrorists and anti-Islamists, in India they are involved in many communal incidents, as an agent of India in Bangladesh, don't pretend to be non-communal without inquiring whether anyone is involved in communalism or n"&amp;"ot.")</f>
        <v>A group among Hindus are definitely terrorists and anti-Islamists, in India they are involved in many communal incidents, as an agent of India in Bangladesh, don't pretend to be non-communal without inquiring whether anyone is involved in communalism or not.</v>
      </c>
      <c r="F2070" s="1"/>
      <c r="G2070" s="1"/>
      <c r="H2070" s="1"/>
      <c r="I2070" s="1"/>
    </row>
    <row r="2071" spans="1:9" ht="15.6" x14ac:dyDescent="0.3">
      <c r="A2071" s="1" t="s">
        <v>9</v>
      </c>
      <c r="B2071" s="1" t="s">
        <v>9</v>
      </c>
      <c r="C2071" s="10" t="s">
        <v>9</v>
      </c>
      <c r="D2071" s="5" t="s">
        <v>1930</v>
      </c>
      <c r="E2071" s="1" t="str">
        <f ca="1">IFERROR(__xludf.DUMMYFUNCTION("GOOGLETRANSLATE(D2071, ""bn"", ""en"")"),"40 Hindu families of Hariharpur village near Balurghat border with India were evicted by Pakistani armed forces and driven from their homes. They took away the roofs of the houses of those families.")</f>
        <v>40 Hindu families of Hariharpur village near Balurghat border with India were evicted by Pakistani armed forces and driven from their homes. They took away the roofs of the houses of those families.</v>
      </c>
      <c r="F2071" s="1"/>
      <c r="G2071" s="1"/>
      <c r="H2071" s="1"/>
      <c r="I2071" s="1"/>
    </row>
    <row r="2072" spans="1:9" ht="62.4" x14ac:dyDescent="0.3">
      <c r="A2072" s="1" t="s">
        <v>9</v>
      </c>
      <c r="B2072" s="1" t="s">
        <v>9</v>
      </c>
      <c r="C2072" s="10" t="s">
        <v>9</v>
      </c>
      <c r="D2072" s="6" t="s">
        <v>3875</v>
      </c>
      <c r="E2072" s="1" t="str">
        <f ca="1">IFERROR(__xludf.DUMMYFUNCTION("GOOGLETRANSLATE(D2072, ""bn"", ""en"")"),"Incidents of attack and vandalism took place on mandaps in Banshkhali and Karnaphuli upazilas of Chittagong district. The police filed a case naming 83 people, as well as hundreds of unknown persons. [48] The Chittagong Mahanagara Puja Celebration Council"&amp;" took a stand against the attack and announced that the idol would not be dedicated until it was secured.")</f>
        <v>Incidents of attack and vandalism took place on mandaps in Banshkhali and Karnaphuli upazilas of Chittagong district. The police filed a case naming 83 people, as well as hundreds of unknown persons. [48] The Chittagong Mahanagara Puja Celebration Council took a stand against the attack and announced that the idol would not be dedicated until it was secured.</v>
      </c>
      <c r="F2072" s="1"/>
      <c r="G2072" s="1"/>
      <c r="H2072" s="1"/>
      <c r="I2072" s="1"/>
    </row>
    <row r="2073" spans="1:9" ht="46.8" x14ac:dyDescent="0.3">
      <c r="A2073" s="1" t="s">
        <v>9</v>
      </c>
      <c r="B2073" s="1" t="s">
        <v>9</v>
      </c>
      <c r="C2073" s="10" t="s">
        <v>9</v>
      </c>
      <c r="D2073" s="6" t="s">
        <v>3874</v>
      </c>
      <c r="E2073" s="1" t="str">
        <f ca="1">IFERROR(__xludf.DUMMYFUNCTION("GOOGLETRANSLATE(D2073, ""bn"", ""en"")"),"In this Asia, especially in the Middle East, in South Asia, which has the flag of so many religions, but here theft, robbery, rape, rape of domestic workers, burning Hindus in the name of blasphemy, beating people to kill cows, if these are not caught, th"&amp;"en what can you say about corruption in each country? Everyone is so educated, they do not know about religion?")</f>
        <v>In this Asia, especially in the Middle East, in South Asia, which has the flag of so many religions, but here theft, robbery, rape, rape of domestic workers, burning Hindus in the name of blasphemy, beating people to kill cows, if these are not caught, then what can you say about corruption in each country? Everyone is so educated, they do not know about religion?</v>
      </c>
      <c r="F2073" s="1"/>
      <c r="G2073" s="1"/>
      <c r="H2073" s="1"/>
      <c r="I2073" s="1"/>
    </row>
    <row r="2074" spans="1:9" ht="15.6" x14ac:dyDescent="0.3">
      <c r="A2074" s="1" t="s">
        <v>9</v>
      </c>
      <c r="B2074" s="1" t="s">
        <v>9</v>
      </c>
      <c r="C2074" s="10" t="s">
        <v>9</v>
      </c>
      <c r="D2074" s="5" t="s">
        <v>1931</v>
      </c>
      <c r="E2074" s="1" t="str">
        <f ca="1">IFERROR(__xludf.DUMMYFUNCTION("GOOGLETRANSLATE(D2074, ""bn"", ""en"")"),"A rumor was spread that Sheree Bangla AK Fazlul Haque and his sister-in-law were murdered in Kolkata. At least eight places were connected to fire by evening. Thirty houses were gutted and at least ten people were burnt to death. ")</f>
        <v>A rumor was spread that Sheree Bangla AK Fazlul Haque and his sister-in-law were murdered in Kolkata. At least eight places were connected to fire by evening. Thirty houses were gutted and at least ten people were burnt to death. </v>
      </c>
      <c r="F2074" s="1"/>
      <c r="G2074" s="1"/>
      <c r="H2074" s="1"/>
      <c r="I2074" s="1"/>
    </row>
    <row r="2075" spans="1:9" ht="15.6" x14ac:dyDescent="0.3">
      <c r="A2075" s="1" t="s">
        <v>9</v>
      </c>
      <c r="B2075" s="1" t="s">
        <v>9</v>
      </c>
      <c r="C2075" s="10" t="s">
        <v>9</v>
      </c>
      <c r="D2075" s="5" t="s">
        <v>1932</v>
      </c>
      <c r="E2075" s="1" t="str">
        <f ca="1">IFERROR(__xludf.DUMMYFUNCTION("GOOGLETRANSLATE(D2075, ""bn"", ""en"")"),"Violent attacks on Muslim minorities have increased since ex-BJP leader LK Advani took Hindutva ideals into the mainstream of Indian politics with the Ram Rath Yatra.")</f>
        <v>Violent attacks on Muslim minorities have increased since ex-BJP leader LK Advani took Hindutva ideals into the mainstream of Indian politics with the Ram Rath Yatra.</v>
      </c>
      <c r="F2075" s="1"/>
      <c r="G2075" s="1"/>
      <c r="H2075" s="1"/>
      <c r="I2075" s="1"/>
    </row>
    <row r="2076" spans="1:9" ht="31.2" x14ac:dyDescent="0.3">
      <c r="A2076" s="1" t="s">
        <v>9</v>
      </c>
      <c r="B2076" s="1" t="s">
        <v>5</v>
      </c>
      <c r="C2076" s="10" t="s">
        <v>9</v>
      </c>
      <c r="D2076" s="6" t="s">
        <v>3873</v>
      </c>
      <c r="E2076" s="1" t="str">
        <f ca="1">IFERROR(__xludf.DUMMYFUNCTION("GOOGLETRANSLATE(D2076, ""bn"", ""en"")"),"You have wealth with Abu Sufyan, Muhammad and his companions are coming forward to attack him. So I don't think you will get it. So come forward for help, come forward")</f>
        <v>You have wealth with Abu Sufyan, Muhammad and his companions are coming forward to attack him. So I don't think you will get it. So come forward for help, come forward</v>
      </c>
      <c r="F2076" s="1"/>
      <c r="G2076" s="1"/>
      <c r="H2076" s="1"/>
      <c r="I2076" s="1"/>
    </row>
    <row r="2077" spans="1:9" ht="46.8" x14ac:dyDescent="0.3">
      <c r="A2077" s="1" t="s">
        <v>9</v>
      </c>
      <c r="B2077" s="1" t="s">
        <v>4</v>
      </c>
      <c r="C2077" s="10" t="s">
        <v>9</v>
      </c>
      <c r="D2077" s="6" t="s">
        <v>3872</v>
      </c>
      <c r="E2077" s="1" t="str">
        <f ca="1">IFERROR(__xludf.DUMMYFUNCTION("GOOGLETRANSLATE(D2077, ""bn"", ""en"")")," Between 25 and 28 October, riots broke out in Chapra and Sharan districts of Bihar. Riots soon broke out in Patna, Munger, Bhagalpur.[80] As a result, it became increasingly difficult for the government to maintain law and order and the partition of Indi"&amp;"a on religious lines became inevitable. ")</f>
        <v> Between 25 and 28 October, riots broke out in Chapra and Sharan districts of Bihar. Riots soon broke out in Patna, Munger, Bhagalpur.[80] As a result, it became increasingly difficult for the government to maintain law and order and the partition of India on religious lines became inevitable. </v>
      </c>
      <c r="F2077" s="1"/>
      <c r="G2077" s="1"/>
      <c r="H2077" s="1"/>
      <c r="I2077" s="1"/>
    </row>
    <row r="2078" spans="1:9" ht="15.6" x14ac:dyDescent="0.3">
      <c r="A2078" s="1" t="s">
        <v>7</v>
      </c>
      <c r="B2078" s="1" t="s">
        <v>5</v>
      </c>
      <c r="C2078" s="10" t="s">
        <v>7</v>
      </c>
      <c r="D2078" s="5" t="s">
        <v>1933</v>
      </c>
      <c r="E2078" s="1" t="str">
        <f ca="1">IFERROR(__xludf.DUMMYFUNCTION("GOOGLETRANSLATE(D2078, ""bn"", ""en"")"),"In this, many people lose their clear thinking power and as a last resort, they choose the terrible and cruel act of suicide. He no longer has the opportunity to think about the consequences of eternal life hereafter.")</f>
        <v>In this, many people lose their clear thinking power and as a last resort, they choose the terrible and cruel act of suicide. He no longer has the opportunity to think about the consequences of eternal life hereafter.</v>
      </c>
      <c r="F2078" s="1"/>
      <c r="G2078" s="1"/>
      <c r="H2078" s="1"/>
      <c r="I2078" s="1"/>
    </row>
    <row r="2079" spans="1:9" ht="15.6" x14ac:dyDescent="0.3">
      <c r="A2079" s="1" t="s">
        <v>5</v>
      </c>
      <c r="B2079" s="1" t="s">
        <v>5</v>
      </c>
      <c r="C2079" s="10" t="s">
        <v>5</v>
      </c>
      <c r="D2079" s="5" t="s">
        <v>1934</v>
      </c>
      <c r="E2079" s="1" t="str">
        <f ca="1">IFERROR(__xludf.DUMMYFUNCTION("GOOGLETRANSLATE(D2079, ""bn"", ""en"")"),"Believed to bestow luck for the whole year and cleanse them from sins. In many regions, this is a night when prayers are offered to their deceased ancestors for forgiveness.")</f>
        <v>Believed to bestow luck for the whole year and cleanse them from sins. In many regions, this is a night when prayers are offered to their deceased ancestors for forgiveness.</v>
      </c>
      <c r="F2079" s="1"/>
      <c r="G2079" s="1"/>
      <c r="H2079" s="1"/>
      <c r="I2079" s="1"/>
    </row>
    <row r="2080" spans="1:9" ht="15.6" x14ac:dyDescent="0.3">
      <c r="A2080" s="1" t="s">
        <v>9</v>
      </c>
      <c r="B2080" s="1" t="s">
        <v>5</v>
      </c>
      <c r="C2080" s="10" t="s">
        <v>9</v>
      </c>
      <c r="D2080" s="5" t="s">
        <v>1935</v>
      </c>
      <c r="E2080" s="1" t="str">
        <f ca="1">IFERROR(__xludf.DUMMYFUNCTION("GOOGLETRANSLATE(D2080, ""bn"", ""en"")"),"Bakshiganj Naldanga Raipura Ishwarganj statue vandalized")</f>
        <v>Bakshiganj Naldanga Raipura Ishwarganj statue vandalized</v>
      </c>
      <c r="F2080" s="1"/>
      <c r="G2080" s="1"/>
      <c r="H2080" s="1"/>
      <c r="I2080" s="1"/>
    </row>
    <row r="2081" spans="1:9" ht="15.6" x14ac:dyDescent="0.3">
      <c r="A2081" s="1" t="s">
        <v>5</v>
      </c>
      <c r="B2081" s="1" t="s">
        <v>9</v>
      </c>
      <c r="C2081" s="10" t="s">
        <v>5</v>
      </c>
      <c r="D2081" s="5" t="s">
        <v>1936</v>
      </c>
      <c r="E2081" s="1" t="str">
        <f ca="1">IFERROR(__xludf.DUMMYFUNCTION("GOOGLETRANSLATE(D2081, ""bn"", ""en"")"),"The life of struggle begins at the beginning of Nabuat. Faced with wall-like obstacles one by one. Suffers severe pain. But he did not give up. He did not give up the power of cancellation. Durbar's courage was in his chest, his feet were firm. With his t"&amp;"actics, and bravery, he resisted the enemies hard.")</f>
        <v>The life of struggle begins at the beginning of Nabuat. Faced with wall-like obstacles one by one. Suffers severe pain. But he did not give up. He did not give up the power of cancellation. Durbar's courage was in his chest, his feet were firm. With his tactics, and bravery, he resisted the enemies hard.</v>
      </c>
      <c r="F2081" s="1"/>
      <c r="G2081" s="1"/>
      <c r="H2081" s="1"/>
      <c r="I2081" s="1"/>
    </row>
    <row r="2082" spans="1:9" ht="15.6" x14ac:dyDescent="0.3">
      <c r="A2082" s="1" t="s">
        <v>9</v>
      </c>
      <c r="B2082" s="1" t="s">
        <v>9</v>
      </c>
      <c r="C2082" s="10" t="s">
        <v>9</v>
      </c>
      <c r="D2082" s="5" t="s">
        <v>1937</v>
      </c>
      <c r="E2082" s="1" t="str">
        <f ca="1">IFERROR(__xludf.DUMMYFUNCTION("GOOGLETRANSLATE(D2082, ""bn"", ""en"")"),"They killed the male members of Chandipur and raped the women. Burn their homes to ashes. Hundreds of Santals and Hindus were killed in this way. Hundreds of other poor farmers were arrested, including Ila Mitra, one of the organizers of the Tevaga moveme"&amp;"nt in Rohanpur.")</f>
        <v>They killed the male members of Chandipur and raped the women. Burn their homes to ashes. Hundreds of Santals and Hindus were killed in this way. Hundreds of other poor farmers were arrested, including Ila Mitra, one of the organizers of the Tevaga movement in Rohanpur.</v>
      </c>
      <c r="F2082" s="1"/>
      <c r="G2082" s="1"/>
      <c r="H2082" s="1"/>
      <c r="I2082" s="1"/>
    </row>
    <row r="2083" spans="1:9" ht="31.2" x14ac:dyDescent="0.3">
      <c r="A2083" s="1" t="s">
        <v>9</v>
      </c>
      <c r="B2083" s="1" t="s">
        <v>9</v>
      </c>
      <c r="C2083" s="10" t="s">
        <v>9</v>
      </c>
      <c r="D2083" s="6" t="s">
        <v>3871</v>
      </c>
      <c r="E2083" s="1" t="str">
        <f ca="1">IFERROR(__xludf.DUMMYFUNCTION("GOOGLETRANSLATE(D2083, ""bn"", ""en"")"),"The Taliban was created by America itself, to oust Soviet Russia from Afghanistan. Then, with the support of America, the Taliban seized power, introduced fundamentalist fatwas and started the destruction of a country standing with an ancient glorious cul"&amp;"tural history.")</f>
        <v>The Taliban was created by America itself, to oust Soviet Russia from Afghanistan. Then, with the support of America, the Taliban seized power, introduced fundamentalist fatwas and started the destruction of a country standing with an ancient glorious cultural history.</v>
      </c>
      <c r="F2083" s="1"/>
      <c r="G2083" s="1"/>
      <c r="H2083" s="1"/>
      <c r="I2083" s="1"/>
    </row>
    <row r="2084" spans="1:9" ht="15.6" x14ac:dyDescent="0.3">
      <c r="A2084" s="1" t="s">
        <v>5</v>
      </c>
      <c r="B2084" s="1" t="s">
        <v>5</v>
      </c>
      <c r="C2084" s="10" t="s">
        <v>5</v>
      </c>
      <c r="D2084" s="5" t="s">
        <v>1938</v>
      </c>
      <c r="E2084" s="1" t="str">
        <f ca="1">IFERROR(__xludf.DUMMYFUNCTION("GOOGLETRANSLATE(D2084, ""bn"", ""en"")"),"Buddha's ancestors were Hindus. Buddha was the only renunciate. He was a true believer. His sayings are found in the Vedas. I revere, worship, bow down to Buddha.")</f>
        <v>Buddha's ancestors were Hindus. Buddha was the only renunciate. He was a true believer. His sayings are found in the Vedas. I revere, worship, bow down to Buddha.</v>
      </c>
      <c r="F2084" s="1"/>
      <c r="G2084" s="1"/>
      <c r="H2084" s="1"/>
      <c r="I2084" s="1"/>
    </row>
    <row r="2085" spans="1:9" ht="15.6" x14ac:dyDescent="0.3">
      <c r="A2085" s="1" t="s">
        <v>4</v>
      </c>
      <c r="B2085" s="1" t="s">
        <v>4</v>
      </c>
      <c r="C2085" s="10" t="s">
        <v>4</v>
      </c>
      <c r="D2085" s="5" t="s">
        <v>1939</v>
      </c>
      <c r="E2085" s="1" t="str">
        <f ca="1">IFERROR(__xludf.DUMMYFUNCTION("GOOGLETRANSLATE(D2085, ""bn"", ""en"")"),"And open power generation companies. Where we are determined to deliver electricity to everyone's homes regardless of religion")</f>
        <v>And open power generation companies. Where we are determined to deliver electricity to everyone's homes regardless of religion</v>
      </c>
      <c r="F2085" s="1"/>
      <c r="G2085" s="1"/>
      <c r="H2085" s="1"/>
      <c r="I2085" s="1"/>
    </row>
    <row r="2086" spans="1:9" ht="15.6" x14ac:dyDescent="0.3">
      <c r="A2086" s="1" t="s">
        <v>7</v>
      </c>
      <c r="B2086" s="1" t="s">
        <v>7</v>
      </c>
      <c r="C2086" s="10" t="s">
        <v>7</v>
      </c>
      <c r="D2086" s="5" t="s">
        <v>1940</v>
      </c>
      <c r="E2086" s="1" t="str">
        <f ca="1">IFERROR(__xludf.DUMMYFUNCTION("GOOGLETRANSLATE(D2086, ""bn"", ""en"")"),"While the Muslims stopped the heinous atrocities like the massacre of Hindus in Noakhali and forced conversions in October, they did not stop the steamroller of oppressing the suffering Hindu population in other ways.")</f>
        <v>While the Muslims stopped the heinous atrocities like the massacre of Hindus in Noakhali and forced conversions in October, they did not stop the steamroller of oppressing the suffering Hindu population in other ways.</v>
      </c>
      <c r="F2086" s="1"/>
      <c r="G2086" s="1"/>
      <c r="H2086" s="1"/>
      <c r="I2086" s="1"/>
    </row>
    <row r="2087" spans="1:9" ht="15.6" x14ac:dyDescent="0.3">
      <c r="A2087" s="1" t="s">
        <v>9</v>
      </c>
      <c r="B2087" s="1" t="s">
        <v>9</v>
      </c>
      <c r="C2087" s="10" t="s">
        <v>9</v>
      </c>
      <c r="D2087" s="5" t="s">
        <v>1941</v>
      </c>
      <c r="E2087" s="1" t="str">
        <f ca="1">IFERROR(__xludf.DUMMYFUNCTION("GOOGLETRANSLATE(D2087, ""bn"", ""en"")"),"Fascism Pradesh/Uttar Pradesh, North India (Fascism Powerhouse): Social-sinister elements of India are inflicting blows on the masses. The whole world is watching what is happening in India, a Muslim girl is being harassed like this.")</f>
        <v>Fascism Pradesh/Uttar Pradesh, North India (Fascism Powerhouse): Social-sinister elements of India are inflicting blows on the masses. The whole world is watching what is happening in India, a Muslim girl is being harassed like this.</v>
      </c>
      <c r="F2087" s="1"/>
      <c r="G2087" s="1"/>
      <c r="H2087" s="1"/>
      <c r="I2087" s="1"/>
    </row>
    <row r="2088" spans="1:9" ht="15.6" x14ac:dyDescent="0.3">
      <c r="A2088" s="1" t="s">
        <v>9</v>
      </c>
      <c r="B2088" s="1" t="s">
        <v>4</v>
      </c>
      <c r="C2088" s="10" t="s">
        <v>9</v>
      </c>
      <c r="D2088" s="5" t="s">
        <v>1942</v>
      </c>
      <c r="E2088" s="1" t="str">
        <f ca="1">IFERROR(__xludf.DUMMYFUNCTION("GOOGLETRANSLATE(D2088, ""bn"", ""en"")"),"Buddhism virtually disappeared from India during the 10th century invasion of India by Sultan Mahmud of Ghazni - and Hindu and other non-Buddhist kings were largely responsible for this. ")</f>
        <v>Buddhism virtually disappeared from India during the 10th century invasion of India by Sultan Mahmud of Ghazni - and Hindu and other non-Buddhist kings were largely responsible for this. </v>
      </c>
      <c r="F2088" s="1"/>
      <c r="G2088" s="1"/>
      <c r="H2088" s="1"/>
      <c r="I2088" s="1"/>
    </row>
    <row r="2089" spans="1:9" ht="15.6" x14ac:dyDescent="0.3">
      <c r="A2089" s="1" t="s">
        <v>9</v>
      </c>
      <c r="B2089" s="1" t="s">
        <v>9</v>
      </c>
      <c r="C2089" s="10" t="s">
        <v>9</v>
      </c>
      <c r="D2089" s="5" t="s">
        <v>1943</v>
      </c>
      <c r="E2089" s="1" t="str">
        <f ca="1">IFERROR(__xludf.DUMMYFUNCTION("GOOGLETRANSLATE(D2089, ""bn"", ""en"")"),"And throughout the year, Hindu-Muslim riots continue. The country should be aware before going in that direction")</f>
        <v>And throughout the year, Hindu-Muslim riots continue. The country should be aware before going in that direction</v>
      </c>
      <c r="F2089" s="1"/>
      <c r="G2089" s="1"/>
      <c r="H2089" s="1"/>
      <c r="I2089" s="1"/>
    </row>
    <row r="2090" spans="1:9" ht="31.2" x14ac:dyDescent="0.3">
      <c r="A2090" s="1" t="s">
        <v>5</v>
      </c>
      <c r="B2090" s="1" t="s">
        <v>5</v>
      </c>
      <c r="C2090" s="10" t="s">
        <v>5</v>
      </c>
      <c r="D2090" s="6" t="s">
        <v>3870</v>
      </c>
      <c r="E2090" s="1" t="str">
        <f ca="1">IFERROR(__xludf.DUMMYFUNCTION("GOOGLETRANSLATE(D2090, ""bn"", ""en"")"),"Three-quarters of the world's countries have low to moderate restrictions on religious freedom, with a quarter having high and very high restrictions, according to the State Department's annual report to Congress on Religious Freedom and Persecution.")</f>
        <v>Three-quarters of the world's countries have low to moderate restrictions on religious freedom, with a quarter having high and very high restrictions, according to the State Department's annual report to Congress on Religious Freedom and Persecution.</v>
      </c>
      <c r="F2090" s="1"/>
      <c r="G2090" s="1"/>
      <c r="H2090" s="1"/>
      <c r="I2090" s="1"/>
    </row>
    <row r="2091" spans="1:9" ht="31.2" x14ac:dyDescent="0.3">
      <c r="A2091" s="1" t="s">
        <v>4</v>
      </c>
      <c r="B2091" s="1" t="s">
        <v>4</v>
      </c>
      <c r="C2091" s="10" t="s">
        <v>4</v>
      </c>
      <c r="D2091" s="6" t="s">
        <v>3869</v>
      </c>
      <c r="E2091" s="1" t="str">
        <f ca="1">IFERROR(__xludf.DUMMYFUNCTION("GOOGLETRANSLATE(D2091, ""bn"", ""en"")"),"They don't have any problem if you worship, celebrate full moon or celebrate Christmas or party in the name of cultural events but if you go to recite Quran, their penises will burn.")</f>
        <v>They don't have any problem if you worship, celebrate full moon or celebrate Christmas or party in the name of cultural events but if you go to recite Quran, their penises will burn.</v>
      </c>
      <c r="F2091" s="1"/>
      <c r="G2091" s="1"/>
      <c r="H2091" s="1"/>
      <c r="I2091" s="1"/>
    </row>
    <row r="2092" spans="1:9" ht="15.6" x14ac:dyDescent="0.3">
      <c r="A2092" s="1" t="s">
        <v>4</v>
      </c>
      <c r="B2092" s="1" t="s">
        <v>4</v>
      </c>
      <c r="C2092" s="10" t="s">
        <v>4</v>
      </c>
      <c r="D2092" s="5" t="s">
        <v>1944</v>
      </c>
      <c r="E2092" s="1" t="str">
        <f ca="1">IFERROR(__xludf.DUMMYFUNCTION("GOOGLETRANSLATE(D2092, ""bn"", ""en"")"),"Still some narrow minded people with extreme sectarian attitude sneer at Muslims as 'Nedes'. As they used to sneer at the Buddhists as 'Nedes'. They have maintained that tradition among Muslims. Because those Buddhists converted to Islam.")</f>
        <v>Still some narrow minded people with extreme sectarian attitude sneer at Muslims as 'Nedes'. As they used to sneer at the Buddhists as 'Nedes'. They have maintained that tradition among Muslims. Because those Buddhists converted to Islam.</v>
      </c>
      <c r="F2092" s="1"/>
      <c r="G2092" s="1"/>
      <c r="H2092" s="1"/>
      <c r="I2092" s="1"/>
    </row>
    <row r="2093" spans="1:9" ht="15.6" x14ac:dyDescent="0.3">
      <c r="A2093" s="1" t="s">
        <v>4</v>
      </c>
      <c r="B2093" s="1" t="s">
        <v>4</v>
      </c>
      <c r="C2093" s="10" t="s">
        <v>4</v>
      </c>
      <c r="D2093" s="5" t="s">
        <v>1945</v>
      </c>
      <c r="E2093" s="1" t="str">
        <f ca="1">IFERROR(__xludf.DUMMYFUNCTION("GOOGLETRANSLATE(D2093, ""bn"", ""en"")"),"I protest against Israel and call upon the Muslim world to unite")</f>
        <v>I protest against Israel and call upon the Muslim world to unite</v>
      </c>
      <c r="F2093" s="1"/>
      <c r="G2093" s="1"/>
      <c r="H2093" s="1"/>
      <c r="I2093" s="1"/>
    </row>
    <row r="2094" spans="1:9" ht="15.6" x14ac:dyDescent="0.3">
      <c r="A2094" s="1" t="s">
        <v>7</v>
      </c>
      <c r="B2094" s="1" t="s">
        <v>7</v>
      </c>
      <c r="C2094" s="10" t="s">
        <v>7</v>
      </c>
      <c r="D2094" s="5" t="s">
        <v>1946</v>
      </c>
      <c r="E2094" s="1" t="str">
        <f ca="1">IFERROR(__xludf.DUMMYFUNCTION("GOOGLETRANSLATE(D2094, ""bn"", ""en"")"),"Religion hinders love, suicide of young people with Facebook status")</f>
        <v>Religion hinders love, suicide of young people with Facebook status</v>
      </c>
      <c r="F2094" s="1"/>
      <c r="G2094" s="1"/>
      <c r="H2094" s="1"/>
      <c r="I2094" s="1"/>
    </row>
    <row r="2095" spans="1:9" ht="15.6" x14ac:dyDescent="0.3">
      <c r="A2095" s="1" t="s">
        <v>4</v>
      </c>
      <c r="B2095" s="1" t="s">
        <v>4</v>
      </c>
      <c r="C2095" s="10" t="s">
        <v>4</v>
      </c>
      <c r="D2095" s="5" t="s">
        <v>1947</v>
      </c>
      <c r="E2095" s="1" t="str">
        <f ca="1">IFERROR(__xludf.DUMMYFUNCTION("GOOGLETRANSLATE(D2095, ""bn"", ""en"")"),"Nothing too emotional is good, Islam does not like fanaticism at all. No one can be harmed, irrespective of the religion they follow. ")</f>
        <v xml:space="preserve">Nothing too emotional is good, Islam does not like fanaticism at all. No one can be harmed, irrespective of the religion they follow. </v>
      </c>
      <c r="F2095" s="1"/>
      <c r="G2095" s="1"/>
      <c r="H2095" s="1"/>
      <c r="I2095" s="1"/>
    </row>
    <row r="2096" spans="1:9" ht="15.6" x14ac:dyDescent="0.3">
      <c r="A2096" s="1" t="s">
        <v>4</v>
      </c>
      <c r="B2096" s="1" t="s">
        <v>7</v>
      </c>
      <c r="C2096" s="10" t="s">
        <v>4</v>
      </c>
      <c r="D2096" s="5" t="s">
        <v>1948</v>
      </c>
      <c r="E2096" s="1" t="str">
        <f ca="1">IFERROR(__xludf.DUMMYFUNCTION("GOOGLETRANSLATE(D2096, ""bn"", ""en"")"),"Personally I don't like uploading pictures of food myself. The subject seems to be the culture of small people.")</f>
        <v>Personally I don't like uploading pictures of food myself. The subject seems to be the culture of small people.</v>
      </c>
      <c r="F2096" s="1"/>
      <c r="G2096" s="1"/>
      <c r="H2096" s="1"/>
      <c r="I2096" s="1"/>
    </row>
    <row r="2097" spans="1:9" ht="15.6" x14ac:dyDescent="0.3">
      <c r="A2097" s="1" t="s">
        <v>9</v>
      </c>
      <c r="B2097" s="1" t="s">
        <v>9</v>
      </c>
      <c r="C2097" s="10" t="s">
        <v>9</v>
      </c>
      <c r="D2097" s="5" t="s">
        <v>1949</v>
      </c>
      <c r="E2097" s="1" t="str">
        <f ca="1">IFERROR(__xludf.DUMMYFUNCTION("GOOGLETRANSLATE(D2097, ""bn"", ""en"")"),"Beauty Queen Mandal said. ""Friday afternoon word of mouth started spreading accusations of insulting Islam in Facebook posts. ""Shortly after that in the evening seven to eight hundred people came and attacked. Among the attackers were many youths and ma"&amp;"ny madrassa students. There were many elderly people too,"" he said.")</f>
        <v>Beauty Queen Mandal said. "Friday afternoon word of mouth started spreading accusations of insulting Islam in Facebook posts. "Shortly after that in the evening seven to eight hundred people came and attacked. Among the attackers were many youths and many madrassa students. There were many elderly people too," he said.</v>
      </c>
      <c r="F2097" s="1"/>
      <c r="G2097" s="1"/>
      <c r="H2097" s="1"/>
      <c r="I2097" s="1"/>
    </row>
    <row r="2098" spans="1:9" ht="48.6" x14ac:dyDescent="0.3">
      <c r="A2098" s="1" t="s">
        <v>7</v>
      </c>
      <c r="B2098" s="1" t="s">
        <v>7</v>
      </c>
      <c r="C2098" s="10" t="s">
        <v>7</v>
      </c>
      <c r="D2098" s="6" t="s">
        <v>3868</v>
      </c>
      <c r="E2098" s="1" t="str">
        <f ca="1">IFERROR(__xludf.DUMMYFUNCTION("GOOGLETRANSLATE(D2098, ""bn"", ""en"")"),"The Marichjhapi Incident was the 1979 eviction of refugees from post-partition Bengal in the protected forest area of ​​Marichjhapi Island (Sunderbans, West Bengal). These refugees came here from Dandakaranya camps located in Odisha, Madhya Pradesh and Ch"&amp;"hattisgarh.[1][2] Settlers clashed with the police during the Sati eviction, imposed an economic blockade, and resulted in many casualties.")</f>
        <v>The Marichjhapi Incident was the 1979 eviction of refugees from post-partition Bengal in the protected forest area of ​​Marichjhapi Island (Sunderbans, West Bengal). These refugees came here from Dandakaranya camps located in Odisha, Madhya Pradesh and Chhattisgarh.[1][2] Settlers clashed with the police during the Sati eviction, imposed an economic blockade, and resulted in many casualties.</v>
      </c>
      <c r="F2098" s="1"/>
      <c r="G2098" s="1"/>
      <c r="H2098" s="1"/>
      <c r="I2098" s="1"/>
    </row>
    <row r="2099" spans="1:9" ht="15.6" x14ac:dyDescent="0.3">
      <c r="A2099" s="1" t="s">
        <v>5</v>
      </c>
      <c r="B2099" s="1" t="s">
        <v>5</v>
      </c>
      <c r="C2099" s="10" t="s">
        <v>5</v>
      </c>
      <c r="D2099" s="5" t="s">
        <v>1950</v>
      </c>
      <c r="E2099" s="1" t="str">
        <f ca="1">IFERROR(__xludf.DUMMYFUNCTION("GOOGLETRANSLATE(D2099, ""bn"", ""en"")"),"May Allah take care of the children of the Palestinian brothers and sisters, Ameen")</f>
        <v>May Allah take care of the children of the Palestinian brothers and sisters, Ameen</v>
      </c>
      <c r="F2099" s="1"/>
      <c r="G2099" s="1"/>
      <c r="H2099" s="1"/>
      <c r="I2099" s="1"/>
    </row>
    <row r="2100" spans="1:9" ht="15.6" x14ac:dyDescent="0.3">
      <c r="A2100" s="1" t="s">
        <v>5</v>
      </c>
      <c r="B2100" s="1" t="s">
        <v>5</v>
      </c>
      <c r="C2100" s="10" t="s">
        <v>5</v>
      </c>
      <c r="D2100" s="5" t="s">
        <v>1951</v>
      </c>
      <c r="E2100" s="1" t="str">
        <f ca="1">IFERROR(__xludf.DUMMYFUNCTION("GOOGLETRANSLATE(D2100, ""bn"", ""en"")"),"Quran is the holy book of Islam. It is considered the most sacred book. This is no ordinary book. Rather, Muslims see it as the Word of God Himself and thus give it the utmost respect and importance.")</f>
        <v>Quran is the holy book of Islam. It is considered the most sacred book. This is no ordinary book. Rather, Muslims see it as the Word of God Himself and thus give it the utmost respect and importance.</v>
      </c>
      <c r="F2100" s="1"/>
      <c r="G2100" s="1"/>
      <c r="H2100" s="1"/>
      <c r="I2100" s="1"/>
    </row>
    <row r="2101" spans="1:9" ht="62.4" x14ac:dyDescent="0.3">
      <c r="A2101" s="1" t="s">
        <v>9</v>
      </c>
      <c r="B2101" s="1" t="s">
        <v>9</v>
      </c>
      <c r="C2101" s="10" t="s">
        <v>9</v>
      </c>
      <c r="D2101" s="6" t="s">
        <v>3867</v>
      </c>
      <c r="E2101" s="1" t="str">
        <f ca="1">IFERROR(__xludf.DUMMYFUNCTION("GOOGLETRANSLATE(D2101, ""bn"", ""en"")")," A village named Markul was completely looted and all the inhabitants of the village were converted into Muslims. On February 19, Muslims attacked Sadarpur village under Jakiganj police station. They looted the house of a Chandal named Shuklal. When his b"&amp;"rother went to the police station to complain, the police stabbed him with bayonets and kicked him with their feet and chased him away from the police station. In the dark of night, the Hindus of the village swim across the river for safe shelter. The Cha"&amp;"ndal houses of Pargram were looted and occupied by all the Muslims.")</f>
        <v> A village named Markul was completely looted and all the inhabitants of the village were converted into Muslims. On February 19, Muslims attacked Sadarpur village under Jakiganj police station. They looted the house of a Chandal named Shuklal. When his brother went to the police station to complain, the police stabbed him with bayonets and kicked him with their feet and chased him away from the police station. In the dark of night, the Hindus of the village swim across the river for safe shelter. The Chandal houses of Pargram were looted and occupied by all the Muslims.</v>
      </c>
      <c r="F2101" s="1"/>
      <c r="G2101" s="1"/>
      <c r="H2101" s="1"/>
      <c r="I2101" s="1"/>
    </row>
    <row r="2102" spans="1:9" ht="15.6" x14ac:dyDescent="0.3">
      <c r="A2102" s="1" t="s">
        <v>4</v>
      </c>
      <c r="B2102" s="1" t="s">
        <v>5</v>
      </c>
      <c r="C2102" s="10" t="s">
        <v>4</v>
      </c>
      <c r="D2102" s="5" t="s">
        <v>1952</v>
      </c>
      <c r="E2102" s="1" t="str">
        <f ca="1">IFERROR(__xludf.DUMMYFUNCTION("GOOGLETRANSLATE(D2102, ""bn"", ""en"")"),"The Swedish government also condemned the burning of the Koran and called it ""Islamophobic"". According to the Swedish government, the freedom of assembly, expression and demonstration of people in our country is constitutionally protected.")</f>
        <v>The Swedish government also condemned the burning of the Koran and called it "Islamophobic". According to the Swedish government, the freedom of assembly, expression and demonstration of people in our country is constitutionally protected.</v>
      </c>
      <c r="F2102" s="1"/>
      <c r="G2102" s="1"/>
      <c r="H2102" s="1"/>
      <c r="I2102" s="1"/>
    </row>
    <row r="2103" spans="1:9" ht="15.6" x14ac:dyDescent="0.3">
      <c r="A2103" s="1" t="s">
        <v>5</v>
      </c>
      <c r="B2103" s="1" t="s">
        <v>5</v>
      </c>
      <c r="C2103" s="10" t="s">
        <v>5</v>
      </c>
      <c r="D2103" s="5" t="s">
        <v>1953</v>
      </c>
      <c r="E2103" s="1" t="str">
        <f ca="1">IFERROR(__xludf.DUMMYFUNCTION("GOOGLETRANSLATE(D2103, ""bn"", ""en"")"),"Hinduism worships many gods and goddesses, but all have messages of peace and love.")</f>
        <v>Hinduism worships many gods and goddesses, but all have messages of peace and love.</v>
      </c>
      <c r="F2103" s="1"/>
      <c r="G2103" s="1"/>
      <c r="H2103" s="1"/>
      <c r="I2103" s="1"/>
    </row>
    <row r="2104" spans="1:9" ht="15.6" x14ac:dyDescent="0.3">
      <c r="A2104" s="1" t="s">
        <v>5</v>
      </c>
      <c r="B2104" s="1" t="s">
        <v>5</v>
      </c>
      <c r="C2104" s="10" t="s">
        <v>5</v>
      </c>
      <c r="D2104" s="5" t="s">
        <v>1954</v>
      </c>
      <c r="E2104" s="1" t="str">
        <f ca="1">IFERROR(__xludf.DUMMYFUNCTION("GOOGLETRANSLATE(D2104, ""bn"", ""en"")"),"Bengali Christians have made important contributions to Bengali culture, commerce and society. The region is home to Christian missionary institutions, including the Missionaries of Charity founded by Mother Teresa.")</f>
        <v>Bengali Christians have made important contributions to Bengali culture, commerce and society. The region is home to Christian missionary institutions, including the Missionaries of Charity founded by Mother Teresa.</v>
      </c>
      <c r="F2104" s="1"/>
      <c r="G2104" s="1"/>
      <c r="H2104" s="1"/>
      <c r="I2104" s="1"/>
    </row>
    <row r="2105" spans="1:9" ht="31.2" x14ac:dyDescent="0.3">
      <c r="A2105" s="1" t="s">
        <v>7</v>
      </c>
      <c r="B2105" s="1" t="s">
        <v>7</v>
      </c>
      <c r="C2105" s="10" t="s">
        <v>7</v>
      </c>
      <c r="D2105" s="6" t="s">
        <v>3866</v>
      </c>
      <c r="E2105" s="1" t="str">
        <f ca="1">IFERROR(__xludf.DUMMYFUNCTION("GOOGLETRANSLATE(D2105, ""bn"", ""en"")"),"Rammohan Roy observed that when women allowed themselves to be immolated on the funeral pyre of their dead husbands it was not only ""out of religious prejudice"", but also ""from witnessing the daily humiliation of widows and the plight of the poor rank"&amp;""".")</f>
        <v>Rammohan Roy observed that when women allowed themselves to be immolated on the funeral pyre of their dead husbands it was not only "out of religious prejudice", but also "from witnessing the daily humiliation of widows and the plight of the poor rank".</v>
      </c>
      <c r="F2105" s="1"/>
      <c r="G2105" s="1"/>
      <c r="H2105" s="1"/>
      <c r="I2105" s="1"/>
    </row>
    <row r="2106" spans="1:9" ht="31.2" x14ac:dyDescent="0.3">
      <c r="A2106" s="1" t="s">
        <v>9</v>
      </c>
      <c r="B2106" s="1" t="s">
        <v>4</v>
      </c>
      <c r="C2106" s="10" t="s">
        <v>9</v>
      </c>
      <c r="D2106" s="6" t="s">
        <v>3865</v>
      </c>
      <c r="E2106" s="1" t="str">
        <f ca="1">IFERROR(__xludf.DUMMYFUNCTION("GOOGLETRANSLATE(D2106, ""bn"", ""en"")"),"A devastating riot broke out in Bihar in late 1946 AD. A large-scale massacre in Bihar between 30 October and 7 November made partition inevitable.")</f>
        <v>A devastating riot broke out in Bihar in late 1946 AD. A large-scale massacre in Bihar between 30 October and 7 November made partition inevitable.</v>
      </c>
      <c r="F2106" s="1"/>
      <c r="G2106" s="1"/>
      <c r="H2106" s="1"/>
      <c r="I2106" s="1"/>
    </row>
    <row r="2107" spans="1:9" ht="15.6" x14ac:dyDescent="0.3">
      <c r="A2107" s="1" t="s">
        <v>4</v>
      </c>
      <c r="B2107" s="1" t="s">
        <v>4</v>
      </c>
      <c r="C2107" s="10" t="s">
        <v>4</v>
      </c>
      <c r="D2107" s="5" t="s">
        <v>1955</v>
      </c>
      <c r="E2107" s="1" t="str">
        <f ca="1">IFERROR(__xludf.DUMMYFUNCTION("GOOGLETRANSLATE(D2107, ""bn"", ""en"")"),"If you insult another religion, then there is no provision for punishment?")</f>
        <v>If you insult another religion, then there is no provision for punishment?</v>
      </c>
      <c r="F2107" s="1"/>
      <c r="G2107" s="1"/>
      <c r="H2107" s="1"/>
      <c r="I2107" s="1"/>
    </row>
    <row r="2108" spans="1:9" ht="15.6" x14ac:dyDescent="0.3">
      <c r="A2108" s="1" t="s">
        <v>5</v>
      </c>
      <c r="B2108" s="1" t="s">
        <v>5</v>
      </c>
      <c r="C2108" s="10" t="s">
        <v>5</v>
      </c>
      <c r="D2108" s="5" t="s">
        <v>1956</v>
      </c>
      <c r="E2108" s="1" t="str">
        <f ca="1">IFERROR(__xludf.DUMMYFUNCTION("GOOGLETRANSLATE(D2108, ""bn"", ""en"")"),"Vedas are the root of all religions..so your main book is Koran and Sanatani's main book Veda will analyze it and see which one is true.")</f>
        <v>Vedas are the root of all religions..so your main book is Koran and Sanatani's main book Veda will analyze it and see which one is true.</v>
      </c>
      <c r="F2108" s="1"/>
      <c r="G2108" s="1"/>
      <c r="H2108" s="1"/>
      <c r="I2108" s="1"/>
    </row>
    <row r="2109" spans="1:9" ht="15.6" x14ac:dyDescent="0.3">
      <c r="A2109" s="1" t="s">
        <v>5</v>
      </c>
      <c r="B2109" s="1" t="s">
        <v>5</v>
      </c>
      <c r="C2109" s="10" t="s">
        <v>5</v>
      </c>
      <c r="D2109" s="5" t="s">
        <v>1957</v>
      </c>
      <c r="E2109" s="1" t="str">
        <f ca="1">IFERROR(__xludf.DUMMYFUNCTION("GOOGLETRANSLATE(D2109, ""bn"", ""en"")"),"Prophet Muhammad (PBUH) did not commit any sin in his life for 63 years,,,so don't step on the dust,,,live according to the Prophet's Sunnah.")</f>
        <v>Prophet Muhammad (PBUH) did not commit any sin in his life for 63 years,,,so don't step on the dust,,,live according to the Prophet's Sunnah.</v>
      </c>
      <c r="F2109" s="1"/>
      <c r="G2109" s="1"/>
      <c r="H2109" s="1"/>
      <c r="I2109" s="1"/>
    </row>
    <row r="2110" spans="1:9" ht="15.6" x14ac:dyDescent="0.3">
      <c r="A2110" s="1" t="s">
        <v>9</v>
      </c>
      <c r="B2110" s="1" t="s">
        <v>9</v>
      </c>
      <c r="C2110" s="10" t="s">
        <v>9</v>
      </c>
      <c r="D2110" s="5" t="s">
        <v>1958</v>
      </c>
      <c r="E2110" s="1" t="str">
        <f ca="1">IFERROR(__xludf.DUMMYFUNCTION("GOOGLETRANSLATE(D2110, ""bn"", ""en"")"),"Terrorists threaten to vandalize 113-year-old Shiva temple in Boalkhali, burn Sevayat")</f>
        <v>Terrorists threaten to vandalize 113-year-old Shiva temple in Boalkhali, burn Sevayat</v>
      </c>
      <c r="F2110" s="1"/>
      <c r="G2110" s="1"/>
      <c r="H2110" s="1"/>
      <c r="I2110" s="1"/>
    </row>
    <row r="2111" spans="1:9" ht="46.8" x14ac:dyDescent="0.3">
      <c r="A2111" s="1" t="s">
        <v>4</v>
      </c>
      <c r="B2111" s="1" t="s">
        <v>4</v>
      </c>
      <c r="C2111" s="10" t="s">
        <v>4</v>
      </c>
      <c r="D2111" s="6" t="s">
        <v>3864</v>
      </c>
      <c r="E2111" s="1" t="str">
        <f ca="1">IFERROR(__xludf.DUMMYFUNCTION("GOOGLETRANSLATE(D2111, ""bn"", ""en"")"),"Today I was surprised to see the Holy Quran placed on the thigh of Hanuman idol in a puja mandap on the bank of Dighi in Nanua. Be it Hindu or Muslim, no real religious should have a hand in such work. It is the work of rhetoric, which is clearly provocat"&amp;"ive and intentional.")</f>
        <v>Today I was surprised to see the Holy Quran placed on the thigh of Hanuman idol in a puja mandap on the bank of Dighi in Nanua. Be it Hindu or Muslim, no real religious should have a hand in such work. It is the work of rhetoric, which is clearly provocative and intentional.</v>
      </c>
      <c r="F2111" s="1"/>
      <c r="G2111" s="1"/>
      <c r="H2111" s="1"/>
      <c r="I2111" s="1"/>
    </row>
    <row r="2112" spans="1:9" ht="15.6" x14ac:dyDescent="0.3">
      <c r="A2112" s="1" t="s">
        <v>4</v>
      </c>
      <c r="B2112" s="1" t="s">
        <v>9</v>
      </c>
      <c r="C2112" s="10" t="s">
        <v>4</v>
      </c>
      <c r="D2112" s="5" t="s">
        <v>1959</v>
      </c>
      <c r="E2112" s="1" t="str">
        <f ca="1">IFERROR(__xludf.DUMMYFUNCTION("GOOGLETRANSLATE(D2112, ""bn"", ""en"")"),"Wikipedia banned in Pakistan for allegedly not removing blasphemous content")</f>
        <v>Wikipedia banned in Pakistan for allegedly not removing blasphemous content</v>
      </c>
      <c r="F2112" s="1"/>
      <c r="G2112" s="1"/>
      <c r="H2112" s="1"/>
      <c r="I2112" s="1"/>
    </row>
    <row r="2113" spans="1:9" ht="15.6" x14ac:dyDescent="0.3">
      <c r="A2113" s="1" t="s">
        <v>5</v>
      </c>
      <c r="B2113" s="1" t="s">
        <v>5</v>
      </c>
      <c r="C2113" s="10" t="s">
        <v>5</v>
      </c>
      <c r="D2113" s="5" t="s">
        <v>1960</v>
      </c>
      <c r="E2113" s="1" t="str">
        <f ca="1">IFERROR(__xludf.DUMMYFUNCTION("GOOGLETRANSLATE(D2113, ""bn"", ""en"")"),"We tend to indulge emotion as a substitute for real religious knowledge and real religious education. It is becoming more in the context of Bangladesh. But the real mainstream scholars, they are taking this as a positive thing.")</f>
        <v>We tend to indulge emotion as a substitute for real religious knowledge and real religious education. It is becoming more in the context of Bangladesh. But the real mainstream scholars, they are taking this as a positive thing.</v>
      </c>
      <c r="F2113" s="1"/>
      <c r="G2113" s="1"/>
      <c r="H2113" s="1"/>
      <c r="I2113" s="1"/>
    </row>
    <row r="2114" spans="1:9" ht="15.6" x14ac:dyDescent="0.3">
      <c r="A2114" s="1" t="s">
        <v>5</v>
      </c>
      <c r="B2114" s="1" t="s">
        <v>5</v>
      </c>
      <c r="C2114" s="10" t="s">
        <v>5</v>
      </c>
      <c r="D2114" s="5" t="s">
        <v>299</v>
      </c>
      <c r="E2114" s="1" t="str">
        <f ca="1">IFERROR(__xludf.DUMMYFUNCTION("GOOGLETRANSLATE(D2114, ""bn"", ""en"")"),"The fundamental principles of Islam have been around since the beginning of human creation. However, there were many differences in the method and time of cultivation.")</f>
        <v>The fundamental principles of Islam have been around since the beginning of human creation. However, there were many differences in the method and time of cultivation.</v>
      </c>
      <c r="F2114" s="1"/>
      <c r="G2114" s="1"/>
      <c r="H2114" s="1"/>
      <c r="I2114" s="1"/>
    </row>
    <row r="2115" spans="1:9" ht="15.6" x14ac:dyDescent="0.3">
      <c r="A2115" s="1" t="s">
        <v>9</v>
      </c>
      <c r="B2115" s="1" t="s">
        <v>9</v>
      </c>
      <c r="C2115" s="10" t="s">
        <v>9</v>
      </c>
      <c r="D2115" s="5" t="s">
        <v>1961</v>
      </c>
      <c r="E2115" s="1" t="str">
        <f ca="1">IFERROR(__xludf.DUMMYFUNCTION("GOOGLETRANSLATE(D2115, ""bn"", ""en"")"),"Note that in all the areas where communal attacks have taken place, Jamaat-Shibir violence has been going on for a long time. This incident would not have happened if the Jamaat was not involved.")</f>
        <v>Note that in all the areas where communal attacks have taken place, Jamaat-Shibir violence has been going on for a long time. This incident would not have happened if the Jamaat was not involved.</v>
      </c>
      <c r="F2115" s="1"/>
      <c r="G2115" s="1"/>
      <c r="H2115" s="1"/>
      <c r="I2115" s="1"/>
    </row>
    <row r="2116" spans="1:9" ht="15.6" x14ac:dyDescent="0.3">
      <c r="A2116" s="1" t="s">
        <v>5</v>
      </c>
      <c r="B2116" s="1" t="s">
        <v>5</v>
      </c>
      <c r="C2116" s="10" t="s">
        <v>5</v>
      </c>
      <c r="D2116" s="5" t="s">
        <v>1962</v>
      </c>
      <c r="E2116" s="1" t="str">
        <f ca="1">IFERROR(__xludf.DUMMYFUNCTION("GOOGLETRANSLATE(D2116, ""bn"", ""en"")"),"Alhamdulillah a very wise discussion. This work of yours will play an important role throughout Ramadan")</f>
        <v>Alhamdulillah a very wise discussion. This work of yours will play an important role throughout Ramadan</v>
      </c>
      <c r="F2116" s="1"/>
      <c r="G2116" s="1"/>
      <c r="H2116" s="1"/>
      <c r="I2116" s="1"/>
    </row>
    <row r="2117" spans="1:9" ht="15.6" x14ac:dyDescent="0.3">
      <c r="A2117" s="1" t="s">
        <v>4</v>
      </c>
      <c r="B2117" s="1" t="s">
        <v>5</v>
      </c>
      <c r="C2117" s="10" t="s">
        <v>4</v>
      </c>
      <c r="D2117" s="5" t="s">
        <v>1963</v>
      </c>
      <c r="E2117" s="1" t="str">
        <f ca="1">IFERROR(__xludf.DUMMYFUNCTION("GOOGLETRANSLATE(D2117, ""bn"", ""en"")"),"Opposing Salam, for their capitalism, and they are there to create chaos in the world. No wonder.")</f>
        <v>Opposing Salam, for their capitalism, and they are there to create chaos in the world. No wonder.</v>
      </c>
      <c r="F2117" s="1"/>
      <c r="G2117" s="1"/>
      <c r="H2117" s="1"/>
      <c r="I2117" s="1"/>
    </row>
    <row r="2118" spans="1:9" ht="15.6" x14ac:dyDescent="0.3">
      <c r="A2118" s="1" t="s">
        <v>7</v>
      </c>
      <c r="B2118" s="1" t="s">
        <v>9</v>
      </c>
      <c r="C2118" s="10" t="s">
        <v>7</v>
      </c>
      <c r="D2118" s="5" t="s">
        <v>1964</v>
      </c>
      <c r="E2118" s="1" t="str">
        <f ca="1">IFERROR(__xludf.DUMMYFUNCTION("GOOGLETRANSLATE(D2118, ""bn"", ""en"")"),"Air strikes on hospitals in Gaza; At least 50 killed! ")</f>
        <v>Air strikes on hospitals in Gaza; At least 50 killed! </v>
      </c>
      <c r="F2118" s="1"/>
      <c r="G2118" s="1"/>
      <c r="H2118" s="1"/>
      <c r="I2118" s="1"/>
    </row>
    <row r="2119" spans="1:9" ht="15.6" x14ac:dyDescent="0.3">
      <c r="A2119" s="1" t="s">
        <v>4</v>
      </c>
      <c r="B2119" s="1" t="s">
        <v>4</v>
      </c>
      <c r="C2119" s="10" t="s">
        <v>4</v>
      </c>
      <c r="D2119" s="5" t="s">
        <v>1965</v>
      </c>
      <c r="E2119" s="1" t="str">
        <f ca="1">IFERROR(__xludf.DUMMYFUNCTION("GOOGLETRANSLATE(D2119, ""bn"", ""en"")"),"This is the situation today because the people who got into big positions by lobbying have no sense of social and religious values ​​and the students have turned from brilliant to dull.")</f>
        <v>This is the situation today because the people who got into big positions by lobbying have no sense of social and religious values ​​and the students have turned from brilliant to dull.</v>
      </c>
      <c r="F2119" s="1"/>
      <c r="G2119" s="1"/>
      <c r="H2119" s="1"/>
      <c r="I2119" s="1"/>
    </row>
    <row r="2120" spans="1:9" ht="15.6" x14ac:dyDescent="0.3">
      <c r="A2120" s="1" t="s">
        <v>5</v>
      </c>
      <c r="B2120" s="1" t="s">
        <v>5</v>
      </c>
      <c r="C2120" s="10" t="s">
        <v>5</v>
      </c>
      <c r="D2120" s="5" t="s">
        <v>1966</v>
      </c>
      <c r="E2120" s="1" t="str">
        <f ca="1">IFERROR(__xludf.DUMMYFUNCTION("GOOGLETRANSLATE(D2120, ""bn"", ""en"")"),"If they are asked to build a temple to protect religion, give some land and some money for puja, even come and help, they do not come, but their attitude is always sympathetic.")</f>
        <v>If they are asked to build a temple to protect religion, give some land and some money for puja, even come and help, they do not come, but their attitude is always sympathetic.</v>
      </c>
      <c r="F2120" s="1"/>
      <c r="G2120" s="1"/>
      <c r="H2120" s="1"/>
      <c r="I2120" s="1"/>
    </row>
    <row r="2121" spans="1:9" ht="15.6" x14ac:dyDescent="0.3">
      <c r="A2121" s="1" t="s">
        <v>4</v>
      </c>
      <c r="B2121" s="1" t="s">
        <v>4</v>
      </c>
      <c r="C2121" s="10" t="s">
        <v>4</v>
      </c>
      <c r="D2121" s="5" t="s">
        <v>1967</v>
      </c>
      <c r="E2121" s="1" t="str">
        <f ca="1">IFERROR(__xludf.DUMMYFUNCTION("GOOGLETRANSLATE(D2121, ""bn"", ""en"")"),"In the past, various Muslim countries including Iran called the Danish and Swedish ambassadors in their respective countries to condemn the desecration of the Quran.")</f>
        <v>In the past, various Muslim countries including Iran called the Danish and Swedish ambassadors in their respective countries to condemn the desecration of the Quran.</v>
      </c>
      <c r="F2121" s="1"/>
      <c r="G2121" s="1"/>
      <c r="H2121" s="1"/>
      <c r="I2121" s="1"/>
    </row>
    <row r="2122" spans="1:9" ht="15.6" x14ac:dyDescent="0.3">
      <c r="A2122" s="1" t="s">
        <v>9</v>
      </c>
      <c r="B2122" s="1" t="s">
        <v>9</v>
      </c>
      <c r="C2122" s="10" t="s">
        <v>9</v>
      </c>
      <c r="D2122" s="5" t="s">
        <v>1968</v>
      </c>
      <c r="E2122" s="1" t="str">
        <f ca="1">IFERROR(__xludf.DUMMYFUNCTION("GOOGLETRANSLATE(D2122, ""bn"", ""en"")"),"Fearful and persecuted refugee movements often followed various religious riots between 1949 and 1971 that targeted non-Muslims in West Pakistan or East Pakistan (now Bangladesh). ")</f>
        <v>Fearful and persecuted refugee movements often followed various religious riots between 1949 and 1971 that targeted non-Muslims in West Pakistan or East Pakistan (now Bangladesh). </v>
      </c>
      <c r="F2122" s="1"/>
      <c r="G2122" s="1"/>
      <c r="H2122" s="1"/>
      <c r="I2122" s="1"/>
    </row>
    <row r="2123" spans="1:9" ht="15.6" x14ac:dyDescent="0.3">
      <c r="A2123" s="1" t="s">
        <v>9</v>
      </c>
      <c r="B2123" s="1" t="s">
        <v>9</v>
      </c>
      <c r="C2123" s="10" t="s">
        <v>9</v>
      </c>
      <c r="D2123" s="5" t="s">
        <v>1969</v>
      </c>
      <c r="E2123" s="1" t="str">
        <f ca="1">IFERROR(__xludf.DUMMYFUNCTION("GOOGLETRANSLATE(D2123, ""bn"", ""en"")"),"Crackdown on Islamists in Uzbekistan (2005, Uzbekistan) - Massive crackdown on anti-government Muslims in the city of Andijan.")</f>
        <v>Crackdown on Islamists in Uzbekistan (2005, Uzbekistan) - Massive crackdown on anti-government Muslims in the city of Andijan.</v>
      </c>
      <c r="F2123" s="1"/>
      <c r="G2123" s="1"/>
      <c r="H2123" s="1"/>
      <c r="I2123" s="1"/>
    </row>
    <row r="2124" spans="1:9" ht="15.6" x14ac:dyDescent="0.3">
      <c r="A2124" s="1" t="s">
        <v>7</v>
      </c>
      <c r="B2124" s="1" t="s">
        <v>7</v>
      </c>
      <c r="C2124" s="10" t="s">
        <v>7</v>
      </c>
      <c r="D2124" s="5" t="s">
        <v>1970</v>
      </c>
      <c r="E2124" s="1" t="str">
        <f ca="1">IFERROR(__xludf.DUMMYFUNCTION("GOOGLETRANSLATE(D2124, ""bn"", ""en"")"),"Attacks by military and paramilitary forces became known internationally as genocide and ethnic cleansing. [14][15][16] There were also reports of the Ansar's involvement in mass rape. In this context, Mark Levin called it 'another form of genocide'.")</f>
        <v>Attacks by military and paramilitary forces became known internationally as genocide and ethnic cleansing. [14][15][16] There were also reports of the Ansar's involvement in mass rape. In this context, Mark Levin called it 'another form of genocide'.</v>
      </c>
      <c r="F2124" s="1"/>
      <c r="G2124" s="1"/>
      <c r="H2124" s="1"/>
      <c r="I2124" s="1"/>
    </row>
    <row r="2125" spans="1:9" ht="31.2" x14ac:dyDescent="0.3">
      <c r="A2125" s="1" t="s">
        <v>7</v>
      </c>
      <c r="B2125" s="1" t="s">
        <v>7</v>
      </c>
      <c r="C2125" s="10" t="s">
        <v>7</v>
      </c>
      <c r="D2125" s="6" t="s">
        <v>3863</v>
      </c>
      <c r="E2125" s="1" t="str">
        <f ca="1">IFERROR(__xludf.DUMMYFUNCTION("GOOGLETRANSLATE(D2125, ""bn"", ""en"")"),"On November 22, 1971, during the liberation war of Bangladesh, Terashri village of Manikganj district, inhabited by Hindus, was attacked by Pakistani invasion forces and their allies, the Razakar, Albadar forces, and killed at least 43 innocent civilians."&amp;"[")</f>
        <v>On November 22, 1971, during the liberation war of Bangladesh, Terashri village of Manikganj district, inhabited by Hindus, was attacked by Pakistani invasion forces and their allies, the Razakar, Albadar forces, and killed at least 43 innocent civilians.[</v>
      </c>
      <c r="F2125" s="1"/>
      <c r="G2125" s="1"/>
      <c r="H2125" s="1"/>
      <c r="I2125" s="1"/>
    </row>
    <row r="2126" spans="1:9" ht="62.4" x14ac:dyDescent="0.3">
      <c r="A2126" s="1" t="s">
        <v>5</v>
      </c>
      <c r="B2126" s="1" t="s">
        <v>5</v>
      </c>
      <c r="C2126" s="10" t="s">
        <v>5</v>
      </c>
      <c r="D2126" s="6" t="s">
        <v>3862</v>
      </c>
      <c r="E2126" s="1" t="str">
        <f ca="1">IFERROR(__xludf.DUMMYFUNCTION("GOOGLETRANSLATE(D2126, ""bn"", ""en"")"),"Several hadiths have been narrated about the virtues of this holy night. This night is a golden opportunity to forgive sins. In the Hadith Sharif, the Messenger of Allah (SAW) said, ""Whoever performs Qiyaam (prayer) on Lailatul Qadr with the intention of"&amp;" faith and reward, all his previous sins will be forgiven."" (Muslim Sharif, Hadith: 760)")</f>
        <v>Several hadiths have been narrated about the virtues of this holy night. This night is a golden opportunity to forgive sins. In the Hadith Sharif, the Messenger of Allah (SAW) said, "Whoever performs Qiyaam (prayer) on Lailatul Qadr with the intention of faith and reward, all his previous sins will be forgiven." (Muslim Sharif, Hadith: 760)</v>
      </c>
      <c r="F2126" s="1"/>
      <c r="G2126" s="1"/>
      <c r="H2126" s="1"/>
      <c r="I2126" s="1"/>
    </row>
    <row r="2127" spans="1:9" ht="15.6" x14ac:dyDescent="0.3">
      <c r="A2127" s="1" t="s">
        <v>7</v>
      </c>
      <c r="B2127" s="1" t="s">
        <v>7</v>
      </c>
      <c r="C2127" s="10" t="s">
        <v>7</v>
      </c>
      <c r="D2127" s="5" t="s">
        <v>1971</v>
      </c>
      <c r="E2127" s="1" t="str">
        <f ca="1">IFERROR(__xludf.DUMMYFUNCTION("GOOGLETRANSLATE(D2127, ""bn"", ""en"")"),"After lying in the morgue for 26 days due to doubts about religion, the body of the teenager Lucking May Chakma was moved")</f>
        <v>After lying in the morgue for 26 days due to doubts about religion, the body of the teenager Lucking May Chakma was moved</v>
      </c>
      <c r="F2127" s="1"/>
      <c r="G2127" s="1"/>
      <c r="H2127" s="1"/>
      <c r="I2127" s="1"/>
    </row>
    <row r="2128" spans="1:9" ht="15.6" x14ac:dyDescent="0.3">
      <c r="A2128" s="1" t="s">
        <v>7</v>
      </c>
      <c r="B2128" s="1" t="s">
        <v>7</v>
      </c>
      <c r="C2128" s="10" t="s">
        <v>7</v>
      </c>
      <c r="D2128" s="5" t="s">
        <v>1972</v>
      </c>
      <c r="E2128" s="1" t="str">
        <f ca="1">IFERROR(__xludf.DUMMYFUNCTION("GOOGLETRANSLATE(D2128, ""bn"", ""en"")"),"British colonial authorities passed the Female Infanticide Prevention Act 1870 under pressure from Christian missionaries and social reformers to stop female infanticide in the Indian subcontinent.")</f>
        <v>British colonial authorities passed the Female Infanticide Prevention Act 1870 under pressure from Christian missionaries and social reformers to stop female infanticide in the Indian subcontinent.</v>
      </c>
      <c r="F2128" s="1"/>
      <c r="G2128" s="1"/>
      <c r="H2128" s="1"/>
      <c r="I2128" s="1"/>
    </row>
    <row r="2129" spans="1:9" ht="15.6" x14ac:dyDescent="0.3">
      <c r="A2129" s="1" t="s">
        <v>5</v>
      </c>
      <c r="B2129" s="1" t="s">
        <v>5</v>
      </c>
      <c r="C2129" s="10" t="s">
        <v>5</v>
      </c>
      <c r="D2129" s="5" t="s">
        <v>1973</v>
      </c>
      <c r="E2129" s="1" t="str">
        <f ca="1">IFERROR(__xludf.DUMMYFUNCTION("GOOGLETRANSLATE(D2129, ""bn"", ""en"")"),"At the end of the rainy season, the monks revealed their faults to the other monks and called for his atonement; Apologizing even for an offense committed unintentionally - this is the essence of advocacy.")</f>
        <v>At the end of the rainy season, the monks revealed their faults to the other monks and called for his atonement; Apologizing even for an offense committed unintentionally - this is the essence of advocacy.</v>
      </c>
      <c r="F2129" s="1"/>
      <c r="G2129" s="1"/>
      <c r="H2129" s="1"/>
      <c r="I2129" s="1"/>
    </row>
    <row r="2130" spans="1:9" ht="15.6" x14ac:dyDescent="0.3">
      <c r="A2130" s="1" t="s">
        <v>5</v>
      </c>
      <c r="B2130" s="1" t="s">
        <v>5</v>
      </c>
      <c r="C2130" s="10" t="s">
        <v>5</v>
      </c>
      <c r="D2130" s="5" t="s">
        <v>1974</v>
      </c>
      <c r="E2130" s="1" t="str">
        <f ca="1">IFERROR(__xludf.DUMMYFUNCTION("GOOGLETRANSLATE(D2130, ""bn"", ""en"")"),"The Holy Quran was revealed on this night. Because of this, Allah Ta'ala has increased the status of this night.")</f>
        <v>The Holy Quran was revealed on this night. Because of this, Allah Ta'ala has increased the status of this night.</v>
      </c>
      <c r="F2130" s="1"/>
      <c r="G2130" s="1"/>
      <c r="H2130" s="1"/>
      <c r="I2130" s="1"/>
    </row>
    <row r="2131" spans="1:9" ht="15.6" x14ac:dyDescent="0.3">
      <c r="A2131" s="1" t="s">
        <v>7</v>
      </c>
      <c r="B2131" s="1" t="s">
        <v>7</v>
      </c>
      <c r="C2131" s="10" t="s">
        <v>7</v>
      </c>
      <c r="D2131" s="5" t="s">
        <v>1975</v>
      </c>
      <c r="E2131" s="1" t="str">
        <f ca="1">IFERROR(__xludf.DUMMYFUNCTION("GOOGLETRANSLATE(D2131, ""bn"", ""en"")"),"He considers satidah to be a largely symbolic double burial or double cremation, a feature he argues is found in both cultures,[36] with neither culture strictly observing it.")</f>
        <v>He considers satidah to be a largely symbolic double burial or double cremation, a feature he argues is found in both cultures,[36] with neither culture strictly observing it.</v>
      </c>
      <c r="F2131" s="1"/>
      <c r="G2131" s="1"/>
      <c r="H2131" s="1"/>
      <c r="I2131" s="1"/>
    </row>
    <row r="2132" spans="1:9" ht="15.6" x14ac:dyDescent="0.3">
      <c r="A2132" s="1" t="s">
        <v>9</v>
      </c>
      <c r="B2132" s="1" t="s">
        <v>4</v>
      </c>
      <c r="C2132" s="10" t="s">
        <v>9</v>
      </c>
      <c r="D2132" s="5" t="s">
        <v>1976</v>
      </c>
      <c r="E2132" s="1" t="str">
        <f ca="1">IFERROR(__xludf.DUMMYFUNCTION("GOOGLETRANSLATE(D2132, ""bn"", ""en"")")," On Sunday afternoon, the four teenagers broke the arms and legs of an idol of the Kathuliya Sarvajanin Shitala temple in a secluded area while roaming in the nearby village of Kathuliya. ")</f>
        <v> On Sunday afternoon, the four teenagers broke the arms and legs of an idol of the Kathuliya Sarvajanin Shitala temple in a secluded area while roaming in the nearby village of Kathuliya. </v>
      </c>
      <c r="F2132" s="1"/>
      <c r="G2132" s="1"/>
      <c r="H2132" s="1"/>
      <c r="I2132" s="1"/>
    </row>
    <row r="2133" spans="1:9" ht="15.6" x14ac:dyDescent="0.3">
      <c r="A2133" s="1" t="s">
        <v>4</v>
      </c>
      <c r="B2133" s="1" t="s">
        <v>5</v>
      </c>
      <c r="C2133" s="10" t="s">
        <v>4</v>
      </c>
      <c r="D2133" s="5" t="s">
        <v>1977</v>
      </c>
      <c r="E2133" s="1" t="str">
        <f ca="1">IFERROR(__xludf.DUMMYFUNCTION("GOOGLETRANSLATE(D2133, ""bn"", ""en"")"),"We should definitely remember that religion is not a business product. But we have foolishly made religion a commercial product and this thinking is just stupid.")</f>
        <v>We should definitely remember that religion is not a business product. But we have foolishly made religion a commercial product and this thinking is just stupid.</v>
      </c>
      <c r="F2133" s="1"/>
      <c r="G2133" s="1"/>
      <c r="H2133" s="1"/>
      <c r="I2133" s="1"/>
    </row>
    <row r="2134" spans="1:9" ht="62.4" x14ac:dyDescent="0.3">
      <c r="A2134" s="1" t="s">
        <v>5</v>
      </c>
      <c r="B2134" s="1" t="s">
        <v>5</v>
      </c>
      <c r="C2134" s="10" t="s">
        <v>5</v>
      </c>
      <c r="D2134" s="6" t="s">
        <v>3861</v>
      </c>
      <c r="E2134" s="1" t="str">
        <f ca="1">IFERROR(__xludf.DUMMYFUNCTION("GOOGLETRANSLATE(D2134, ""bn"", ""en"")"),"Their ""targeted persecution"" creates conditions for emigration and increases the need to seek asylum. [209] Persecuted Hindus seeking asylum in India face challenges in obtaining citizenship recognition, as India has historically had no clear refugee la"&amp;"w or uniform policy for refugees. According to an analysis by Ashish Bose and Hafizullah Emadi, India's recent Citizenship Amendment Act has brought some relief to Hindus who entered before 2015.")</f>
        <v>Their "targeted persecution" creates conditions for emigration and increases the need to seek asylum. [209] Persecuted Hindus seeking asylum in India face challenges in obtaining citizenship recognition, as India has historically had no clear refugee law or uniform policy for refugees. According to an analysis by Ashish Bose and Hafizullah Emadi, India's recent Citizenship Amendment Act has brought some relief to Hindus who entered before 2015.</v>
      </c>
      <c r="F2134" s="1"/>
      <c r="G2134" s="1"/>
      <c r="H2134" s="1"/>
      <c r="I2134" s="1"/>
    </row>
    <row r="2135" spans="1:9" ht="15.6" x14ac:dyDescent="0.3">
      <c r="A2135" s="1" t="s">
        <v>5</v>
      </c>
      <c r="B2135" s="1" t="s">
        <v>5</v>
      </c>
      <c r="C2135" s="10" t="s">
        <v>5</v>
      </c>
      <c r="D2135" s="5" t="s">
        <v>1978</v>
      </c>
      <c r="E2135" s="1" t="str">
        <f ca="1">IFERROR(__xludf.DUMMYFUNCTION("GOOGLETRANSLATE(D2135, ""bn"", ""en"")"),"The annual Vishwa Ijtema is the largest and most significant gathering of Muslims in Bangladesh. The Muslim community of the Bengal region ie (Bangladesh, West Bengal) developed independently from the dominant Islamic movement in India. ")</f>
        <v>The annual Vishwa Ijtema is the largest and most significant gathering of Muslims in Bangladesh. The Muslim community of the Bengal region ie (Bangladesh, West Bengal) developed independently from the dominant Islamic movement in India. </v>
      </c>
      <c r="F2135" s="1"/>
      <c r="G2135" s="1"/>
      <c r="H2135" s="1"/>
      <c r="I2135" s="1"/>
    </row>
    <row r="2136" spans="1:9" ht="15.6" x14ac:dyDescent="0.3">
      <c r="A2136" s="1" t="s">
        <v>5</v>
      </c>
      <c r="B2136" s="1" t="s">
        <v>5</v>
      </c>
      <c r="C2136" s="10" t="s">
        <v>5</v>
      </c>
      <c r="D2136" s="5" t="s">
        <v>1979</v>
      </c>
      <c r="E2136" s="1" t="str">
        <f ca="1">IFERROR(__xludf.DUMMYFUNCTION("GOOGLETRANSLATE(D2136, ""bn"", ""en"")"),"Gautama Buddha is right because those who have seen God never say anything clearly. Because God is beyond grasp. He cannot be called")</f>
        <v>Gautama Buddha is right because those who have seen God never say anything clearly. Because God is beyond grasp. He cannot be called</v>
      </c>
      <c r="F2136" s="1"/>
      <c r="G2136" s="1"/>
      <c r="H2136" s="1"/>
      <c r="I2136" s="1"/>
    </row>
    <row r="2137" spans="1:9" ht="15.6" x14ac:dyDescent="0.3">
      <c r="A2137" s="1" t="s">
        <v>4</v>
      </c>
      <c r="B2137" s="1" t="s">
        <v>5</v>
      </c>
      <c r="C2137" s="10" t="s">
        <v>4</v>
      </c>
      <c r="D2137" s="5" t="s">
        <v>1980</v>
      </c>
      <c r="E2137" s="1" t="str">
        <f ca="1">IFERROR(__xludf.DUMMYFUNCTION("GOOGLETRANSLATE(D2137, ""bn"", ""en"")"),"If gay-ism was natural, then the most natural work in the world, 'giving birth to children', another soul could be brought into the world!")</f>
        <v>If gay-ism was natural, then the most natural work in the world, 'giving birth to children', another soul could be brought into the world!</v>
      </c>
      <c r="F2137" s="1"/>
      <c r="G2137" s="1"/>
      <c r="H2137" s="1"/>
      <c r="I2137" s="1"/>
    </row>
    <row r="2138" spans="1:9" ht="15.6" x14ac:dyDescent="0.3">
      <c r="A2138" s="1" t="s">
        <v>4</v>
      </c>
      <c r="B2138" s="1" t="s">
        <v>4</v>
      </c>
      <c r="C2138" s="10" t="s">
        <v>4</v>
      </c>
      <c r="D2138" s="5" t="s">
        <v>1981</v>
      </c>
      <c r="E2138" s="1" t="str">
        <f ca="1">IFERROR(__xludf.DUMMYFUNCTION("GOOGLETRANSLATE(D2138, ""bn"", ""en"")"),"I strongly protest and condemn this as a Muslim, we all Muslims should protest against it")</f>
        <v>I strongly protest and condemn this as a Muslim, we all Muslims should protest against it</v>
      </c>
      <c r="F2138" s="1"/>
      <c r="G2138" s="1"/>
      <c r="H2138" s="1"/>
      <c r="I2138" s="1"/>
    </row>
    <row r="2139" spans="1:9" ht="15.6" x14ac:dyDescent="0.3">
      <c r="A2139" s="1" t="s">
        <v>5</v>
      </c>
      <c r="B2139" s="1" t="s">
        <v>5</v>
      </c>
      <c r="C2139" s="10" t="s">
        <v>5</v>
      </c>
      <c r="D2139" s="5" t="s">
        <v>1982</v>
      </c>
      <c r="E2139" s="1" t="str">
        <f ca="1">IFERROR(__xludf.DUMMYFUNCTION("GOOGLETRANSLATE(D2139, ""bn"", ""en"")"),"When Hindus and Muslims live together, they maintain peace and unity in society by respecting human values ​​despite religious differences, which makes the world more beautiful and humane.")</f>
        <v>When Hindus and Muslims live together, they maintain peace and unity in society by respecting human values ​​despite religious differences, which makes the world more beautiful and humane.</v>
      </c>
      <c r="F2139" s="1"/>
      <c r="G2139" s="1"/>
      <c r="H2139" s="1"/>
      <c r="I2139" s="1"/>
    </row>
    <row r="2140" spans="1:9" ht="15.6" x14ac:dyDescent="0.3">
      <c r="A2140" s="1" t="s">
        <v>5</v>
      </c>
      <c r="B2140" s="1" t="s">
        <v>1983</v>
      </c>
      <c r="C2140" s="10" t="s">
        <v>5</v>
      </c>
      <c r="D2140" s="5" t="s">
        <v>1984</v>
      </c>
      <c r="E2140" s="1" t="str">
        <f ca="1">IFERROR(__xludf.DUMMYFUNCTION("GOOGLETRANSLATE(D2140, ""bn"", ""en"")"),"Religion is its faith and belief among people of all castes, classes and professions. From that belief he observes and follows religion, observes religious rituals.")</f>
        <v>Religion is its faith and belief among people of all castes, classes and professions. From that belief he observes and follows religion, observes religious rituals.</v>
      </c>
      <c r="F2140" s="1"/>
      <c r="G2140" s="1"/>
      <c r="H2140" s="1"/>
      <c r="I2140" s="1"/>
    </row>
    <row r="2141" spans="1:9" ht="31.2" x14ac:dyDescent="0.3">
      <c r="A2141" s="1" t="s">
        <v>4</v>
      </c>
      <c r="B2141" s="1" t="s">
        <v>4</v>
      </c>
      <c r="C2141" s="10" t="s">
        <v>4</v>
      </c>
      <c r="D2141" s="6" t="s">
        <v>3860</v>
      </c>
      <c r="E2141" s="1" t="str">
        <f ca="1">IFERROR(__xludf.DUMMYFUNCTION("GOOGLETRANSLATE(D2141, ""bn"", ""en"")"),"In 2001, the Taliban-ruled Collapse Act was passed to force Hindus to wear yellow badges in public to identify them. This is similar to Hitler's treatment of Jews in Nazi Germany during World War II.")</f>
        <v>In 2001, the Taliban-ruled Collapse Act was passed to force Hindus to wear yellow badges in public to identify them. This is similar to Hitler's treatment of Jews in Nazi Germany during World War II.</v>
      </c>
      <c r="F2141" s="1"/>
      <c r="G2141" s="1"/>
      <c r="H2141" s="1"/>
      <c r="I2141" s="1"/>
    </row>
    <row r="2142" spans="1:9" ht="46.8" x14ac:dyDescent="0.3">
      <c r="A2142" s="1" t="s">
        <v>5</v>
      </c>
      <c r="B2142" s="1" t="s">
        <v>5</v>
      </c>
      <c r="C2142" s="10" t="s">
        <v>5</v>
      </c>
      <c r="D2142" s="6" t="s">
        <v>3859</v>
      </c>
      <c r="E2142" s="1" t="str">
        <f ca="1">IFERROR(__xludf.DUMMYFUNCTION("GOOGLETRANSLATE(D2142, ""bn"", ""en"")"),"Thousands of Hindus in Bhola district were displaced and fled due to the communal violence of 1990 and 1992. As a result, Bhola district, which was dominated by Hindus, became almost devoid of Hindus. Many Hindus across the country fled to India for the s"&amp;"afety of their lives, leaving behind their land, property, and homes.")</f>
        <v>Thousands of Hindus in Bhola district were displaced and fled due to the communal violence of 1990 and 1992. As a result, Bhola district, which was dominated by Hindus, became almost devoid of Hindus. Many Hindus across the country fled to India for the safety of their lives, leaving behind their land, property, and homes.</v>
      </c>
      <c r="F2142" s="1"/>
      <c r="G2142" s="1"/>
      <c r="H2142" s="1"/>
      <c r="I2142" s="1"/>
    </row>
    <row r="2143" spans="1:9" ht="46.8" x14ac:dyDescent="0.3">
      <c r="A2143" s="1" t="s">
        <v>9</v>
      </c>
      <c r="B2143" s="1" t="s">
        <v>9</v>
      </c>
      <c r="C2143" s="10" t="s">
        <v>9</v>
      </c>
      <c r="D2143" s="6" t="s">
        <v>3858</v>
      </c>
      <c r="E2143" s="1" t="str">
        <f ca="1">IFERROR(__xludf.DUMMYFUNCTION("GOOGLETRANSLATE(D2143, ""bn"", ""en"")"),"On 29 October 1990, the newspaper 'Dainik Inkilab', funded by the Islamic political party of Bangladesh, Jamaat-e-Islami, printed the headline 'Babri Masjid has been demolished'. [3] As a result, rumors of Babri Masjid's destruction spread throughout Bang"&amp;"ladesh. And in this, everyone's anxiety reaches its highest level.")</f>
        <v>On 29 October 1990, the newspaper 'Dainik Inkilab', funded by the Islamic political party of Bangladesh, Jamaat-e-Islami, printed the headline 'Babri Masjid has been demolished'. [3] As a result, rumors of Babri Masjid's destruction spread throughout Bangladesh. And in this, everyone's anxiety reaches its highest level.</v>
      </c>
      <c r="F2143" s="1"/>
      <c r="G2143" s="1"/>
      <c r="H2143" s="1"/>
      <c r="I2143" s="1"/>
    </row>
    <row r="2144" spans="1:9" ht="46.8" x14ac:dyDescent="0.3">
      <c r="A2144" s="1" t="s">
        <v>7</v>
      </c>
      <c r="B2144" s="1" t="s">
        <v>7</v>
      </c>
      <c r="C2144" s="10" t="s">
        <v>7</v>
      </c>
      <c r="D2144" s="6" t="s">
        <v>3857</v>
      </c>
      <c r="E2144" s="1" t="str">
        <f ca="1">IFERROR(__xludf.DUMMYFUNCTION("GOOGLETRANSLATE(D2144, ""bn"", ""en"")"),"Govinda Chandra Pramanik said in a written statement that 154 people from minority communities including Hindus have been killed in the last one year. 849 people have been threatened to kill, 424 people have been attempted to kill and 360 people have been"&amp;" injured, 62 people are missing, 27 crore 46 lakh 33 thousand taka has been extorted.")</f>
        <v>Govinda Chandra Pramanik said in a written statement that 154 people from minority communities including Hindus have been killed in the last one year. 849 people have been threatened to kill, 424 people have been attempted to kill and 360 people have been injured, 62 people are missing, 27 crore 46 lakh 33 thousand taka has been extorted.</v>
      </c>
      <c r="F2144" s="1"/>
      <c r="G2144" s="1"/>
      <c r="H2144" s="1"/>
      <c r="I2144" s="1"/>
    </row>
    <row r="2145" spans="1:9" ht="15.6" x14ac:dyDescent="0.3">
      <c r="A2145" s="1" t="s">
        <v>5</v>
      </c>
      <c r="B2145" s="1" t="s">
        <v>5</v>
      </c>
      <c r="C2145" s="10" t="s">
        <v>5</v>
      </c>
      <c r="D2145" s="5" t="s">
        <v>1985</v>
      </c>
      <c r="E2145" s="1" t="str">
        <f ca="1">IFERROR(__xludf.DUMMYFUNCTION("GOOGLETRANSLATE(D2145, ""bn"", ""en"")"),"""He wholeheartedly vowed to follow the path of Islam and voluntarily gave up his guitar to strengthen his faith.")</f>
        <v>"He wholeheartedly vowed to follow the path of Islam and voluntarily gave up his guitar to strengthen his faith.</v>
      </c>
      <c r="F2145" s="1"/>
      <c r="G2145" s="1"/>
      <c r="H2145" s="1"/>
      <c r="I2145" s="1"/>
    </row>
    <row r="2146" spans="1:9" ht="15.6" x14ac:dyDescent="0.3">
      <c r="A2146" s="1" t="s">
        <v>9</v>
      </c>
      <c r="B2146" s="1" t="s">
        <v>9</v>
      </c>
      <c r="C2146" s="10" t="s">
        <v>9</v>
      </c>
      <c r="D2146" s="5" t="s">
        <v>1986</v>
      </c>
      <c r="E2146" s="1" t="str">
        <f ca="1">IFERROR(__xludf.DUMMYFUNCTION("GOOGLETRANSLATE(D2146, ""bn"", ""en"")"),"Leaving rags stained with period blood at the Prophet's door, throwing camel pulse pots at him, beating him,")</f>
        <v>Leaving rags stained with period blood at the Prophet's door, throwing camel pulse pots at him, beating him,</v>
      </c>
      <c r="F2146" s="1"/>
      <c r="G2146" s="1"/>
      <c r="H2146" s="1"/>
      <c r="I2146" s="1"/>
    </row>
    <row r="2147" spans="1:9" ht="15.6" x14ac:dyDescent="0.3">
      <c r="A2147" s="1" t="s">
        <v>9</v>
      </c>
      <c r="B2147" s="1" t="s">
        <v>5</v>
      </c>
      <c r="C2147" s="10" t="s">
        <v>9</v>
      </c>
      <c r="D2147" s="5" t="s">
        <v>1987</v>
      </c>
      <c r="E2147" s="1" t="str">
        <f ca="1">IFERROR(__xludf.DUMMYFUNCTION("GOOGLETRANSLATE(D2147, ""bn"", ""en"")"),"When this heinous and barbaric murder and rape of women in history reached the outside world, various political, social and religious organizations of India came forward to rescue and distribute relief to the proletarian Hindus of Noakhali.")</f>
        <v>When this heinous and barbaric murder and rape of women in history reached the outside world, various political, social and religious organizations of India came forward to rescue and distribute relief to the proletarian Hindus of Noakhali.</v>
      </c>
      <c r="F2147" s="1"/>
      <c r="G2147" s="1"/>
      <c r="H2147" s="1"/>
      <c r="I2147" s="1"/>
    </row>
    <row r="2148" spans="1:9" ht="46.8" x14ac:dyDescent="0.3">
      <c r="A2148" s="1" t="s">
        <v>9</v>
      </c>
      <c r="B2148" s="1" t="s">
        <v>5</v>
      </c>
      <c r="C2148" s="10" t="s">
        <v>9</v>
      </c>
      <c r="D2148" s="6" t="s">
        <v>3856</v>
      </c>
      <c r="E2148" s="1" t="str">
        <f ca="1">IFERROR(__xludf.DUMMYFUNCTION("GOOGLETRANSLATE(D2148, ""bn"", ""en"")"),"The two pilgrims who came here to pray, one had an argument with them about anything. In view of that moment someone spread this rumor deliberately. The thought of creating an unstable anarchic state may have been among them, in which ordinary people are "&amp;"also brought together.")</f>
        <v>The two pilgrims who came here to pray, one had an argument with them about anything. In view of that moment someone spread this rumor deliberately. The thought of creating an unstable anarchic state may have been among them, in which ordinary people are also brought together.</v>
      </c>
      <c r="F2148" s="1"/>
      <c r="G2148" s="1"/>
      <c r="H2148" s="1"/>
      <c r="I2148" s="1"/>
    </row>
    <row r="2149" spans="1:9" ht="15.6" x14ac:dyDescent="0.3">
      <c r="A2149" s="1" t="s">
        <v>5</v>
      </c>
      <c r="B2149" s="1" t="s">
        <v>7</v>
      </c>
      <c r="C2149" s="10" t="s">
        <v>5</v>
      </c>
      <c r="D2149" s="5" t="s">
        <v>1988</v>
      </c>
      <c r="E2149" s="1" t="str">
        <f ca="1">IFERROR(__xludf.DUMMYFUNCTION("GOOGLETRANSLATE(D2149, ""bn"", ""en"")"),"Our national poet Kazi Nazrul Islam said, ""If your heart does not cry at the insult of the Messenger, you are not a Muslim, you are a hypocrite, you are an enemy of the Messenger."" The hearts of billions of Muslims in this country are bleeding. His reac"&amp;"tion is seen in society and through social media.")</f>
        <v>Our national poet Kazi Nazrul Islam said, "If your heart does not cry at the insult of the Messenger, you are not a Muslim, you are a hypocrite, you are an enemy of the Messenger." The hearts of billions of Muslims in this country are bleeding. His reaction is seen in society and through social media.</v>
      </c>
      <c r="F2149" s="1"/>
      <c r="G2149" s="1"/>
      <c r="H2149" s="1"/>
      <c r="I2149" s="1"/>
    </row>
    <row r="2150" spans="1:9" ht="31.2" x14ac:dyDescent="0.3">
      <c r="A2150" s="1" t="s">
        <v>4</v>
      </c>
      <c r="B2150" s="1" t="s">
        <v>5</v>
      </c>
      <c r="C2150" s="10" t="s">
        <v>4</v>
      </c>
      <c r="D2150" s="6" t="s">
        <v>3855</v>
      </c>
      <c r="E2150" s="1" t="str">
        <f ca="1">IFERROR(__xludf.DUMMYFUNCTION("GOOGLETRANSLATE(D2150, ""bn"", ""en"")"),"O Allah, paralyze the impure hands of those who have permitted the burning of this Holy Quran and those who want to burn it so that no one dares to do so. Amen!")</f>
        <v>O Allah, paralyze the impure hands of those who have permitted the burning of this Holy Quran and those who want to burn it so that no one dares to do so. Amen!</v>
      </c>
      <c r="F2150" s="1"/>
      <c r="G2150" s="1"/>
      <c r="H2150" s="1"/>
      <c r="I2150" s="1"/>
    </row>
    <row r="2151" spans="1:9" ht="31.2" x14ac:dyDescent="0.3">
      <c r="A2151" s="1" t="s">
        <v>5</v>
      </c>
      <c r="B2151" s="1" t="s">
        <v>5</v>
      </c>
      <c r="C2151" s="10" t="s">
        <v>5</v>
      </c>
      <c r="D2151" s="6" t="s">
        <v>3854</v>
      </c>
      <c r="E2151" s="1" t="str">
        <f ca="1">IFERROR(__xludf.DUMMYFUNCTION("GOOGLETRANSLATE(D2151, ""bn"", ""en"")"),"Conversion to Christianity began in Bengal after the arrival of Portuguese seafarers in the 16th century. Many of the Bengali elite converted to Christianity during the Bengali Renaissance of the 19th century. After that it continues from generation to ge"&amp;"neration.")</f>
        <v>Conversion to Christianity began in Bengal after the arrival of Portuguese seafarers in the 16th century. Many of the Bengali elite converted to Christianity during the Bengali Renaissance of the 19th century. After that it continues from generation to generation.</v>
      </c>
      <c r="F2151" s="1"/>
      <c r="G2151" s="1"/>
      <c r="H2151" s="1"/>
      <c r="I2151" s="1"/>
    </row>
    <row r="2152" spans="1:9" ht="15.6" x14ac:dyDescent="0.3">
      <c r="A2152" s="1" t="s">
        <v>9</v>
      </c>
      <c r="B2152" s="1" t="s">
        <v>9</v>
      </c>
      <c r="C2152" s="10" t="s">
        <v>9</v>
      </c>
      <c r="D2152" s="5" t="s">
        <v>1989</v>
      </c>
      <c r="E2152" s="1" t="str">
        <f ca="1">IFERROR(__xludf.DUMMYFUNCTION("GOOGLETRANSLATE(D2152, ""bn"", ""en"")"),"In the name of religion, harmony should not be established against tyranny, humiliation and broken morals within the society. The power of religion should establish humanity.")</f>
        <v>In the name of religion, harmony should not be established against tyranny, humiliation and broken morals within the society. The power of religion should establish humanity.</v>
      </c>
      <c r="F2152" s="1"/>
      <c r="G2152" s="1"/>
      <c r="H2152" s="1"/>
      <c r="I2152" s="1"/>
    </row>
    <row r="2153" spans="1:9" ht="15.6" x14ac:dyDescent="0.3">
      <c r="A2153" s="4" t="s">
        <v>7</v>
      </c>
      <c r="B2153" s="4" t="s">
        <v>7</v>
      </c>
      <c r="C2153" s="11" t="s">
        <v>7</v>
      </c>
      <c r="D2153" s="5" t="s">
        <v>1990</v>
      </c>
      <c r="E2153" s="1" t="str">
        <f ca="1">IFERROR(__xludf.DUMMYFUNCTION("GOOGLETRANSLATE(D2153, ""bn"", ""en"")"),"During the transition period, 60 deaths and 138 injuries were reported. Most of the violence during this period was communal violence.")</f>
        <v>During the transition period, 60 deaths and 138 injuries were reported. Most of the violence during this period was communal violence.</v>
      </c>
      <c r="F2153" s="1"/>
      <c r="G2153" s="1"/>
      <c r="H2153" s="1"/>
      <c r="I2153" s="1"/>
    </row>
    <row r="2154" spans="1:9" ht="31.2" x14ac:dyDescent="0.3">
      <c r="A2154" s="1" t="s">
        <v>9</v>
      </c>
      <c r="B2154" s="1" t="s">
        <v>9</v>
      </c>
      <c r="C2154" s="10" t="s">
        <v>9</v>
      </c>
      <c r="D2154" s="6" t="s">
        <v>3853</v>
      </c>
      <c r="E2154" s="1" t="str">
        <f ca="1">IFERROR(__xludf.DUMMYFUNCTION("GOOGLETRANSLATE(D2154, ""bn"", ""en"")"),"As the statistics of the Seven Great Wars show, strategy, not numbers, is the key. 313 Muslim soldiers in the Battle of Badr in 624 AD. The Kafir army numbered one thousand. In 625 AD, the number of Muslim soldiers in Uhud was 700, and the number of Kafir"&amp;" soldiers was 3,500.")</f>
        <v>As the statistics of the Seven Great Wars show, strategy, not numbers, is the key. 313 Muslim soldiers in the Battle of Badr in 624 AD. The Kafir army numbered one thousand. In 625 AD, the number of Muslim soldiers in Uhud was 700, and the number of Kafir soldiers was 3,500.</v>
      </c>
      <c r="F2154" s="1"/>
      <c r="G2154" s="1"/>
      <c r="H2154" s="1"/>
      <c r="I2154" s="1"/>
    </row>
    <row r="2155" spans="1:9" ht="31.2" x14ac:dyDescent="0.3">
      <c r="A2155" s="1" t="s">
        <v>5</v>
      </c>
      <c r="B2155" s="1" t="s">
        <v>5</v>
      </c>
      <c r="C2155" s="10" t="s">
        <v>5</v>
      </c>
      <c r="D2155" s="6" t="s">
        <v>3852</v>
      </c>
      <c r="E2155" s="1" t="str">
        <f ca="1">IFERROR(__xludf.DUMMYFUNCTION("GOOGLETRANSLATE(D2155, ""bn"", ""en"")"),"In August 1947, British-ruled India was partitioned on the basis of religion into two countries, India and Pakistan. Pakistan was formed from the Muslim majority of British India.")</f>
        <v>In August 1947, British-ruled India was partitioned on the basis of religion into two countries, India and Pakistan. Pakistan was formed from the Muslim majority of British India.</v>
      </c>
      <c r="F2155" s="1"/>
      <c r="G2155" s="1"/>
      <c r="H2155" s="1"/>
      <c r="I2155" s="1"/>
    </row>
    <row r="2156" spans="1:9" ht="15.6" x14ac:dyDescent="0.3">
      <c r="A2156" s="1" t="s">
        <v>4</v>
      </c>
      <c r="B2156" s="1" t="s">
        <v>4</v>
      </c>
      <c r="C2156" s="10" t="s">
        <v>4</v>
      </c>
      <c r="D2156" s="5" t="s">
        <v>1991</v>
      </c>
      <c r="E2156" s="1" t="str">
        <f ca="1">IFERROR(__xludf.DUMMYFUNCTION("GOOGLETRANSLATE(D2156, ""bn"", ""en"")"),"Hey atheist media kid, this is only a holy place for Muslims, no one else.")</f>
        <v>Hey atheist media kid, this is only a holy place for Muslims, no one else.</v>
      </c>
      <c r="F2156" s="1"/>
      <c r="G2156" s="1"/>
      <c r="H2156" s="1"/>
      <c r="I2156" s="1"/>
    </row>
    <row r="2157" spans="1:9" ht="15.6" x14ac:dyDescent="0.3">
      <c r="A2157" s="1" t="s">
        <v>7</v>
      </c>
      <c r="B2157" s="1" t="s">
        <v>7</v>
      </c>
      <c r="C2157" s="10" t="s">
        <v>7</v>
      </c>
      <c r="D2157" s="5" t="s">
        <v>1992</v>
      </c>
      <c r="E2157" s="1" t="str">
        <f ca="1">IFERROR(__xludf.DUMMYFUNCTION("GOOGLETRANSLATE(D2157, ""bn"", ""en"")"),"Hindu pogroms are sometimes referred to as the killing of Hindus by other religions. Hindus have accepted this oppression and suppression for ages. ")</f>
        <v>Hindu pogroms are sometimes referred to as the killing of Hindus by other religions. Hindus have accepted this oppression and suppression for ages. </v>
      </c>
      <c r="F2157" s="1"/>
      <c r="G2157" s="1"/>
      <c r="H2157" s="1"/>
      <c r="I2157" s="1"/>
    </row>
    <row r="2158" spans="1:9" ht="31.2" x14ac:dyDescent="0.3">
      <c r="A2158" s="1" t="s">
        <v>4</v>
      </c>
      <c r="B2158" s="1" t="s">
        <v>4</v>
      </c>
      <c r="C2158" s="10" t="s">
        <v>4</v>
      </c>
      <c r="D2158" s="6" t="s">
        <v>3851</v>
      </c>
      <c r="E2158" s="1" t="str">
        <f ca="1">IFERROR(__xludf.DUMMYFUNCTION("GOOGLETRANSLATE(D2158, ""bn"", ""en"")"),"In Ramu, the southeastern district of Bangladesh, it was suddenly heard that a young Buddhist named Uttam Barua from a computer shop there has insulted Islam, the Holy Book of Islam or the Prophet from the Facebook account.")</f>
        <v>In Ramu, the southeastern district of Bangladesh, it was suddenly heard that a young Buddhist named Uttam Barua from a computer shop there has insulted Islam, the Holy Book of Islam or the Prophet from the Facebook account.</v>
      </c>
      <c r="F2158" s="1"/>
      <c r="G2158" s="1"/>
      <c r="H2158" s="1"/>
      <c r="I2158" s="1"/>
    </row>
    <row r="2159" spans="1:9" ht="46.8" x14ac:dyDescent="0.3">
      <c r="A2159" s="1" t="s">
        <v>9</v>
      </c>
      <c r="B2159" s="1" t="s">
        <v>9</v>
      </c>
      <c r="C2159" s="10" t="s">
        <v>9</v>
      </c>
      <c r="D2159" s="6" t="s">
        <v>3850</v>
      </c>
      <c r="E2159" s="1" t="str">
        <f ca="1">IFERROR(__xludf.DUMMYFUNCTION("GOOGLETRANSLATE(D2159, ""bn"", ""en"")"),"On 2 February, Muslims began attacking Hindu communities in Feni upazila of the then Noakhali district, although atrocities had already begun in Dhaka.[14] One Hindu was killed and nine others were seriously injured. At least nine shops belonging to the H"&amp;"indu community were looted.")</f>
        <v>On 2 February, Muslims began attacking Hindu communities in Feni upazila of the then Noakhali district, although atrocities had already begun in Dhaka.[14] One Hindu was killed and nine others were seriously injured. At least nine shops belonging to the Hindu community were looted.</v>
      </c>
      <c r="F2159" s="1"/>
      <c r="G2159" s="1"/>
      <c r="H2159" s="1"/>
      <c r="I2159" s="1"/>
    </row>
    <row r="2160" spans="1:9" ht="15.6" x14ac:dyDescent="0.3">
      <c r="A2160" s="1" t="s">
        <v>9</v>
      </c>
      <c r="B2160" s="1" t="s">
        <v>4</v>
      </c>
      <c r="C2160" s="10" t="s">
        <v>9</v>
      </c>
      <c r="D2160" s="5" t="s">
        <v>1993</v>
      </c>
      <c r="E2160" s="1" t="str">
        <f ca="1">IFERROR(__xludf.DUMMYFUNCTION("GOOGLETRANSLATE(D2160, ""bn"", ""en"")"),"After accusing the principal of blasphemy in Narail, this time there have been incidents of fire and attack on the houses and temples of Hindus in Dighlia in the same pretext.")</f>
        <v>After accusing the principal of blasphemy in Narail, this time there have been incidents of fire and attack on the houses and temples of Hindus in Dighlia in the same pretext.</v>
      </c>
      <c r="F2160" s="1"/>
      <c r="G2160" s="1"/>
      <c r="H2160" s="1"/>
      <c r="I2160" s="1"/>
    </row>
    <row r="2161" spans="1:9" ht="46.8" x14ac:dyDescent="0.3">
      <c r="A2161" s="1" t="s">
        <v>7</v>
      </c>
      <c r="B2161" s="1" t="s">
        <v>7</v>
      </c>
      <c r="C2161" s="10" t="s">
        <v>7</v>
      </c>
      <c r="D2161" s="6" t="s">
        <v>3849</v>
      </c>
      <c r="E2161" s="1" t="str">
        <f ca="1">IFERROR(__xludf.DUMMYFUNCTION("GOOGLETRANSLATE(D2161, ""bn"", ""en"")"),"An organization called Jatiya Hindu Mahajot has claimed that this year has seen the most persecution of minorities in the last five years. In a press conference, the organization said that 40,703 incidents including murder, assault, land grabbing, abducti"&amp;"on, conversion, rape, eviction, forced emigration took place this year.")</f>
        <v>An organization called Jatiya Hindu Mahajot has claimed that this year has seen the most persecution of minorities in the last five years. In a press conference, the organization said that 40,703 incidents including murder, assault, land grabbing, abduction, conversion, rape, eviction, forced emigration took place this year.</v>
      </c>
      <c r="F2161" s="1"/>
      <c r="G2161" s="1"/>
      <c r="H2161" s="1"/>
      <c r="I2161" s="1"/>
    </row>
    <row r="2162" spans="1:9" ht="15.6" x14ac:dyDescent="0.3">
      <c r="A2162" s="1" t="s">
        <v>7</v>
      </c>
      <c r="B2162" s="1" t="s">
        <v>7</v>
      </c>
      <c r="C2162" s="10" t="s">
        <v>7</v>
      </c>
      <c r="D2162" s="5" t="s">
        <v>1994</v>
      </c>
      <c r="E2162" s="1" t="str">
        <f ca="1">IFERROR(__xludf.DUMMYFUNCTION("GOOGLETRANSLATE(D2162, ""bn"", ""en"")"),"The Suryamani Massacre took place in the early morning of 7th October 1971 in Suryamani village of the then Barisal district. The Razakars shot dead 24 Bengali Hindus.")</f>
        <v>The Suryamani Massacre took place in the early morning of 7th October 1971 in Suryamani village of the then Barisal district. The Razakars shot dead 24 Bengali Hindus.</v>
      </c>
      <c r="F2162" s="1"/>
      <c r="G2162" s="1"/>
      <c r="H2162" s="1"/>
      <c r="I2162" s="1"/>
    </row>
    <row r="2163" spans="1:9" ht="15.6" x14ac:dyDescent="0.3">
      <c r="A2163" s="1" t="s">
        <v>4</v>
      </c>
      <c r="B2163" s="1" t="s">
        <v>4</v>
      </c>
      <c r="C2163" s="10" t="s">
        <v>4</v>
      </c>
      <c r="D2163" s="5" t="s">
        <v>1995</v>
      </c>
      <c r="E2163" s="1" t="str">
        <f ca="1">IFERROR(__xludf.DUMMYFUNCTION("GOOGLETRANSLATE(D2163, ""bn"", ""en"")"),"In Kotalipara upazila, a group of Muslims gathered at the Hindu girl's house to forcefully abduct the Hindu girl.")</f>
        <v>In Kotalipara upazila, a group of Muslims gathered at the Hindu girl's house to forcefully abduct the Hindu girl.</v>
      </c>
      <c r="F2163" s="1"/>
      <c r="G2163" s="1"/>
      <c r="H2163" s="1"/>
      <c r="I2163" s="1"/>
    </row>
    <row r="2164" spans="1:9" ht="46.8" x14ac:dyDescent="0.3">
      <c r="A2164" s="1" t="s">
        <v>9</v>
      </c>
      <c r="B2164" s="1" t="s">
        <v>9</v>
      </c>
      <c r="C2164" s="10" t="s">
        <v>9</v>
      </c>
      <c r="D2164" s="6" t="s">
        <v>3848</v>
      </c>
      <c r="E2164" s="1" t="str">
        <f ca="1">IFERROR(__xludf.DUMMYFUNCTION("GOOGLETRANSLATE(D2164, ""bn"", ""en"")"),"The police fired tear gas and rubber bullets but could not bring the situation under control. As a result the match was abandoned after 8.1 overs. The organizers announced the schedule for the replay on 10 December. The final match between Indian A team a"&amp;"nd Pakistan A team was supposed to be played on December 11. But both the games were declared abandoned.")</f>
        <v>The police fired tear gas and rubber bullets but could not bring the situation under control. As a result the match was abandoned after 8.1 overs. The organizers announced the schedule for the replay on 10 December. The final match between Indian A team and Pakistan A team was supposed to be played on December 11. But both the games were declared abandoned.</v>
      </c>
      <c r="F2164" s="1"/>
      <c r="G2164" s="1"/>
      <c r="H2164" s="1"/>
      <c r="I2164" s="1"/>
    </row>
    <row r="2165" spans="1:9" ht="15.6" x14ac:dyDescent="0.3">
      <c r="A2165" s="1" t="s">
        <v>5</v>
      </c>
      <c r="B2165" s="1" t="s">
        <v>5</v>
      </c>
      <c r="C2165" s="10" t="s">
        <v>5</v>
      </c>
      <c r="D2165" s="5" t="s">
        <v>1996</v>
      </c>
      <c r="E2165" s="1" t="str">
        <f ca="1">IFERROR(__xludf.DUMMYFUNCTION("GOOGLETRANSLATE(D2165, ""bn"", ""en"")"),"Who gave you the right to insult millions of people? If you do not fast, you will be accountable to Allah, not to people.")</f>
        <v>Who gave you the right to insult millions of people? If you do not fast, you will be accountable to Allah, not to people.</v>
      </c>
      <c r="F2165" s="1"/>
      <c r="G2165" s="1"/>
      <c r="H2165" s="1"/>
      <c r="I2165" s="1"/>
    </row>
    <row r="2166" spans="1:9" ht="15.6" x14ac:dyDescent="0.3">
      <c r="A2166" s="1" t="s">
        <v>5</v>
      </c>
      <c r="B2166" s="1" t="s">
        <v>5</v>
      </c>
      <c r="C2166" s="10" t="s">
        <v>5</v>
      </c>
      <c r="D2166" s="5" t="s">
        <v>1997</v>
      </c>
      <c r="E2166" s="1" t="str">
        <f ca="1">IFERROR(__xludf.DUMMYFUNCTION("GOOGLETRANSLATE(D2166, ""bn"", ""en"")"),"Why does a person convert from orthodox religion to Islam? Analysis and Discussion by a Scholar – Jitendriya Prabhu's Servant.")</f>
        <v>Why does a person convert from orthodox religion to Islam? Analysis and Discussion by a Scholar – Jitendriya Prabhu's Servant.</v>
      </c>
      <c r="F2166" s="1"/>
      <c r="G2166" s="1"/>
      <c r="H2166" s="1"/>
      <c r="I2166" s="1"/>
    </row>
    <row r="2167" spans="1:9" ht="15.6" x14ac:dyDescent="0.3">
      <c r="A2167" s="1" t="s">
        <v>5</v>
      </c>
      <c r="B2167" s="1" t="s">
        <v>5</v>
      </c>
      <c r="C2167" s="10" t="s">
        <v>5</v>
      </c>
      <c r="D2167" s="5" t="s">
        <v>1998</v>
      </c>
      <c r="E2167" s="1" t="str">
        <f ca="1">IFERROR(__xludf.DUMMYFUNCTION("GOOGLETRANSLATE(D2167,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F2167" s="1"/>
      <c r="G2167" s="1"/>
      <c r="H2167" s="1"/>
      <c r="I2167" s="1"/>
    </row>
    <row r="2168" spans="1:9" ht="15.6" x14ac:dyDescent="0.3">
      <c r="A2168" s="1" t="s">
        <v>9</v>
      </c>
      <c r="B2168" s="1" t="s">
        <v>5</v>
      </c>
      <c r="C2168" s="10" t="s">
        <v>9</v>
      </c>
      <c r="D2168" s="5" t="s">
        <v>1999</v>
      </c>
      <c r="E2168" s="1" t="str">
        <f ca="1">IFERROR(__xludf.DUMMYFUNCTION("GOOGLETRANSLATE(D2168, ""bn"", ""en"")"),"The mosque is being built with a three-storey foundation by collecting a subscription of 25 lakhs. Before this, there was a case in the court about this place. At that time the order of the case asked both the parties to compromise. Based on that source, "&amp;"the mosque owns 8 percent of the land in a 1976 Apsanama.")</f>
        <v>The mosque is being built with a three-storey foundation by collecting a subscription of 25 lakhs. Before this, there was a case in the court about this place. At that time the order of the case asked both the parties to compromise. Based on that source, the mosque owns 8 percent of the land in a 1976 Apsanama.</v>
      </c>
      <c r="F2168" s="1"/>
      <c r="G2168" s="1"/>
      <c r="H2168" s="1"/>
      <c r="I2168" s="1"/>
    </row>
    <row r="2169" spans="1:9" ht="15.6" x14ac:dyDescent="0.3">
      <c r="A2169" s="1" t="s">
        <v>4</v>
      </c>
      <c r="B2169" s="1" t="s">
        <v>9</v>
      </c>
      <c r="C2169" s="10" t="s">
        <v>4</v>
      </c>
      <c r="D2169" s="5" t="s">
        <v>2000</v>
      </c>
      <c r="E2169" s="1" t="str">
        <f ca="1">IFERROR(__xludf.DUMMYFUNCTION("GOOGLETRANSLATE(D2169, ""bn"", ""en"")"),"A photo-video of an alleged desecration of the Quran at a temple in Comilla on Wednesday morning went viral on Facebook. Earlier, the role of social media including Facebook was also criticized in inciting communal terror in various parts of the country i"&amp;"ncluding Ramu in Cox's Bazar.")</f>
        <v>A photo-video of an alleged desecration of the Quran at a temple in Comilla on Wednesday morning went viral on Facebook. Earlier, the role of social media including Facebook was also criticized in inciting communal terror in various parts of the country including Ramu in Cox's Bazar.</v>
      </c>
      <c r="F2169" s="1"/>
      <c r="G2169" s="1"/>
      <c r="H2169" s="1"/>
      <c r="I2169" s="1"/>
    </row>
    <row r="2170" spans="1:9" ht="15.6" x14ac:dyDescent="0.3">
      <c r="A2170" s="1" t="s">
        <v>5</v>
      </c>
      <c r="B2170" s="1" t="s">
        <v>5</v>
      </c>
      <c r="C2170" s="10" t="s">
        <v>5</v>
      </c>
      <c r="D2170" s="5" t="s">
        <v>2001</v>
      </c>
      <c r="E2170" s="1" t="str">
        <f ca="1">IFERROR(__xludf.DUMMYFUNCTION("GOOGLETRANSLATE(D2170, ""bn"", ""en"")"),"Following Allah's guidance removes doubt and uncertainty from our lives, and we experience true peace and stability.")</f>
        <v>Following Allah's guidance removes doubt and uncertainty from our lives, and we experience true peace and stability.</v>
      </c>
      <c r="F2170" s="1"/>
      <c r="G2170" s="1"/>
      <c r="H2170" s="1"/>
      <c r="I2170" s="1"/>
    </row>
    <row r="2171" spans="1:9" ht="15.6" x14ac:dyDescent="0.3">
      <c r="A2171" s="1" t="s">
        <v>7</v>
      </c>
      <c r="B2171" s="1" t="s">
        <v>7</v>
      </c>
      <c r="C2171" s="10" t="s">
        <v>7</v>
      </c>
      <c r="D2171" s="5" t="s">
        <v>2002</v>
      </c>
      <c r="E2171" s="1" t="str">
        <f ca="1">IFERROR(__xludf.DUMMYFUNCTION("GOOGLETRANSLATE(D2171, ""bn"", ""en"")"),"We have a strange reaction after learning that a talented artist has committed suicide. Some are saddened and say that during his lifetime, his extraordinary qualities did not get proper status and recognition - for us it is an immense shame and disgrace.")</f>
        <v>We have a strange reaction after learning that a talented artist has committed suicide. Some are saddened and say that during his lifetime, his extraordinary qualities did not get proper status and recognition - for us it is an immense shame and disgrace.</v>
      </c>
      <c r="F2171" s="1"/>
      <c r="G2171" s="1"/>
      <c r="H2171" s="1"/>
      <c r="I2171" s="1"/>
    </row>
    <row r="2172" spans="1:9" ht="15.6" x14ac:dyDescent="0.3">
      <c r="A2172" s="1" t="s">
        <v>5</v>
      </c>
      <c r="B2172" s="1" t="s">
        <v>5</v>
      </c>
      <c r="C2172" s="10" t="s">
        <v>5</v>
      </c>
      <c r="D2172" s="5" t="s">
        <v>2003</v>
      </c>
      <c r="E2172" s="1" t="str">
        <f ca="1">IFERROR(__xludf.DUMMYFUNCTION("GOOGLETRANSLATE(D2172, ""bn"", ""en"")"),"Allah says in the Qur'an that He has given spiritual education to mankind so that they feel compassion and love for all religions.")</f>
        <v>Allah says in the Qur'an that He has given spiritual education to mankind so that they feel compassion and love for all religions.</v>
      </c>
      <c r="F2172" s="1"/>
      <c r="G2172" s="1"/>
      <c r="H2172" s="1"/>
      <c r="I2172" s="1"/>
    </row>
    <row r="2173" spans="1:9" ht="15.6" x14ac:dyDescent="0.3">
      <c r="A2173" s="1" t="s">
        <v>7</v>
      </c>
      <c r="B2173" s="1" t="s">
        <v>7</v>
      </c>
      <c r="C2173" s="10" t="s">
        <v>7</v>
      </c>
      <c r="D2173" s="5" t="s">
        <v>2004</v>
      </c>
      <c r="E2173" s="1" t="str">
        <f ca="1">IFERROR(__xludf.DUMMYFUNCTION("GOOGLETRANSLATE(D2173, ""bn"", ""en"")"),"Many people have died needlessly due to violence caused by differences in multiple religious ideologies.")</f>
        <v>Many people have died needlessly due to violence caused by differences in multiple religious ideologies.</v>
      </c>
      <c r="F2173" s="1"/>
      <c r="G2173" s="1"/>
      <c r="H2173" s="1"/>
      <c r="I2173" s="1"/>
    </row>
    <row r="2174" spans="1:9" ht="15.6" x14ac:dyDescent="0.3">
      <c r="A2174" s="1" t="s">
        <v>9</v>
      </c>
      <c r="B2174" s="1" t="s">
        <v>9</v>
      </c>
      <c r="C2174" s="10" t="s">
        <v>9</v>
      </c>
      <c r="D2174" s="5" t="s">
        <v>2005</v>
      </c>
      <c r="E2174" s="1" t="str">
        <f ca="1">IFERROR(__xludf.DUMMYFUNCTION("GOOGLETRANSLATE(D2174, ""bn"", ""en"")"),"Islamic fundamentalists again attacked Nandigram upazila of Bogra district on January 12, ransacked some houses, attacked some houses, uprooted some tubewells and took them away.")</f>
        <v>Islamic fundamentalists again attacked Nandigram upazila of Bogra district on January 12, ransacked some houses, attacked some houses, uprooted some tubewells and took them away.</v>
      </c>
      <c r="F2174" s="1"/>
      <c r="G2174" s="1"/>
      <c r="H2174" s="1"/>
      <c r="I2174" s="1"/>
    </row>
    <row r="2175" spans="1:9" ht="15.6" x14ac:dyDescent="0.3">
      <c r="A2175" s="1" t="s">
        <v>7</v>
      </c>
      <c r="B2175" s="1" t="s">
        <v>7</v>
      </c>
      <c r="C2175" s="10" t="s">
        <v>7</v>
      </c>
      <c r="D2175" s="5" t="s">
        <v>2006</v>
      </c>
      <c r="E2175" s="1" t="str">
        <f ca="1">IFERROR(__xludf.DUMMYFUNCTION("GOOGLETRANSLATE(D2175, ""bn"", ""en"")")," The Muslims killed Deviprasanna Guha, son of Congress leader of Babupur village under Ramganj police station. [21][22] Another brother of Deviprasanna and their employee were seriously injured. The Congress office in front of Deviprasanna's house was set"&amp;" on fire.")</f>
        <v> The Muslims killed Deviprasanna Guha, son of Congress leader of Babupur village under Ramganj police station. [21][22] Another brother of Deviprasanna and their employee were seriously injured. The Congress office in front of Deviprasanna's house was set on fire.</v>
      </c>
      <c r="F2175" s="1"/>
      <c r="G2175" s="1"/>
      <c r="H2175" s="1"/>
      <c r="I2175" s="1"/>
    </row>
    <row r="2176" spans="1:9" ht="15.6" x14ac:dyDescent="0.3">
      <c r="A2176" s="1" t="s">
        <v>4</v>
      </c>
      <c r="B2176" s="1" t="s">
        <v>4</v>
      </c>
      <c r="C2176" s="10" t="s">
        <v>4</v>
      </c>
      <c r="D2176" s="5" t="s">
        <v>2007</v>
      </c>
      <c r="E2176" s="1" t="str">
        <f ca="1">IFERROR(__xludf.DUMMYFUNCTION("GOOGLETRANSLATE(D2176, ""bn"", ""en"")"),"The days ahead are going to be terrible. You will be the first to die if you think that you will get away with sitting quietly in the fight for survival! There is no reason to think that you will be greeted with garlands in Indian states")</f>
        <v>The days ahead are going to be terrible. You will be the first to die if you think that you will get away with sitting quietly in the fight for survival! There is no reason to think that you will be greeted with garlands in Indian states</v>
      </c>
      <c r="F2176" s="1"/>
      <c r="G2176" s="1"/>
      <c r="H2176" s="1"/>
      <c r="I2176" s="1"/>
    </row>
    <row r="2177" spans="1:9" ht="15.6" x14ac:dyDescent="0.3">
      <c r="A2177" s="1" t="s">
        <v>5</v>
      </c>
      <c r="B2177" s="1" t="s">
        <v>5</v>
      </c>
      <c r="C2177" s="10" t="s">
        <v>5</v>
      </c>
      <c r="D2177" s="5" t="s">
        <v>2008</v>
      </c>
      <c r="E2177" s="1" t="str">
        <f ca="1">IFERROR(__xludf.DUMMYFUNCTION("GOOGLETRANSLATE(D2177, ""bn"", ""en"")"),"Allah says in the Qur'an that through faith and good deeds, man can guide his life on the right path, which will make him successful in the Hereafter.")</f>
        <v>Allah says in the Qur'an that through faith and good deeds, man can guide his life on the right path, which will make him successful in the Hereafter.</v>
      </c>
      <c r="F2177" s="1"/>
      <c r="G2177" s="1"/>
      <c r="H2177" s="1"/>
      <c r="I2177" s="1"/>
    </row>
    <row r="2178" spans="1:9" ht="15.6" x14ac:dyDescent="0.3">
      <c r="A2178" s="1" t="s">
        <v>5</v>
      </c>
      <c r="B2178" s="1" t="s">
        <v>5</v>
      </c>
      <c r="C2178" s="10" t="s">
        <v>5</v>
      </c>
      <c r="D2178" s="5" t="s">
        <v>2009</v>
      </c>
      <c r="E2178" s="1" t="str">
        <f ca="1">IFERROR(__xludf.DUMMYFUNCTION("GOOGLETRANSLATE(D2178, ""bn"", ""en"")")," Abu Sufyan ibn Harb and 200 armed travelers intercepted a Quraish caravan returning from Syria.")</f>
        <v> Abu Sufyan ibn Harb and 200 armed travelers intercepted a Quraish caravan returning from Syria.</v>
      </c>
      <c r="F2178" s="1"/>
      <c r="G2178" s="1"/>
      <c r="H2178" s="1"/>
      <c r="I2178" s="1"/>
    </row>
    <row r="2179" spans="1:9" ht="15.6" x14ac:dyDescent="0.3">
      <c r="A2179" s="1" t="s">
        <v>7</v>
      </c>
      <c r="B2179" s="1" t="s">
        <v>7</v>
      </c>
      <c r="C2179" s="10" t="s">
        <v>7</v>
      </c>
      <c r="D2179" s="5" t="s">
        <v>2010</v>
      </c>
      <c r="E2179" s="1" t="str">
        <f ca="1">IFERROR(__xludf.DUMMYFUNCTION("GOOGLETRANSLATE(D2179, ""bn"", ""en"")"),"According to Islamic belief, the time and place of death of all creatures is predetermined and only Allah knows the time of its death.")</f>
        <v>According to Islamic belief, the time and place of death of all creatures is predetermined and only Allah knows the time of its death.</v>
      </c>
      <c r="F2179" s="1"/>
      <c r="G2179" s="1"/>
      <c r="H2179" s="1"/>
      <c r="I2179" s="1"/>
    </row>
    <row r="2180" spans="1:9" ht="31.2" x14ac:dyDescent="0.3">
      <c r="A2180" s="1" t="s">
        <v>9</v>
      </c>
      <c r="B2180" s="1" t="s">
        <v>4</v>
      </c>
      <c r="C2180" s="10" t="s">
        <v>9</v>
      </c>
      <c r="D2180" s="6" t="s">
        <v>3847</v>
      </c>
      <c r="E2180" s="1" t="str">
        <f ca="1">IFERROR(__xludf.DUMMYFUNCTION("GOOGLETRANSLATE(D2180, ""bn"", ""en"")"),"Recently, there have been reports in the media that some priests of the Christian faith have also been threatened. In that case too we would like to remind you of the same. Attacks on religious centers, places of worship and individuals of any minority co"&amp;"mmunity are not permitted in Islamic Sharia.")</f>
        <v>Recently, there have been reports in the media that some priests of the Christian faith have also been threatened. In that case too we would like to remind you of the same. Attacks on religious centers, places of worship and individuals of any minority community are not permitted in Islamic Sharia.</v>
      </c>
      <c r="F2180" s="1"/>
      <c r="G2180" s="1"/>
      <c r="H2180" s="1"/>
      <c r="I2180" s="1"/>
    </row>
    <row r="2181" spans="1:9" ht="15.6" x14ac:dyDescent="0.3">
      <c r="A2181" s="1" t="s">
        <v>5</v>
      </c>
      <c r="B2181" s="1" t="s">
        <v>5</v>
      </c>
      <c r="C2181" s="10" t="s">
        <v>5</v>
      </c>
      <c r="D2181" s="5" t="s">
        <v>2011</v>
      </c>
      <c r="E2181" s="1" t="str">
        <f ca="1">IFERROR(__xludf.DUMMYFUNCTION("GOOGLETRANSLATE(D2181, ""bn"", ""en"")"),"In the past too when religious sentiments have been hurt, there have been protests. We should not hurt the sentiments of any religion, because it is our duty to respect all religions.")</f>
        <v>In the past too when religious sentiments have been hurt, there have been protests. We should not hurt the sentiments of any religion, because it is our duty to respect all religions.</v>
      </c>
      <c r="F2181" s="1"/>
      <c r="G2181" s="1"/>
      <c r="H2181" s="1"/>
      <c r="I2181" s="1"/>
    </row>
    <row r="2182" spans="1:9" ht="15.6" x14ac:dyDescent="0.3">
      <c r="A2182" s="1" t="s">
        <v>4</v>
      </c>
      <c r="B2182" s="1" t="s">
        <v>4</v>
      </c>
      <c r="C2182" s="10" t="s">
        <v>4</v>
      </c>
      <c r="D2182" s="5" t="s">
        <v>2012</v>
      </c>
      <c r="E2182" s="1" t="str">
        <f ca="1">IFERROR(__xludf.DUMMYFUNCTION("GOOGLETRANSLATE(D2182, ""bn"", ""en"")"),"Bangladesh is a country of non-communal harmony. Those through whom the scorned, hated, hated deeds have been done, they are undoubtedly fierce. We strongly demand exemplary punishment of the culprits subject to fair investigation.""")</f>
        <v>Bangladesh is a country of non-communal harmony. Those through whom the scorned, hated, hated deeds have been done, they are undoubtedly fierce. We strongly demand exemplary punishment of the culprits subject to fair investigation."</v>
      </c>
      <c r="F2182" s="1"/>
      <c r="G2182" s="1"/>
      <c r="H2182" s="1"/>
      <c r="I2182" s="1"/>
    </row>
    <row r="2183" spans="1:9" ht="15.6" x14ac:dyDescent="0.3">
      <c r="A2183" s="1" t="s">
        <v>7</v>
      </c>
      <c r="B2183" s="1" t="s">
        <v>7</v>
      </c>
      <c r="C2183" s="10" t="s">
        <v>7</v>
      </c>
      <c r="D2183" s="5" t="s">
        <v>2013</v>
      </c>
      <c r="E2183" s="1" t="str">
        <f ca="1">IFERROR(__xludf.DUMMYFUNCTION("GOOGLETRANSLATE(D2183, ""bn"", ""en"")"),"Between 1954 and 1982, around 10,000 Muslims were killed in Hindu-Muslim communal violence.")</f>
        <v>Between 1954 and 1982, around 10,000 Muslims were killed in Hindu-Muslim communal violence.</v>
      </c>
      <c r="F2183" s="1"/>
      <c r="G2183" s="1"/>
      <c r="H2183" s="1"/>
      <c r="I2183" s="1"/>
    </row>
    <row r="2184" spans="1:9" ht="31.2" x14ac:dyDescent="0.3">
      <c r="A2184" s="1" t="s">
        <v>5</v>
      </c>
      <c r="B2184" s="1" t="s">
        <v>5</v>
      </c>
      <c r="C2184" s="10" t="s">
        <v>5</v>
      </c>
      <c r="D2184" s="6" t="s">
        <v>3846</v>
      </c>
      <c r="E2184" s="1" t="str">
        <f ca="1">IFERROR(__xludf.DUMMYFUNCTION("GOOGLETRANSLATE(D2184, ""bn"", ""en"")"),"God has preordained what happens in human destiny. It has been said, 'Whatever calamity befalls you in the world or personally is recorded before I cause it. It is very easy for Allah.")</f>
        <v>God has preordained what happens in human destiny. It has been said, 'Whatever calamity befalls you in the world or personally is recorded before I cause it. It is very easy for Allah.</v>
      </c>
      <c r="F2184" s="1"/>
      <c r="G2184" s="1"/>
      <c r="H2184" s="1"/>
      <c r="I2184" s="1"/>
    </row>
    <row r="2185" spans="1:9" ht="15.6" x14ac:dyDescent="0.3">
      <c r="A2185" s="1" t="s">
        <v>4</v>
      </c>
      <c r="B2185" s="1" t="s">
        <v>5</v>
      </c>
      <c r="C2185" s="10" t="s">
        <v>4</v>
      </c>
      <c r="D2185" s="5" t="s">
        <v>2014</v>
      </c>
      <c r="E2185" s="1" t="str">
        <f ca="1">IFERROR(__xludf.DUMMYFUNCTION("GOOGLETRANSLATE(D2185, ""bn"", ""en"")"),"No doctrines are insulted, only where the differences between Sanatan Dharma and other doctrines are presented with evidence. ")</f>
        <v xml:space="preserve">No doctrines are insulted, only where the differences between Sanatan Dharma and other doctrines are presented with evidence. </v>
      </c>
      <c r="F2185" s="1"/>
      <c r="G2185" s="1"/>
      <c r="H2185" s="1"/>
      <c r="I2185" s="1"/>
    </row>
    <row r="2186" spans="1:9" ht="15.6" x14ac:dyDescent="0.3">
      <c r="A2186" s="1" t="s">
        <v>5</v>
      </c>
      <c r="B2186" s="1" t="s">
        <v>5</v>
      </c>
      <c r="C2186" s="10" t="s">
        <v>5</v>
      </c>
      <c r="D2186" s="5" t="s">
        <v>2015</v>
      </c>
      <c r="E2186" s="1" t="str">
        <f ca="1">IFERROR(__xludf.DUMMYFUNCTION("GOOGLETRANSLATE(D2186, ""bn"", ""en"")"),"Bangladeshi Hindus are mainly Bengali Hindus, but a distinct Hindu population also exists among the indigenous tribes such as Garo, Khasi, Jaintia, Santal, Vishnupriya Manipuri, Tripuri, Munda, Oraon, Dhanuk etc.")</f>
        <v>Bangladeshi Hindus are mainly Bengali Hindus, but a distinct Hindu population also exists among the indigenous tribes such as Garo, Khasi, Jaintia, Santal, Vishnupriya Manipuri, Tripuri, Munda, Oraon, Dhanuk etc.</v>
      </c>
      <c r="F2186" s="1"/>
      <c r="G2186" s="1"/>
      <c r="H2186" s="1"/>
      <c r="I2186" s="1"/>
    </row>
    <row r="2187" spans="1:9" ht="46.8" x14ac:dyDescent="0.3">
      <c r="A2187" s="1" t="s">
        <v>9</v>
      </c>
      <c r="B2187" s="1" t="s">
        <v>5</v>
      </c>
      <c r="C2187" s="10" t="s">
        <v>9</v>
      </c>
      <c r="D2187" s="6" t="s">
        <v>3845</v>
      </c>
      <c r="E2187" s="1" t="str">
        <f ca="1">IFERROR(__xludf.DUMMYFUNCTION("GOOGLETRANSLATE(D2187, ""bn"", ""en"")"),"Demonstrations took place in different places of Kamalganj upazila of Moulvibazar district after the evening of 13th October on Wednesday, alleging desecration of the Quran at the worship hall in Comilla. Two idols and five mandaps were vandalized between"&amp;" 8:30 PM and 10:00 PM on Wednesday, October 13.")</f>
        <v>Demonstrations took place in different places of Kamalganj upazila of Moulvibazar district after the evening of 13th October on Wednesday, alleging desecration of the Quran at the worship hall in Comilla. Two idols and five mandaps were vandalized between 8:30 PM and 10:00 PM on Wednesday, October 13.</v>
      </c>
      <c r="F2187" s="1"/>
      <c r="G2187" s="1"/>
      <c r="H2187" s="1"/>
      <c r="I2187" s="1"/>
    </row>
    <row r="2188" spans="1:9" ht="15.6" x14ac:dyDescent="0.3">
      <c r="A2188" s="1" t="s">
        <v>4</v>
      </c>
      <c r="B2188" s="1" t="s">
        <v>4</v>
      </c>
      <c r="C2188" s="10" t="s">
        <v>4</v>
      </c>
      <c r="D2188" s="5" t="s">
        <v>2016</v>
      </c>
      <c r="E2188" s="1" t="str">
        <f ca="1">IFERROR(__xludf.DUMMYFUNCTION("GOOGLETRANSLATE(D2188, ""bn"", ""en"")"),"On the other hand, there is no consensus among the seculars as opposed to militant type comments about Sohag Bhai or Arif Azad bhai, rather they want to explain that ""militancy starts here"".")</f>
        <v>On the other hand, there is no consensus among the seculars as opposed to militant type comments about Sohag Bhai or Arif Azad bhai, rather they want to explain that "militancy starts here".</v>
      </c>
      <c r="F2188" s="1"/>
      <c r="G2188" s="1"/>
      <c r="H2188" s="1"/>
      <c r="I2188" s="1"/>
    </row>
    <row r="2189" spans="1:9" ht="15.6" x14ac:dyDescent="0.3">
      <c r="A2189" s="1" t="s">
        <v>9</v>
      </c>
      <c r="B2189" s="1" t="s">
        <v>9</v>
      </c>
      <c r="C2189" s="10" t="s">
        <v>9</v>
      </c>
      <c r="D2189" s="5" t="s">
        <v>2017</v>
      </c>
      <c r="E2189" s="1" t="str">
        <f ca="1">IFERROR(__xludf.DUMMYFUNCTION("GOOGLETRANSLATE(D2189, ""bn"", ""en"")"),"Dalit youths who were publicly tied and caned by so-called 'cow-protectors' upper caste Hindus in Gujarat's Una Mota Samadhiala village for skinning a dead cow in 2016, and their family members, are on Sunday's list of apostates.")</f>
        <v>Dalit youths who were publicly tied and caned by so-called 'cow-protectors' upper caste Hindus in Gujarat's Una Mota Samadhiala village for skinning a dead cow in 2016, and their family members, are on Sunday's list of apostates.</v>
      </c>
      <c r="F2189" s="1"/>
      <c r="G2189" s="1"/>
      <c r="H2189" s="1"/>
      <c r="I2189" s="1"/>
    </row>
    <row r="2190" spans="1:9" ht="15.6" x14ac:dyDescent="0.3">
      <c r="A2190" s="1" t="s">
        <v>4</v>
      </c>
      <c r="B2190" s="1" t="s">
        <v>4</v>
      </c>
      <c r="C2190" s="10" t="s">
        <v>4</v>
      </c>
      <c r="D2190" s="5" t="s">
        <v>2018</v>
      </c>
      <c r="E2190" s="1" t="str">
        <f ca="1">IFERROR(__xludf.DUMMYFUNCTION("GOOGLETRANSLATE(D2190, ""bn"", ""en"")"),"A major cause of the growing violence against Muslims is the proliferation of Hindu-nationalist groups, which operate alongside or under the political umbrella of the Rashtriya Swayamsevak Sangh [6].")</f>
        <v>A major cause of the growing violence against Muslims is the proliferation of Hindu-nationalist groups, which operate alongside or under the political umbrella of the Rashtriya Swayamsevak Sangh [6].</v>
      </c>
      <c r="F2190" s="1"/>
      <c r="G2190" s="1"/>
      <c r="H2190" s="1"/>
      <c r="I2190" s="1"/>
    </row>
    <row r="2191" spans="1:9" ht="15.6" x14ac:dyDescent="0.3">
      <c r="A2191" s="1" t="s">
        <v>7</v>
      </c>
      <c r="B2191" s="1" t="s">
        <v>4</v>
      </c>
      <c r="C2191" s="10" t="s">
        <v>7</v>
      </c>
      <c r="D2191" s="5" t="s">
        <v>2019</v>
      </c>
      <c r="E2191" s="1" t="str">
        <f ca="1">IFERROR(__xludf.DUMMYFUNCTION("GOOGLETRANSLATE(D2191, ""bn"", ""en"")"),"Gandhian Ashok Gupta, who accompanied Mahatma Gandhi to visit the areas where the genocide took place, said that at least 2,000 Hindus had been forcibly converted to Islam. ")</f>
        <v>Gandhian Ashok Gupta, who accompanied Mahatma Gandhi to visit the areas where the genocide took place, said that at least 2,000 Hindus had been forcibly converted to Islam. </v>
      </c>
      <c r="F2191" s="1"/>
      <c r="G2191" s="1"/>
      <c r="H2191" s="1"/>
      <c r="I2191" s="1"/>
    </row>
    <row r="2192" spans="1:9" ht="46.8" x14ac:dyDescent="0.3">
      <c r="A2192" s="1" t="s">
        <v>7</v>
      </c>
      <c r="B2192" s="1" t="s">
        <v>7</v>
      </c>
      <c r="C2192" s="10" t="s">
        <v>7</v>
      </c>
      <c r="D2192" s="6" t="s">
        <v>3844</v>
      </c>
      <c r="E2192" s="1" t="str">
        <f ca="1">IFERROR(__xludf.DUMMYFUNCTION("GOOGLETRANSLATE(D2192, ""bn"", ""en"")")," Looting, killings and fires started in Raipur and Ramganj on October 10. On October 14, after seeing the fire in the villages adjacent to Raiganj Bazar, about two hundred women took refuge in the local police station. Organized Muslim mobs broke the idol"&amp;"s of all the gods and goddesses of Raipur, destroyed the temples and looted Hindu shops and houses and entered the police station.")</f>
        <v> Looting, killings and fires started in Raipur and Ramganj on October 10. On October 14, after seeing the fire in the villages adjacent to Raiganj Bazar, about two hundred women took refuge in the local police station. Organized Muslim mobs broke the idols of all the gods and goddesses of Raipur, destroyed the temples and looted Hindu shops and houses and entered the police station.</v>
      </c>
      <c r="F2192" s="1"/>
      <c r="G2192" s="1"/>
      <c r="H2192" s="1"/>
      <c r="I2192" s="1"/>
    </row>
    <row r="2193" spans="1:9" ht="46.8" x14ac:dyDescent="0.3">
      <c r="A2193" s="1" t="s">
        <v>4</v>
      </c>
      <c r="B2193" s="1" t="s">
        <v>9</v>
      </c>
      <c r="C2193" s="10" t="s">
        <v>4</v>
      </c>
      <c r="D2193" s="6" t="s">
        <v>3843</v>
      </c>
      <c r="E2193" s="1" t="str">
        <f ca="1">IFERROR(__xludf.DUMMYFUNCTION("GOOGLETRANSLATE(D2193, ""bn"", ""en"")"),"Despite the pervasive nature of religious persecution, the traditional human rights community generally chooses to emphasize ""more explicit limitations on human dignity"", such as violations that use racial, ethnic, and linguistic groupings based on race"&amp;", gender, and class. Religious affiliation.")</f>
        <v>Despite the pervasive nature of religious persecution, the traditional human rights community generally chooses to emphasize "more explicit limitations on human dignity", such as violations that use racial, ethnic, and linguistic groupings based on race, gender, and class. Religious affiliation.</v>
      </c>
      <c r="F2193" s="1"/>
      <c r="G2193" s="1"/>
      <c r="H2193" s="1"/>
      <c r="I2193" s="1"/>
    </row>
    <row r="2194" spans="1:9" ht="46.8" x14ac:dyDescent="0.3">
      <c r="A2194" s="1" t="s">
        <v>9</v>
      </c>
      <c r="B2194" s="1" t="s">
        <v>9</v>
      </c>
      <c r="C2194" s="10" t="s">
        <v>9</v>
      </c>
      <c r="D2194" s="6" t="s">
        <v>3842</v>
      </c>
      <c r="E2194" s="1" t="str">
        <f ca="1">IFERROR(__xludf.DUMMYFUNCTION("GOOGLETRANSLATE(D2194, ""bn"", ""en"")"),"We will assume that the government party is involved in the idol vandalism incident. This incident is just a political trick. Not only that, none of the incidents that happened in the country during the tenure of this government were prosecuted. Those who"&amp;" filed the case are in jail, and those who destroyed the temple are out.'")</f>
        <v>We will assume that the government party is involved in the idol vandalism incident. This incident is just a political trick. Not only that, none of the incidents that happened in the country during the tenure of this government were prosecuted. Those who filed the case are in jail, and those who destroyed the temple are out.'</v>
      </c>
      <c r="F2194" s="1"/>
      <c r="G2194" s="1"/>
      <c r="H2194" s="1"/>
      <c r="I2194" s="1"/>
    </row>
    <row r="2195" spans="1:9" ht="15.6" x14ac:dyDescent="0.3">
      <c r="A2195" s="1" t="s">
        <v>4</v>
      </c>
      <c r="B2195" s="1" t="s">
        <v>4</v>
      </c>
      <c r="C2195" s="10" t="s">
        <v>4</v>
      </c>
      <c r="D2195" s="5" t="s">
        <v>2020</v>
      </c>
      <c r="E2195" s="1" t="str">
        <f ca="1">IFERROR(__xludf.DUMMYFUNCTION("GOOGLETRANSLATE(D2195, ""bn"", ""en"")"),"What kind of freedom of speech is burning the Holy Quran? It is nothing but revenge. Strongly condemn and protest against it.")</f>
        <v>What kind of freedom of speech is burning the Holy Quran? It is nothing but revenge. Strongly condemn and protest against it.</v>
      </c>
      <c r="F2195" s="1"/>
      <c r="G2195" s="1"/>
      <c r="H2195" s="1"/>
      <c r="I2195" s="1"/>
    </row>
    <row r="2196" spans="1:9" ht="31.2" x14ac:dyDescent="0.3">
      <c r="A2196" s="1" t="s">
        <v>4</v>
      </c>
      <c r="B2196" s="1" t="s">
        <v>4</v>
      </c>
      <c r="C2196" s="10" t="s">
        <v>4</v>
      </c>
      <c r="D2196" s="6" t="s">
        <v>3841</v>
      </c>
      <c r="E2196" s="1" t="str">
        <f ca="1">IFERROR(__xludf.DUMMYFUNCTION("GOOGLETRANSLATE(D2196, ""bn"", ""en"")"),"A resolution against religious hatred and bigotry has been passed by the United Nations Human Rights Council (UNHRC) in view of the burning of the Koran in Sweden and the outrage caused by it in Muslim countries. Bangladesh voted in favor of this proposal"&amp;".")</f>
        <v>A resolution against religious hatred and bigotry has been passed by the United Nations Human Rights Council (UNHRC) in view of the burning of the Koran in Sweden and the outrage caused by it in Muslim countries. Bangladesh voted in favor of this proposal.</v>
      </c>
      <c r="F2196" s="1"/>
      <c r="G2196" s="1"/>
      <c r="H2196" s="1"/>
      <c r="I2196" s="1"/>
    </row>
    <row r="2197" spans="1:9" ht="46.8" x14ac:dyDescent="0.3">
      <c r="A2197" s="1" t="s">
        <v>9</v>
      </c>
      <c r="B2197" s="1" t="s">
        <v>9</v>
      </c>
      <c r="C2197" s="10" t="s">
        <v>9</v>
      </c>
      <c r="D2197" s="6" t="s">
        <v>3840</v>
      </c>
      <c r="E2197" s="1" t="str">
        <f ca="1">IFERROR(__xludf.DUMMYFUNCTION("GOOGLETRANSLATE(D2197, ""bn"", ""en"")"),"However, many analysts believe that communal attacks are happening in different parts of the country due to the failure of the ruling party and the government. Author Mohiuddin Ahmad said, the incidents of communal attacks that have happened in different "&amp;"parts of the country before, and now the pattern of Narail attacks are similar.")</f>
        <v>However, many analysts believe that communal attacks are happening in different parts of the country due to the failure of the ruling party and the government. Author Mohiuddin Ahmad said, the incidents of communal attacks that have happened in different parts of the country before, and now the pattern of Narail attacks are similar.</v>
      </c>
      <c r="F2197" s="1"/>
      <c r="G2197" s="1"/>
      <c r="H2197" s="1"/>
      <c r="I2197" s="1"/>
    </row>
    <row r="2198" spans="1:9" ht="15.6" x14ac:dyDescent="0.3">
      <c r="A2198" s="1" t="s">
        <v>5</v>
      </c>
      <c r="B2198" s="1" t="s">
        <v>5</v>
      </c>
      <c r="C2198" s="10" t="s">
        <v>5</v>
      </c>
      <c r="D2198" s="5" t="s">
        <v>2021</v>
      </c>
      <c r="E2198" s="1" t="str">
        <f ca="1">IFERROR(__xludf.DUMMYFUNCTION("GOOGLETRANSLATE(D2198, ""bn"", ""en"")"),"Before practicing religion, protection must be done first. It can be saved only by increasing Hindu followers. Many people act out of conscience because of respect for religion and nation.")</f>
        <v>Before practicing religion, protection must be done first. It can be saved only by increasing Hindu followers. Many people act out of conscience because of respect for religion and nation.</v>
      </c>
      <c r="F2198" s="1"/>
      <c r="G2198" s="1"/>
      <c r="H2198" s="1"/>
      <c r="I2198" s="1"/>
    </row>
    <row r="2199" spans="1:9" ht="15.6" x14ac:dyDescent="0.3">
      <c r="A2199" s="1" t="s">
        <v>9</v>
      </c>
      <c r="B2199" s="1" t="s">
        <v>9</v>
      </c>
      <c r="C2199" s="10" t="s">
        <v>9</v>
      </c>
      <c r="D2199" s="5" t="s">
        <v>2022</v>
      </c>
      <c r="E2199" s="1" t="str">
        <f ca="1">IFERROR(__xludf.DUMMYFUNCTION("GOOGLETRANSLATE(D2199, ""bn"", ""en"")"),"The miscreants entered the homestead shouting Islamic slogans and ran rampant throughout the village. During this time they beat, threatened, abused the people of the Hindu community in unspeakable and offensive language.")</f>
        <v>The miscreants entered the homestead shouting Islamic slogans and ran rampant throughout the village. During this time they beat, threatened, abused the people of the Hindu community in unspeakable and offensive language.</v>
      </c>
      <c r="F2199" s="1"/>
      <c r="G2199" s="1"/>
      <c r="H2199" s="1"/>
      <c r="I2199" s="1"/>
    </row>
    <row r="2200" spans="1:9" ht="31.2" x14ac:dyDescent="0.3">
      <c r="A2200" s="1" t="s">
        <v>4</v>
      </c>
      <c r="B2200" s="1" t="s">
        <v>5</v>
      </c>
      <c r="C2200" s="10" t="s">
        <v>4</v>
      </c>
      <c r="D2200" s="6" t="s">
        <v>3839</v>
      </c>
      <c r="E2200" s="1" t="str">
        <f ca="1">IFERROR(__xludf.DUMMYFUNCTION("GOOGLETRANSLATE(D2200, ""bn"", ""en"")"),"Respected Muslim and non-Muslim teachers, should we harass students with such anti-Islam attitude from teachers in our campus??")</f>
        <v>Respected Muslim and non-Muslim teachers, should we harass students with such anti-Islam attitude from teachers in our campus??</v>
      </c>
      <c r="F2200" s="1"/>
      <c r="G2200" s="1"/>
      <c r="H2200" s="1"/>
      <c r="I2200" s="1"/>
    </row>
    <row r="2201" spans="1:9" ht="31.2" x14ac:dyDescent="0.3">
      <c r="A2201" s="1" t="s">
        <v>5</v>
      </c>
      <c r="B2201" s="1" t="s">
        <v>5</v>
      </c>
      <c r="C2201" s="10" t="s">
        <v>5</v>
      </c>
      <c r="D2201" s="6" t="s">
        <v>3838</v>
      </c>
      <c r="E2201" s="1" t="str">
        <f ca="1">IFERROR(__xludf.DUMMYFUNCTION("GOOGLETRANSLATE(D2201, ""bn"", ""en"")"),"We pray, may Allah subhanahu wa ta'ala guide us to the right path and keep us in the group of goodness. Allah humma ameen. We do all our work with good intentions, for the pleasure of Allah. Amen.")</f>
        <v>We pray, may Allah subhanahu wa ta'ala guide us to the right path and keep us in the group of goodness. Allah humma ameen. We do all our work with good intentions, for the pleasure of Allah. Amen.</v>
      </c>
      <c r="F2201" s="1"/>
      <c r="G2201" s="1"/>
      <c r="H2201" s="1"/>
      <c r="I2201" s="1"/>
    </row>
    <row r="2202" spans="1:9" ht="46.8" x14ac:dyDescent="0.3">
      <c r="A2202" s="1" t="s">
        <v>4</v>
      </c>
      <c r="B2202" s="1" t="s">
        <v>5</v>
      </c>
      <c r="C2202" s="10" t="s">
        <v>4</v>
      </c>
      <c r="D2202" s="6" t="s">
        <v>3837</v>
      </c>
      <c r="E2202" s="1" t="str">
        <f ca="1">IFERROR(__xludf.DUMMYFUNCTION("GOOGLETRANSLATE(D2202, ""bn"", ""en"")"),"On 23 April 1971, the Hindu community of 12 villages including Jagannathpur, Chakhaldi, Singhia, Chandipur, Alampur, Vasudevpur, Gouripur, Milanpur, Khamarbhopala, Shukanpukuri, Dhabdhub embarked for India. At one point in the journey they converged at a "&amp;"place called Jathibhanga. On reaching there, local brokers intercepted them and informed the Pakistani army.")</f>
        <v>On 23 April 1971, the Hindu community of 12 villages including Jagannathpur, Chakhaldi, Singhia, Chandipur, Alampur, Vasudevpur, Gouripur, Milanpur, Khamarbhopala, Shukanpukuri, Dhabdhub embarked for India. At one point in the journey they converged at a place called Jathibhanga. On reaching there, local brokers intercepted them and informed the Pakistani army.</v>
      </c>
      <c r="F2202" s="1"/>
      <c r="G2202" s="1"/>
      <c r="H2202" s="1"/>
      <c r="I2202" s="1"/>
    </row>
    <row r="2203" spans="1:9" ht="31.2" x14ac:dyDescent="0.3">
      <c r="A2203" s="1" t="s">
        <v>7</v>
      </c>
      <c r="B2203" s="1" t="s">
        <v>7</v>
      </c>
      <c r="C2203" s="10" t="s">
        <v>7</v>
      </c>
      <c r="D2203" s="6" t="s">
        <v>3836</v>
      </c>
      <c r="E2203" s="1" t="str">
        <f ca="1">IFERROR(__xludf.DUMMYFUNCTION("GOOGLETRANSLATE(D2203, ""bn"", ""en"")"),"Hindu-Muslim riots broke out in Kerala's Malabar region when Muslim farmers revolted against the British, killing many people and allegedly forcing many Hindus to convert to Islam.")</f>
        <v>Hindu-Muslim riots broke out in Kerala's Malabar region when Muslim farmers revolted against the British, killing many people and allegedly forcing many Hindus to convert to Islam.</v>
      </c>
      <c r="F2203" s="1"/>
      <c r="G2203" s="1"/>
      <c r="H2203" s="1"/>
      <c r="I2203" s="1"/>
    </row>
    <row r="2204" spans="1:9" ht="15.6" x14ac:dyDescent="0.3">
      <c r="A2204" s="1" t="s">
        <v>9</v>
      </c>
      <c r="B2204" s="1" t="s">
        <v>9</v>
      </c>
      <c r="C2204" s="10" t="s">
        <v>9</v>
      </c>
      <c r="D2204" s="5" t="s">
        <v>2023</v>
      </c>
      <c r="E2204" s="1" t="str">
        <f ca="1">IFERROR(__xludf.DUMMYFUNCTION("GOOGLETRANSLATE(D2204, ""bn"", ""en"")"),"On the contrary, they gather wealth and knowledge to increase Muslim followers to destroy Hindu religion and Hindu nation. Finally, this is the transformation of their family. ")</f>
        <v xml:space="preserve">On the contrary, they gather wealth and knowledge to increase Muslim followers to destroy Hindu religion and Hindu nation. Finally, this is the transformation of their family. </v>
      </c>
      <c r="F2204" s="1"/>
      <c r="G2204" s="1"/>
      <c r="H2204" s="1"/>
      <c r="I2204" s="1"/>
    </row>
    <row r="2205" spans="1:9" ht="15.6" x14ac:dyDescent="0.3">
      <c r="A2205" s="1" t="s">
        <v>9</v>
      </c>
      <c r="B2205" s="1" t="s">
        <v>9</v>
      </c>
      <c r="C2205" s="10" t="s">
        <v>9</v>
      </c>
      <c r="D2205" s="5" t="s">
        <v>2024</v>
      </c>
      <c r="E2205" s="1" t="str">
        <f ca="1">IFERROR(__xludf.DUMMYFUNCTION("GOOGLETRANSLATE(D2205, ""bn"", ""en"")"),"Pakistan's Ansar forces cause even more suffering for the endangered Hindu population. They used to capture and torture Hindu women on various pretexts.")</f>
        <v>Pakistan's Ansar forces cause even more suffering for the endangered Hindu population. They used to capture and torture Hindu women on various pretexts.</v>
      </c>
      <c r="F2205" s="1"/>
      <c r="G2205" s="1"/>
      <c r="H2205" s="1"/>
      <c r="I2205" s="1"/>
    </row>
    <row r="2206" spans="1:9" ht="15.6" x14ac:dyDescent="0.3">
      <c r="A2206" s="1" t="s">
        <v>4</v>
      </c>
      <c r="B2206" s="1" t="s">
        <v>5</v>
      </c>
      <c r="C2206" s="10" t="s">
        <v>4</v>
      </c>
      <c r="D2206" s="5" t="s">
        <v>2025</v>
      </c>
      <c r="E2206" s="1" t="str">
        <f ca="1">IFERROR(__xludf.DUMMYFUNCTION("GOOGLETRANSLATE(D2206, ""bn"", ""en"")")," We have been indifferent about the religious identity clothes for so long, suddenly we are very keen to import the clothes that we do not have in our closet.")</f>
        <v> We have been indifferent about the religious identity clothes for so long, suddenly we are very keen to import the clothes that we do not have in our closet.</v>
      </c>
      <c r="F2206" s="1"/>
      <c r="G2206" s="1"/>
      <c r="H2206" s="1"/>
      <c r="I2206" s="1"/>
    </row>
    <row r="2207" spans="1:9" ht="15.6" x14ac:dyDescent="0.3">
      <c r="A2207" s="1" t="s">
        <v>7</v>
      </c>
      <c r="B2207" s="1" t="s">
        <v>7</v>
      </c>
      <c r="C2207" s="10" t="s">
        <v>7</v>
      </c>
      <c r="D2207" s="5" t="s">
        <v>2026</v>
      </c>
      <c r="E2207" s="1" t="str">
        <f ca="1">IFERROR(__xludf.DUMMYFUNCTION("GOOGLETRANSLATE(D2207, ""bn"", ""en"")"),"When a Hindu dies, according to the rules, the deceased's property is inherited first by his son, in the absence of a son by his grandson (son's son) and in the absence of a son and grandson by his great-grandson (son's son's son).")</f>
        <v>When a Hindu dies, according to the rules, the deceased's property is inherited first by his son, in the absence of a son by his grandson (son's son) and in the absence of a son and grandson by his great-grandson (son's son's son).</v>
      </c>
      <c r="F2207" s="1"/>
      <c r="G2207" s="1"/>
      <c r="H2207" s="1"/>
      <c r="I2207" s="1"/>
    </row>
    <row r="2208" spans="1:9" ht="15.6" x14ac:dyDescent="0.3">
      <c r="A2208" s="1" t="s">
        <v>5</v>
      </c>
      <c r="B2208" s="1" t="s">
        <v>5</v>
      </c>
      <c r="C2208" s="10" t="s">
        <v>5</v>
      </c>
      <c r="D2208" s="5" t="s">
        <v>2027</v>
      </c>
      <c r="E2208" s="1" t="str">
        <f ca="1">IFERROR(__xludf.DUMMYFUNCTION("GOOGLETRANSLATE(D2208, ""bn"", ""en"")"),"Nothing is impossible with Allah. As much as it is asked, Allah continues to give His endless blessings.")</f>
        <v>Nothing is impossible with Allah. As much as it is asked, Allah continues to give His endless blessings.</v>
      </c>
      <c r="F2208" s="1"/>
      <c r="G2208" s="1"/>
      <c r="H2208" s="1"/>
      <c r="I2208" s="1"/>
    </row>
    <row r="2209" spans="1:9" ht="15.6" x14ac:dyDescent="0.3">
      <c r="A2209" s="1" t="s">
        <v>7</v>
      </c>
      <c r="B2209" s="1" t="s">
        <v>7</v>
      </c>
      <c r="C2209" s="10" t="s">
        <v>7</v>
      </c>
      <c r="D2209" s="5" t="s">
        <v>2028</v>
      </c>
      <c r="E2209" s="1" t="str">
        <f ca="1">IFERROR(__xludf.DUMMYFUNCTION("GOOGLETRANSLATE(D2209, ""bn"", ""en"")"),"Gunman opens fire at a Quebec mosque, kills 6")</f>
        <v>Gunman opens fire at a Quebec mosque, kills 6</v>
      </c>
      <c r="F2209" s="1"/>
      <c r="G2209" s="1"/>
      <c r="H2209" s="1"/>
      <c r="I2209" s="1"/>
    </row>
    <row r="2210" spans="1:9" ht="46.8" x14ac:dyDescent="0.3">
      <c r="A2210" s="1" t="s">
        <v>4</v>
      </c>
      <c r="B2210" s="1" t="s">
        <v>4</v>
      </c>
      <c r="C2210" s="10" t="s">
        <v>4</v>
      </c>
      <c r="D2210" s="6" t="s">
        <v>3835</v>
      </c>
      <c r="E2210" s="1" t="str">
        <f ca="1">IFERROR(__xludf.DUMMYFUNCTION("GOOGLETRANSLATE(D2210, ""bn"", ""en"")")," He was brought to court and asked for four days remand, but the judge granted two days remand. The name of the arrested youth is Sujan Kumar (25). His home is in Lalpur upazila of Natore. It is known that Sujan Kumar had opened a Facebook ID under the na"&amp;"me of Hasan Rouhani while concealing his identity and was making religious inciting comments.")</f>
        <v> He was brought to court and asked for four days remand, but the judge granted two days remand. The name of the arrested youth is Sujan Kumar (25). His home is in Lalpur upazila of Natore. It is known that Sujan Kumar had opened a Facebook ID under the name of Hasan Rouhani while concealing his identity and was making religious inciting comments.</v>
      </c>
      <c r="F2210" s="1"/>
      <c r="G2210" s="1"/>
      <c r="H2210" s="1"/>
      <c r="I2210" s="1"/>
    </row>
    <row r="2211" spans="1:9" ht="15.6" x14ac:dyDescent="0.3">
      <c r="A2211" s="1" t="s">
        <v>5</v>
      </c>
      <c r="B2211" s="1" t="s">
        <v>5</v>
      </c>
      <c r="C2211" s="10" t="s">
        <v>5</v>
      </c>
      <c r="D2211" s="5" t="s">
        <v>2029</v>
      </c>
      <c r="E2211" s="1" t="str">
        <f ca="1">IFERROR(__xludf.DUMMYFUNCTION("GOOGLETRANSLATE(D2211, ""bn"", ""en"")"),"He who knows that I have no birth, that I am eternal and the Lord of all peoples, becomes disillusioned and freed from all sins. """)</f>
        <v>He who knows that I have no birth, that I am eternal and the Lord of all peoples, becomes disillusioned and freed from all sins. "</v>
      </c>
      <c r="F2211" s="1"/>
      <c r="G2211" s="1"/>
      <c r="H2211" s="1"/>
      <c r="I2211" s="1"/>
    </row>
    <row r="2212" spans="1:9" ht="15.6" x14ac:dyDescent="0.3">
      <c r="A2212" s="1" t="s">
        <v>4</v>
      </c>
      <c r="B2212" s="1" t="s">
        <v>4</v>
      </c>
      <c r="C2212" s="10" t="s">
        <v>4</v>
      </c>
      <c r="D2212" s="5" t="s">
        <v>2030</v>
      </c>
      <c r="E2212" s="1" t="str">
        <f ca="1">IFERROR(__xludf.DUMMYFUNCTION("GOOGLETRANSLATE(D2212, ""bn"", ""en"")"),"Negligence and contempt on such a holy Quran is not acceptable, we all protest it from our place!!")</f>
        <v>Negligence and contempt on such a holy Quran is not acceptable, we all protest it from our place!!</v>
      </c>
      <c r="F2212" s="1"/>
      <c r="G2212" s="1"/>
      <c r="H2212" s="1"/>
      <c r="I2212" s="1"/>
    </row>
    <row r="2213" spans="1:9" ht="15.6" x14ac:dyDescent="0.3">
      <c r="A2213" s="1" t="s">
        <v>7</v>
      </c>
      <c r="B2213" s="1" t="s">
        <v>7</v>
      </c>
      <c r="C2213" s="10" t="s">
        <v>7</v>
      </c>
      <c r="D2213" s="5" t="s">
        <v>2031</v>
      </c>
      <c r="E2213" s="1" t="str">
        <f ca="1">IFERROR(__xludf.DUMMYFUNCTION("GOOGLETRANSLATE(D2213, ""bn"", ""en"")"),"By the end of Aurangzeb's reign satire was ""except for the wives of some kings, Indian women were burnt altogether"".")</f>
        <v>By the end of Aurangzeb's reign satire was "except for the wives of some kings, Indian women were burnt altogether".</v>
      </c>
      <c r="F2213" s="1"/>
      <c r="G2213" s="1"/>
      <c r="H2213" s="1"/>
      <c r="I2213" s="1"/>
    </row>
    <row r="2214" spans="1:9" ht="46.8" x14ac:dyDescent="0.3">
      <c r="A2214" s="1" t="s">
        <v>9</v>
      </c>
      <c r="B2214" s="1" t="s">
        <v>4</v>
      </c>
      <c r="C2214" s="10" t="s">
        <v>9</v>
      </c>
      <c r="D2214" s="6" t="s">
        <v>3834</v>
      </c>
      <c r="E2214" s="1" t="str">
        <f ca="1">IFERROR(__xludf.DUMMYFUNCTION("GOOGLETRANSLATE(D2214, ""bn"", ""en"")")," Calling it a religious incitement, the people of four neighboring villages staged a protest march against Jhumon on the night of March 16. To bring the situation under control, the people of Noagaon village arrested the young man at night. [6] On the mor"&amp;"ning of March 17, an attack was announced from the microphone of the Kashipur village mosque [7] in Noagaon village.")</f>
        <v> Calling it a religious incitement, the people of four neighboring villages staged a protest march against Jhumon on the night of March 16. To bring the situation under control, the people of Noagaon village arrested the young man at night. [6] On the morning of March 17, an attack was announced from the microphone of the Kashipur village mosque [7] in Noagaon village.</v>
      </c>
      <c r="F2214" s="1"/>
      <c r="G2214" s="1"/>
      <c r="H2214" s="1"/>
      <c r="I2214" s="1"/>
    </row>
    <row r="2215" spans="1:9" ht="15.6" x14ac:dyDescent="0.3">
      <c r="A2215" s="1" t="s">
        <v>7</v>
      </c>
      <c r="B2215" s="1" t="s">
        <v>7</v>
      </c>
      <c r="C2215" s="10" t="s">
        <v>7</v>
      </c>
      <c r="D2215" s="5" t="s">
        <v>2032</v>
      </c>
      <c r="E2215" s="1" t="str">
        <f ca="1">IFERROR(__xludf.DUMMYFUNCTION("GOOGLETRANSLATE(D2215, ""bn"", ""en"")"),"People were lined up and killed in burst fire. Pramod Roy, Nabadwip Roy and Haridas Roy survived the bullet wounds. They are crippled for life.")</f>
        <v>People were lined up and killed in burst fire. Pramod Roy, Nabadwip Roy and Haridas Roy survived the bullet wounds. They are crippled for life.</v>
      </c>
      <c r="F2215" s="1"/>
      <c r="G2215" s="1"/>
      <c r="H2215" s="1"/>
      <c r="I2215" s="1"/>
    </row>
    <row r="2216" spans="1:9" ht="15.6" x14ac:dyDescent="0.3">
      <c r="A2216" s="1" t="s">
        <v>5</v>
      </c>
      <c r="B2216" s="1" t="s">
        <v>5</v>
      </c>
      <c r="C2216" s="10" t="s">
        <v>7</v>
      </c>
      <c r="D2216" s="5" t="s">
        <v>2033</v>
      </c>
      <c r="E2216" s="1" t="str">
        <f ca="1">IFERROR(__xludf.DUMMYFUNCTION("GOOGLETRANSLATE(D2216, ""bn"", ""en"")"),"Listen to waz, how many kinds of words do you think? Tells people to kill, says nonsense. Did you notice the spread of violence? Why do you have to listen to religion? Follow the religion yourself.")</f>
        <v>Listen to waz, how many kinds of words do you think? Tells people to kill, says nonsense. Did you notice the spread of violence? Why do you have to listen to religion? Follow the religion yourself.</v>
      </c>
      <c r="F2216" s="1"/>
      <c r="G2216" s="1"/>
      <c r="H2216" s="1"/>
      <c r="I2216" s="1"/>
    </row>
    <row r="2217" spans="1:9" ht="15.6" x14ac:dyDescent="0.3">
      <c r="A2217" s="1" t="s">
        <v>5</v>
      </c>
      <c r="B2217" s="1" t="s">
        <v>5</v>
      </c>
      <c r="C2217" s="10" t="s">
        <v>5</v>
      </c>
      <c r="D2217" s="5" t="s">
        <v>2034</v>
      </c>
      <c r="E2217" s="1" t="str">
        <f ca="1">IFERROR(__xludf.DUMMYFUNCTION("GOOGLETRANSLATE(D2217, ""bn"", ""en"")"),"Through this, non-Muslims who have visited India before January 1, 2015 can apply for citizenship there.")</f>
        <v>Through this, non-Muslims who have visited India before January 1, 2015 can apply for citizenship there.</v>
      </c>
      <c r="F2217" s="1"/>
      <c r="G2217" s="1"/>
      <c r="H2217" s="1"/>
      <c r="I2217" s="1"/>
    </row>
    <row r="2218" spans="1:9" ht="15.6" x14ac:dyDescent="0.3">
      <c r="A2218" s="1" t="s">
        <v>4</v>
      </c>
      <c r="B2218" s="1" t="s">
        <v>5</v>
      </c>
      <c r="C2218" s="10" t="s">
        <v>4</v>
      </c>
      <c r="D2218" s="5" t="s">
        <v>2035</v>
      </c>
      <c r="E2218" s="1" t="str">
        <f ca="1">IFERROR(__xludf.DUMMYFUNCTION("GOOGLETRANSLATE(D2218, ""bn"", ""en"")"),"Hafez Maulana Saiful Islam, President of the Human Bonded Scholars Association, said, ""We condemn those who have vetoed the UN resolution."" ")</f>
        <v xml:space="preserve">Hafez Maulana Saiful Islam, President of the Human Bonded Scholars Association, said, "We condemn those who have vetoed the UN resolution." </v>
      </c>
      <c r="F2218" s="1"/>
      <c r="G2218" s="1"/>
      <c r="H2218" s="1"/>
      <c r="I2218" s="1"/>
    </row>
    <row r="2219" spans="1:9" ht="15.6" x14ac:dyDescent="0.3">
      <c r="A2219" s="1" t="s">
        <v>5</v>
      </c>
      <c r="B2219" s="1" t="s">
        <v>5</v>
      </c>
      <c r="C2219" s="10" t="s">
        <v>5</v>
      </c>
      <c r="D2219" s="5" t="s">
        <v>2036</v>
      </c>
      <c r="E2219" s="1" t="str">
        <f ca="1">IFERROR(__xludf.DUMMYFUNCTION("GOOGLETRANSLATE(D2219, ""bn"", ""en"")"),"In many places, it is a common tradition to seek forgiveness from Allah on behalf of the deceased, which is why people visit the graves of their loved ones, pray and light candles and incense sticks on their loved ones' graves. ")</f>
        <v>In many places, it is a common tradition to seek forgiveness from Allah on behalf of the deceased, which is why people visit the graves of their loved ones, pray and light candles and incense sticks on their loved ones' graves. </v>
      </c>
      <c r="F2219" s="1"/>
      <c r="G2219" s="1"/>
      <c r="H2219" s="1"/>
      <c r="I2219" s="1"/>
    </row>
    <row r="2220" spans="1:9" ht="15.6" x14ac:dyDescent="0.3">
      <c r="A2220" s="1" t="s">
        <v>9</v>
      </c>
      <c r="B2220" s="1" t="s">
        <v>9</v>
      </c>
      <c r="C2220" s="10" t="s">
        <v>9</v>
      </c>
      <c r="D2220" s="5" t="s">
        <v>2037</v>
      </c>
      <c r="E2220" s="1" t="str">
        <f ca="1">IFERROR(__xludf.DUMMYFUNCTION("GOOGLETRANSLATE(D2220, ""bn"", ""en"")"),"21st Padak Awardee of the State Honorable Dr. Jin Bodhi Mahathir Bhante I demand severe punishment for those who assaulted through physical torture! ")</f>
        <v xml:space="preserve">21st Padak Awardee of the State Honorable Dr. Jin Bodhi Mahathir Bhante I demand severe punishment for those who assaulted through physical torture! </v>
      </c>
      <c r="F2220" s="1"/>
      <c r="G2220" s="1"/>
      <c r="H2220" s="1"/>
      <c r="I2220" s="1"/>
    </row>
    <row r="2221" spans="1:9" ht="46.8" x14ac:dyDescent="0.3">
      <c r="A2221" s="1" t="s">
        <v>4</v>
      </c>
      <c r="B2221" s="1" t="s">
        <v>4</v>
      </c>
      <c r="C2221" s="10" t="s">
        <v>4</v>
      </c>
      <c r="D2221" s="6" t="s">
        <v>3833</v>
      </c>
      <c r="E2221" s="1" t="str">
        <f ca="1">IFERROR(__xludf.DUMMYFUNCTION("GOOGLETRANSLATE(D2221, ""bn"", ""en"")"),"Both technology and people are advancing but some Islamic countries are still in the same quagmire they were. So the time has come to think about those who are still supporting such militant organizations behind the scenes of libertarianism. Those who che"&amp;"er even at their own peril are no longer human anyway.")</f>
        <v>Both technology and people are advancing but some Islamic countries are still in the same quagmire they were. So the time has come to think about those who are still supporting such militant organizations behind the scenes of libertarianism. Those who cheer even at their own peril are no longer human anyway.</v>
      </c>
      <c r="F2221" s="1"/>
      <c r="G2221" s="1"/>
      <c r="H2221" s="1"/>
      <c r="I2221" s="1"/>
    </row>
    <row r="2222" spans="1:9" ht="15.6" x14ac:dyDescent="0.3">
      <c r="A2222" s="1" t="s">
        <v>7</v>
      </c>
      <c r="B2222" s="1" t="s">
        <v>7</v>
      </c>
      <c r="C2222" s="10" t="s">
        <v>7</v>
      </c>
      <c r="D2222" s="5" t="s">
        <v>2038</v>
      </c>
      <c r="E2222" s="1" t="str">
        <f ca="1">IFERROR(__xludf.DUMMYFUNCTION("GOOGLETRANSLATE(D2222, ""bn"", ""en"")"),"A lengthy argument over religion on Facebook resulted in one threatening to kill the other")</f>
        <v>A lengthy argument over religion on Facebook resulted in one threatening to kill the other</v>
      </c>
      <c r="F2222" s="1"/>
      <c r="G2222" s="1"/>
      <c r="H2222" s="1"/>
      <c r="I2222" s="1"/>
    </row>
    <row r="2223" spans="1:9" ht="15.6" x14ac:dyDescent="0.3">
      <c r="A2223" s="1" t="s">
        <v>5</v>
      </c>
      <c r="B2223" s="1" t="s">
        <v>5</v>
      </c>
      <c r="C2223" s="10" t="s">
        <v>5</v>
      </c>
      <c r="D2223" s="5" t="s">
        <v>2039</v>
      </c>
      <c r="E2223" s="1" t="str">
        <f ca="1">IFERROR(__xludf.DUMMYFUNCTION("GOOGLETRANSLATE(D2223, ""bn"", ""en"")"),"The words are from 2019, I still remember them. After watching this series of Basira, I changed myself and fell in love with Almighty Allah.")</f>
        <v>The words are from 2019, I still remember them. After watching this series of Basira, I changed myself and fell in love with Almighty Allah.</v>
      </c>
      <c r="F2223" s="1"/>
      <c r="G2223" s="1"/>
      <c r="H2223" s="1"/>
      <c r="I2223" s="1"/>
    </row>
    <row r="2224" spans="1:9" ht="15.6" x14ac:dyDescent="0.3">
      <c r="A2224" s="1" t="s">
        <v>9</v>
      </c>
      <c r="B2224" s="1" t="s">
        <v>9</v>
      </c>
      <c r="C2224" s="10" t="s">
        <v>9</v>
      </c>
      <c r="D2224" s="5" t="s">
        <v>2040</v>
      </c>
      <c r="E2224" s="1" t="str">
        <f ca="1">IFERROR(__xludf.DUMMYFUNCTION("GOOGLETRANSLATE(D2224, ""bn"", ""en"")"),"A Muslim student in the Czech Republic was physically assaulted by classmates for wearing a hijab at school.")</f>
        <v>A Muslim student in the Czech Republic was physically assaulted by classmates for wearing a hijab at school.</v>
      </c>
      <c r="F2224" s="1"/>
      <c r="G2224" s="1"/>
      <c r="H2224" s="1"/>
      <c r="I2224" s="1"/>
    </row>
    <row r="2225" spans="1:9" ht="15.6" x14ac:dyDescent="0.3">
      <c r="A2225" s="1" t="s">
        <v>5</v>
      </c>
      <c r="B2225" s="1" t="s">
        <v>5</v>
      </c>
      <c r="C2225" s="10" t="s">
        <v>5</v>
      </c>
      <c r="D2225" s="5" t="s">
        <v>2041</v>
      </c>
      <c r="E2225" s="1" t="str">
        <f ca="1">IFERROR(__xludf.DUMMYFUNCTION("GOOGLETRANSLATE(D2225, ""bn"", ""en"")"),"Whoever recites a letter of the Book of Allah Ta'ala has its reward. And the reward is tenfold. I do not say that Alif-Lam-Meem is a letter, but Alif is a letter, Lam is a letter and Meem is a letter.'")</f>
        <v>Whoever recites a letter of the Book of Allah Ta'ala has its reward. And the reward is tenfold. I do not say that Alif-Lam-Meem is a letter, but Alif is a letter, Lam is a letter and Meem is a letter.'</v>
      </c>
      <c r="F2225" s="1"/>
      <c r="G2225" s="1"/>
      <c r="H2225" s="1"/>
      <c r="I2225" s="1"/>
    </row>
    <row r="2226" spans="1:9" ht="15.6" x14ac:dyDescent="0.3">
      <c r="A2226" s="1" t="s">
        <v>4</v>
      </c>
      <c r="B2226" s="1" t="s">
        <v>5</v>
      </c>
      <c r="C2226" s="10" t="s">
        <v>4</v>
      </c>
      <c r="D2226" s="5" t="s">
        <v>2042</v>
      </c>
      <c r="E2226" s="1" t="str">
        <f ca="1">IFERROR(__xludf.DUMMYFUNCTION("GOOGLETRANSLATE(D2226, ""bn"", ""en"")"),"Allah forgives but does not leave Taslima Nasreen is crippled by the wrath of Allah due to insulting the Qur'an Inshallah that person will not be spared from the wrath of Allah.")</f>
        <v>Allah forgives but does not leave Taslima Nasreen is crippled by the wrath of Allah due to insulting the Qur'an Inshallah that person will not be spared from the wrath of Allah.</v>
      </c>
      <c r="F2226" s="1"/>
      <c r="G2226" s="1"/>
      <c r="H2226" s="1"/>
      <c r="I2226" s="1"/>
    </row>
    <row r="2227" spans="1:9" ht="15.6" x14ac:dyDescent="0.3">
      <c r="A2227" s="1" t="s">
        <v>9</v>
      </c>
      <c r="B2227" s="1" t="s">
        <v>9</v>
      </c>
      <c r="C2227" s="10" t="s">
        <v>9</v>
      </c>
      <c r="D2227" s="5" t="s">
        <v>2043</v>
      </c>
      <c r="E2227" s="1" t="str">
        <f ca="1">IFERROR(__xludf.DUMMYFUNCTION("GOOGLETRANSLATE(D2227, ""bn"", ""en"")"),"We have seen insults and confusion spreading in the society in the name of religion. It is a major crime in society and bedevils our legal system.")</f>
        <v>We have seen insults and confusion spreading in the society in the name of religion. It is a major crime in society and bedevils our legal system.</v>
      </c>
      <c r="F2227" s="1"/>
      <c r="G2227" s="1"/>
      <c r="H2227" s="1"/>
      <c r="I2227" s="1"/>
    </row>
    <row r="2228" spans="1:9" ht="15.6" x14ac:dyDescent="0.3">
      <c r="A2228" s="1" t="s">
        <v>9</v>
      </c>
      <c r="B2228" s="1" t="s">
        <v>5</v>
      </c>
      <c r="C2228" s="10" t="s">
        <v>9</v>
      </c>
      <c r="D2228" s="5" t="s">
        <v>2044</v>
      </c>
      <c r="E2228" s="1" t="str">
        <f ca="1">IFERROR(__xludf.DUMMYFUNCTION("GOOGLETRANSLATE(D2228, ""bn"", ""en"")"),"Mizanur Rahman, head of Bangladesh National Human Rights Commission, said in this context; After the elections, the Bangladesh government has completely failed to counter the attacks on Hindus.")</f>
        <v>Mizanur Rahman, head of Bangladesh National Human Rights Commission, said in this context; After the elections, the Bangladesh government has completely failed to counter the attacks on Hindus.</v>
      </c>
      <c r="F2228" s="1"/>
      <c r="G2228" s="1"/>
      <c r="H2228" s="1"/>
      <c r="I2228" s="1"/>
    </row>
    <row r="2229" spans="1:9" ht="46.8" x14ac:dyDescent="0.3">
      <c r="A2229" s="4" t="s">
        <v>7</v>
      </c>
      <c r="B2229" s="4" t="s">
        <v>7</v>
      </c>
      <c r="C2229" s="11" t="s">
        <v>7</v>
      </c>
      <c r="D2229" s="6" t="s">
        <v>3832</v>
      </c>
      <c r="E2229" s="1" t="str">
        <f ca="1">IFERROR(__xludf.DUMMYFUNCTION("GOOGLETRANSLATE(D2229, ""bn"", ""en"")"),"The Muslim community has been indulging in violence in Gujarat since the partition of the country. In 2002, Hindu extremists carried out violence against the Muslim minority in an incident labeled as ""fascist state terrorism"". During these incidents, yo"&amp;"ung girls were sexually assaulted, burned or hacked to death.")</f>
        <v>The Muslim community has been indulging in violence in Gujarat since the partition of the country. In 2002, Hindu extremists carried out violence against the Muslim minority in an incident labeled as "fascist state terrorism". During these incidents, young girls were sexually assaulted, burned or hacked to death.</v>
      </c>
      <c r="F2229" s="1"/>
      <c r="G2229" s="1"/>
      <c r="H2229" s="1"/>
      <c r="I2229" s="1"/>
    </row>
    <row r="2230" spans="1:9" ht="15.6" x14ac:dyDescent="0.3">
      <c r="A2230" s="1" t="s">
        <v>4</v>
      </c>
      <c r="B2230" s="1" t="s">
        <v>4</v>
      </c>
      <c r="C2230" s="10" t="s">
        <v>4</v>
      </c>
      <c r="D2230" s="5" t="s">
        <v>2045</v>
      </c>
      <c r="E2230" s="1" t="str">
        <f ca="1">IFERROR(__xludf.DUMMYFUNCTION("GOOGLETRANSLATE(D2230, ""bn"", ""en"")"),"It has been requested to take necessary measures to increase the punishment for blasphemy against Rasulullah sallallaahu alaihi salaam including hurting religious sentiments by amending the existing law within a reasonable time of receiving notice. Otherw"&amp;"ise legal action will be taken against those concerned.")</f>
        <v>It has been requested to take necessary measures to increase the punishment for blasphemy against Rasulullah sallallaahu alaihi salaam including hurting religious sentiments by amending the existing law within a reasonable time of receiving notice. Otherwise legal action will be taken against those concerned.</v>
      </c>
      <c r="F2230" s="1"/>
      <c r="G2230" s="1"/>
      <c r="H2230" s="1"/>
      <c r="I2230" s="1"/>
    </row>
    <row r="2231" spans="1:9" ht="15.6" x14ac:dyDescent="0.3">
      <c r="A2231" s="1" t="s">
        <v>5</v>
      </c>
      <c r="B2231" s="1" t="s">
        <v>5</v>
      </c>
      <c r="C2231" s="10" t="s">
        <v>5</v>
      </c>
      <c r="D2231" s="5" t="s">
        <v>2046</v>
      </c>
      <c r="E2231" s="1" t="str">
        <f ca="1">IFERROR(__xludf.DUMMYFUNCTION("GOOGLETRANSLATE(D2231, ""bn"", ""en"")"),"But we are saying that those who are elderly, those who have doubts, or those who have come from abroad, we have forbidden them to gather in the limited means of prayer. We are trying to create awareness in this regard through imams and khatibs of mosques"&amp;".")</f>
        <v>But we are saying that those who are elderly, those who have doubts, or those who have come from abroad, we have forbidden them to gather in the limited means of prayer. We are trying to create awareness in this regard through imams and khatibs of mosques.</v>
      </c>
      <c r="F2231" s="1"/>
      <c r="G2231" s="1"/>
      <c r="H2231" s="1"/>
      <c r="I2231" s="1"/>
    </row>
    <row r="2232" spans="1:9" ht="15.6" x14ac:dyDescent="0.3">
      <c r="A2232" s="1" t="s">
        <v>5</v>
      </c>
      <c r="B2232" s="1" t="s">
        <v>5</v>
      </c>
      <c r="C2232" s="10" t="s">
        <v>5</v>
      </c>
      <c r="D2232" s="5" t="s">
        <v>2047</v>
      </c>
      <c r="E2232" s="1" t="str">
        <f ca="1">IFERROR(__xludf.DUMMYFUNCTION("GOOGLETRANSLATE(D2232, ""bn"", ""en"")"),"Religion is not for the division of people, it is a means of meeting people. Coexistence of people of different religions in a diverse country like India. ")</f>
        <v xml:space="preserve">Religion is not for the division of people, it is a means of meeting people. Coexistence of people of different religions in a diverse country like India. </v>
      </c>
      <c r="F2232" s="1"/>
      <c r="G2232" s="1"/>
      <c r="H2232" s="1"/>
      <c r="I2232" s="1"/>
    </row>
    <row r="2233" spans="1:9" ht="15.6" x14ac:dyDescent="0.3">
      <c r="A2233" s="1" t="s">
        <v>5</v>
      </c>
      <c r="B2233" s="1" t="s">
        <v>5</v>
      </c>
      <c r="C2233" s="10" t="s">
        <v>5</v>
      </c>
      <c r="D2233" s="5" t="s">
        <v>2048</v>
      </c>
      <c r="E2233" s="1" t="str">
        <f ca="1">IFERROR(__xludf.DUMMYFUNCTION("GOOGLETRANSLATE(D2233, ""bn"", ""en"")"),"A few people can sit together and discuss political activities over iftar.")</f>
        <v>A few people can sit together and discuss political activities over iftar.</v>
      </c>
      <c r="F2233" s="1"/>
      <c r="G2233" s="1"/>
      <c r="H2233" s="1"/>
      <c r="I2233" s="1"/>
    </row>
    <row r="2234" spans="1:9" ht="46.8" x14ac:dyDescent="0.3">
      <c r="A2234" s="1" t="s">
        <v>5</v>
      </c>
      <c r="B2234" s="1" t="s">
        <v>5</v>
      </c>
      <c r="C2234" s="10" t="s">
        <v>5</v>
      </c>
      <c r="D2234" s="6" t="s">
        <v>3831</v>
      </c>
      <c r="E2234" s="1" t="str">
        <f ca="1">IFERROR(__xludf.DUMMYFUNCTION("GOOGLETRANSLATE(D2234, ""bn"", ""en"")"),"Many people from the Christian community have applied here to collect cards to attend the address that Pope Francis will deliver at Suhrawardy Udyan in Dhaka tomorrow Friday morning. I was talking to Prashant Theotonius. He said that they had been waiting"&amp;" for a long time for the arrival of their Chief Dhamarguru.")</f>
        <v>Many people from the Christian community have applied here to collect cards to attend the address that Pope Francis will deliver at Suhrawardy Udyan in Dhaka tomorrow Friday morning. I was talking to Prashant Theotonius. He said that they had been waiting for a long time for the arrival of their Chief Dhamarguru.</v>
      </c>
      <c r="F2234" s="1"/>
      <c r="G2234" s="1"/>
      <c r="H2234" s="1"/>
      <c r="I2234" s="1"/>
    </row>
    <row r="2235" spans="1:9" ht="31.2" x14ac:dyDescent="0.3">
      <c r="A2235" s="1" t="s">
        <v>9</v>
      </c>
      <c r="B2235" s="1" t="s">
        <v>9</v>
      </c>
      <c r="C2235" s="10" t="s">
        <v>9</v>
      </c>
      <c r="D2235" s="6" t="s">
        <v>3830</v>
      </c>
      <c r="E2235" s="1" t="str">
        <f ca="1">IFERROR(__xludf.DUMMYFUNCTION("GOOGLETRANSLATE(D2235, ""bn"", ""en"")"),"What you say is false, you have written so beautifully against the Taliban. Tell me where you were when 10,000 women were raped by the Indian Army in Indian Kashmir.")</f>
        <v>What you say is false, you have written so beautifully against the Taliban. Tell me where you were when 10,000 women were raped by the Indian Army in Indian Kashmir.</v>
      </c>
      <c r="F2235" s="1"/>
      <c r="G2235" s="1"/>
      <c r="H2235" s="1"/>
      <c r="I2235" s="1"/>
    </row>
    <row r="2236" spans="1:9" ht="15.6" x14ac:dyDescent="0.3">
      <c r="A2236" s="1" t="s">
        <v>4</v>
      </c>
      <c r="B2236" s="1" t="s">
        <v>5</v>
      </c>
      <c r="C2236" s="10" t="s">
        <v>4</v>
      </c>
      <c r="D2236" s="5" t="s">
        <v>2049</v>
      </c>
      <c r="E2236" s="1" t="str">
        <f ca="1">IFERROR(__xludf.DUMMYFUNCTION("GOOGLETRANSLATE(D2236, ""bn"", ""en"")"),"Hey brother, why is there so much exaggeration in the madhhab of Amin slowly or steadily, tarabee 8 or 30 rakat, to pray or not to pray after the obligatory prayer etc.?????")</f>
        <v>Hey brother, why is there so much exaggeration in the madhhab of Amin slowly or steadily, tarabee 8 or 30 rakat, to pray or not to pray after the obligatory prayer etc.?????</v>
      </c>
      <c r="F2236" s="1"/>
      <c r="G2236" s="1"/>
      <c r="H2236" s="1"/>
      <c r="I2236" s="1"/>
    </row>
    <row r="2237" spans="1:9" ht="15.6" x14ac:dyDescent="0.3">
      <c r="A2237" s="1" t="s">
        <v>9</v>
      </c>
      <c r="B2237" s="1" t="s">
        <v>9</v>
      </c>
      <c r="C2237" s="10" t="s">
        <v>9</v>
      </c>
      <c r="D2237" s="5" t="s">
        <v>2050</v>
      </c>
      <c r="E2237" s="1" t="str">
        <f ca="1">IFERROR(__xludf.DUMMYFUNCTION("GOOGLETRANSLATE(D2237, ""bn"", ""en"")"),"Before giving this speech, say that all the Hindu, Buddhist, Sikh temples, Gumpha, Gurudwaras in India have been converted into mosques by the Muslims, why should those mosques not be demolished?")</f>
        <v>Before giving this speech, say that all the Hindu, Buddhist, Sikh temples, Gumpha, Gurudwaras in India have been converted into mosques by the Muslims, why should those mosques not be demolished?</v>
      </c>
      <c r="F2237" s="1"/>
      <c r="G2237" s="1"/>
      <c r="H2237" s="1"/>
      <c r="I2237" s="1"/>
    </row>
    <row r="2238" spans="1:9" ht="15.6" x14ac:dyDescent="0.3">
      <c r="A2238" s="1" t="s">
        <v>5</v>
      </c>
      <c r="B2238" s="1" t="s">
        <v>5</v>
      </c>
      <c r="C2238" s="10" t="s">
        <v>5</v>
      </c>
      <c r="D2238" s="5" t="s">
        <v>2051</v>
      </c>
      <c r="E2238" s="1" t="str">
        <f ca="1">IFERROR(__xludf.DUMMYFUNCTION("GOOGLETRANSLATE(D2238, ""bn"", ""en"")"),"After a hundred things, I want to come back again and again under the shadow of God's mercy. My Lord is Forgiving. Thank you dear channel for presenting Bassera so beautifully.")</f>
        <v>After a hundred things, I want to come back again and again under the shadow of God's mercy. My Lord is Forgiving. Thank you dear channel for presenting Bassera so beautifully.</v>
      </c>
      <c r="F2238" s="1"/>
      <c r="G2238" s="1"/>
      <c r="H2238" s="1"/>
      <c r="I2238" s="1"/>
    </row>
    <row r="2239" spans="1:9" ht="15.6" x14ac:dyDescent="0.3">
      <c r="A2239" s="1" t="s">
        <v>4</v>
      </c>
      <c r="B2239" s="1" t="s">
        <v>4</v>
      </c>
      <c r="C2239" s="10" t="s">
        <v>4</v>
      </c>
      <c r="D2239" s="5" t="s">
        <v>2052</v>
      </c>
      <c r="E2239" s="1" t="str">
        <f ca="1">IFERROR(__xludf.DUMMYFUNCTION("GOOGLETRANSLATE(D2239, ""bn"", ""en"")"),"I want the Swedish official to be hanged. I strongly condemn Sweden. May God judge him")</f>
        <v>I want the Swedish official to be hanged. I strongly condemn Sweden. May God judge him</v>
      </c>
      <c r="F2239" s="1"/>
      <c r="G2239" s="1"/>
      <c r="H2239" s="1"/>
      <c r="I2239" s="1"/>
    </row>
    <row r="2240" spans="1:9" ht="15.6" x14ac:dyDescent="0.3">
      <c r="A2240" s="1" t="s">
        <v>9</v>
      </c>
      <c r="B2240" s="1" t="s">
        <v>5</v>
      </c>
      <c r="C2240" s="10" t="s">
        <v>9</v>
      </c>
      <c r="D2240" s="5" t="s">
        <v>2053</v>
      </c>
      <c r="E2240" s="1" t="str">
        <f ca="1">IFERROR(__xludf.DUMMYFUNCTION("GOOGLETRANSLATE(D2240, ""bn"", ""en"")"),"Attacks on minorities continue, temples vandalized in Pirojpur village ")</f>
        <v xml:space="preserve">Attacks on minorities continue, temples vandalized in Pirojpur village </v>
      </c>
      <c r="F2240" s="1"/>
      <c r="G2240" s="1"/>
      <c r="H2240" s="1"/>
      <c r="I2240" s="1"/>
    </row>
    <row r="2241" spans="1:9" ht="15.6" x14ac:dyDescent="0.3">
      <c r="A2241" s="1" t="s">
        <v>4</v>
      </c>
      <c r="B2241" s="1" t="s">
        <v>5</v>
      </c>
      <c r="C2241" s="10" t="s">
        <v>4</v>
      </c>
      <c r="D2241" s="5" t="s">
        <v>2054</v>
      </c>
      <c r="E2241" s="1" t="str">
        <f ca="1">IFERROR(__xludf.DUMMYFUNCTION("GOOGLETRANSLATE(D2241, ""bn"", ""en"")"),"I understand that Jagannath is for Hindus but the rest is for Muslims so why can't they eat iftar there!!!!!?")</f>
        <v>I understand that Jagannath is for Hindus but the rest is for Muslims so why can't they eat iftar there!!!!!?</v>
      </c>
      <c r="F2241" s="1"/>
      <c r="G2241" s="1"/>
      <c r="H2241" s="1"/>
      <c r="I2241" s="1"/>
    </row>
    <row r="2242" spans="1:9" ht="31.2" x14ac:dyDescent="0.3">
      <c r="A2242" s="1" t="s">
        <v>9</v>
      </c>
      <c r="B2242" s="1" t="s">
        <v>9</v>
      </c>
      <c r="C2242" s="10" t="s">
        <v>9</v>
      </c>
      <c r="D2242" s="6" t="s">
        <v>3829</v>
      </c>
      <c r="E2242" s="1" t="str">
        <f ca="1">IFERROR(__xludf.DUMMYFUNCTION("GOOGLETRANSLATE(D2242, ""bn"", ""en"")"),"There is no information in history that Bakhtiyar Khilji did any kind of torture on Buddhists, but Bakhtiyar Khilji led an army campaign to conquer Bengal at the call of Buddhists. Even after the conquest of Bengal, he refrained from collecting Jizya tax "&amp;"from the Buddhists.")</f>
        <v>There is no information in history that Bakhtiyar Khilji did any kind of torture on Buddhists, but Bakhtiyar Khilji led an army campaign to conquer Bengal at the call of Buddhists. Even after the conquest of Bengal, he refrained from collecting Jizya tax from the Buddhists.</v>
      </c>
      <c r="F2242" s="1"/>
      <c r="G2242" s="1"/>
      <c r="H2242" s="1"/>
      <c r="I2242" s="1"/>
    </row>
    <row r="2243" spans="1:9" ht="46.8" x14ac:dyDescent="0.3">
      <c r="A2243" s="1" t="s">
        <v>5</v>
      </c>
      <c r="B2243" s="1" t="s">
        <v>5</v>
      </c>
      <c r="C2243" s="10" t="s">
        <v>5</v>
      </c>
      <c r="D2243" s="6" t="s">
        <v>3828</v>
      </c>
      <c r="E2243" s="1" t="str">
        <f ca="1">IFERROR(__xludf.DUMMYFUNCTION("GOOGLETRANSLATE(D2243, ""bn"", ""en"")"),"For some time I fell under the illusion of Paradise, the tears of illusion started pouring from my eyes, I cried, O Most Merciful of my God, I will perform all your worship with my utmost, I will follow your rules, my only wish is that I can enter Paradis"&amp;"e.")</f>
        <v>For some time I fell under the illusion of Paradise, the tears of illusion started pouring from my eyes, I cried, O Most Merciful of my God, I will perform all your worship with my utmost, I will follow your rules, my only wish is that I can enter Paradise.</v>
      </c>
      <c r="F2243" s="1"/>
      <c r="G2243" s="1"/>
      <c r="H2243" s="1"/>
      <c r="I2243" s="1"/>
    </row>
    <row r="2244" spans="1:9" ht="31.2" x14ac:dyDescent="0.3">
      <c r="A2244" s="1" t="s">
        <v>9</v>
      </c>
      <c r="B2244" s="1" t="s">
        <v>9</v>
      </c>
      <c r="C2244" s="10" t="s">
        <v>9</v>
      </c>
      <c r="D2244" s="6" t="s">
        <v>3827</v>
      </c>
      <c r="E2244" s="1" t="str">
        <f ca="1">IFERROR(__xludf.DUMMYFUNCTION("GOOGLETRANSLATE(D2244, ""bn"", ""en"")"),"On May 2, Pakistani forces moved towards the village with the help of local allies. They stopped their vehicle at a place called Lakshmi Daser Hat and proceeded towards Ishanshankar's house. When the villagers tried to flee, the army opened fire on them.")</f>
        <v>On May 2, Pakistani forces moved towards the village with the help of local allies. They stopped their vehicle at a place called Lakshmi Daser Hat and proceeded towards Ishanshankar's house. When the villagers tried to flee, the army opened fire on them.</v>
      </c>
      <c r="F2244" s="1"/>
      <c r="G2244" s="1"/>
      <c r="H2244" s="1"/>
      <c r="I2244" s="1"/>
    </row>
    <row r="2245" spans="1:9" ht="15.6" x14ac:dyDescent="0.3">
      <c r="A2245" s="1" t="s">
        <v>5</v>
      </c>
      <c r="B2245" s="1" t="s">
        <v>5</v>
      </c>
      <c r="C2245" s="10" t="s">
        <v>5</v>
      </c>
      <c r="D2245" s="5" t="s">
        <v>2055</v>
      </c>
      <c r="E2245" s="1" t="str">
        <f ca="1">IFERROR(__xludf.DUMMYFUNCTION("GOOGLETRANSLATE(D2245, ""bn"", ""en"")"),"The Portuguese settlers were the first Christians of Bengal, the indigenous Christians are their descendants. Later, with the spread of Christianity, the number of Christian people also increased.")</f>
        <v>The Portuguese settlers were the first Christians of Bengal, the indigenous Christians are their descendants. Later, with the spread of Christianity, the number of Christian people also increased.</v>
      </c>
      <c r="F2245" s="1"/>
      <c r="G2245" s="1"/>
      <c r="H2245" s="1"/>
      <c r="I2245" s="1"/>
    </row>
    <row r="2246" spans="1:9" ht="31.2" x14ac:dyDescent="0.3">
      <c r="A2246" s="1" t="s">
        <v>7</v>
      </c>
      <c r="B2246" s="1" t="s">
        <v>7</v>
      </c>
      <c r="C2246" s="10" t="s">
        <v>7</v>
      </c>
      <c r="D2246" s="6" t="s">
        <v>3826</v>
      </c>
      <c r="E2246" s="1" t="str">
        <f ca="1">IFERROR(__xludf.DUMMYFUNCTION("GOOGLETRANSLATE(D2246, ""bn"", ""en"")"),"According to the report, there have been 45 murders in the last one year. 7 bodies have been recovered (appearing to be murders). Attempts have been made to kill 10 people. 36 people have been threatened with death.")</f>
        <v>According to the report, there have been 45 murders in the last one year. 7 bodies have been recovered (appearing to be murders). Attempts have been made to kill 10 people. 36 people have been threatened with death.</v>
      </c>
      <c r="F2246" s="1"/>
      <c r="G2246" s="1"/>
      <c r="H2246" s="1"/>
      <c r="I2246" s="1"/>
    </row>
    <row r="2247" spans="1:9" ht="15.6" x14ac:dyDescent="0.3">
      <c r="A2247" s="1" t="s">
        <v>7</v>
      </c>
      <c r="B2247" s="1" t="s">
        <v>7</v>
      </c>
      <c r="C2247" s="10" t="s">
        <v>7</v>
      </c>
      <c r="D2247" s="5" t="s">
        <v>2056</v>
      </c>
      <c r="E2247" s="1" t="str">
        <f ca="1">IFERROR(__xludf.DUMMYFUNCTION("GOOGLETRANSLATE(D2247, ""bn"", ""en"")"),"Government-backed forces carried out mass killings of Mayan indigenous people, killing thousands.")</f>
        <v>Government-backed forces carried out mass killings of Mayan indigenous people, killing thousands.</v>
      </c>
      <c r="F2247" s="1"/>
      <c r="G2247" s="1"/>
      <c r="H2247" s="1"/>
      <c r="I2247" s="1"/>
    </row>
    <row r="2248" spans="1:9" ht="31.2" x14ac:dyDescent="0.3">
      <c r="A2248" s="1" t="s">
        <v>4</v>
      </c>
      <c r="B2248" s="1" t="s">
        <v>7</v>
      </c>
      <c r="C2248" s="10" t="s">
        <v>4</v>
      </c>
      <c r="D2248" s="6" t="s">
        <v>3825</v>
      </c>
      <c r="E2248" s="1" t="str">
        <f ca="1">IFERROR(__xludf.DUMMYFUNCTION("GOOGLETRANSLATE(D2248, ""bn"", ""en"")"),"Chowdhury, 56, has been charged with being a member of a banned organisation, directing an organization and speaking at a meeting to garner support for a banned organisation, police said.")</f>
        <v>Chowdhury, 56, has been charged with being a member of a banned organisation, directing an organization and speaking at a meeting to garner support for a banned organisation, police said.</v>
      </c>
      <c r="F2248" s="1"/>
      <c r="G2248" s="1"/>
      <c r="H2248" s="1"/>
      <c r="I2248" s="1"/>
    </row>
    <row r="2249" spans="1:9" ht="46.8" x14ac:dyDescent="0.3">
      <c r="A2249" s="1" t="s">
        <v>5</v>
      </c>
      <c r="B2249" s="1" t="s">
        <v>5</v>
      </c>
      <c r="C2249" s="10" t="s">
        <v>5</v>
      </c>
      <c r="D2249" s="6" t="s">
        <v>3824</v>
      </c>
      <c r="E2249" s="1" t="str">
        <f ca="1">IFERROR(__xludf.DUMMYFUNCTION("GOOGLETRANSLATE(D2249, ""bn"", ""en"")"),"No matter how much effort is made to suppress Islam, it cannot be suppressed. As much as the Iftar has been prevented in different places, it has been organized the next time on a bigger scale. InshAllah victory will be for Islam. No matter how unjust the"&amp;" oppressor is, Allah is the best of planners.")</f>
        <v>No matter how much effort is made to suppress Islam, it cannot be suppressed. As much as the Iftar has been prevented in different places, it has been organized the next time on a bigger scale. InshAllah victory will be for Islam. No matter how unjust the oppressor is, Allah is the best of planners.</v>
      </c>
      <c r="F2249" s="1"/>
      <c r="G2249" s="1"/>
      <c r="H2249" s="1"/>
      <c r="I2249" s="1"/>
    </row>
    <row r="2250" spans="1:9" ht="46.8" x14ac:dyDescent="0.3">
      <c r="A2250" s="1" t="s">
        <v>4</v>
      </c>
      <c r="B2250" s="1" t="s">
        <v>4</v>
      </c>
      <c r="C2250" s="10" t="s">
        <v>4</v>
      </c>
      <c r="D2250" s="6" t="s">
        <v>3823</v>
      </c>
      <c r="E2250" s="1" t="str">
        <f ca="1">IFERROR(__xludf.DUMMYFUNCTION("GOOGLETRANSLATE(D2250, ""bn"", ""en"")"),"The Pakistani army, with the help of local Rajakars, surrounded the entire village, though the entire village was still sleeping. They then announced through loudspeakers that they had come to form a local branch of the Peace Committee and distribute dand"&amp;"y cards to the minority Hindus. ")</f>
        <v>The Pakistani army, with the help of local Rajakars, surrounded the entire village, though the entire village was still sleeping. They then announced through loudspeakers that they had come to form a local branch of the Peace Committee and distribute dandy cards to the minority Hindus. </v>
      </c>
      <c r="F2250" s="1"/>
      <c r="G2250" s="1"/>
      <c r="H2250" s="1"/>
      <c r="I2250" s="1"/>
    </row>
    <row r="2251" spans="1:9" ht="15.6" x14ac:dyDescent="0.3">
      <c r="A2251" s="1" t="s">
        <v>7</v>
      </c>
      <c r="B2251" s="1" t="s">
        <v>7</v>
      </c>
      <c r="C2251" s="10" t="s">
        <v>7</v>
      </c>
      <c r="D2251" s="5" t="s">
        <v>2057</v>
      </c>
      <c r="E2251" s="1" t="str">
        <f ca="1">IFERROR(__xludf.DUMMYFUNCTION("GOOGLETRANSLATE(D2251, ""bn"", ""en"")"),"Millions of people have lost their lives in Syria's civil war due to religious divisions, with clashes between Shia and Sunni Muslims being one of the causes.")</f>
        <v>Millions of people have lost their lives in Syria's civil war due to religious divisions, with clashes between Shia and Sunni Muslims being one of the causes.</v>
      </c>
      <c r="F2251" s="1"/>
      <c r="G2251" s="1"/>
      <c r="H2251" s="1"/>
      <c r="I2251" s="1"/>
    </row>
    <row r="2252" spans="1:9" ht="17.399999999999999" x14ac:dyDescent="0.3">
      <c r="A2252" s="1" t="s">
        <v>5</v>
      </c>
      <c r="B2252" s="1" t="s">
        <v>5</v>
      </c>
      <c r="C2252" s="10" t="s">
        <v>5</v>
      </c>
      <c r="D2252" s="5" t="s">
        <v>3511</v>
      </c>
      <c r="E2252" s="1" t="str">
        <f ca="1">IFERROR(__xludf.DUMMYFUNCTION("GOOGLETRANSLATE(D2252, ""bn"", ""en"")"),"The main sources of knowledge about the life of Muhammad and his contemporaries are the Hadith and the Seerat. But importantly, these facts were recorded 150-200 years after Muhammad's death, when the events of his life were transmitted orally.[")</f>
        <v>The main sources of knowledge about the life of Muhammad and his contemporaries are the Hadith and the Seerat. But importantly, these facts were recorded 150-200 years after Muhammad's death, when the events of his life were transmitted orally.[</v>
      </c>
      <c r="F2252" s="1"/>
      <c r="G2252" s="1"/>
      <c r="H2252" s="1"/>
      <c r="I2252" s="1"/>
    </row>
    <row r="2253" spans="1:9" ht="15.6" x14ac:dyDescent="0.3">
      <c r="A2253" s="1" t="s">
        <v>9</v>
      </c>
      <c r="B2253" s="1" t="s">
        <v>9</v>
      </c>
      <c r="C2253" s="10" t="s">
        <v>9</v>
      </c>
      <c r="D2253" s="5" t="s">
        <v>2058</v>
      </c>
      <c r="E2253" s="1" t="str">
        <f ca="1">IFERROR(__xludf.DUMMYFUNCTION("GOOGLETRANSLATE(D2253, ""bn"", ""en"")"),"The barbaric torture of Muslims on Hindus caused boundless shame and grief in the minds of the real educated Muslims there. [47] At that time some political personalities like Ataur Rahman Khan, Sheikh Mujibur Rahman, Mamud Ali, Zillur Hossain, Tofazzal H"&amp;"ossain visited some shelters.")</f>
        <v>The barbaric torture of Muslims on Hindus caused boundless shame and grief in the minds of the real educated Muslims there. [47] At that time some political personalities like Ataur Rahman Khan, Sheikh Mujibur Rahman, Mamud Ali, Zillur Hossain, Tofazzal Hossain visited some shelters.</v>
      </c>
      <c r="F2253" s="1"/>
      <c r="G2253" s="1"/>
      <c r="H2253" s="1"/>
      <c r="I2253" s="1"/>
    </row>
    <row r="2254" spans="1:9" ht="15.6" x14ac:dyDescent="0.3">
      <c r="A2254" s="1" t="s">
        <v>7</v>
      </c>
      <c r="B2254" s="1" t="s">
        <v>7</v>
      </c>
      <c r="C2254" s="10" t="s">
        <v>7</v>
      </c>
      <c r="D2254" s="5" t="s">
        <v>2059</v>
      </c>
      <c r="E2254" s="1" t="str">
        <f ca="1">IFERROR(__xludf.DUMMYFUNCTION("GOOGLETRANSLATE(D2254, ""bn"", ""en"")"),"In Utal Chandpur, Hajiganj Upazila 7 people were shot dead, 4 people were killed. Just now in Chandpur Hajiganj market, four people were killed by the police in protest against the desecration of the Holy Quran. Chandpur Hajiganj residents received a spec"&amp;"ial gift from the police.")</f>
        <v>In Utal Chandpur, Hajiganj Upazila 7 people were shot dead, 4 people were killed. Just now in Chandpur Hajiganj market, four people were killed by the police in protest against the desecration of the Holy Quran. Chandpur Hajiganj residents received a special gift from the police.</v>
      </c>
      <c r="F2254" s="1"/>
      <c r="G2254" s="1"/>
      <c r="H2254" s="1"/>
      <c r="I2254" s="1"/>
    </row>
    <row r="2255" spans="1:9" ht="31.2" x14ac:dyDescent="0.3">
      <c r="A2255" s="1" t="s">
        <v>5</v>
      </c>
      <c r="B2255" s="1" t="s">
        <v>5</v>
      </c>
      <c r="C2255" s="10" t="s">
        <v>5</v>
      </c>
      <c r="D2255" s="6" t="s">
        <v>3822</v>
      </c>
      <c r="E2255" s="1" t="str">
        <f ca="1">IFERROR(__xludf.DUMMYFUNCTION("GOOGLETRANSLATE(D2255, ""bn"", ""en"")"),"Many non-Muslims can also read the Qur'an very well, which shows their interest in knowledge. An important aspect of the Islamic faith is the oneness of God and the acceptance of Prophet Muhammad (PBUH) as the last prophet and messenger.")</f>
        <v>Many non-Muslims can also read the Qur'an very well, which shows their interest in knowledge. An important aspect of the Islamic faith is the oneness of God and the acceptance of Prophet Muhammad (PBUH) as the last prophet and messenger.</v>
      </c>
      <c r="F2255" s="1"/>
      <c r="G2255" s="1"/>
      <c r="H2255" s="1"/>
      <c r="I2255" s="1"/>
    </row>
    <row r="2256" spans="1:9" ht="15.6" x14ac:dyDescent="0.3">
      <c r="A2256" s="1" t="s">
        <v>9</v>
      </c>
      <c r="B2256" s="1" t="s">
        <v>4</v>
      </c>
      <c r="C2256" s="10" t="s">
        <v>9</v>
      </c>
      <c r="D2256" s="5" t="s">
        <v>2060</v>
      </c>
      <c r="E2256" s="1" t="str">
        <f ca="1">IFERROR(__xludf.DUMMYFUNCTION("GOOGLETRANSLATE(D2256, ""bn"", ""en"")"),"I hope you will be successful in removing this social degradation by showing religion as inferior.")</f>
        <v>I hope you will be successful in removing this social degradation by showing religion as inferior.</v>
      </c>
      <c r="F2256" s="1"/>
      <c r="G2256" s="1"/>
      <c r="H2256" s="1"/>
      <c r="I2256" s="1"/>
    </row>
    <row r="2257" spans="1:9" ht="15.6" x14ac:dyDescent="0.3">
      <c r="A2257" s="1" t="s">
        <v>4</v>
      </c>
      <c r="B2257" s="1" t="s">
        <v>4</v>
      </c>
      <c r="C2257" s="10" t="s">
        <v>4</v>
      </c>
      <c r="D2257" s="5" t="s">
        <v>2061</v>
      </c>
      <c r="E2257" s="1" t="str">
        <f ca="1">IFERROR(__xludf.DUMMYFUNCTION("GOOGLETRANSLATE(D2257, ""bn"", ""en"")"),"Alas, the bigoted, Muslim Gautama Buddha said that Arya Mia was a Buddhist word and he made Zakir Sahib his own.")</f>
        <v>Alas, the bigoted, Muslim Gautama Buddha said that Arya Mia was a Buddhist word and he made Zakir Sahib his own.</v>
      </c>
      <c r="F2257" s="1"/>
      <c r="G2257" s="1"/>
      <c r="H2257" s="1"/>
      <c r="I2257" s="1"/>
    </row>
    <row r="2258" spans="1:9" ht="15.6" x14ac:dyDescent="0.3">
      <c r="A2258" s="1" t="s">
        <v>5</v>
      </c>
      <c r="B2258" s="1" t="s">
        <v>5</v>
      </c>
      <c r="C2258" s="10" t="s">
        <v>5</v>
      </c>
      <c r="D2258" s="5" t="s">
        <v>2062</v>
      </c>
      <c r="E2258" s="1" t="str">
        <f ca="1">IFERROR(__xludf.DUMMYFUNCTION("GOOGLETRANSLATE(D2258, ""bn"", ""en"")"),"A tri-cheebar is a four-part garment, consisting of a dwajik, an undergarment, a chaefer and a girdle. Buddhist monks are allowed to wear this dress. These robes are given to Buddhist monks at a certain time each year, usually beginning on the Asadhi Purn"&amp;"ima. ")</f>
        <v>A tri-cheebar is a four-part garment, consisting of a dwajik, an undergarment, a chaefer and a girdle. Buddhist monks are allowed to wear this dress. These robes are given to Buddhist monks at a certain time each year, usually beginning on the Asadhi Purnima. </v>
      </c>
      <c r="F2258" s="1"/>
      <c r="G2258" s="1"/>
      <c r="H2258" s="1"/>
      <c r="I2258" s="1"/>
    </row>
    <row r="2259" spans="1:9" ht="15.6" x14ac:dyDescent="0.3">
      <c r="A2259" s="1" t="s">
        <v>4</v>
      </c>
      <c r="B2259" s="1" t="s">
        <v>5</v>
      </c>
      <c r="C2259" s="10" t="s">
        <v>4</v>
      </c>
      <c r="D2259" s="5" t="s">
        <v>2063</v>
      </c>
      <c r="E2259" s="1" t="str">
        <f ca="1">IFERROR(__xludf.DUMMYFUNCTION("GOOGLETRANSLATE(D2259, ""bn"", ""en"")"),"All religions are dragged to maintain neutrality while exemplifying religious fundamentalism. But the reality is that it applies to a particular religious community.")</f>
        <v>All religions are dragged to maintain neutrality while exemplifying religious fundamentalism. But the reality is that it applies to a particular religious community.</v>
      </c>
      <c r="F2259" s="1"/>
      <c r="G2259" s="1"/>
      <c r="H2259" s="1"/>
      <c r="I2259" s="1"/>
    </row>
    <row r="2260" spans="1:9" ht="15.6" x14ac:dyDescent="0.3">
      <c r="A2260" s="1" t="s">
        <v>4</v>
      </c>
      <c r="B2260" s="1" t="s">
        <v>5</v>
      </c>
      <c r="C2260" s="10" t="s">
        <v>4</v>
      </c>
      <c r="D2260" s="5" t="s">
        <v>2064</v>
      </c>
      <c r="E2260" s="1" t="str">
        <f ca="1">IFERROR(__xludf.DUMMYFUNCTION("GOOGLETRANSLATE(D2260, ""bn"", ""en"")"),"Muslims all over the world protest against the old Quran but our country's devolved monkey government is very happy.")</f>
        <v>Muslims all over the world protest against the old Quran but our country's devolved monkey government is very happy.</v>
      </c>
      <c r="F2260" s="1"/>
      <c r="G2260" s="1"/>
      <c r="H2260" s="1"/>
      <c r="I2260" s="1"/>
    </row>
    <row r="2261" spans="1:9" ht="15.6" x14ac:dyDescent="0.3">
      <c r="A2261" s="1" t="s">
        <v>4</v>
      </c>
      <c r="B2261" s="1" t="s">
        <v>4</v>
      </c>
      <c r="C2261" s="10" t="s">
        <v>4</v>
      </c>
      <c r="D2261" s="5" t="s">
        <v>2065</v>
      </c>
      <c r="E2261" s="1" t="str">
        <f ca="1">IFERROR(__xludf.DUMMYFUNCTION("GOOGLETRANSLATE(D2261, ""bn"", ""en"")"),"As a Muslim, I strongly condemn and protest this incident. Apathy of the puja celebration committee and lack of public safety on the part of the authorities are not responsible for this?")</f>
        <v>As a Muslim, I strongly condemn and protest this incident. Apathy of the puja celebration committee and lack of public safety on the part of the authorities are not responsible for this?</v>
      </c>
      <c r="F2261" s="1"/>
      <c r="G2261" s="1"/>
      <c r="H2261" s="1"/>
      <c r="I2261" s="1"/>
    </row>
    <row r="2262" spans="1:9" ht="46.8" x14ac:dyDescent="0.3">
      <c r="A2262" s="1" t="s">
        <v>4</v>
      </c>
      <c r="B2262" s="1" t="s">
        <v>4</v>
      </c>
      <c r="C2262" s="10" t="s">
        <v>4</v>
      </c>
      <c r="D2262" s="6" t="s">
        <v>3821</v>
      </c>
      <c r="E2262" s="1" t="str">
        <f ca="1">IFERROR(__xludf.DUMMYFUNCTION("GOOGLETRANSLATE(D2262, ""bn"", ""en"")"),"A Quran is seen on the lap of a Hanuman idol outside a pujamandap near Nanuardighi in Comilla city, in place of Ram-Sita-Lakshmana-Hanuman idols, early in the morning on the Ashtami day of Durga Puja, Wednesday, 13 October 2021. After seeing the matter, s"&amp;"omeone informed the Bangladesh National Emergency Service 999 and the officer in charge of Comilla Kotwali police station came and removed it.")</f>
        <v>A Quran is seen on the lap of a Hanuman idol outside a pujamandap near Nanuardighi in Comilla city, in place of Ram-Sita-Lakshmana-Hanuman idols, early in the morning on the Ashtami day of Durga Puja, Wednesday, 13 October 2021. After seeing the matter, someone informed the Bangladesh National Emergency Service 999 and the officer in charge of Comilla Kotwali police station came and removed it.</v>
      </c>
      <c r="F2262" s="1"/>
      <c r="G2262" s="1"/>
      <c r="H2262" s="1"/>
      <c r="I2262" s="1"/>
    </row>
    <row r="2263" spans="1:9" ht="15.6" x14ac:dyDescent="0.3">
      <c r="A2263" s="1" t="s">
        <v>4</v>
      </c>
      <c r="B2263" s="1" t="s">
        <v>4</v>
      </c>
      <c r="C2263" s="10" t="s">
        <v>4</v>
      </c>
      <c r="D2263" s="5" t="s">
        <v>2066</v>
      </c>
      <c r="E2263" s="1" t="str">
        <f ca="1">IFERROR(__xludf.DUMMYFUNCTION("GOOGLETRANSLATE(D2263, ""bn"", ""en"")"),"A section of the Indian civil society and the media are somewhat shaken after the BJP government bowed down in the context of strong reactions in more than half a hundred Muslim countries, including the Middle East, which had been silent until now after t"&amp;"he derogatory statements of the BJP spokespersons against Rasul SAW.")</f>
        <v>A section of the Indian civil society and the media are somewhat shaken after the BJP government bowed down in the context of strong reactions in more than half a hundred Muslim countries, including the Middle East, which had been silent until now after the derogatory statements of the BJP spokespersons against Rasul SAW.</v>
      </c>
      <c r="F2263" s="1"/>
      <c r="G2263" s="1"/>
      <c r="H2263" s="1"/>
      <c r="I2263" s="1"/>
    </row>
    <row r="2264" spans="1:9" ht="15.6" x14ac:dyDescent="0.3">
      <c r="A2264" s="1" t="s">
        <v>5</v>
      </c>
      <c r="B2264" s="1" t="s">
        <v>4</v>
      </c>
      <c r="C2264" s="10" t="s">
        <v>5</v>
      </c>
      <c r="D2264" s="5" t="s">
        <v>2067</v>
      </c>
      <c r="E2264" s="1" t="str">
        <f ca="1">IFERROR(__xludf.DUMMYFUNCTION("GOOGLETRANSLATE(D2264, ""bn"", ""en"")"),"Hearing these wonderful words of yours, especially the explanation with the Qur'an, the relationship with Allah is getting deeper day by day, Alhamdulillah")</f>
        <v>Hearing these wonderful words of yours, especially the explanation with the Qur'an, the relationship with Allah is getting deeper day by day, Alhamdulillah</v>
      </c>
      <c r="F2264" s="1"/>
      <c r="G2264" s="1"/>
      <c r="H2264" s="1"/>
      <c r="I2264" s="1"/>
    </row>
    <row r="2265" spans="1:9" ht="15.6" x14ac:dyDescent="0.3">
      <c r="A2265" s="1" t="s">
        <v>5</v>
      </c>
      <c r="B2265" s="1" t="s">
        <v>5</v>
      </c>
      <c r="C2265" s="10" t="s">
        <v>5</v>
      </c>
      <c r="D2265" s="5" t="s">
        <v>2068</v>
      </c>
      <c r="E2265" s="1" t="str">
        <f ca="1">IFERROR(__xludf.DUMMYFUNCTION("GOOGLETRANSLATE(D2265, ""bn"", ""en"")"),"In the introduction to Lady Evelyn's autobiography, historian William Facey wrote, ""Most Muslim converts were attracted to the spiritual side of the religion.""")</f>
        <v>In the introduction to Lady Evelyn's autobiography, historian William Facey wrote, "Most Muslim converts were attracted to the spiritual side of the religion."</v>
      </c>
      <c r="F2265" s="1"/>
      <c r="G2265" s="1"/>
      <c r="H2265" s="1"/>
      <c r="I2265" s="1"/>
    </row>
    <row r="2266" spans="1:9" ht="15.6" x14ac:dyDescent="0.3">
      <c r="A2266" s="1" t="s">
        <v>4</v>
      </c>
      <c r="B2266" s="1" t="s">
        <v>5</v>
      </c>
      <c r="C2266" s="10" t="s">
        <v>4</v>
      </c>
      <c r="D2266" s="5" t="s">
        <v>2069</v>
      </c>
      <c r="E2266" s="1" t="str">
        <f ca="1">IFERROR(__xludf.DUMMYFUNCTION("GOOGLETRANSLATE(D2266, ""bn"", ""en"")"),"So don't spread these intentionally spread news without knowing its truth.")</f>
        <v>So don't spread these intentionally spread news without knowing its truth.</v>
      </c>
      <c r="F2266" s="1"/>
      <c r="G2266" s="1"/>
      <c r="H2266" s="1"/>
      <c r="I2266" s="1"/>
    </row>
    <row r="2267" spans="1:9" ht="46.8" x14ac:dyDescent="0.3">
      <c r="A2267" s="1" t="s">
        <v>7</v>
      </c>
      <c r="B2267" s="1" t="s">
        <v>7</v>
      </c>
      <c r="C2267" s="10" t="s">
        <v>7</v>
      </c>
      <c r="D2267" s="6" t="s">
        <v>3820</v>
      </c>
      <c r="E2267" s="1" t="str">
        <f ca="1">IFERROR(__xludf.DUMMYFUNCTION("GOOGLETRANSLATE(D2267, ""bn"", ""en"")"),"In 2015, the year we have just passed, militants killed four talented young writers-blogger-publishers, attacked various religious places of worship and killed innocent people. These militants have taken the lives of two foreign nationals who came to this"&amp;" country with a vow of humanitarian service.")</f>
        <v>In 2015, the year we have just passed, militants killed four talented young writers-blogger-publishers, attacked various religious places of worship and killed innocent people. These militants have taken the lives of two foreign nationals who came to this country with a vow of humanitarian service.</v>
      </c>
      <c r="F2267" s="1"/>
      <c r="G2267" s="1"/>
      <c r="H2267" s="1"/>
      <c r="I2267" s="1"/>
    </row>
    <row r="2268" spans="1:9" ht="33" x14ac:dyDescent="0.3">
      <c r="A2268" s="1" t="s">
        <v>5</v>
      </c>
      <c r="B2268" s="1" t="s">
        <v>5</v>
      </c>
      <c r="C2268" s="10" t="s">
        <v>5</v>
      </c>
      <c r="D2268" s="6" t="s">
        <v>3819</v>
      </c>
      <c r="E2268" s="1" t="str">
        <f ca="1">IFERROR(__xludf.DUMMYFUNCTION("GOOGLETRANSLATE(D2268, ""bn"", ""en"")"),"Muhammad stayed with his stepmother Halima Sadia for about four years after his birth. His mother Amina also looked after him during this time. At the age of four he returned to his mother and grew up in her affection and care until the age of six.[")</f>
        <v>Muhammad stayed with his stepmother Halima Sadia for about four years after his birth. His mother Amina also looked after him during this time. At the age of four he returned to his mother and grew up in her affection and care until the age of six.[</v>
      </c>
      <c r="F2268" s="1"/>
      <c r="G2268" s="1"/>
      <c r="H2268" s="1"/>
      <c r="I2268" s="1"/>
    </row>
    <row r="2269" spans="1:9" ht="31.2" x14ac:dyDescent="0.3">
      <c r="A2269" s="1" t="s">
        <v>7</v>
      </c>
      <c r="B2269" s="1" t="s">
        <v>7</v>
      </c>
      <c r="C2269" s="10" t="s">
        <v>7</v>
      </c>
      <c r="D2269" s="6" t="s">
        <v>3818</v>
      </c>
      <c r="E2269" s="1" t="str">
        <f ca="1">IFERROR(__xludf.DUMMYFUNCTION("GOOGLETRANSLATE(D2269, ""bn"", ""en"")"),"Allied to the Pakistanis were members of the Jamaat-e-Islami, the Muslim League and the Pakistan Democratic Party. All the victims of genocide belonged to the Hindu community. It is estimated that over 3,000 Bengali Hindus lost their lives in the massacre"&amp;" within hours.")</f>
        <v>Allied to the Pakistanis were members of the Jamaat-e-Islami, the Muslim League and the Pakistan Democratic Party. All the victims of genocide belonged to the Hindu community. It is estimated that over 3,000 Bengali Hindus lost their lives in the massacre within hours.</v>
      </c>
      <c r="F2269" s="1"/>
      <c r="G2269" s="1"/>
      <c r="H2269" s="1"/>
      <c r="I2269" s="1"/>
    </row>
    <row r="2270" spans="1:9" ht="31.2" x14ac:dyDescent="0.3">
      <c r="A2270" s="1" t="s">
        <v>5</v>
      </c>
      <c r="B2270" s="1" t="s">
        <v>5</v>
      </c>
      <c r="C2270" s="10" t="s">
        <v>5</v>
      </c>
      <c r="D2270" s="6" t="s">
        <v>3817</v>
      </c>
      <c r="E2270" s="1" t="str">
        <f ca="1">IFERROR(__xludf.DUMMYFUNCTION("GOOGLETRANSLATE(D2270, ""bn"", ""en"")"),"The video will be very useful for everyone. I think it would be better to make a video with the surahs that everyone recites all the time like: Surah Yasin, Surah Ar-Rahman etc. Thank you very much and best wishes.")</f>
        <v>The video will be very useful for everyone. I think it would be better to make a video with the surahs that everyone recites all the time like: Surah Yasin, Surah Ar-Rahman etc. Thank you very much and best wishes.</v>
      </c>
      <c r="F2270" s="1"/>
      <c r="G2270" s="1"/>
      <c r="H2270" s="1"/>
      <c r="I2270" s="1"/>
    </row>
    <row r="2271" spans="1:9" ht="31.2" x14ac:dyDescent="0.3">
      <c r="A2271" s="1" t="s">
        <v>7</v>
      </c>
      <c r="B2271" s="1" t="s">
        <v>7</v>
      </c>
      <c r="C2271" s="10" t="s">
        <v>7</v>
      </c>
      <c r="D2271" s="6" t="s">
        <v>3816</v>
      </c>
      <c r="E2271" s="1" t="str">
        <f ca="1">IFERROR(__xludf.DUMMYFUNCTION("GOOGLETRANSLATE(D2271, ""bn"", ""en"")"),"Father Gabriel Koraya of Kakrail Church said, God has sent me. He is also the owner of my life. Only God has the right to take my life. Suicide is a great sin in Christianity. This life of sin can never be stepped on.")</f>
        <v>Father Gabriel Koraya of Kakrail Church said, God has sent me. He is also the owner of my life. Only God has the right to take my life. Suicide is a great sin in Christianity. This life of sin can never be stepped on.</v>
      </c>
      <c r="F2271" s="1"/>
      <c r="G2271" s="1"/>
      <c r="H2271" s="1"/>
      <c r="I2271" s="1"/>
    </row>
    <row r="2272" spans="1:9" ht="15.6" x14ac:dyDescent="0.3">
      <c r="A2272" s="1" t="s">
        <v>5</v>
      </c>
      <c r="B2272" s="1" t="s">
        <v>5</v>
      </c>
      <c r="C2272" s="10" t="s">
        <v>5</v>
      </c>
      <c r="D2272" s="5" t="s">
        <v>2070</v>
      </c>
      <c r="E2272" s="1" t="str">
        <f ca="1">IFERROR(__xludf.DUMMYFUNCTION("GOOGLETRANSLATE(D2272, ""bn"", ""en"")"),"And no matter how many people's sins, no matter how much disobedience, I never despair of Allah's mercy. ")</f>
        <v xml:space="preserve">And no matter how many people's sins, no matter how much disobedience, I never despair of Allah's mercy. </v>
      </c>
      <c r="F2272" s="1"/>
      <c r="G2272" s="1"/>
      <c r="H2272" s="1"/>
      <c r="I2272" s="1"/>
    </row>
    <row r="2273" spans="1:9" ht="15.6" x14ac:dyDescent="0.3">
      <c r="A2273" s="1" t="s">
        <v>1983</v>
      </c>
      <c r="B2273" s="1" t="s">
        <v>9</v>
      </c>
      <c r="C2273" s="10" t="s">
        <v>9</v>
      </c>
      <c r="D2273" s="5" t="s">
        <v>2071</v>
      </c>
      <c r="E2273" s="1" t="str">
        <f ca="1">IFERROR(__xludf.DUMMYFUNCTION("GOOGLETRANSLATE(D2273, ""bn"", ""en"")"),"Muslims are being persecuted in France, caricatures of the Prophet are being displayed. The Prophet is being insulted. We cannot remain silent.")</f>
        <v>Muslims are being persecuted in France, caricatures of the Prophet are being displayed. The Prophet is being insulted. We cannot remain silent.</v>
      </c>
      <c r="F2273" s="1"/>
      <c r="G2273" s="1"/>
      <c r="H2273" s="1"/>
      <c r="I2273" s="1"/>
    </row>
    <row r="2274" spans="1:9" ht="15.6" x14ac:dyDescent="0.3">
      <c r="A2274" s="1" t="s">
        <v>7</v>
      </c>
      <c r="B2274" s="1" t="s">
        <v>7</v>
      </c>
      <c r="C2274" s="10" t="s">
        <v>7</v>
      </c>
      <c r="D2274" s="5" t="s">
        <v>2072</v>
      </c>
      <c r="E2274" s="1" t="str">
        <f ca="1">IFERROR(__xludf.DUMMYFUNCTION("GOOGLETRANSLATE(D2274, ""bn"", ""en"")"),"I will kill Muslims by shooting them like birds")</f>
        <v>I will kill Muslims by shooting them like birds</v>
      </c>
      <c r="F2274" s="1"/>
      <c r="G2274" s="1"/>
      <c r="H2274" s="1"/>
      <c r="I2274" s="1"/>
    </row>
    <row r="2275" spans="1:9" ht="15.6" x14ac:dyDescent="0.3">
      <c r="A2275" s="1" t="s">
        <v>5</v>
      </c>
      <c r="B2275" s="1" t="s">
        <v>4</v>
      </c>
      <c r="C2275" s="10" t="s">
        <v>5</v>
      </c>
      <c r="D2275" s="5" t="s">
        <v>2073</v>
      </c>
      <c r="E2275" s="1" t="str">
        <f ca="1">IFERROR(__xludf.DUMMYFUNCTION("GOOGLETRANSLATE(D2275, ""bn"", ""en"")"),"You cannot reduce the number of Islam: its number will increase day by day: look around the world:")</f>
        <v>You cannot reduce the number of Islam: its number will increase day by day: look around the world:</v>
      </c>
      <c r="F2275" s="1"/>
      <c r="G2275" s="1"/>
      <c r="H2275" s="1"/>
      <c r="I2275" s="1"/>
    </row>
    <row r="2276" spans="1:9" ht="15.6" x14ac:dyDescent="0.3">
      <c r="A2276" s="1" t="s">
        <v>9</v>
      </c>
      <c r="B2276" s="1" t="s">
        <v>9</v>
      </c>
      <c r="C2276" s="10" t="s">
        <v>9</v>
      </c>
      <c r="D2276" s="5" t="s">
        <v>2074</v>
      </c>
      <c r="E2276" s="1" t="str">
        <f ca="1">IFERROR(__xludf.DUMMYFUNCTION("GOOGLETRANSLATE(D2276, ""bn"", ""en"")"),"From the beginning of Christianity as a movement within Judaism, early Christians were persecuted for their faith at the hands of both the Jews and the Roman Empire, who controlled many of the regions where Christianity was first distributed.")</f>
        <v>From the beginning of Christianity as a movement within Judaism, early Christians were persecuted for their faith at the hands of both the Jews and the Roman Empire, who controlled many of the regions where Christianity was first distributed.</v>
      </c>
      <c r="F2276" s="1"/>
      <c r="G2276" s="1"/>
      <c r="H2276" s="1"/>
      <c r="I2276" s="1"/>
    </row>
    <row r="2277" spans="1:9" ht="46.8" x14ac:dyDescent="0.3">
      <c r="A2277" s="1" t="s">
        <v>4</v>
      </c>
      <c r="B2277" s="1" t="s">
        <v>4</v>
      </c>
      <c r="C2277" s="10" t="s">
        <v>4</v>
      </c>
      <c r="D2277" s="6" t="s">
        <v>3815</v>
      </c>
      <c r="E2277" s="1" t="str">
        <f ca="1">IFERROR(__xludf.DUMMYFUNCTION("GOOGLETRANSLATE(D2277, ""bn"", ""en"")"),"How religion was used in the liberation war to divide the Bengali nation. I remembered how the seeds of communalism were planted in the brains of the people of this country after independence and efforts were made to create division among people. I realiz"&amp;"ed that the present fragmented form was actually created from that seed. Slowly which is taking the form of banyan tree.")</f>
        <v>How religion was used in the liberation war to divide the Bengali nation. I remembered how the seeds of communalism were planted in the brains of the people of this country after independence and efforts were made to create division among people. I realized that the present fragmented form was actually created from that seed. Slowly which is taking the form of banyan tree.</v>
      </c>
      <c r="F2277" s="1"/>
      <c r="G2277" s="1"/>
      <c r="H2277" s="1"/>
      <c r="I2277" s="1"/>
    </row>
    <row r="2278" spans="1:9" ht="15.6" x14ac:dyDescent="0.3">
      <c r="A2278" s="1" t="s">
        <v>5</v>
      </c>
      <c r="B2278" s="1" t="s">
        <v>5</v>
      </c>
      <c r="C2278" s="10" t="s">
        <v>5</v>
      </c>
      <c r="D2278" s="5" t="s">
        <v>2075</v>
      </c>
      <c r="E2278" s="1" t="str">
        <f ca="1">IFERROR(__xludf.DUMMYFUNCTION("GOOGLETRANSLATE(D2278, ""bn"", ""en"")"),"I have seen this video on Facebook. In fact, it has been discussed in such detail and in such a subtle way, that any person of other religions will have to believe that the Qur'an is sent by Allah!")</f>
        <v>I have seen this video on Facebook. In fact, it has been discussed in such detail and in such a subtle way, that any person of other religions will have to believe that the Qur'an is sent by Allah!</v>
      </c>
      <c r="F2278" s="1"/>
      <c r="G2278" s="1"/>
      <c r="H2278" s="1"/>
      <c r="I2278" s="1"/>
    </row>
    <row r="2279" spans="1:9" ht="15.6" x14ac:dyDescent="0.3">
      <c r="A2279" s="1" t="s">
        <v>7</v>
      </c>
      <c r="B2279" s="1" t="s">
        <v>7</v>
      </c>
      <c r="C2279" s="10" t="s">
        <v>7</v>
      </c>
      <c r="D2279" s="5" t="s">
        <v>2076</v>
      </c>
      <c r="E2279" s="1" t="str">
        <f ca="1">IFERROR(__xludf.DUMMYFUNCTION("GOOGLETRANSLATE(D2279, ""bn"", ""en"")"),"Bush could not accept the genocide that is going on in Palestine by Israel. There is no religious war there. There is a struggle to establish the independence of Palestine.")</f>
        <v>Bush could not accept the genocide that is going on in Palestine by Israel. There is no religious war there. There is a struggle to establish the independence of Palestine.</v>
      </c>
      <c r="F2279" s="1"/>
      <c r="G2279" s="1"/>
      <c r="H2279" s="1"/>
      <c r="I2279" s="1"/>
    </row>
    <row r="2280" spans="1:9" ht="15.6" x14ac:dyDescent="0.3">
      <c r="A2280" s="1" t="s">
        <v>4</v>
      </c>
      <c r="B2280" s="1" t="s">
        <v>4</v>
      </c>
      <c r="C2280" s="10" t="s">
        <v>4</v>
      </c>
      <c r="D2280" s="5" t="s">
        <v>2077</v>
      </c>
      <c r="E2280" s="1" t="str">
        <f ca="1">IFERROR(__xludf.DUMMYFUNCTION("GOOGLETRANSLATE(D2280, ""bn"", ""en"")"),"I strongly condemn and protest against the burning of the Qur'an, and at the same time I want to say that the Holy Qur'an is the revelation of Allah, so may the wrath of Allah be inevitable on the Jews and Christians.")</f>
        <v>I strongly condemn and protest against the burning of the Qur'an, and at the same time I want to say that the Holy Qur'an is the revelation of Allah, so may the wrath of Allah be inevitable on the Jews and Christians.</v>
      </c>
      <c r="F2280" s="1"/>
      <c r="G2280" s="1"/>
      <c r="H2280" s="1"/>
      <c r="I2280" s="1"/>
    </row>
    <row r="2281" spans="1:9" ht="15.6" x14ac:dyDescent="0.3">
      <c r="A2281" s="1" t="s">
        <v>7</v>
      </c>
      <c r="B2281" s="1" t="s">
        <v>7</v>
      </c>
      <c r="C2281" s="10" t="s">
        <v>7</v>
      </c>
      <c r="D2281" s="5" t="s">
        <v>2078</v>
      </c>
      <c r="E2281" s="1" t="str">
        <f ca="1">IFERROR(__xludf.DUMMYFUNCTION("GOOGLETRANSLATE(D2281, ""bn"", ""en"")"),"Defeated the Sindhi army and massacred the Hindus and turned them into slaves. Later the Hajjaz invaded kingdoms ruled by other Hindu and Buddhist kings,")</f>
        <v>Defeated the Sindhi army and massacred the Hindus and turned them into slaves. Later the Hajjaz invaded kingdoms ruled by other Hindu and Buddhist kings,</v>
      </c>
      <c r="F2281" s="1"/>
      <c r="G2281" s="1"/>
      <c r="H2281" s="1"/>
      <c r="I2281" s="1"/>
    </row>
    <row r="2282" spans="1:9" ht="15.6" x14ac:dyDescent="0.3">
      <c r="A2282" s="1" t="s">
        <v>5</v>
      </c>
      <c r="B2282" s="1" t="s">
        <v>5</v>
      </c>
      <c r="C2282" s="10" t="s">
        <v>5</v>
      </c>
      <c r="D2282" s="5" t="s">
        <v>2079</v>
      </c>
      <c r="E2282" s="1" t="str">
        <f ca="1">IFERROR(__xludf.DUMMYFUNCTION("GOOGLETRANSLATE(D2282, ""bn"", ""en"")"),"Do you know how this religion was in ancient Bengal? What religion did the previous generation of Bengali adopt? ")</f>
        <v xml:space="preserve">Do you know how this religion was in ancient Bengal? What religion did the previous generation of Bengali adopt? </v>
      </c>
      <c r="F2282" s="1"/>
      <c r="G2282" s="1"/>
      <c r="H2282" s="1"/>
      <c r="I2282" s="1"/>
    </row>
    <row r="2283" spans="1:9" ht="15.6" x14ac:dyDescent="0.3">
      <c r="A2283" s="1" t="s">
        <v>5</v>
      </c>
      <c r="B2283" s="1" t="s">
        <v>5</v>
      </c>
      <c r="C2283" s="10" t="s">
        <v>5</v>
      </c>
      <c r="D2283" s="5" t="s">
        <v>2080</v>
      </c>
      <c r="E2283" s="1" t="str">
        <f ca="1">IFERROR(__xludf.DUMMYFUNCTION("GOOGLETRANSLATE(D2283, ""bn"", ""en"")"),"If man is God or if you or someone else is God, then who is the real God? He who is above is also God and the one who is below in the form of humanity is also God. But where is the difference?")</f>
        <v>If man is God or if you or someone else is God, then who is the real God? He who is above is also God and the one who is below in the form of humanity is also God. But where is the difference?</v>
      </c>
      <c r="F2283" s="1"/>
      <c r="G2283" s="1"/>
      <c r="H2283" s="1"/>
      <c r="I2283" s="1"/>
    </row>
    <row r="2284" spans="1:9" ht="15.6" x14ac:dyDescent="0.3">
      <c r="A2284" s="1" t="s">
        <v>9</v>
      </c>
      <c r="B2284" s="1" t="s">
        <v>4</v>
      </c>
      <c r="C2284" s="10" t="s">
        <v>9</v>
      </c>
      <c r="D2284" s="5" t="s">
        <v>2081</v>
      </c>
      <c r="E2284" s="1" t="str">
        <f ca="1">IFERROR(__xludf.DUMMYFUNCTION("GOOGLETRANSLATE(D2284, ""bn"", ""en"")"),"Maheshwar Pasha, Pabla, Chandnimahal, Daulatpur and other nearby Hindu settlements started attacking with intense anger. They started looting and setting fire to the houses, businesses, and shrines of the Hindus there.")</f>
        <v>Maheshwar Pasha, Pabla, Chandnimahal, Daulatpur and other nearby Hindu settlements started attacking with intense anger. They started looting and setting fire to the houses, businesses, and shrines of the Hindus there.</v>
      </c>
      <c r="F2284" s="1"/>
      <c r="G2284" s="1"/>
      <c r="H2284" s="1"/>
      <c r="I2284" s="1"/>
    </row>
    <row r="2285" spans="1:9" ht="15.6" x14ac:dyDescent="0.3">
      <c r="A2285" s="1" t="s">
        <v>4</v>
      </c>
      <c r="B2285" s="1" t="s">
        <v>5</v>
      </c>
      <c r="C2285" s="10" t="s">
        <v>4</v>
      </c>
      <c r="D2285" s="5" t="s">
        <v>2082</v>
      </c>
      <c r="E2285" s="1" t="str">
        <f ca="1">IFERROR(__xludf.DUMMYFUNCTION("GOOGLETRANSLATE(D2285, ""bn"", ""en"")"),"Who is this person to say that Taskin's wife will wear a burqa or something else? If it were any other religion, this story would have been propagated for a long time.")</f>
        <v>Who is this person to say that Taskin's wife will wear a burqa or something else? If it were any other religion, this story would have been propagated for a long time.</v>
      </c>
      <c r="F2285" s="1"/>
      <c r="G2285" s="1"/>
      <c r="H2285" s="1"/>
      <c r="I2285" s="1"/>
    </row>
    <row r="2286" spans="1:9" ht="15.6" x14ac:dyDescent="0.3">
      <c r="A2286" s="1" t="s">
        <v>5</v>
      </c>
      <c r="B2286" s="1" t="s">
        <v>5</v>
      </c>
      <c r="C2286" s="10" t="s">
        <v>5</v>
      </c>
      <c r="D2286" s="5" t="s">
        <v>2083</v>
      </c>
      <c r="E2286" s="1" t="str">
        <f ca="1">IFERROR(__xludf.DUMMYFUNCTION("GOOGLETRANSLATE(D2286, ""bn"", ""en"")"),"Hinduism is a tradition of philosophy. Each community has a different philosophy. The Vaishnava sect is the exact opposite of the Shakta sect. Not everyone is in favor of the Vedas. ")</f>
        <v>Hinduism is a tradition of philosophy. Each community has a different philosophy. The Vaishnava sect is the exact opposite of the Shakta sect. Not everyone is in favor of the Vedas. </v>
      </c>
      <c r="F2286" s="1"/>
      <c r="G2286" s="1"/>
      <c r="H2286" s="1"/>
      <c r="I2286" s="1"/>
    </row>
    <row r="2287" spans="1:9" ht="15.6" x14ac:dyDescent="0.3">
      <c r="A2287" s="1" t="s">
        <v>7</v>
      </c>
      <c r="B2287" s="1" t="s">
        <v>7</v>
      </c>
      <c r="C2287" s="10" t="s">
        <v>7</v>
      </c>
      <c r="D2287" s="5" t="s">
        <v>2084</v>
      </c>
      <c r="E2287" s="1" t="str">
        <f ca="1">IFERROR(__xludf.DUMMYFUNCTION("GOOGLETRANSLATE(D2287, ""bn"", ""en"")"),"Suicide is considered a great sin in Christianity or traditional religion as well. The religious gurus say that life is given by God. He alone has the right to take away that life. People have no right to kill themselves.")</f>
        <v>Suicide is considered a great sin in Christianity or traditional religion as well. The religious gurus say that life is given by God. He alone has the right to take away that life. People have no right to kill themselves.</v>
      </c>
      <c r="F2287" s="1"/>
      <c r="G2287" s="1"/>
      <c r="H2287" s="1"/>
      <c r="I2287" s="1"/>
    </row>
    <row r="2288" spans="1:9" ht="15.6" x14ac:dyDescent="0.3">
      <c r="A2288" s="1" t="s">
        <v>5</v>
      </c>
      <c r="B2288" s="1" t="s">
        <v>5</v>
      </c>
      <c r="C2288" s="10" t="s">
        <v>5</v>
      </c>
      <c r="D2288" s="5" t="s">
        <v>2085</v>
      </c>
      <c r="E2288" s="1" t="str">
        <f ca="1">IFERROR(__xludf.DUMMYFUNCTION("GOOGLETRANSLATE(D2288, ""bn"", ""en"")"),"By following Allah's guidance, we stay on the right path in life and get strength to face all the challenges of life.")</f>
        <v>By following Allah's guidance, we stay on the right path in life and get strength to face all the challenges of life.</v>
      </c>
      <c r="F2288" s="1"/>
      <c r="G2288" s="1"/>
      <c r="H2288" s="1"/>
      <c r="I2288" s="1"/>
    </row>
    <row r="2289" spans="1:9" ht="15.6" x14ac:dyDescent="0.3">
      <c r="A2289" s="1" t="s">
        <v>5</v>
      </c>
      <c r="B2289" s="1" t="s">
        <v>5</v>
      </c>
      <c r="C2289" s="10" t="s">
        <v>5</v>
      </c>
      <c r="D2289" s="5" t="s">
        <v>2086</v>
      </c>
      <c r="E2289" s="1" t="str">
        <f ca="1">IFERROR(__xludf.DUMMYFUNCTION("GOOGLETRANSLATE(D2289, ""bn"", ""en"")"),"It is He who sent His Messenger with guidance and the true religion, to make it victorious over all other religions. Allah is sufficient as the true founder.")</f>
        <v>It is He who sent His Messenger with guidance and the true religion, to make it victorious over all other religions. Allah is sufficient as the true founder.</v>
      </c>
      <c r="F2289" s="1"/>
      <c r="G2289" s="1"/>
      <c r="H2289" s="1"/>
      <c r="I2289" s="1"/>
    </row>
    <row r="2290" spans="1:9" ht="31.2" x14ac:dyDescent="0.3">
      <c r="A2290" s="1" t="s">
        <v>7</v>
      </c>
      <c r="B2290" s="1" t="s">
        <v>7</v>
      </c>
      <c r="C2290" s="10" t="s">
        <v>7</v>
      </c>
      <c r="D2290" s="6" t="s">
        <v>3814</v>
      </c>
      <c r="E2290" s="1" t="str">
        <f ca="1">IFERROR(__xludf.DUMMYFUNCTION("GOOGLETRANSLATE(D2290, ""bn"", ""en"")"),"Two people were killed and many others injured in communal clashes in Haryana's Noah, near Delhi, the Indian capital. After that violence, a mosque was set on fire in Gurgaon, the imam of that mosque was also killed in the attack.")</f>
        <v>Two people were killed and many others injured in communal clashes in Haryana's Noah, near Delhi, the Indian capital. After that violence, a mosque was set on fire in Gurgaon, the imam of that mosque was also killed in the attack.</v>
      </c>
      <c r="F2290" s="1"/>
      <c r="G2290" s="1"/>
      <c r="H2290" s="1"/>
      <c r="I2290" s="1"/>
    </row>
    <row r="2291" spans="1:9" ht="15.6" x14ac:dyDescent="0.3">
      <c r="A2291" s="1" t="s">
        <v>5</v>
      </c>
      <c r="B2291" s="1" t="s">
        <v>5</v>
      </c>
      <c r="C2291" s="10" t="s">
        <v>5</v>
      </c>
      <c r="D2291" s="5" t="s">
        <v>2087</v>
      </c>
      <c r="E2291" s="1" t="str">
        <f ca="1">IFERROR(__xludf.DUMMYFUNCTION("GOOGLETRANSLATE(D2291, ""bn"", ""en"")"),"Alhamdulillah, in that sense there are no riots in Bangladesh. There is religious coexistence and communal harmony. It is not unusual to see vulture eyes in this harmony. So, be careful. Must be dealt with slowly.")</f>
        <v>Alhamdulillah, in that sense there are no riots in Bangladesh. There is religious coexistence and communal harmony. It is not unusual to see vulture eyes in this harmony. So, be careful. Must be dealt with slowly.</v>
      </c>
      <c r="F2291" s="1"/>
      <c r="G2291" s="1"/>
      <c r="H2291" s="1"/>
      <c r="I2291" s="1"/>
    </row>
    <row r="2292" spans="1:9" ht="15.6" x14ac:dyDescent="0.3">
      <c r="A2292" s="1" t="s">
        <v>4</v>
      </c>
      <c r="B2292" s="1" t="s">
        <v>4</v>
      </c>
      <c r="C2292" s="10" t="s">
        <v>4</v>
      </c>
      <c r="D2292" s="5" t="s">
        <v>2088</v>
      </c>
      <c r="E2292" s="1" t="str">
        <f ca="1">IFERROR(__xludf.DUMMYFUNCTION("GOOGLETRANSLATE(D2292, ""bn"", ""en"")"),"It is entirely in Allah's hands to grant him Jannah and Hell, but I pray that Allah will grant him eternal Hellfire and suffer his punishment in this world as well.")</f>
        <v>It is entirely in Allah's hands to grant him Jannah and Hell, but I pray that Allah will grant him eternal Hellfire and suffer his punishment in this world as well.</v>
      </c>
      <c r="F2292" s="1"/>
      <c r="G2292" s="1"/>
      <c r="H2292" s="1"/>
      <c r="I2292" s="1"/>
    </row>
    <row r="2293" spans="1:9" ht="15.6" x14ac:dyDescent="0.3">
      <c r="A2293" s="1" t="s">
        <v>5</v>
      </c>
      <c r="B2293" s="1" t="s">
        <v>5</v>
      </c>
      <c r="C2293" s="10" t="s">
        <v>5</v>
      </c>
      <c r="D2293" s="5" t="s">
        <v>2089</v>
      </c>
      <c r="E2293" s="1" t="str">
        <f ca="1">IFERROR(__xludf.DUMMYFUNCTION("GOOGLETRANSLATE(D2293, ""bn"", ""en"")"),"It is stated in the Qur'an that Allah says, ""I have sent down the Qur'an, and I myself will preserve the Qur'an."" O you protect our holy book Quran Ameen.")</f>
        <v>It is stated in the Qur'an that Allah says, "I have sent down the Qur'an, and I myself will preserve the Qur'an." O you protect our holy book Quran Ameen.</v>
      </c>
      <c r="F2293" s="1"/>
      <c r="G2293" s="1"/>
      <c r="H2293" s="1"/>
      <c r="I2293" s="1"/>
    </row>
    <row r="2294" spans="1:9" ht="15.6" x14ac:dyDescent="0.3">
      <c r="A2294" s="1" t="s">
        <v>5</v>
      </c>
      <c r="B2294" s="1" t="s">
        <v>5</v>
      </c>
      <c r="C2294" s="10" t="s">
        <v>5</v>
      </c>
      <c r="D2294" s="5" t="s">
        <v>2090</v>
      </c>
      <c r="E2294" s="1" t="str">
        <f ca="1">IFERROR(__xludf.DUMMYFUNCTION("GOOGLETRANSLATE(D2294, ""bn"", ""en"")"),"In fact, the sufferings of the worldly life are very insignificant compared to the long-term severe punishment of the afterlife. ")</f>
        <v>In fact, the sufferings of the worldly life are very insignificant compared to the long-term severe punishment of the afterlife. </v>
      </c>
      <c r="F2294" s="1"/>
      <c r="G2294" s="1"/>
      <c r="H2294" s="1"/>
      <c r="I2294" s="1"/>
    </row>
    <row r="2295" spans="1:9" ht="31.2" x14ac:dyDescent="0.3">
      <c r="A2295" s="1" t="s">
        <v>7</v>
      </c>
      <c r="B2295" s="1" t="s">
        <v>7</v>
      </c>
      <c r="C2295" s="10" t="s">
        <v>7</v>
      </c>
      <c r="D2295" s="6" t="s">
        <v>3813</v>
      </c>
      <c r="E2295" s="1" t="str">
        <f ca="1">IFERROR(__xludf.DUMMYFUNCTION("GOOGLETRANSLATE(D2295, ""bn"", ""en"")"),"On February 17, Muslims brutally killed 623 Hindus of Golakandail Union in Rupganj, Narayanganj. Muslim thugs looted and burnt Haran Ghosh's house in Ghoshpara, Narsingdi (then part of Narayanganj).")</f>
        <v>On February 17, Muslims brutally killed 623 Hindus of Golakandail Union in Rupganj, Narayanganj. Muslim thugs looted and burnt Haran Ghosh's house in Ghoshpara, Narsingdi (then part of Narayanganj).</v>
      </c>
      <c r="F2295" s="1"/>
      <c r="G2295" s="1"/>
      <c r="H2295" s="1"/>
      <c r="I2295" s="1"/>
    </row>
    <row r="2296" spans="1:9" ht="15.6" x14ac:dyDescent="0.3">
      <c r="A2296" s="1" t="s">
        <v>7</v>
      </c>
      <c r="B2296" s="1" t="s">
        <v>7</v>
      </c>
      <c r="C2296" s="10" t="s">
        <v>7</v>
      </c>
      <c r="D2296" s="5" t="s">
        <v>2091</v>
      </c>
      <c r="E2296" s="1" t="str">
        <f ca="1">IFERROR(__xludf.DUMMYFUNCTION("GOOGLETRANSLATE(D2296, ""bn"", ""en"")"),"Dada died after 30th Ramadan Asr prayer. What a beautiful death. That was the first time I saw death with ink in my eyes.")</f>
        <v>Dada died after 30th Ramadan Asr prayer. What a beautiful death. That was the first time I saw death with ink in my eyes.</v>
      </c>
      <c r="F2296" s="1"/>
      <c r="G2296" s="1"/>
      <c r="H2296" s="1"/>
      <c r="I2296" s="1"/>
    </row>
    <row r="2297" spans="1:9" ht="15.6" x14ac:dyDescent="0.3">
      <c r="A2297" s="1" t="s">
        <v>9</v>
      </c>
      <c r="B2297" s="1" t="s">
        <v>9</v>
      </c>
      <c r="C2297" s="10" t="s">
        <v>9</v>
      </c>
      <c r="D2297" s="5" t="s">
        <v>2092</v>
      </c>
      <c r="E2297" s="1" t="str">
        <f ca="1">IFERROR(__xludf.DUMMYFUNCTION("GOOGLETRANSLATE(D2297, ""bn"", ""en"")"),"The Kirtan that attacked next to my house! Then no one opened his mouth? Why not open your mouth?")</f>
        <v>The Kirtan that attacked next to my house! Then no one opened his mouth? Why not open your mouth?</v>
      </c>
      <c r="F2297" s="1"/>
      <c r="G2297" s="1"/>
      <c r="H2297" s="1"/>
      <c r="I2297" s="1"/>
    </row>
    <row r="2298" spans="1:9" ht="15.6" x14ac:dyDescent="0.3">
      <c r="A2298" s="1" t="s">
        <v>7</v>
      </c>
      <c r="B2298" s="1" t="s">
        <v>7</v>
      </c>
      <c r="C2298" s="10" t="s">
        <v>7</v>
      </c>
      <c r="D2298" s="5" t="s">
        <v>2093</v>
      </c>
      <c r="E2298" s="1" t="str">
        <f ca="1">IFERROR(__xludf.DUMMYFUNCTION("GOOGLETRANSLATE(D2298, ""bn"", ""en"")"),"Suicide means self-destruction. To inflict extreme pain and suffering on one's soul. Ending all the activities of your life with your own hands. Suicide is one of the heinous sins from the Islamic point of view.")</f>
        <v>Suicide means self-destruction. To inflict extreme pain and suffering on one's soul. Ending all the activities of your life with your own hands. Suicide is one of the heinous sins from the Islamic point of view.</v>
      </c>
      <c r="F2298" s="1"/>
      <c r="G2298" s="1"/>
      <c r="H2298" s="1"/>
      <c r="I2298" s="1"/>
    </row>
    <row r="2299" spans="1:9" ht="15.6" x14ac:dyDescent="0.3">
      <c r="A2299" s="1" t="s">
        <v>4</v>
      </c>
      <c r="B2299" s="1" t="s">
        <v>4</v>
      </c>
      <c r="C2299" s="10" t="s">
        <v>4</v>
      </c>
      <c r="D2299" s="5" t="s">
        <v>2094</v>
      </c>
      <c r="E2299" s="1" t="str">
        <f ca="1">IFERROR(__xludf.DUMMYFUNCTION("GOOGLETRANSLATE(D2299, ""bn"", ""en"")"),"O Allah! You guard the Holy Quran. Those who insult the Holy Qur'an, you destroy forever with your wrath. Amen.")</f>
        <v>O Allah! You guard the Holy Quran. Those who insult the Holy Qur'an, you destroy forever with your wrath. Amen.</v>
      </c>
      <c r="F2299" s="1"/>
      <c r="G2299" s="1"/>
      <c r="H2299" s="1"/>
      <c r="I2299" s="1"/>
    </row>
    <row r="2300" spans="1:9" ht="46.8" x14ac:dyDescent="0.3">
      <c r="A2300" s="4" t="s">
        <v>7</v>
      </c>
      <c r="B2300" s="4" t="s">
        <v>7</v>
      </c>
      <c r="C2300" s="11" t="s">
        <v>7</v>
      </c>
      <c r="D2300" s="6" t="s">
        <v>3812</v>
      </c>
      <c r="E2300" s="1" t="str">
        <f ca="1">IFERROR(__xludf.DUMMYFUNCTION("GOOGLETRANSLATE(D2300, ""bn"", ""en"")"),"After brutally killing him, the masked militants allegedly cut off various parts of his body with chisels and axes. Others who tried to rescue Swami, i.e. Sadhvi Bhakti Mata in overall charge of the Kalyan Ashram, Kishore Baba, Amritananda Baba and the gu"&amp;"est guardian of an inmate of the school were also killed.")</f>
        <v>After brutally killing him, the masked militants allegedly cut off various parts of his body with chisels and axes. Others who tried to rescue Swami, i.e. Sadhvi Bhakti Mata in overall charge of the Kalyan Ashram, Kishore Baba, Amritananda Baba and the guest guardian of an inmate of the school were also killed.</v>
      </c>
      <c r="F2300" s="1"/>
      <c r="G2300" s="1"/>
      <c r="H2300" s="1"/>
      <c r="I2300" s="1"/>
    </row>
    <row r="2301" spans="1:9" ht="62.4" x14ac:dyDescent="0.3">
      <c r="A2301" s="1" t="s">
        <v>5</v>
      </c>
      <c r="B2301" s="1" t="s">
        <v>4</v>
      </c>
      <c r="C2301" s="10" t="s">
        <v>7</v>
      </c>
      <c r="D2301" s="6" t="s">
        <v>3811</v>
      </c>
      <c r="E2301" s="1" t="str">
        <f ca="1">IFERROR(__xludf.DUMMYFUNCTION("GOOGLETRANSLATE(D2301, ""bn"", ""en"")"),"Old Believers were persecuted and executed, orders were that even those who completely renounced their faith and were baptized in the state church were beaten without mercy. The writer Lomonosov opposed the religious teachings and on his initiative a scie"&amp;"ntific book was published against them. The book was destroyed, the Russian Synod insisted on burning Lomonosov's works and requested his punishment.")</f>
        <v>Old Believers were persecuted and executed, orders were that even those who completely renounced their faith and were baptized in the state church were beaten without mercy. The writer Lomonosov opposed the religious teachings and on his initiative a scientific book was published against them. The book was destroyed, the Russian Synod insisted on burning Lomonosov's works and requested his punishment.</v>
      </c>
      <c r="F2301" s="1"/>
      <c r="G2301" s="1"/>
      <c r="H2301" s="1"/>
      <c r="I2301" s="1"/>
    </row>
    <row r="2302" spans="1:9" ht="15.6" x14ac:dyDescent="0.3">
      <c r="A2302" s="4" t="s">
        <v>7</v>
      </c>
      <c r="B2302" s="4" t="s">
        <v>7</v>
      </c>
      <c r="C2302" s="11" t="s">
        <v>7</v>
      </c>
      <c r="D2302" s="5" t="s">
        <v>2095</v>
      </c>
      <c r="E2302" s="1" t="str">
        <f ca="1">IFERROR(__xludf.DUMMYFUNCTION("GOOGLETRANSLATE(D2302, ""bn"", ""en"")"),"In 1983, the Nellie massacre took place in the state of Assam. Around 1,800 Muslims of Bengali origin were killed by the Lalung tribe (also known as Tiwa) in a village called Nelli.")</f>
        <v>In 1983, the Nellie massacre took place in the state of Assam. Around 1,800 Muslims of Bengali origin were killed by the Lalung tribe (also known as Tiwa) in a village called Nelli.</v>
      </c>
      <c r="F2302" s="1"/>
      <c r="G2302" s="1"/>
      <c r="H2302" s="1"/>
      <c r="I2302" s="1"/>
    </row>
    <row r="2303" spans="1:9" ht="62.4" x14ac:dyDescent="0.3">
      <c r="A2303" s="1" t="s">
        <v>5</v>
      </c>
      <c r="B2303" s="1" t="s">
        <v>5</v>
      </c>
      <c r="C2303" s="10" t="s">
        <v>5</v>
      </c>
      <c r="D2303" s="6" t="s">
        <v>3810</v>
      </c>
      <c r="E2303" s="1" t="str">
        <f ca="1">IFERROR(__xludf.DUMMYFUNCTION("GOOGLETRANSLATE(D2303, ""bn"", ""en"")"),"Pakistan Army surrounded the ashram and entered it jointly with the help of Bihari allies. At news of their arrival, some of the resident monks fled the monastery. But the nine monks refused to leave the ashram. At that time the monks were singing kirtan "&amp;"in the prayer meeting of the temple. The kirtan was singing Jai Jagatbandhu Hari! Joy Joy Jagatbandhu Hari. As the meaning of the kirtan, the Bihari followers say the monks say Jai Bangabandhu. They told the Pakistan Army that the monks were shouting for "&amp;"the victory of Sheikh Mujibur Rahman ")</f>
        <v>Pakistan Army surrounded the ashram and entered it jointly with the help of Bihari allies. At news of their arrival, some of the resident monks fled the monastery. But the nine monks refused to leave the ashram. At that time the monks were singing kirtan in the prayer meeting of the temple. The kirtan was singing Jai Jagatbandhu Hari! Joy Joy Jagatbandhu Hari. As the meaning of the kirtan, the Bihari followers say the monks say Jai Bangabandhu. They told the Pakistan Army that the monks were shouting for the victory of Sheikh Mujibur Rahman </v>
      </c>
      <c r="F2303" s="1"/>
      <c r="G2303" s="1"/>
      <c r="H2303" s="1"/>
      <c r="I2303" s="1"/>
    </row>
    <row r="2304" spans="1:9" ht="46.8" x14ac:dyDescent="0.3">
      <c r="A2304" s="1" t="s">
        <v>5</v>
      </c>
      <c r="B2304" s="1" t="s">
        <v>5</v>
      </c>
      <c r="C2304" s="10" t="s">
        <v>5</v>
      </c>
      <c r="D2304" s="6" t="s">
        <v>3809</v>
      </c>
      <c r="E2304" s="1" t="str">
        <f ca="1">IFERROR(__xludf.DUMMYFUNCTION("GOOGLETRANSLATE(D2304, ""bn"", ""en"")"),"The bravery of the Prophet (PBUH) was covered with the cloak of mercy. Only on the field of Jihad did he display valor, and that only to exalt the Kalima of Allah. The Prophet (PBUH) never took revenge for personal gain, never hurt anyone except in the wa"&amp;"y of Allah. The martial ideals of the Prophet (peace be upon him) were the best ideals to be followed and emulated by all heroes of all ages.")</f>
        <v>The bravery of the Prophet (PBUH) was covered with the cloak of mercy. Only on the field of Jihad did he display valor, and that only to exalt the Kalima of Allah. The Prophet (PBUH) never took revenge for personal gain, never hurt anyone except in the way of Allah. The martial ideals of the Prophet (peace be upon him) were the best ideals to be followed and emulated by all heroes of all ages.</v>
      </c>
      <c r="F2304" s="1"/>
      <c r="G2304" s="1"/>
      <c r="H2304" s="1"/>
      <c r="I2304" s="1"/>
    </row>
    <row r="2305" spans="1:9" ht="15.6" x14ac:dyDescent="0.3">
      <c r="A2305" s="1" t="s">
        <v>7</v>
      </c>
      <c r="B2305" s="1" t="s">
        <v>7</v>
      </c>
      <c r="C2305" s="10" t="s">
        <v>7</v>
      </c>
      <c r="D2305" s="5" t="s">
        <v>2096</v>
      </c>
      <c r="E2305" s="1" t="str">
        <f ca="1">IFERROR(__xludf.DUMMYFUNCTION("GOOGLETRANSLATE(D2305, ""bn"", ""en"")"),"Mahakumbh Stampede: 30 people died after being trampled in Mahakumbh, said DIG, how many people were identified?")</f>
        <v>Mahakumbh Stampede: 30 people died after being trampled in Mahakumbh, said DIG, how many people were identified?</v>
      </c>
      <c r="F2305" s="1"/>
      <c r="G2305" s="1"/>
      <c r="H2305" s="1"/>
      <c r="I2305" s="1"/>
    </row>
    <row r="2306" spans="1:9" ht="15.6" x14ac:dyDescent="0.3">
      <c r="A2306" s="1" t="s">
        <v>9</v>
      </c>
      <c r="B2306" s="1" t="s">
        <v>9</v>
      </c>
      <c r="C2306" s="10" t="s">
        <v>9</v>
      </c>
      <c r="D2306" s="5" t="s">
        <v>2097</v>
      </c>
      <c r="E2306" s="1" t="str">
        <f ca="1">IFERROR(__xludf.DUMMYFUNCTION("GOOGLETRANSLATE(D2306, ""bn"", ""en"")"),"According to noted historian Rakesh Batball, this plight never became normal for the Hindus.[67] Riots were sporadic and the police force could not provide even the slightest resistance.")</f>
        <v>According to noted historian Rakesh Batball, this plight never became normal for the Hindus.[67] Riots were sporadic and the police force could not provide even the slightest resistance.</v>
      </c>
      <c r="F2306" s="1"/>
      <c r="G2306" s="1"/>
      <c r="H2306" s="1"/>
      <c r="I2306" s="1"/>
    </row>
    <row r="2307" spans="1:9" ht="15.6" x14ac:dyDescent="0.3">
      <c r="A2307" s="1" t="s">
        <v>5</v>
      </c>
      <c r="B2307" s="1" t="s">
        <v>5</v>
      </c>
      <c r="C2307" s="10" t="s">
        <v>5</v>
      </c>
      <c r="D2307" s="5" t="s">
        <v>2098</v>
      </c>
      <c r="E2307" s="1" t="str">
        <f ca="1">IFERROR(__xludf.DUMMYFUNCTION("GOOGLETRANSLATE(D2307, ""bn"", ""en"")"),"May Allah Almighty forgive us, my dear Habib Kareem (PBUH) grant us the highest station of Jannatul Ferdows, Ameen.")</f>
        <v>May Allah Almighty forgive us, my dear Habib Kareem (PBUH) grant us the highest station of Jannatul Ferdows, Ameen.</v>
      </c>
      <c r="F2307" s="1"/>
      <c r="G2307" s="1"/>
      <c r="H2307" s="1"/>
      <c r="I2307" s="1"/>
    </row>
    <row r="2308" spans="1:9" ht="15.6" x14ac:dyDescent="0.3">
      <c r="A2308" s="1" t="s">
        <v>4</v>
      </c>
      <c r="B2308" s="1" t="s">
        <v>4</v>
      </c>
      <c r="C2308" s="10" t="s">
        <v>4</v>
      </c>
      <c r="D2308" s="5" t="s">
        <v>2099</v>
      </c>
      <c r="E2308" s="1" t="str">
        <f ca="1">IFERROR(__xludf.DUMMYFUNCTION("GOOGLETRANSLATE(D2308, ""bn"", ""en"")"),"Kaharol is a very peaceful area and non-communal. A circle is giving religious incitement to destroy this secularism.")</f>
        <v>Kaharol is a very peaceful area and non-communal. A circle is giving religious incitement to destroy this secularism.</v>
      </c>
      <c r="F2308" s="1"/>
      <c r="G2308" s="1"/>
      <c r="H2308" s="1"/>
      <c r="I2308" s="1"/>
    </row>
    <row r="2309" spans="1:9" ht="15.6" x14ac:dyDescent="0.3">
      <c r="A2309" s="1" t="s">
        <v>7</v>
      </c>
      <c r="B2309" s="1" t="s">
        <v>7</v>
      </c>
      <c r="C2309" s="10" t="s">
        <v>7</v>
      </c>
      <c r="D2309" s="5" t="s">
        <v>2100</v>
      </c>
      <c r="E2309" s="1" t="str">
        <f ca="1">IFERROR(__xludf.DUMMYFUNCTION("GOOGLETRANSLATE(D2309, ""bn"", ""en"")"),"The deceased should be taken to an enclosed place where no one can see him. No one will approach him except those who directly participate in bathing him and those who assist them.")</f>
        <v>The deceased should be taken to an enclosed place where no one can see him. No one will approach him except those who directly participate in bathing him and those who assist them.</v>
      </c>
      <c r="F2309" s="1"/>
      <c r="G2309" s="1"/>
      <c r="H2309" s="1"/>
      <c r="I2309" s="1"/>
    </row>
    <row r="2310" spans="1:9" ht="15.6" x14ac:dyDescent="0.3">
      <c r="A2310" s="4" t="s">
        <v>7</v>
      </c>
      <c r="B2310" s="4" t="s">
        <v>7</v>
      </c>
      <c r="C2310" s="11" t="s">
        <v>7</v>
      </c>
      <c r="D2310" s="5" t="s">
        <v>2101</v>
      </c>
      <c r="E2310" s="1" t="str">
        <f ca="1">IFERROR(__xludf.DUMMYFUNCTION("GOOGLETRANSLATE(D2310, ""bn"", ""en"")"),"Violence against minorities of Chinese origin in Indonesia in May 1998, in which hundreds of people were killed.")</f>
        <v>Violence against minorities of Chinese origin in Indonesia in May 1998, in which hundreds of people were killed.</v>
      </c>
      <c r="F2310" s="1"/>
      <c r="G2310" s="1"/>
      <c r="H2310" s="1"/>
      <c r="I2310" s="1"/>
    </row>
    <row r="2311" spans="1:9" ht="15.6" x14ac:dyDescent="0.3">
      <c r="A2311" s="1" t="s">
        <v>7</v>
      </c>
      <c r="B2311" s="1" t="s">
        <v>7</v>
      </c>
      <c r="C2311" s="10" t="s">
        <v>7</v>
      </c>
      <c r="D2311" s="5" t="s">
        <v>2102</v>
      </c>
      <c r="E2311" s="1" t="str">
        <f ca="1">IFERROR(__xludf.DUMMYFUNCTION("GOOGLETRANSLATE(D2311, ""bn"", ""en"")")," Somalia's al-Shabaab militants targeted Christian students at Garissa University in Kenya, killing 148.")</f>
        <v xml:space="preserve"> Somalia's al-Shabaab militants targeted Christian students at Garissa University in Kenya, killing 148.</v>
      </c>
      <c r="F2311" s="1"/>
      <c r="G2311" s="1"/>
      <c r="H2311" s="1"/>
      <c r="I2311" s="1"/>
    </row>
    <row r="2312" spans="1:9" ht="15.6" x14ac:dyDescent="0.3">
      <c r="A2312" s="1" t="s">
        <v>4</v>
      </c>
      <c r="B2312" s="1" t="s">
        <v>4</v>
      </c>
      <c r="C2312" s="10" t="s">
        <v>4</v>
      </c>
      <c r="D2312" s="5" t="s">
        <v>2103</v>
      </c>
      <c r="E2312" s="1" t="str">
        <f ca="1">IFERROR(__xludf.DUMMYFUNCTION("GOOGLETRANSLATE(D2312, ""bn"", ""en"")"),"People are becoming more and more selfish. Leaders of the United States, powerful countries are accepting the Taliban's takeover of the country by force!!! In which direction we are moving, we seem to be moving backwards!")</f>
        <v>People are becoming more and more selfish. Leaders of the United States, powerful countries are accepting the Taliban's takeover of the country by force!!! In which direction we are moving, we seem to be moving backwards!</v>
      </c>
      <c r="F2312" s="1"/>
      <c r="G2312" s="1"/>
      <c r="H2312" s="1"/>
      <c r="I2312" s="1"/>
    </row>
    <row r="2313" spans="1:9" ht="15.6" x14ac:dyDescent="0.3">
      <c r="A2313" s="1" t="s">
        <v>7</v>
      </c>
      <c r="B2313" s="1" t="s">
        <v>7</v>
      </c>
      <c r="C2313" s="10" t="s">
        <v>7</v>
      </c>
      <c r="D2313" s="5" t="s">
        <v>2104</v>
      </c>
      <c r="E2313" s="1" t="str">
        <f ca="1">IFERROR(__xludf.DUMMYFUNCTION("GOOGLETRANSLATE(D2313, ""bn"", ""en"")"),"Khairun Nahar died from the torture of these piglets. He didn't commit suicide, he was murdered")</f>
        <v>Khairun Nahar died from the torture of these piglets. He didn't commit suicide, he was murdered</v>
      </c>
      <c r="F2313" s="1"/>
      <c r="G2313" s="1"/>
      <c r="H2313" s="1"/>
      <c r="I2313" s="1"/>
    </row>
    <row r="2314" spans="1:9" ht="15.6" x14ac:dyDescent="0.3">
      <c r="A2314" s="1" t="s">
        <v>4</v>
      </c>
      <c r="B2314" s="1" t="s">
        <v>5</v>
      </c>
      <c r="C2314" s="10" t="s">
        <v>4</v>
      </c>
      <c r="D2314" s="5" t="s">
        <v>2105</v>
      </c>
      <c r="E2314" s="1" t="str">
        <f ca="1">IFERROR(__xludf.DUMMYFUNCTION("GOOGLETRANSLATE(D2314, ""bn"", ""en"")"),"In the name of religion, divisions, violence, fights, quarrels, partition of the country all started from 1946/47 especially due to deliberate mistake of Nehru and Gandhi. The poison tree has been planted immediately. Getting rid of it will not be easy.")</f>
        <v>In the name of religion, divisions, violence, fights, quarrels, partition of the country all started from 1946/47 especially due to deliberate mistake of Nehru and Gandhi. The poison tree has been planted immediately. Getting rid of it will not be easy.</v>
      </c>
      <c r="F2314" s="1"/>
      <c r="G2314" s="1"/>
      <c r="H2314" s="1"/>
      <c r="I2314" s="1"/>
    </row>
    <row r="2315" spans="1:9" ht="15.6" x14ac:dyDescent="0.3">
      <c r="A2315" s="4" t="s">
        <v>7</v>
      </c>
      <c r="B2315" s="4" t="s">
        <v>7</v>
      </c>
      <c r="C2315" s="11" t="s">
        <v>7</v>
      </c>
      <c r="D2315" s="5" t="s">
        <v>2106</v>
      </c>
      <c r="E2315" s="1" t="str">
        <f ca="1">IFERROR(__xludf.DUMMYFUNCTION("GOOGLETRANSLATE(D2315, ""bn"", ""en"")"),"Many Christian families were burned alive. [8] Thousands of Christians were forced to convert to Hinduism under threat of violence.")</f>
        <v>Many Christian families were burned alive. [8] Thousands of Christians were forced to convert to Hinduism under threat of violence.</v>
      </c>
      <c r="F2315" s="1"/>
      <c r="G2315" s="1"/>
      <c r="H2315" s="1"/>
      <c r="I2315" s="1"/>
    </row>
    <row r="2316" spans="1:9" ht="15.6" x14ac:dyDescent="0.3">
      <c r="A2316" s="1" t="s">
        <v>9</v>
      </c>
      <c r="B2316" s="1" t="s">
        <v>9</v>
      </c>
      <c r="C2316" s="10" t="s">
        <v>9</v>
      </c>
      <c r="D2316" s="5" t="s">
        <v>2107</v>
      </c>
      <c r="E2316" s="1" t="str">
        <f ca="1">IFERROR(__xludf.DUMMYFUNCTION("GOOGLETRANSLATE(D2316, ""bn"", ""en"")"),"The Mughal emperor Aurangzeb destroyed the Vishwanath temple and the Gnanabapi Masjid was built on a part of the ruins of the temple.")</f>
        <v>The Mughal emperor Aurangzeb destroyed the Vishwanath temple and the Gnanabapi Masjid was built on a part of the ruins of the temple.</v>
      </c>
      <c r="F2316" s="1"/>
      <c r="G2316" s="1"/>
      <c r="H2316" s="1"/>
      <c r="I2316" s="1"/>
    </row>
    <row r="2317" spans="1:9" ht="15.6" x14ac:dyDescent="0.3">
      <c r="A2317" s="1" t="s">
        <v>5</v>
      </c>
      <c r="B2317" s="1" t="s">
        <v>5</v>
      </c>
      <c r="C2317" s="10" t="s">
        <v>5</v>
      </c>
      <c r="D2317" s="5" t="s">
        <v>2108</v>
      </c>
      <c r="E2317" s="1" t="str">
        <f ca="1">IFERROR(__xludf.DUMMYFUNCTION("GOOGLETRANSLATE(D2317, ""bn"", ""en"")"),"According to the teachings of Islam, a Muslim not only fulfills his duty to Allah, but also helps his society to maintain justice and peace.")</f>
        <v>According to the teachings of Islam, a Muslim not only fulfills his duty to Allah, but also helps his society to maintain justice and peace.</v>
      </c>
      <c r="F2317" s="1"/>
      <c r="G2317" s="1"/>
      <c r="H2317" s="1"/>
      <c r="I2317" s="1"/>
    </row>
    <row r="2318" spans="1:9" ht="31.2" x14ac:dyDescent="0.3">
      <c r="A2318" s="1" t="s">
        <v>5</v>
      </c>
      <c r="B2318" s="1" t="s">
        <v>5</v>
      </c>
      <c r="C2318" s="10" t="s">
        <v>5</v>
      </c>
      <c r="D2318" s="6" t="s">
        <v>3808</v>
      </c>
      <c r="E2318" s="1" t="str">
        <f ca="1">IFERROR(__xludf.DUMMYFUNCTION("GOOGLETRANSLATE(D2318, ""bn"", ""en"")"),"People spread different religions in different places because the founders of different religions were isolated and they did not know that other religions were created elsewhere. Or even if they knew, they would want to modify the rules to fit their socia"&amp;"l values.")</f>
        <v>People spread different religions in different places because the founders of different religions were isolated and they did not know that other religions were created elsewhere. Or even if they knew, they would want to modify the rules to fit their social values.</v>
      </c>
      <c r="F2318" s="1"/>
      <c r="G2318" s="1"/>
      <c r="H2318" s="1"/>
      <c r="I2318" s="1"/>
    </row>
    <row r="2319" spans="1:9" ht="31.2" x14ac:dyDescent="0.3">
      <c r="A2319" s="1" t="s">
        <v>9</v>
      </c>
      <c r="B2319" s="1" t="s">
        <v>4</v>
      </c>
      <c r="C2319" s="10" t="s">
        <v>9</v>
      </c>
      <c r="D2319" s="6" t="s">
        <v>3807</v>
      </c>
      <c r="E2319" s="1" t="str">
        <f ca="1">IFERROR(__xludf.DUMMYFUNCTION("GOOGLETRANSLATE(D2319, ""bn"", ""en"")"),"On the night of October 16, 2021, hundreds of thousands of local Muslims caused violence in three Hindu-dominated villages of Ramnathpur Union of Pirganj Upazila, Rangpur District due to alleged offensive comments on the Kaaba Sharif image on social media"&amp;" Facebook.")</f>
        <v>On the night of October 16, 2021, hundreds of thousands of local Muslims caused violence in three Hindu-dominated villages of Ramnathpur Union of Pirganj Upazila, Rangpur District due to alleged offensive comments on the Kaaba Sharif image on social media Facebook.</v>
      </c>
      <c r="F2319" s="1"/>
      <c r="G2319" s="1"/>
      <c r="H2319" s="1"/>
      <c r="I2319" s="1"/>
    </row>
    <row r="2320" spans="1:9" ht="15.6" x14ac:dyDescent="0.3">
      <c r="A2320" s="1" t="s">
        <v>4</v>
      </c>
      <c r="B2320" s="1" t="s">
        <v>4</v>
      </c>
      <c r="C2320" s="10" t="s">
        <v>4</v>
      </c>
      <c r="D2320" s="5" t="s">
        <v>2109</v>
      </c>
      <c r="E2320" s="1" t="str">
        <f ca="1">IFERROR(__xludf.DUMMYFUNCTION("GOOGLETRANSLATE(D2320, ""bn"", ""en"")"),"Why not allow iftar mahfil for 95% in a university where 5% of people have swarsati puja? ")</f>
        <v xml:space="preserve">Why not allow iftar mahfil for 95% in a university where 5% of people have swarsati puja? </v>
      </c>
      <c r="F2320" s="1"/>
      <c r="G2320" s="1"/>
      <c r="H2320" s="1"/>
      <c r="I2320" s="1"/>
    </row>
    <row r="2321" spans="1:9" ht="15.6" x14ac:dyDescent="0.3">
      <c r="A2321" s="1" t="s">
        <v>9</v>
      </c>
      <c r="B2321" s="1" t="s">
        <v>9</v>
      </c>
      <c r="C2321" s="10" t="s">
        <v>9</v>
      </c>
      <c r="D2321" s="5" t="s">
        <v>2110</v>
      </c>
      <c r="E2321" s="1" t="str">
        <f ca="1">IFERROR(__xludf.DUMMYFUNCTION("GOOGLETRANSLATE(D2321, ""bn"", ""en"")"),"The fire at a mosque in Tennessee fueled by anti-Islam sentiment is an example of growing anti-Muslim hate crimes in the United States.")</f>
        <v>The fire at a mosque in Tennessee fueled by anti-Islam sentiment is an example of growing anti-Muslim hate crimes in the United States.</v>
      </c>
      <c r="F2321" s="1"/>
      <c r="G2321" s="1"/>
      <c r="H2321" s="1"/>
      <c r="I2321" s="1"/>
    </row>
    <row r="2322" spans="1:9" ht="15.6" x14ac:dyDescent="0.3">
      <c r="A2322" s="1" t="s">
        <v>7</v>
      </c>
      <c r="B2322" s="1" t="s">
        <v>7</v>
      </c>
      <c r="C2322" s="10" t="s">
        <v>7</v>
      </c>
      <c r="D2322" s="5" t="s">
        <v>2111</v>
      </c>
      <c r="E2322" s="1" t="str">
        <f ca="1">IFERROR(__xludf.DUMMYFUNCTION("GOOGLETRANSLATE(D2322, ""bn"", ""en"")"),"We say that the end of the United States is imminent, whether Bin Laden or his followers are alive or dead, the Muslim Ummah is waking up.")</f>
        <v>We say that the end of the United States is imminent, whether Bin Laden or his followers are alive or dead, the Muslim Ummah is waking up.</v>
      </c>
      <c r="F2322" s="1"/>
      <c r="G2322" s="1"/>
      <c r="H2322" s="1"/>
      <c r="I2322" s="1"/>
    </row>
    <row r="2323" spans="1:9" ht="15.6" x14ac:dyDescent="0.3">
      <c r="A2323" s="1" t="s">
        <v>5</v>
      </c>
      <c r="B2323" s="1" t="s">
        <v>5</v>
      </c>
      <c r="C2323" s="10" t="s">
        <v>5</v>
      </c>
      <c r="D2323" s="5" t="s">
        <v>2112</v>
      </c>
      <c r="E2323" s="1" t="str">
        <f ca="1">IFERROR(__xludf.DUMMYFUNCTION("GOOGLETRANSLATE(D2323, ""bn"", ""en"")"),"Some Indian products are within the reach of 90% people. Promote them. The movement is very successful and will be more successful. Insha'Allah")</f>
        <v>Some Indian products are within the reach of 90% people. Promote them. The movement is very successful and will be more successful. Insha'Allah</v>
      </c>
      <c r="F2323" s="1"/>
      <c r="G2323" s="1"/>
      <c r="H2323" s="1"/>
      <c r="I2323" s="1"/>
    </row>
    <row r="2324" spans="1:9" ht="15.6" x14ac:dyDescent="0.3">
      <c r="A2324" s="1" t="s">
        <v>9</v>
      </c>
      <c r="B2324" s="1" t="s">
        <v>9</v>
      </c>
      <c r="C2324" s="10" t="s">
        <v>9</v>
      </c>
      <c r="D2324" s="5" t="s">
        <v>2113</v>
      </c>
      <c r="E2324" s="1" t="str">
        <f ca="1">IFERROR(__xludf.DUMMYFUNCTION("GOOGLETRANSLATE(D2324, ""bn"", ""en"")"),"In 2016, the 'Khanti Ahle Sunnat Wal Jamaat' called for protests and rallies at Nasirnagar Government College Junction, alleging hurt to religious sentiments. ")</f>
        <v>In 2016, the 'Khanti Ahle Sunnat Wal Jamaat' called for protests and rallies at Nasirnagar Government College Junction, alleging hurt to religious sentiments. </v>
      </c>
      <c r="F2324" s="1"/>
      <c r="G2324" s="1"/>
      <c r="H2324" s="1"/>
      <c r="I2324" s="1"/>
    </row>
    <row r="2325" spans="1:9" ht="15.6" x14ac:dyDescent="0.3">
      <c r="A2325" s="1" t="s">
        <v>7</v>
      </c>
      <c r="B2325" s="1" t="s">
        <v>7</v>
      </c>
      <c r="C2325" s="10" t="s">
        <v>7</v>
      </c>
      <c r="D2325" s="5" t="s">
        <v>2114</v>
      </c>
      <c r="E2325" s="1" t="str">
        <f ca="1">IFERROR(__xludf.DUMMYFUNCTION("GOOGLETRANSLATE(D2325, ""bn"", ""en"")"),"If the husband dies his wife is burnt with him, if she lives, if she does not her head is shaved and then no account is taken of her.")</f>
        <v>If the husband dies his wife is burnt with him, if she lives, if she does not her head is shaved and then no account is taken of her.</v>
      </c>
      <c r="F2325" s="1"/>
      <c r="G2325" s="1"/>
      <c r="H2325" s="1"/>
      <c r="I2325" s="1"/>
    </row>
    <row r="2326" spans="1:9" ht="46.8" x14ac:dyDescent="0.3">
      <c r="A2326" s="1" t="s">
        <v>9</v>
      </c>
      <c r="B2326" s="1" t="s">
        <v>9</v>
      </c>
      <c r="C2326" s="10" t="s">
        <v>9</v>
      </c>
      <c r="D2326" s="6" t="s">
        <v>3806</v>
      </c>
      <c r="E2326" s="1" t="str">
        <f ca="1">IFERROR(__xludf.DUMMYFUNCTION("GOOGLETRANSLATE(D2326, ""bn"", ""en"")"),"On September 23, an idol was vandalized in a temple in Jeyala Nalta village of Tala upazila in Satkhira. Muslim miscreants broke the head of the idol in the Sahapara temple on Friday morning. Local public representatives including senior police officers a"&amp;"nd members of parliament visited the scene and said that through investigation, those involved in the incident will be brought under the law.")</f>
        <v>On September 23, an idol was vandalized in a temple in Jeyala Nalta village of Tala upazila in Satkhira. Muslim miscreants broke the head of the idol in the Sahapara temple on Friday morning. Local public representatives including senior police officers and members of parliament visited the scene and said that through investigation, those involved in the incident will be brought under the law.</v>
      </c>
      <c r="F2326" s="1"/>
      <c r="G2326" s="1"/>
      <c r="H2326" s="1"/>
      <c r="I2326" s="1"/>
    </row>
    <row r="2327" spans="1:9" ht="15.6" x14ac:dyDescent="0.3">
      <c r="A2327" s="1" t="s">
        <v>4</v>
      </c>
      <c r="B2327" s="1" t="s">
        <v>5</v>
      </c>
      <c r="C2327" s="10" t="s">
        <v>4</v>
      </c>
      <c r="D2327" s="5" t="s">
        <v>2115</v>
      </c>
      <c r="E2327" s="1" t="str">
        <f ca="1">IFERROR(__xludf.DUMMYFUNCTION("GOOGLETRANSLATE(D2327, ""bn"", ""en"")"),"I see many people who post a lot about religion but they are involved in a lot of usury, bribery and haram business.")</f>
        <v>I see many people who post a lot about religion but they are involved in a lot of usury, bribery and haram business.</v>
      </c>
      <c r="F2327" s="1"/>
      <c r="G2327" s="1"/>
      <c r="H2327" s="1"/>
      <c r="I2327" s="1"/>
    </row>
    <row r="2328" spans="1:9" ht="46.8" x14ac:dyDescent="0.3">
      <c r="A2328" s="1" t="s">
        <v>9</v>
      </c>
      <c r="B2328" s="1" t="s">
        <v>5</v>
      </c>
      <c r="C2328" s="10" t="s">
        <v>4</v>
      </c>
      <c r="D2328" s="6" t="s">
        <v>3805</v>
      </c>
      <c r="E2328" s="1" t="str">
        <f ca="1">IFERROR(__xludf.DUMMYFUNCTION("GOOGLETRANSLATE(D2328, ""bn"", ""en"")"),"National politics is now a topic of discussion 'Sanatan Dharma'. Udayanidhi Stalin, son of DMK leader MK Stalin's son Udayanidhi Stalin, is in the tumultuous national politics. Tamil Nadu Sports and Youth Welfare Minister Udayanidhi Stalin compared 'Sanat"&amp;"ana Dharma' to dengue malaria and called for the eradication of the religion.")</f>
        <v>National politics is now a topic of discussion 'Sanatan Dharma'. Udayanidhi Stalin, son of DMK leader MK Stalin's son Udayanidhi Stalin, is in the tumultuous national politics. Tamil Nadu Sports and Youth Welfare Minister Udayanidhi Stalin compared 'Sanatana Dharma' to dengue malaria and called for the eradication of the religion.</v>
      </c>
      <c r="F2328" s="1"/>
      <c r="G2328" s="1"/>
      <c r="H2328" s="1"/>
      <c r="I2328" s="1"/>
    </row>
    <row r="2329" spans="1:9" ht="31.2" x14ac:dyDescent="0.3">
      <c r="A2329" s="1" t="s">
        <v>4</v>
      </c>
      <c r="B2329" s="1" t="s">
        <v>4</v>
      </c>
      <c r="C2329" s="10" t="s">
        <v>4</v>
      </c>
      <c r="D2329" s="6" t="s">
        <v>3804</v>
      </c>
      <c r="E2329" s="1" t="str">
        <f ca="1">IFERROR(__xludf.DUMMYFUNCTION("GOOGLETRANSLATE(D2329, ""bn"", ""en"")"),"Anti-Muslim incitement and hateful activities by the Hindutva BJP and its affiliates are nothing new. Since the BJP took power in Delhi, anti-Muslim sentiment has become an authoritarian political agenda.")</f>
        <v>Anti-Muslim incitement and hateful activities by the Hindutva BJP and its affiliates are nothing new. Since the BJP took power in Delhi, anti-Muslim sentiment has become an authoritarian political agenda.</v>
      </c>
      <c r="F2329" s="1"/>
      <c r="G2329" s="1"/>
      <c r="H2329" s="1"/>
      <c r="I2329" s="1"/>
    </row>
    <row r="2330" spans="1:9" ht="15.6" x14ac:dyDescent="0.3">
      <c r="A2330" s="1" t="s">
        <v>5</v>
      </c>
      <c r="B2330" s="1" t="s">
        <v>5</v>
      </c>
      <c r="C2330" s="10" t="s">
        <v>5</v>
      </c>
      <c r="D2330" s="5" t="s">
        <v>2116</v>
      </c>
      <c r="E2330" s="1" t="str">
        <f ca="1">IFERROR(__xludf.DUMMYFUNCTION("GOOGLETRANSLATE(D2330, ""bn"", ""en"")"),"Although many sectarian movements have arisen within Islam, all Muslims are bound by a common faith and a sense of belonging to a single community.")</f>
        <v>Although many sectarian movements have arisen within Islam, all Muslims are bound by a common faith and a sense of belonging to a single community.</v>
      </c>
      <c r="F2330" s="1"/>
      <c r="G2330" s="1"/>
      <c r="H2330" s="1"/>
      <c r="I2330" s="1"/>
    </row>
    <row r="2331" spans="1:9" ht="15.6" x14ac:dyDescent="0.3">
      <c r="A2331" s="1" t="s">
        <v>9</v>
      </c>
      <c r="B2331" s="1" t="s">
        <v>4</v>
      </c>
      <c r="C2331" s="10" t="s">
        <v>4</v>
      </c>
      <c r="D2331" s="5" t="s">
        <v>2117</v>
      </c>
      <c r="E2331" s="1" t="str">
        <f ca="1">IFERROR(__xludf.DUMMYFUNCTION("GOOGLETRANSLATE(D2331, ""bn"", ""en"")"),"Atheist page Sanatani Army Version 2.0 removed for offensive posts about Islam and Muslim sisters")</f>
        <v>Atheist page Sanatani Army Version 2.0 removed for offensive posts about Islam and Muslim sisters</v>
      </c>
      <c r="F2331" s="1"/>
      <c r="G2331" s="1"/>
      <c r="H2331" s="1"/>
      <c r="I2331" s="1"/>
    </row>
    <row r="2332" spans="1:9" ht="31.2" x14ac:dyDescent="0.3">
      <c r="A2332" s="1" t="s">
        <v>5</v>
      </c>
      <c r="B2332" s="1" t="s">
        <v>5</v>
      </c>
      <c r="C2332" s="10" t="s">
        <v>5</v>
      </c>
      <c r="D2332" s="6" t="s">
        <v>3803</v>
      </c>
      <c r="E2332" s="1" t="str">
        <f ca="1">IFERROR(__xludf.DUMMYFUNCTION("GOOGLETRANSLATE(D2332, ""bn"", ""en"")"),"Hindus are spread equally in all regions of Bangladesh. Significant concentrations are in the north, south-west and north-east parts of the country. In nature, Bangladeshi Hinduism closely resembles the rituals and practices of Hinduism prevalent in the n"&amp;"eighboring Indian state of West Bengal, ")</f>
        <v>Hindus are spread equally in all regions of Bangladesh. Significant concentrations are in the north, south-west and north-east parts of the country. In nature, Bangladeshi Hinduism closely resembles the rituals and practices of Hinduism prevalent in the neighboring Indian state of West Bengal, </v>
      </c>
      <c r="F2332" s="1"/>
      <c r="G2332" s="1"/>
      <c r="H2332" s="1"/>
      <c r="I2332" s="1"/>
    </row>
    <row r="2333" spans="1:9" ht="15.6" x14ac:dyDescent="0.3">
      <c r="A2333" s="1" t="s">
        <v>4</v>
      </c>
      <c r="B2333" s="1" t="s">
        <v>4</v>
      </c>
      <c r="C2333" s="10" t="s">
        <v>4</v>
      </c>
      <c r="D2333" s="5" t="s">
        <v>2118</v>
      </c>
      <c r="E2333" s="1" t="str">
        <f ca="1">IFERROR(__xludf.DUMMYFUNCTION("GOOGLETRANSLATE(D2333, ""bn"", ""en"")"),"I will do unity only when you give logical speech, not such violent talk.")</f>
        <v>I will do unity only when you give logical speech, not such violent talk.</v>
      </c>
      <c r="F2333" s="1"/>
      <c r="G2333" s="1"/>
      <c r="H2333" s="1"/>
      <c r="I2333" s="1"/>
    </row>
    <row r="2334" spans="1:9" ht="31.2" x14ac:dyDescent="0.3">
      <c r="A2334" s="1" t="s">
        <v>5</v>
      </c>
      <c r="B2334" s="1" t="s">
        <v>5</v>
      </c>
      <c r="C2334" s="10" t="s">
        <v>5</v>
      </c>
      <c r="D2334" s="6" t="s">
        <v>3802</v>
      </c>
      <c r="E2334" s="1" t="str">
        <f ca="1">IFERROR(__xludf.DUMMYFUNCTION("GOOGLETRANSLATE(D2334, ""bn"", ""en"")"),"Others believe the word comes from Syriac or Hebrew. But most linguists believe that the word Allah is derived from a combination of the Arabic words ""Al"" and ""Illah"", which are definite indicatives of the Arabic language.")</f>
        <v>Others believe the word comes from Syriac or Hebrew. But most linguists believe that the word Allah is derived from a combination of the Arabic words "Al" and "Illah", which are definite indicatives of the Arabic language.</v>
      </c>
      <c r="F2334" s="1"/>
      <c r="G2334" s="1"/>
      <c r="H2334" s="1"/>
      <c r="I2334" s="1"/>
    </row>
    <row r="2335" spans="1:9" ht="31.2" x14ac:dyDescent="0.3">
      <c r="A2335" s="1" t="s">
        <v>5</v>
      </c>
      <c r="B2335" s="1" t="s">
        <v>5</v>
      </c>
      <c r="C2335" s="10" t="s">
        <v>5</v>
      </c>
      <c r="D2335" s="6" t="s">
        <v>3801</v>
      </c>
      <c r="E2335" s="1" t="str">
        <f ca="1">IFERROR(__xludf.DUMMYFUNCTION("GOOGLETRANSLATE(D2335, ""bn"", ""en"")"),"Muslim religion was introduced in Bangladesh after 1000 AD. But among Buddhism, Jainism, Brahmanism - etc., which religion is the oldest in Bengal? Where is the place of Hinduism in Bengali history? Hinduism is the traditional religion? - All these questi"&amp;"ons will be discussed in today's episode.")</f>
        <v>Muslim religion was introduced in Bangladesh after 1000 AD. But among Buddhism, Jainism, Brahmanism - etc., which religion is the oldest in Bengal? Where is the place of Hinduism in Bengali history? Hinduism is the traditional religion? - All these questions will be discussed in today's episode.</v>
      </c>
      <c r="F2335" s="1"/>
      <c r="G2335" s="1"/>
      <c r="H2335" s="1"/>
      <c r="I2335" s="1"/>
    </row>
    <row r="2336" spans="1:9" ht="15.6" x14ac:dyDescent="0.3">
      <c r="A2336" s="1" t="s">
        <v>9</v>
      </c>
      <c r="B2336" s="1" t="s">
        <v>9</v>
      </c>
      <c r="C2336" s="10" t="s">
        <v>9</v>
      </c>
      <c r="D2336" s="5" t="s">
        <v>2119</v>
      </c>
      <c r="E2336" s="1" t="str">
        <f ca="1">IFERROR(__xludf.DUMMYFUNCTION("GOOGLETRANSLATE(D2336, ""bn"", ""en"")"),"Several ministers in Bangladesh have said that the government believes that some groups have tried to create unrest by causing a series of violent incidents by spreading rumors of insulting religion.")</f>
        <v>Several ministers in Bangladesh have said that the government believes that some groups have tried to create unrest by causing a series of violent incidents by spreading rumors of insulting religion.</v>
      </c>
      <c r="F2336" s="1"/>
      <c r="G2336" s="1"/>
      <c r="H2336" s="1"/>
      <c r="I2336" s="1"/>
    </row>
    <row r="2337" spans="1:9" ht="15.6" x14ac:dyDescent="0.3">
      <c r="A2337" s="1" t="s">
        <v>4</v>
      </c>
      <c r="B2337" s="1" t="s">
        <v>4</v>
      </c>
      <c r="C2337" s="10" t="s">
        <v>4</v>
      </c>
      <c r="D2337" s="5" t="s">
        <v>2120</v>
      </c>
      <c r="E2337" s="1" t="str">
        <f ca="1">IFERROR(__xludf.DUMMYFUNCTION("GOOGLETRANSLATE(D2337, ""bn"", ""en"")"),"Pooja was done only in Jagannath Hall. Pooja was not organized in the whole campus, everywhere, all over the department. Why is there so much itching about being worshiped! Why is there so much hatred and violence!")</f>
        <v>Pooja was done only in Jagannath Hall. Pooja was not organized in the whole campus, everywhere, all over the department. Why is there so much itching about being worshiped! Why is there so much hatred and violence!</v>
      </c>
      <c r="F2337" s="1"/>
      <c r="G2337" s="1"/>
      <c r="H2337" s="1"/>
      <c r="I2337" s="1"/>
    </row>
    <row r="2338" spans="1:9" ht="31.2" x14ac:dyDescent="0.3">
      <c r="A2338" s="1" t="s">
        <v>5</v>
      </c>
      <c r="B2338" s="1" t="s">
        <v>5</v>
      </c>
      <c r="C2338" s="10" t="s">
        <v>5</v>
      </c>
      <c r="D2338" s="6" t="s">
        <v>3800</v>
      </c>
      <c r="E2338" s="1" t="str">
        <f ca="1">IFERROR(__xludf.DUMMYFUNCTION("GOOGLETRANSLATE(D2338, ""bn"", ""en"")"),"Many Catholic Bengalis use Portuguese surnames for Christian names. As Bengali Muslims use Arabic and Persian names, so do Bengali Christians.")</f>
        <v>Many Catholic Bengalis use Portuguese surnames for Christian names. As Bengali Muslims use Arabic and Persian names, so do Bengali Christians.</v>
      </c>
      <c r="F2338" s="1"/>
      <c r="G2338" s="1"/>
      <c r="H2338" s="1"/>
      <c r="I2338" s="1"/>
    </row>
    <row r="2339" spans="1:9" ht="15.6" x14ac:dyDescent="0.3">
      <c r="A2339" s="1" t="s">
        <v>4</v>
      </c>
      <c r="B2339" s="1" t="s">
        <v>4</v>
      </c>
      <c r="C2339" s="10" t="s">
        <v>4</v>
      </c>
      <c r="D2339" s="5" t="s">
        <v>2121</v>
      </c>
      <c r="E2339" s="1" t="str">
        <f ca="1">IFERROR(__xludf.DUMMYFUNCTION("GOOGLETRANSLATE(D2339, ""bn"", ""en"")"),"Strongly condemned and protested. Anyone who has done this will be judged by Allah. I want peace, not conflict. I want justice for those who insult the Quran.")</f>
        <v>Strongly condemned and protested. Anyone who has done this will be judged by Allah. I want peace, not conflict. I want justice for those who insult the Quran.</v>
      </c>
      <c r="F2339" s="1"/>
      <c r="G2339" s="1"/>
      <c r="H2339" s="1"/>
      <c r="I2339" s="1"/>
    </row>
    <row r="2340" spans="1:9" ht="15.6" x14ac:dyDescent="0.3">
      <c r="A2340" s="1" t="s">
        <v>5</v>
      </c>
      <c r="B2340" s="1" t="s">
        <v>5</v>
      </c>
      <c r="C2340" s="10" t="s">
        <v>5</v>
      </c>
      <c r="D2340" s="5" t="s">
        <v>2122</v>
      </c>
      <c r="E2340" s="1" t="str">
        <f ca="1">IFERROR(__xludf.DUMMYFUNCTION("GOOGLETRANSLATE(D2340, ""bn"", ""en"")"),"I came to know about the temple while living in Oklahoma when its followers were campaigning.")</f>
        <v>I came to know about the temple while living in Oklahoma when its followers were campaigning.</v>
      </c>
      <c r="F2340" s="1"/>
      <c r="G2340" s="1"/>
      <c r="H2340" s="1"/>
      <c r="I2340" s="1"/>
    </row>
    <row r="2341" spans="1:9" ht="31.2" x14ac:dyDescent="0.3">
      <c r="A2341" s="1" t="s">
        <v>9</v>
      </c>
      <c r="B2341" s="1" t="s">
        <v>9</v>
      </c>
      <c r="C2341" s="10" t="s">
        <v>9</v>
      </c>
      <c r="D2341" s="6" t="s">
        <v>3799</v>
      </c>
      <c r="E2341" s="1" t="str">
        <f ca="1">IFERROR(__xludf.DUMMYFUNCTION("GOOGLETRANSLATE(D2341, ""bn"", ""en"")"),"Attacks on Hindu institutions have increased by 14% since 2004, according to government reports. Hindus and Hinduism are being called exotic by Christian fundamentalists. Hindus have been attacked by Fijian Christian fundamentalists, particularly after th"&amp;"e May 2000 coup.")</f>
        <v>Attacks on Hindu institutions have increased by 14% since 2004, according to government reports. Hindus and Hinduism are being called exotic by Christian fundamentalists. Hindus have been attacked by Fijian Christian fundamentalists, particularly after the May 2000 coup.</v>
      </c>
      <c r="F2341" s="1"/>
      <c r="G2341" s="1"/>
      <c r="H2341" s="1"/>
      <c r="I2341" s="1"/>
    </row>
    <row r="2342" spans="1:9" ht="15.6" x14ac:dyDescent="0.3">
      <c r="A2342" s="1" t="s">
        <v>7</v>
      </c>
      <c r="B2342" s="1" t="s">
        <v>7</v>
      </c>
      <c r="C2342" s="10" t="s">
        <v>7</v>
      </c>
      <c r="D2342" s="5" t="s">
        <v>2123</v>
      </c>
      <c r="E2342" s="1" t="str">
        <f ca="1">IFERROR(__xludf.DUMMYFUNCTION("GOOGLETRANSLATE(D2342, ""bn"", ""en"")"),"Two main causes of suicide are depression and false expectations: A believer is never depressed. ")</f>
        <v xml:space="preserve">Two main causes of suicide are depression and false expectations: A believer is never depressed. </v>
      </c>
      <c r="F2342" s="1"/>
      <c r="G2342" s="1"/>
      <c r="H2342" s="1"/>
      <c r="I2342" s="1"/>
    </row>
    <row r="2343" spans="1:9" ht="15.6" x14ac:dyDescent="0.3">
      <c r="A2343" s="1" t="s">
        <v>5</v>
      </c>
      <c r="B2343" s="1" t="s">
        <v>5</v>
      </c>
      <c r="C2343" s="10" t="s">
        <v>5</v>
      </c>
      <c r="D2343" s="5" t="s">
        <v>2124</v>
      </c>
      <c r="E2343" s="1" t="str">
        <f ca="1">IFERROR(__xludf.DUMMYFUNCTION("GOOGLETRANSLATE(D2343, ""bn"", ""en"")")," Devotees light many lamps in each temple, decorate the temple premises with garlands and immerse themselves in the worship of the Buddha.")</f>
        <v> Devotees light many lamps in each temple, decorate the temple premises with garlands and immerse themselves in the worship of the Buddha.</v>
      </c>
      <c r="F2343" s="1"/>
      <c r="G2343" s="1"/>
      <c r="H2343" s="1"/>
      <c r="I2343" s="1"/>
    </row>
    <row r="2344" spans="1:9" ht="15.6" x14ac:dyDescent="0.3">
      <c r="A2344" s="1" t="s">
        <v>7</v>
      </c>
      <c r="B2344" s="1" t="s">
        <v>7</v>
      </c>
      <c r="C2344" s="10" t="s">
        <v>7</v>
      </c>
      <c r="D2344" s="5" t="s">
        <v>2125</v>
      </c>
      <c r="E2344" s="1" t="str">
        <f ca="1">IFERROR(__xludf.DUMMYFUNCTION("GOOGLETRANSLATE(D2344, ""bn"", ""en"")"),"The practice of sati, which involves burning a widow with her dead husband, seems to have been introduced in the post-Gupta period, after 500 AD.")</f>
        <v>The practice of sati, which involves burning a widow with her dead husband, seems to have been introduced in the post-Gupta period, after 500 AD.</v>
      </c>
      <c r="F2344" s="1"/>
      <c r="G2344" s="1"/>
      <c r="H2344" s="1"/>
      <c r="I2344" s="1"/>
    </row>
    <row r="2345" spans="1:9" ht="15.6" x14ac:dyDescent="0.3">
      <c r="A2345" s="1" t="s">
        <v>9</v>
      </c>
      <c r="B2345" s="1" t="s">
        <v>9</v>
      </c>
      <c r="C2345" s="10" t="s">
        <v>9</v>
      </c>
      <c r="D2345" s="5" t="s">
        <v>2126</v>
      </c>
      <c r="E2345" s="1" t="str">
        <f ca="1">IFERROR(__xludf.DUMMYFUNCTION("GOOGLETRANSLATE(D2345, ""bn"", ""en"")"),"A Hindu temple was set on fire in Nalchira union of Gournadi upazila in Barisal district. The Pingalkathi public Durga temple was vandalized.")</f>
        <v>A Hindu temple was set on fire in Nalchira union of Gournadi upazila in Barisal district. The Pingalkathi public Durga temple was vandalized.</v>
      </c>
      <c r="F2345" s="1"/>
      <c r="G2345" s="1"/>
      <c r="H2345" s="1"/>
      <c r="I2345" s="1"/>
    </row>
    <row r="2346" spans="1:9" ht="15.6" x14ac:dyDescent="0.3">
      <c r="A2346" s="1" t="s">
        <v>4</v>
      </c>
      <c r="B2346" s="1" t="s">
        <v>5</v>
      </c>
      <c r="C2346" s="10" t="s">
        <v>4</v>
      </c>
      <c r="D2346" s="5" t="s">
        <v>2127</v>
      </c>
      <c r="E2346" s="1" t="str">
        <f ca="1">IFERROR(__xludf.DUMMYFUNCTION("GOOGLETRANSLATE(D2346, ""bn"", ""en"")"),"Boycott of French products: France calls on Arab countries to stop boycott")</f>
        <v>Boycott of French products: France calls on Arab countries to stop boycott</v>
      </c>
      <c r="F2346" s="1"/>
      <c r="G2346" s="1"/>
      <c r="H2346" s="1"/>
      <c r="I2346" s="1"/>
    </row>
    <row r="2347" spans="1:9" ht="31.2" x14ac:dyDescent="0.3">
      <c r="A2347" s="1" t="s">
        <v>9</v>
      </c>
      <c r="B2347" s="1" t="s">
        <v>9</v>
      </c>
      <c r="C2347" s="10" t="s">
        <v>9</v>
      </c>
      <c r="D2347" s="6" t="s">
        <v>3798</v>
      </c>
      <c r="E2347" s="1" t="str">
        <f ca="1">IFERROR(__xludf.DUMMYFUNCTION("GOOGLETRANSLATE(D2347, ""bn"", ""en"")"),"The government deployed the BGB (Border Guard Bangladesh) in 22 districts following the vandalism and arson of shrines, temples and idols in Comilla, Bangladesh. [12] The government appealed to the general public to remain calm.")</f>
        <v>The government deployed the BGB (Border Guard Bangladesh) in 22 districts following the vandalism and arson of shrines, temples and idols in Comilla, Bangladesh. [12] The government appealed to the general public to remain calm.</v>
      </c>
      <c r="F2347" s="1"/>
      <c r="G2347" s="1"/>
      <c r="H2347" s="1"/>
      <c r="I2347" s="1"/>
    </row>
    <row r="2348" spans="1:9" ht="31.2" x14ac:dyDescent="0.3">
      <c r="A2348" s="1" t="s">
        <v>7</v>
      </c>
      <c r="B2348" s="1" t="s">
        <v>7</v>
      </c>
      <c r="C2348" s="10" t="s">
        <v>7</v>
      </c>
      <c r="D2348" s="6" t="s">
        <v>3797</v>
      </c>
      <c r="E2348" s="1" t="str">
        <f ca="1">IFERROR(__xludf.DUMMYFUNCTION("GOOGLETRANSLATE(D2348, ""bn"", ""en"")"),"The Muslim world will witness the dawning of a new horizon. In the words of the poet, ""Islam zinda hota hay har karbala ke baad."" The death of Hussain is actually the death of Yazid, because Islam is revived after every Karbala.")</f>
        <v>The Muslim world will witness the dawning of a new horizon. In the words of the poet, "Islam zinda hota hay har karbala ke baad." The death of Hussain is actually the death of Yazid, because Islam is revived after every Karbala.</v>
      </c>
      <c r="F2348" s="1"/>
      <c r="G2348" s="1"/>
      <c r="H2348" s="1"/>
      <c r="I2348" s="1"/>
    </row>
    <row r="2349" spans="1:9" ht="31.2" x14ac:dyDescent="0.3">
      <c r="A2349" s="1" t="s">
        <v>9</v>
      </c>
      <c r="B2349" s="1" t="s">
        <v>4</v>
      </c>
      <c r="C2349" s="10" t="s">
        <v>9</v>
      </c>
      <c r="D2349" s="6" t="s">
        <v>3796</v>
      </c>
      <c r="E2349" s="1" t="str">
        <f ca="1">IFERROR(__xludf.DUMMYFUNCTION("GOOGLETRANSLATE(D2349, ""bn"", ""en"")"),"Muslims brutally raped many Hindu women and abducted helpless Hindu girls. [23] The area was renamed Jaffrabad after an ethnic cleansing campaign against the Bengali Hindu community in the entire township.")</f>
        <v>Muslims brutally raped many Hindu women and abducted helpless Hindu girls. [23] The area was renamed Jaffrabad after an ethnic cleansing campaign against the Bengali Hindu community in the entire township.</v>
      </c>
      <c r="F2349" s="1"/>
      <c r="G2349" s="1"/>
      <c r="H2349" s="1"/>
      <c r="I2349" s="1"/>
    </row>
    <row r="2350" spans="1:9" ht="15.6" x14ac:dyDescent="0.3">
      <c r="A2350" s="1" t="s">
        <v>7</v>
      </c>
      <c r="B2350" s="1" t="s">
        <v>7</v>
      </c>
      <c r="C2350" s="10" t="s">
        <v>7</v>
      </c>
      <c r="D2350" s="5" t="s">
        <v>2128</v>
      </c>
      <c r="E2350" s="1" t="str">
        <f ca="1">IFERROR(__xludf.DUMMYFUNCTION("GOOGLETRANSLATE(D2350, ""bn"", ""en"")"),"Although suicide is prohibited in all religions, euthanasia is not legal in medicine")</f>
        <v>Although suicide is prohibited in all religions, euthanasia is not legal in medicine</v>
      </c>
      <c r="F2350" s="1"/>
      <c r="G2350" s="1"/>
      <c r="H2350" s="1"/>
      <c r="I2350" s="1"/>
    </row>
    <row r="2351" spans="1:9" ht="15.6" x14ac:dyDescent="0.3">
      <c r="A2351" s="1" t="s">
        <v>4</v>
      </c>
      <c r="B2351" s="1" t="s">
        <v>5</v>
      </c>
      <c r="C2351" s="10" t="s">
        <v>4</v>
      </c>
      <c r="D2351" s="5" t="s">
        <v>2129</v>
      </c>
      <c r="E2351" s="1" t="str">
        <f ca="1">IFERROR(__xludf.DUMMYFUNCTION("GOOGLETRANSLATE(D2351, ""bn"", ""en"")"),"If we men (brothers, fathers, samiras) were aware, this plight would not have arisen that girls are not fasting.""")</f>
        <v>If we men (brothers, fathers, samiras) were aware, this plight would not have arisen that girls are not fasting."</v>
      </c>
      <c r="F2351" s="1"/>
      <c r="G2351" s="1"/>
      <c r="H2351" s="1"/>
      <c r="I2351" s="1"/>
    </row>
    <row r="2352" spans="1:9" ht="15.6" x14ac:dyDescent="0.3">
      <c r="A2352" s="1" t="s">
        <v>4</v>
      </c>
      <c r="B2352" s="1" t="s">
        <v>4</v>
      </c>
      <c r="C2352" s="10" t="s">
        <v>4</v>
      </c>
      <c r="D2352" s="5" t="s">
        <v>2130</v>
      </c>
      <c r="E2352" s="1" t="str">
        <f ca="1">IFERROR(__xludf.DUMMYFUNCTION("GOOGLETRANSLATE(D2352, ""bn"", ""en"")"),"Shame on Sweden for insulting our Holy Quran. Thank you Erdoğan")</f>
        <v>Shame on Sweden for insulting our Holy Quran. Thank you Erdoğan</v>
      </c>
      <c r="F2352" s="1"/>
      <c r="G2352" s="1"/>
      <c r="H2352" s="1"/>
      <c r="I2352" s="1"/>
    </row>
    <row r="2353" spans="1:9" ht="31.2" x14ac:dyDescent="0.3">
      <c r="A2353" s="1" t="s">
        <v>9</v>
      </c>
      <c r="B2353" s="1" t="s">
        <v>9</v>
      </c>
      <c r="C2353" s="10" t="s">
        <v>9</v>
      </c>
      <c r="D2353" s="6" t="s">
        <v>3795</v>
      </c>
      <c r="E2353" s="1" t="str">
        <f ca="1">IFERROR(__xludf.DUMMYFUNCTION("GOOGLETRANSLATE(D2353, ""bn"", ""en"")"),"Jamaat-e-Islam and BNP activists ransacked the homes of Hindus in Lohagra upazila, destroying their property and in Kalujan area; They vandalized Hindu shops in Hindu markets. [6] They also attempted to destroy Hindu temples.")</f>
        <v>Jamaat-e-Islam and BNP activists ransacked the homes of Hindus in Lohagra upazila, destroying their property and in Kalujan area; They vandalized Hindu shops in Hindu markets. [6] They also attempted to destroy Hindu temples.</v>
      </c>
      <c r="F2353" s="1"/>
      <c r="G2353" s="1"/>
      <c r="H2353" s="1"/>
      <c r="I2353" s="1"/>
    </row>
    <row r="2354" spans="1:9" ht="31.2" x14ac:dyDescent="0.3">
      <c r="A2354" s="1" t="s">
        <v>5</v>
      </c>
      <c r="B2354" s="1" t="s">
        <v>5</v>
      </c>
      <c r="C2354" s="10" t="s">
        <v>5</v>
      </c>
      <c r="D2354" s="6" t="s">
        <v>3794</v>
      </c>
      <c r="E2354" s="1" t="str">
        <f ca="1">IFERROR(__xludf.DUMMYFUNCTION("GOOGLETRANSLATE(D2354, ""bn"", ""en"")"),"Our Hindu religion does not teach hatred towards any religion. We always respect our own religion as well as other religions, yes this is the principle of our traditional religion.")</f>
        <v>Our Hindu religion does not teach hatred towards any religion. We always respect our own religion as well as other religions, yes this is the principle of our traditional religion.</v>
      </c>
      <c r="F2354" s="1"/>
      <c r="G2354" s="1"/>
      <c r="H2354" s="1"/>
      <c r="I2354" s="1"/>
    </row>
    <row r="2355" spans="1:9" ht="46.8" x14ac:dyDescent="0.3">
      <c r="A2355" s="1" t="s">
        <v>4</v>
      </c>
      <c r="B2355" s="1" t="s">
        <v>4</v>
      </c>
      <c r="C2355" s="10" t="s">
        <v>4</v>
      </c>
      <c r="D2355" s="6" t="s">
        <v>3793</v>
      </c>
      <c r="E2355" s="1" t="str">
        <f ca="1">IFERROR(__xludf.DUMMYFUNCTION("GOOGLETRANSLATE(D2355, ""bn"", ""en"")"),"Know, the Qur'an is an intercessor (on behalf of the followers and against the disbelievers), whose intercession will be accepted. Therefore whoever follows the Qur'an will go to Paradise. And whoever turns away from it, he will be thrown into hell with a"&amp;" blow on his neck.'")</f>
        <v>Know, the Qur'an is an intercessor (on behalf of the followers and against the disbelievers), whose intercession will be accepted. Therefore whoever follows the Qur'an will go to Paradise. And whoever turns away from it, he will be thrown into hell with a blow on his neck.'</v>
      </c>
      <c r="F2355" s="1"/>
      <c r="G2355" s="1"/>
      <c r="H2355" s="1"/>
      <c r="I2355" s="1"/>
    </row>
    <row r="2356" spans="1:9" ht="46.8" x14ac:dyDescent="0.3">
      <c r="A2356" s="1" t="s">
        <v>9</v>
      </c>
      <c r="B2356" s="1" t="s">
        <v>4</v>
      </c>
      <c r="C2356" s="10" t="s">
        <v>9</v>
      </c>
      <c r="D2356" s="6" t="s">
        <v>3792</v>
      </c>
      <c r="E2356" s="1" t="str">
        <f ca="1">IFERROR(__xludf.DUMMYFUNCTION("GOOGLETRANSLATE(D2356, ""bn"", ""en"")"),"In order to achieve their interests, they have created riots in the Hindu Muslim community by posting such posts in the past and are continuing to achieve their interests. ")</f>
        <v xml:space="preserve">In order to achieve their interests, they have created riots in the Hindu Muslim community by posting such posts in the past and are continuing to achieve their interests. </v>
      </c>
      <c r="F2356" s="1"/>
      <c r="G2356" s="1"/>
      <c r="H2356" s="1"/>
      <c r="I2356" s="1"/>
    </row>
    <row r="2357" spans="1:9" ht="15.6" x14ac:dyDescent="0.3">
      <c r="A2357" s="1" t="s">
        <v>9</v>
      </c>
      <c r="B2357" s="1" t="s">
        <v>5</v>
      </c>
      <c r="C2357" s="10" t="s">
        <v>9</v>
      </c>
      <c r="D2357" s="5" t="s">
        <v>2131</v>
      </c>
      <c r="E2357" s="1" t="str">
        <f ca="1">IFERROR(__xludf.DUMMYFUNCTION("GOOGLETRANSLATE(D2357, ""bn"", ""en"")")," Talk to them. They stepped on a shelf. So someone is saying that the Qur'an Sharif has been stepped on - such a rumor may have spread.")</f>
        <v xml:space="preserve"> Talk to them. They stepped on a shelf. So someone is saying that the Qur'an Sharif has been stepped on - such a rumor may have spread.</v>
      </c>
      <c r="F2357" s="1"/>
      <c r="G2357" s="1"/>
      <c r="H2357" s="1"/>
      <c r="I2357" s="1"/>
    </row>
    <row r="2358" spans="1:9" ht="15.6" x14ac:dyDescent="0.3">
      <c r="A2358" s="1" t="s">
        <v>4</v>
      </c>
      <c r="B2358" s="1" t="s">
        <v>5</v>
      </c>
      <c r="C2358" s="10" t="s">
        <v>4</v>
      </c>
      <c r="D2358" s="5" t="s">
        <v>2132</v>
      </c>
      <c r="E2358" s="1" t="str">
        <f ca="1">IFERROR(__xludf.DUMMYFUNCTION("GOOGLETRANSLATE(D2358, ""bn"", ""en"")"),"He makes bad comments about Roja and makes bad comments about Nabi. Why are you suddenly thinking about Muslims, sister")</f>
        <v>He makes bad comments about Roja and makes bad comments about Nabi. Why are you suddenly thinking about Muslims, sister</v>
      </c>
      <c r="F2358" s="1"/>
      <c r="G2358" s="1"/>
      <c r="H2358" s="1"/>
      <c r="I2358" s="1"/>
    </row>
    <row r="2359" spans="1:9" ht="15.6" x14ac:dyDescent="0.3">
      <c r="A2359" s="4" t="s">
        <v>7</v>
      </c>
      <c r="B2359" s="4" t="s">
        <v>7</v>
      </c>
      <c r="C2359" s="11" t="s">
        <v>7</v>
      </c>
      <c r="D2359" s="5" t="s">
        <v>2133</v>
      </c>
      <c r="E2359" s="1" t="str">
        <f ca="1">IFERROR(__xludf.DUMMYFUNCTION("GOOGLETRANSLATE(D2359, ""bn"", ""en"")"),"Between 1954 and 1982, Hindu-Muslim communal violence resulted in the deaths of around 10,000 Muslims.")</f>
        <v>Between 1954 and 1982, Hindu-Muslim communal violence resulted in the deaths of around 10,000 Muslims.</v>
      </c>
      <c r="F2359" s="1"/>
      <c r="G2359" s="1"/>
      <c r="H2359" s="1"/>
      <c r="I2359" s="1"/>
    </row>
    <row r="2360" spans="1:9" ht="15.6" x14ac:dyDescent="0.3">
      <c r="A2360" s="1" t="s">
        <v>9</v>
      </c>
      <c r="B2360" s="1" t="s">
        <v>9</v>
      </c>
      <c r="C2360" s="10" t="s">
        <v>9</v>
      </c>
      <c r="D2360" s="5" t="s">
        <v>2134</v>
      </c>
      <c r="E2360" s="1" t="str">
        <f ca="1">IFERROR(__xludf.DUMMYFUNCTION("GOOGLETRANSLATE(D2360, ""bn"", ""en"")")," In rural areas under the control of Tanor, Nachol, Gomstapur police stations, large-scale killings, rapes, looting, and arson were started. [36] Hindu houses were forcibly occupied by Muslims. They gang-raped Hindu women.")</f>
        <v> In rural areas under the control of Tanor, Nachol, Gomstapur police stations, large-scale killings, rapes, looting, and arson were started. [36] Hindu houses were forcibly occupied by Muslims. They gang-raped Hindu women.</v>
      </c>
      <c r="F2360" s="1"/>
      <c r="G2360" s="1"/>
      <c r="H2360" s="1"/>
      <c r="I2360" s="1"/>
    </row>
    <row r="2361" spans="1:9" ht="46.8" x14ac:dyDescent="0.3">
      <c r="A2361" s="1" t="s">
        <v>7</v>
      </c>
      <c r="B2361" s="1" t="s">
        <v>7</v>
      </c>
      <c r="C2361" s="10" t="s">
        <v>7</v>
      </c>
      <c r="D2361" s="6" t="s">
        <v>3791</v>
      </c>
      <c r="E2361" s="1" t="str">
        <f ca="1">IFERROR(__xludf.DUMMYFUNCTION("GOOGLETRANSLATE(D2361, ""bn"", ""en"")"),"The Hindu-dominated villages of Banshpara, Rampur, Madhupur, Srichandrapur, Bashikpur, Chakbasta, Shibpur, Ballyganj etc. were burnt to ashes. [14] According to various sources, at least 45 innocent Hindus were killed by the Muslims and 205 houses were bu"&amp;"rnt and a large amount of property was looted.")</f>
        <v>The Hindu-dominated villages of Banshpara, Rampur, Madhupur, Srichandrapur, Bashikpur, Chakbasta, Shibpur, Ballyganj etc. were burnt to ashes. [14] According to various sources, at least 45 innocent Hindus were killed by the Muslims and 205 houses were burnt and a large amount of property was looted.</v>
      </c>
      <c r="F2361" s="1"/>
      <c r="G2361" s="1"/>
      <c r="H2361" s="1"/>
      <c r="I2361" s="1"/>
    </row>
    <row r="2362" spans="1:9" ht="15.6" x14ac:dyDescent="0.3">
      <c r="A2362" s="1" t="s">
        <v>5</v>
      </c>
      <c r="B2362" s="1" t="s">
        <v>5</v>
      </c>
      <c r="C2362" s="10" t="s">
        <v>5</v>
      </c>
      <c r="D2362" s="5" t="s">
        <v>2135</v>
      </c>
      <c r="E2362" s="1" t="str">
        <f ca="1">IFERROR(__xludf.DUMMYFUNCTION("GOOGLETRANSLATE(D2362, ""bn"", ""en"")"),"Let us follow the religious precepts and invite others to the religion of eternal truth in harmony with nature.")</f>
        <v>Let us follow the religious precepts and invite others to the religion of eternal truth in harmony with nature.</v>
      </c>
      <c r="F2362" s="1"/>
      <c r="G2362" s="1"/>
      <c r="H2362" s="1"/>
      <c r="I2362" s="1"/>
    </row>
    <row r="2363" spans="1:9" ht="46.8" x14ac:dyDescent="0.3">
      <c r="A2363" s="1" t="s">
        <v>7</v>
      </c>
      <c r="B2363" s="1" t="s">
        <v>7</v>
      </c>
      <c r="C2363" s="10" t="s">
        <v>7</v>
      </c>
      <c r="D2363" s="6" t="s">
        <v>3790</v>
      </c>
      <c r="E2363" s="1" t="str">
        <f ca="1">IFERROR(__xludf.DUMMYFUNCTION("GOOGLETRANSLATE(D2363, ""bn"", ""en"")"),"According to a report by the Asian Center for Human Rights published on August 26, 2003, law and order forces carried out attacks on 10 villages in a planned tribal attack. Hundreds of people were displaced. It is estimated that ten minority women have be"&amp;"come victims of rape. Also, a nine-month-old baby was snatched away from the grandmother and killed by law enforcement personnel.")</f>
        <v>According to a report by the Asian Center for Human Rights published on August 26, 2003, law and order forces carried out attacks on 10 villages in a planned tribal attack. Hundreds of people were displaced. It is estimated that ten minority women have become victims of rape. Also, a nine-month-old baby was snatched away from the grandmother and killed by law enforcement personnel.</v>
      </c>
      <c r="F2363" s="1"/>
      <c r="G2363" s="1"/>
      <c r="H2363" s="1"/>
      <c r="I2363" s="1"/>
    </row>
    <row r="2364" spans="1:9" ht="15.6" x14ac:dyDescent="0.3">
      <c r="A2364" s="1" t="s">
        <v>5</v>
      </c>
      <c r="B2364" s="1" t="s">
        <v>5</v>
      </c>
      <c r="C2364" s="10" t="s">
        <v>5</v>
      </c>
      <c r="D2364" s="5" t="s">
        <v>2136</v>
      </c>
      <c r="E2364" s="1" t="str">
        <f ca="1">IFERROR(__xludf.DUMMYFUNCTION("GOOGLETRANSLATE(D2364, ""bn"", ""en"")"),"The feelings of these quotes were swirling in the mind for a long time, but after watching this video, these feelings took shape.")</f>
        <v>The feelings of these quotes were swirling in the mind for a long time, but after watching this video, these feelings took shape.</v>
      </c>
      <c r="F2364" s="1"/>
      <c r="G2364" s="1"/>
      <c r="H2364" s="1"/>
      <c r="I2364" s="1"/>
    </row>
    <row r="2365" spans="1:9" ht="15.6" x14ac:dyDescent="0.3">
      <c r="A2365" s="1" t="s">
        <v>9</v>
      </c>
      <c r="B2365" s="1" t="s">
        <v>5</v>
      </c>
      <c r="C2365" s="10" t="s">
        <v>9</v>
      </c>
      <c r="D2365" s="5" t="s">
        <v>2137</v>
      </c>
      <c r="E2365" s="1" t="str">
        <f ca="1">IFERROR(__xludf.DUMMYFUNCTION("GOOGLETRANSLATE(D2365, ""bn"", ""en"")"),"""It's a hell of a thing. This incident is a shame at this time of the country. The Hindu community of the country is being persecuted in various ways by fundamentalism. Our backs are against the wall.")</f>
        <v>"It's a hell of a thing. This incident is a shame at this time of the country. The Hindu community of the country is being persecuted in various ways by fundamentalism. Our backs are against the wall.</v>
      </c>
      <c r="F2365" s="1"/>
      <c r="G2365" s="1"/>
      <c r="H2365" s="1"/>
      <c r="I2365" s="1"/>
    </row>
    <row r="2366" spans="1:9" ht="15.6" x14ac:dyDescent="0.3">
      <c r="A2366" s="1" t="s">
        <v>5</v>
      </c>
      <c r="B2366" s="1" t="s">
        <v>5</v>
      </c>
      <c r="C2366" s="10" t="s">
        <v>5</v>
      </c>
      <c r="D2366" s="5" t="s">
        <v>2138</v>
      </c>
      <c r="E2366" s="1" t="str">
        <f ca="1">IFERROR(__xludf.DUMMYFUNCTION("GOOGLETRANSLATE(D2366, ""bn"", ""en"")"),"Bibi Khadija, the wife of the Prophet of Islam and the first convert to Islam, was herself a trader and was the head of the Merchants Association of Makkah.")</f>
        <v>Bibi Khadija, the wife of the Prophet of Islam and the first convert to Islam, was herself a trader and was the head of the Merchants Association of Makkah.</v>
      </c>
      <c r="F2366" s="1"/>
      <c r="G2366" s="1"/>
      <c r="H2366" s="1"/>
      <c r="I2366" s="1"/>
    </row>
    <row r="2367" spans="1:9" ht="15.6" x14ac:dyDescent="0.3">
      <c r="A2367" s="1" t="s">
        <v>7</v>
      </c>
      <c r="B2367" s="1" t="s">
        <v>7</v>
      </c>
      <c r="C2367" s="10" t="s">
        <v>7</v>
      </c>
      <c r="D2367" s="5" t="s">
        <v>2139</v>
      </c>
      <c r="E2367" s="1" t="str">
        <f ca="1">IFERROR(__xludf.DUMMYFUNCTION("GOOGLETRANSLATE(D2367, ""bn"", ""en"")"),"Before 1948 the Palestinians provided food and shelter for the neglected Jews as helpless, yet these same Jews are killing innocent Palestinians today.")</f>
        <v>Before 1948 the Palestinians provided food and shelter for the neglected Jews as helpless, yet these same Jews are killing innocent Palestinians today.</v>
      </c>
      <c r="F2367" s="1"/>
      <c r="G2367" s="1"/>
      <c r="H2367" s="1"/>
      <c r="I2367" s="1"/>
    </row>
    <row r="2368" spans="1:9" ht="46.8" x14ac:dyDescent="0.3">
      <c r="A2368" s="1" t="s">
        <v>9</v>
      </c>
      <c r="B2368" s="1" t="s">
        <v>9</v>
      </c>
      <c r="C2368" s="10" t="s">
        <v>9</v>
      </c>
      <c r="D2368" s="6" t="s">
        <v>3789</v>
      </c>
      <c r="E2368" s="1" t="str">
        <f ca="1">IFERROR(__xludf.DUMMYFUNCTION("GOOGLETRANSLATE(D2368, ""bn"", ""en"")")," Thousands of Muslims from different villages may come and gather at the gathering place, so it was announced by beating drums in various market places of the village on March 20. Fearing the news of the Muslim gathering, Hindus started fleeing from their"&amp;" homes and shelters in fear of rioting again. ")</f>
        <v> Thousands of Muslims from different villages may come and gather at the gathering place, so it was announced by beating drums in various market places of the village on March 20. Fearing the news of the Muslim gathering, Hindus started fleeing from their homes and shelters in fear of rioting again. </v>
      </c>
      <c r="F2368" s="1"/>
      <c r="G2368" s="1"/>
      <c r="H2368" s="1"/>
      <c r="I2368" s="1"/>
    </row>
    <row r="2369" spans="1:9" ht="15.6" x14ac:dyDescent="0.3">
      <c r="A2369" s="1" t="s">
        <v>4</v>
      </c>
      <c r="B2369" s="1" t="s">
        <v>4</v>
      </c>
      <c r="C2369" s="10" t="s">
        <v>4</v>
      </c>
      <c r="D2369" s="5" t="s">
        <v>2140</v>
      </c>
      <c r="E2369" s="1" t="str">
        <f ca="1">IFERROR(__xludf.DUMMYFUNCTION("GOOGLETRANSLATE(D2369, ""bn"", ""en"")"),"Those who have committed this heinous murder should be brought under the law and brought to justice as soon as possible.")</f>
        <v>Those who have committed this heinous murder should be brought under the law and brought to justice as soon as possible.</v>
      </c>
      <c r="F2369" s="1"/>
      <c r="G2369" s="1"/>
      <c r="H2369" s="1"/>
      <c r="I2369" s="1"/>
    </row>
    <row r="2370" spans="1:9" ht="31.2" x14ac:dyDescent="0.3">
      <c r="A2370" s="1" t="s">
        <v>5</v>
      </c>
      <c r="B2370" s="1" t="s">
        <v>5</v>
      </c>
      <c r="C2370" s="10" t="s">
        <v>5</v>
      </c>
      <c r="D2370" s="6" t="s">
        <v>3788</v>
      </c>
      <c r="E2370" s="1" t="str">
        <f ca="1">IFERROR(__xludf.DUMMYFUNCTION("GOOGLETRANSLATE(D2370, ""bn"", ""en"")"),"You read the Gita of Hinduism, if you write it in Bengali and convey it to people, many will understand it more easily. In our Islamic religion, the Quran is given in Arabic as well as Bengali pronunciation and translation, which enhances understanding. ")</f>
        <v xml:space="preserve">You read the Gita of Hinduism, if you write it in Bengali and convey it to people, many will understand it more easily. In our Islamic religion, the Quran is given in Arabic as well as Bengali pronunciation and translation, which enhances understanding. </v>
      </c>
      <c r="F2370" s="1"/>
      <c r="G2370" s="1"/>
      <c r="H2370" s="1"/>
      <c r="I2370" s="1"/>
    </row>
    <row r="2371" spans="1:9" ht="31.2" x14ac:dyDescent="0.3">
      <c r="A2371" s="1" t="s">
        <v>5</v>
      </c>
      <c r="B2371" s="1" t="s">
        <v>5</v>
      </c>
      <c r="C2371" s="10" t="s">
        <v>5</v>
      </c>
      <c r="D2371" s="6" t="s">
        <v>3787</v>
      </c>
      <c r="E2371" s="1" t="str">
        <f ca="1">IFERROR(__xludf.DUMMYFUNCTION("GOOGLETRANSLATE(D2371, ""bn"", ""en"")"),"In view of this decision of Austria, the ECHR said that this rule was issued to protect the feelings of the followers of other religions and to preserve religious peace and to protect the right of free expression with caution.")</f>
        <v>In view of this decision of Austria, the ECHR said that this rule was issued to protect the feelings of the followers of other religions and to preserve religious peace and to protect the right of free expression with caution.</v>
      </c>
      <c r="F2371" s="1"/>
      <c r="G2371" s="1"/>
      <c r="H2371" s="1"/>
      <c r="I2371" s="1"/>
    </row>
    <row r="2372" spans="1:9" ht="15.6" x14ac:dyDescent="0.3">
      <c r="A2372" s="1" t="s">
        <v>7</v>
      </c>
      <c r="B2372" s="1" t="s">
        <v>7</v>
      </c>
      <c r="C2372" s="10" t="s">
        <v>7</v>
      </c>
      <c r="D2372" s="5" t="s">
        <v>2141</v>
      </c>
      <c r="E2372" s="1" t="str">
        <f ca="1">IFERROR(__xludf.DUMMYFUNCTION("GOOGLETRANSLATE(D2372, ""bn"", ""en"")"),"A few weeks ago, tensions flared after a Buddhist youth was beaten to death by Muslims over a dispute over a car.")</f>
        <v>A few weeks ago, tensions flared after a Buddhist youth was beaten to death by Muslims over a dispute over a car.</v>
      </c>
      <c r="F2372" s="1"/>
      <c r="G2372" s="1"/>
      <c r="H2372" s="1"/>
      <c r="I2372" s="1"/>
    </row>
    <row r="2373" spans="1:9" ht="15.6" x14ac:dyDescent="0.3">
      <c r="A2373" s="1" t="s">
        <v>9</v>
      </c>
      <c r="B2373" s="1" t="s">
        <v>9</v>
      </c>
      <c r="C2373" s="10" t="s">
        <v>9</v>
      </c>
      <c r="D2373" s="5" t="s">
        <v>2142</v>
      </c>
      <c r="E2373" s="1" t="str">
        <f ca="1">IFERROR(__xludf.DUMMYFUNCTION("GOOGLETRANSLATE(D2373, ""bn"", ""en"")"),"In the 2016 Nasirnagar communal violence, minority Hindus were attacked by Islamic extremists in Nasirnagar upazila on 30 October.")</f>
        <v>In the 2016 Nasirnagar communal violence, minority Hindus were attacked by Islamic extremists in Nasirnagar upazila on 30 October.</v>
      </c>
      <c r="F2373" s="1"/>
      <c r="G2373" s="1"/>
      <c r="H2373" s="1"/>
      <c r="I2373" s="1"/>
    </row>
    <row r="2374" spans="1:9" ht="46.8" x14ac:dyDescent="0.3">
      <c r="A2374" s="1" t="s">
        <v>9</v>
      </c>
      <c r="B2374" s="1" t="s">
        <v>9</v>
      </c>
      <c r="C2374" s="10" t="s">
        <v>9</v>
      </c>
      <c r="D2374" s="6" t="s">
        <v>3786</v>
      </c>
      <c r="E2374" s="1" t="str">
        <f ca="1">IFERROR(__xludf.DUMMYFUNCTION("GOOGLETRANSLATE(D2374, ""bn"", ""en"")"),"The Brahmanical Sena kings from South India invaded Bengal and wrested power from the Pala kings and established themselves on the throne of Bengal. The Sena kings did not stop with taking power from the Buddhists, they began to persecute the Buddhists an"&amp;"d started the Buddhist sacrifices.")</f>
        <v>The Brahmanical Sena kings from South India invaded Bengal and wrested power from the Pala kings and established themselves on the throne of Bengal. The Sena kings did not stop with taking power from the Buddhists, they began to persecute the Buddhists and started the Buddhist sacrifices.</v>
      </c>
      <c r="F2374" s="1"/>
      <c r="G2374" s="1"/>
      <c r="H2374" s="1"/>
      <c r="I2374" s="1"/>
    </row>
    <row r="2375" spans="1:9" ht="15.6" x14ac:dyDescent="0.3">
      <c r="A2375" s="1" t="s">
        <v>7</v>
      </c>
      <c r="B2375" s="1" t="s">
        <v>7</v>
      </c>
      <c r="C2375" s="10" t="s">
        <v>7</v>
      </c>
      <c r="D2375" s="5" t="s">
        <v>2143</v>
      </c>
      <c r="E2375" s="1" t="str">
        <f ca="1">IFERROR(__xludf.DUMMYFUNCTION("GOOGLETRANSLATE(D2375, ""bn"", ""en"")"),"Soldiers and Bihari collaborators looted valuables and cash from the ashram.[4] The bodies of the monks were taken by a truck to the Faridpur municipality the next morning.[4] On 26 April, the Pakistan Army destroyed the temple's spire using dynamite.")</f>
        <v>Soldiers and Bihari collaborators looted valuables and cash from the ashram.[4] The bodies of the monks were taken by a truck to the Faridpur municipality the next morning.[4] On 26 April, the Pakistan Army destroyed the temple's spire using dynamite.</v>
      </c>
      <c r="F2375" s="1"/>
      <c r="G2375" s="1"/>
      <c r="H2375" s="1"/>
      <c r="I2375" s="1"/>
    </row>
    <row r="2376" spans="1:9" ht="15.6" x14ac:dyDescent="0.3">
      <c r="A2376" s="1" t="s">
        <v>4</v>
      </c>
      <c r="B2376" s="1" t="s">
        <v>4</v>
      </c>
      <c r="C2376" s="10" t="s">
        <v>4</v>
      </c>
      <c r="D2376" s="5" t="s">
        <v>2144</v>
      </c>
      <c r="E2376" s="1" t="str">
        <f ca="1">IFERROR(__xludf.DUMMYFUNCTION("GOOGLETRANSLATE(D2376, ""bn"", ""en"")"),"In Comilla, the city of life, a protest march from Kashinagar Central Mosque after Juma prayers will be held next Friday, against the desecration of the holy book Al-Quran by a group of extremist Muslims.")</f>
        <v>In Comilla, the city of life, a protest march from Kashinagar Central Mosque after Juma prayers will be held next Friday, against the desecration of the holy book Al-Quran by a group of extremist Muslims.</v>
      </c>
      <c r="F2376" s="1"/>
      <c r="G2376" s="1"/>
      <c r="H2376" s="1"/>
      <c r="I2376" s="1"/>
    </row>
    <row r="2377" spans="1:9" ht="15.6" x14ac:dyDescent="0.3">
      <c r="A2377" s="4" t="s">
        <v>7</v>
      </c>
      <c r="B2377" s="4" t="s">
        <v>7</v>
      </c>
      <c r="C2377" s="11" t="s">
        <v>7</v>
      </c>
      <c r="D2377" s="5" t="s">
        <v>2145</v>
      </c>
      <c r="E2377" s="1" t="str">
        <f ca="1">IFERROR(__xludf.DUMMYFUNCTION("GOOGLETRANSLATE(D2377, ""bn"", ""en"")"),"The Islamic Progressive Janata Front demanded an investigation under the United Nations, claiming that the Chinese government's torture of Uighur Muslims, including the Gulja massacre, is a gross violation of human rights.")</f>
        <v>The Islamic Progressive Janata Front demanded an investigation under the United Nations, claiming that the Chinese government's torture of Uighur Muslims, including the Gulja massacre, is a gross violation of human rights.</v>
      </c>
      <c r="F2377" s="1"/>
      <c r="G2377" s="1"/>
      <c r="H2377" s="1"/>
      <c r="I2377" s="1"/>
    </row>
    <row r="2378" spans="1:9" ht="46.8" x14ac:dyDescent="0.3">
      <c r="A2378" s="1" t="s">
        <v>9</v>
      </c>
      <c r="B2378" s="1" t="s">
        <v>4</v>
      </c>
      <c r="C2378" s="10" t="s">
        <v>9</v>
      </c>
      <c r="D2378" s="6" t="s">
        <v>3785</v>
      </c>
      <c r="E2378" s="1" t="str">
        <f ca="1">IFERROR(__xludf.DUMMYFUNCTION("GOOGLETRANSLATE(D2378, ""bn"", ""en"")"),"Ever since the curfew was announced, many had moved across the Buriganga. On the afternoon of March 27, 11 local Hindus lined up in front of the Biharilal temple in Malakartala lane and made them kneel down. Among them was Dr. Harinath Dey, a researcher a"&amp;"nd teacher of biochemistry at Dhaka University. [1] Then they were kept in the police station.")</f>
        <v>Ever since the curfew was announced, many had moved across the Buriganga. On the afternoon of March 27, 11 local Hindus lined up in front of the Biharilal temple in Malakartala lane and made them kneel down. Among them was Dr. Harinath Dey, a researcher and teacher of biochemistry at Dhaka University. [1] Then they were kept in the police station.</v>
      </c>
      <c r="F2378" s="1"/>
      <c r="G2378" s="1"/>
      <c r="H2378" s="1"/>
      <c r="I2378" s="1"/>
    </row>
    <row r="2379" spans="1:9" ht="46.8" x14ac:dyDescent="0.3">
      <c r="A2379" s="4" t="s">
        <v>7</v>
      </c>
      <c r="B2379" s="4" t="s">
        <v>7</v>
      </c>
      <c r="C2379" s="11" t="s">
        <v>7</v>
      </c>
      <c r="D2379" s="6" t="s">
        <v>3784</v>
      </c>
      <c r="E2379" s="1" t="str">
        <f ca="1">IFERROR(__xludf.DUMMYFUNCTION("GOOGLETRANSLATE(D2379, ""bn"", ""en"")"),"Between August and September 2013, clashes broke out between two major religious communities, Hindus and Muslims, in the Muzaffarnagar district of Uttar Pradesh state. The riots left at least 62 dead and 200 injured, including 42 Muslims and 20 Hindus, an"&amp;"d displaced more than 50,000.")</f>
        <v>Between August and September 2013, clashes broke out between two major religious communities, Hindus and Muslims, in the Muzaffarnagar district of Uttar Pradesh state. The riots left at least 62 dead and 200 injured, including 42 Muslims and 20 Hindus, and displaced more than 50,000.</v>
      </c>
      <c r="F2379" s="1"/>
      <c r="G2379" s="1"/>
      <c r="H2379" s="1"/>
      <c r="I2379" s="1"/>
    </row>
    <row r="2380" spans="1:9" ht="31.2" x14ac:dyDescent="0.3">
      <c r="A2380" s="1" t="s">
        <v>4</v>
      </c>
      <c r="B2380" s="1" t="s">
        <v>4</v>
      </c>
      <c r="C2380" s="10" t="s">
        <v>4</v>
      </c>
      <c r="D2380" s="6" t="s">
        <v>3783</v>
      </c>
      <c r="E2380" s="1" t="str">
        <f ca="1">IFERROR(__xludf.DUMMYFUNCTION("GOOGLETRANSLATE(D2380, ""bn"", ""en"")"),"Hindu men are forced to wear caps and beards. Muslims break women's hands and remove vermilion from their foreheads. They were converted to Islam by reading the Kalema. ")</f>
        <v>Hindu men are forced to wear caps and beards. Muslims break women's hands and remove vermilion from their foreheads. They were converted to Islam by reading the Kalema. </v>
      </c>
      <c r="F2380" s="1"/>
      <c r="G2380" s="1"/>
      <c r="H2380" s="1"/>
      <c r="I2380" s="1"/>
    </row>
    <row r="2381" spans="1:9" ht="15.6" x14ac:dyDescent="0.3">
      <c r="A2381" s="1" t="s">
        <v>5</v>
      </c>
      <c r="B2381" s="1" t="s">
        <v>5</v>
      </c>
      <c r="C2381" s="10" t="s">
        <v>5</v>
      </c>
      <c r="D2381" s="5" t="s">
        <v>2146</v>
      </c>
      <c r="E2381" s="1" t="str">
        <f ca="1">IFERROR(__xludf.DUMMYFUNCTION("GOOGLETRANSLATE(D2381, ""bn"", ""en"")"),"A person who is firm in his religion and does righteous deeds in the Hereafter, his good deeds will shine, and he will enjoy peace in this world and the Hereafter.")</f>
        <v>A person who is firm in his religion and does righteous deeds in the Hereafter, his good deeds will shine, and he will enjoy peace in this world and the Hereafter.</v>
      </c>
      <c r="F2381" s="1"/>
      <c r="G2381" s="1"/>
      <c r="H2381" s="1"/>
      <c r="I2381" s="1"/>
    </row>
    <row r="2382" spans="1:9" ht="31.2" x14ac:dyDescent="0.3">
      <c r="A2382" s="1" t="s">
        <v>5</v>
      </c>
      <c r="B2382" s="1" t="s">
        <v>5</v>
      </c>
      <c r="C2382" s="10" t="s">
        <v>5</v>
      </c>
      <c r="D2382" s="6" t="s">
        <v>3782</v>
      </c>
      <c r="E2382" s="1" t="str">
        <f ca="1">IFERROR(__xludf.DUMMYFUNCTION("GOOGLETRANSLATE(D2382, ""bn"", ""en"")"),"Researchers have found that when a group of people's beliefs or values ​​are repeatedly attacked, the likelihood of religious violence increases. Even then, only twenty percent of those who are taken as models are involved in violence.")</f>
        <v>Researchers have found that when a group of people's beliefs or values ​​are repeatedly attacked, the likelihood of religious violence increases. Even then, only twenty percent of those who are taken as models are involved in violence.</v>
      </c>
      <c r="F2382" s="1"/>
      <c r="G2382" s="1"/>
      <c r="H2382" s="1"/>
      <c r="I2382" s="1"/>
    </row>
    <row r="2383" spans="1:9" ht="46.8" x14ac:dyDescent="0.3">
      <c r="A2383" s="1" t="s">
        <v>9</v>
      </c>
      <c r="B2383" s="1" t="s">
        <v>5</v>
      </c>
      <c r="C2383" s="10" t="s">
        <v>9</v>
      </c>
      <c r="D2383" s="6" t="s">
        <v>3781</v>
      </c>
      <c r="E2383" s="1" t="str">
        <f ca="1">IFERROR(__xludf.DUMMYFUNCTION("GOOGLETRANSLATE(D2383, ""bn"", ""en"")"),"Kantnagar village Jame Masjid is the owner of this land according to the suit and Apsanama. In 1976, the DC of Dinajpur gave the said land to them. The villager has a copy of the three-page Apsnama. Kantnagar Village Jame Masjid was recently demolished fo"&amp;"r reconstruction due to lack of space for Muslims. And work is started to build a new way.")</f>
        <v>Kantnagar village Jame Masjid is the owner of this land according to the suit and Apsanama. In 1976, the DC of Dinajpur gave the said land to them. The villager has a copy of the three-page Apsnama. Kantnagar Village Jame Masjid was recently demolished for reconstruction due to lack of space for Muslims. And work is started to build a new way.</v>
      </c>
      <c r="F2383" s="1"/>
      <c r="G2383" s="1"/>
      <c r="H2383" s="1"/>
      <c r="I2383" s="1"/>
    </row>
    <row r="2384" spans="1:9" ht="15.6" x14ac:dyDescent="0.3">
      <c r="A2384" s="1" t="s">
        <v>7</v>
      </c>
      <c r="B2384" s="1" t="s">
        <v>7</v>
      </c>
      <c r="C2384" s="10" t="s">
        <v>7</v>
      </c>
      <c r="D2384" s="5" t="s">
        <v>2147</v>
      </c>
      <c r="E2384" s="1" t="str">
        <f ca="1">IFERROR(__xludf.DUMMYFUNCTION("GOOGLETRANSLATE(D2384, ""bn"", ""en"")"),"Possible reasons for the teacher's suicide are her husband, a college student, Mamun, being accused in a drug case, fights with miscreants, wanting a new motorcycle, bad words from relatives and neighbors, misbehavior from colleagues, tension in running t"&amp;"he family.")</f>
        <v>Possible reasons for the teacher's suicide are her husband, a college student, Mamun, being accused in a drug case, fights with miscreants, wanting a new motorcycle, bad words from relatives and neighbors, misbehavior from colleagues, tension in running the family.</v>
      </c>
      <c r="F2384" s="1"/>
      <c r="G2384" s="1"/>
      <c r="H2384" s="1"/>
      <c r="I2384" s="1"/>
    </row>
    <row r="2385" spans="1:9" ht="15.6" x14ac:dyDescent="0.3">
      <c r="A2385" s="1" t="s">
        <v>5</v>
      </c>
      <c r="B2385" s="1" t="s">
        <v>5</v>
      </c>
      <c r="C2385" s="10" t="s">
        <v>5</v>
      </c>
      <c r="D2385" s="5" t="s">
        <v>2148</v>
      </c>
      <c r="E2385" s="1" t="str">
        <f ca="1">IFERROR(__xludf.DUMMYFUNCTION("GOOGLETRANSLATE(D2385, ""bn"", ""en"")"),"RSS thinks that the word Hindu does not refer to any caste, everyone living in India should be called Hindu.")</f>
        <v>RSS thinks that the word Hindu does not refer to any caste, everyone living in India should be called Hindu.</v>
      </c>
      <c r="F2385" s="1"/>
      <c r="G2385" s="1"/>
      <c r="H2385" s="1"/>
      <c r="I2385" s="1"/>
    </row>
    <row r="2386" spans="1:9" ht="15.6" x14ac:dyDescent="0.3">
      <c r="A2386" s="1" t="s">
        <v>5</v>
      </c>
      <c r="B2386" s="1" t="s">
        <v>5</v>
      </c>
      <c r="C2386" s="10" t="s">
        <v>5</v>
      </c>
      <c r="D2386" s="5" t="s">
        <v>2149</v>
      </c>
      <c r="E2386" s="1" t="str">
        <f ca="1">IFERROR(__xludf.DUMMYFUNCTION("GOOGLETRANSLATE(D2386, ""bn"", ""en"")"),"Gautama Buddha said that there is no god or God except the one and only Creator, who resides in his highest dimension and controls all other dimensions.")</f>
        <v>Gautama Buddha said that there is no god or God except the one and only Creator, who resides in his highest dimension and controls all other dimensions.</v>
      </c>
      <c r="F2386" s="1"/>
      <c r="G2386" s="1"/>
      <c r="H2386" s="1"/>
      <c r="I2386" s="1"/>
    </row>
    <row r="2387" spans="1:9" ht="15.6" x14ac:dyDescent="0.3">
      <c r="A2387" s="1" t="s">
        <v>9</v>
      </c>
      <c r="B2387" s="1" t="s">
        <v>9</v>
      </c>
      <c r="C2387" s="10" t="s">
        <v>9</v>
      </c>
      <c r="D2387" s="5" t="s">
        <v>2150</v>
      </c>
      <c r="E2387" s="1" t="str">
        <f ca="1">IFERROR(__xludf.DUMMYFUNCTION("GOOGLETRANSLATE(D2387, ""bn"", ""en"")"),"Muslims are the most victims of harassment and cyber bullying in this country. It can be prevented only by united protest.")</f>
        <v>Muslims are the most victims of harassment and cyber bullying in this country. It can be prevented only by united protest.</v>
      </c>
      <c r="F2387" s="1"/>
      <c r="G2387" s="1"/>
      <c r="H2387" s="1"/>
      <c r="I2387" s="1"/>
    </row>
    <row r="2388" spans="1:9" ht="15.6" x14ac:dyDescent="0.3">
      <c r="A2388" s="1" t="s">
        <v>7</v>
      </c>
      <c r="B2388" s="1" t="s">
        <v>7</v>
      </c>
      <c r="C2388" s="10" t="s">
        <v>7</v>
      </c>
      <c r="D2388" s="5" t="s">
        <v>2151</v>
      </c>
      <c r="E2388" s="1" t="str">
        <f ca="1">IFERROR(__xludf.DUMMYFUNCTION("GOOGLETRANSLATE(D2388, ""bn"", ""en"")"),"I seek your blessings for the time when I die.")</f>
        <v>I seek your blessings for the time when I die.</v>
      </c>
      <c r="F2388" s="1"/>
      <c r="G2388" s="1"/>
      <c r="H2388" s="1"/>
      <c r="I2388" s="1"/>
    </row>
    <row r="2389" spans="1:9" ht="15.6" x14ac:dyDescent="0.3">
      <c r="A2389" s="1" t="s">
        <v>7</v>
      </c>
      <c r="B2389" s="1" t="s">
        <v>7</v>
      </c>
      <c r="C2389" s="10" t="s">
        <v>7</v>
      </c>
      <c r="D2389" s="5" t="s">
        <v>2152</v>
      </c>
      <c r="E2389" s="1" t="str">
        <f ca="1">IFERROR(__xludf.DUMMYFUNCTION("GOOGLETRANSLATE(D2389, ""bn"", ""en"")"),"The punishment of the grave (also the agony of the grave) is the Judeo-Islamic concept of the period between death and resurrection on the Day of Judgment. Islam punishes the souls of unbelievers in the grave by two angels, while the pious consider the gr"&amp;"ave ""peaceful and blessed"".")</f>
        <v>The punishment of the grave (also the agony of the grave) is the Judeo-Islamic concept of the period between death and resurrection on the Day of Judgment. Islam punishes the souls of unbelievers in the grave by two angels, while the pious consider the grave "peaceful and blessed".</v>
      </c>
      <c r="F2389" s="1"/>
      <c r="G2389" s="1"/>
      <c r="H2389" s="1"/>
      <c r="I2389" s="1"/>
    </row>
    <row r="2390" spans="1:9" ht="15.6" x14ac:dyDescent="0.3">
      <c r="A2390" s="1" t="s">
        <v>7</v>
      </c>
      <c r="B2390" s="1" t="s">
        <v>7</v>
      </c>
      <c r="C2390" s="10" t="s">
        <v>7</v>
      </c>
      <c r="D2390" s="5" t="s">
        <v>2153</v>
      </c>
      <c r="E2390" s="1" t="str">
        <f ca="1">IFERROR(__xludf.DUMMYFUNCTION("GOOGLETRANSLATE(D2390, ""bn"", ""en"")"),"The government has launched a crackdown against Muslim insurgents in southern Thailand, killing many.")</f>
        <v>The government has launched a crackdown against Muslim insurgents in southern Thailand, killing many.</v>
      </c>
      <c r="F2390" s="1"/>
      <c r="G2390" s="1"/>
      <c r="H2390" s="1"/>
      <c r="I2390" s="1"/>
    </row>
    <row r="2391" spans="1:9" ht="15.6" x14ac:dyDescent="0.3">
      <c r="A2391" s="1" t="s">
        <v>7</v>
      </c>
      <c r="B2391" s="1" t="s">
        <v>5</v>
      </c>
      <c r="C2391" s="10" t="s">
        <v>7</v>
      </c>
      <c r="D2391" s="5" t="s">
        <v>2154</v>
      </c>
      <c r="E2391" s="1" t="str">
        <f ca="1">IFERROR(__xludf.DUMMYFUNCTION("GOOGLETRANSLATE(D2391, ""bn"", ""en"")"),"The dead body of a young woman is lying in the morgue in a debate about rain or curse, religion")</f>
        <v>The dead body of a young woman is lying in the morgue in a debate about rain or curse, religion</v>
      </c>
      <c r="F2391" s="1"/>
      <c r="G2391" s="1"/>
      <c r="H2391" s="1"/>
      <c r="I2391" s="1"/>
    </row>
    <row r="2392" spans="1:9" ht="15.6" x14ac:dyDescent="0.3">
      <c r="A2392" s="1" t="s">
        <v>5</v>
      </c>
      <c r="B2392" s="1" t="s">
        <v>5</v>
      </c>
      <c r="C2392" s="10" t="s">
        <v>5</v>
      </c>
      <c r="D2392" s="5" t="s">
        <v>2155</v>
      </c>
      <c r="E2392" s="1" t="str">
        <f ca="1">IFERROR(__xludf.DUMMYFUNCTION("GOOGLETRANSLATE(D2392, ""bn"", ""en"")"),"Hindu philosophy refers to a set of philosophies originating in ancient India. It is a part of Indian philosophies that acknowledge the ancient Vedas as authoritative and important sources of knowledge.")</f>
        <v>Hindu philosophy refers to a set of philosophies originating in ancient India. It is a part of Indian philosophies that acknowledge the ancient Vedas as authoritative and important sources of knowledge.</v>
      </c>
      <c r="F2392" s="1"/>
      <c r="G2392" s="1"/>
      <c r="H2392" s="1"/>
      <c r="I2392" s="1"/>
    </row>
    <row r="2393" spans="1:9" ht="15.6" x14ac:dyDescent="0.3">
      <c r="A2393" s="1" t="s">
        <v>7</v>
      </c>
      <c r="B2393" s="1" t="s">
        <v>7</v>
      </c>
      <c r="C2393" s="10" t="s">
        <v>7</v>
      </c>
      <c r="D2393" s="5" t="s">
        <v>2156</v>
      </c>
      <c r="E2393" s="1" t="str">
        <f ca="1">IFERROR(__xludf.DUMMYFUNCTION("GOOGLETRANSLATE(D2393, ""bn"", ""en"")"),"After a three-day massacre of Hindus in Dhaka, Muslims started massacres in rural areas such as Bikrampur, Lauhjong. [19] On February 15, they looted and set fire to Hindu shops in Shimulia Bazar. ")</f>
        <v>After a three-day massacre of Hindus in Dhaka, Muslims started massacres in rural areas such as Bikrampur, Lauhjong. [19] On February 15, they looted and set fire to Hindu shops in Shimulia Bazar. </v>
      </c>
      <c r="F2393" s="1"/>
      <c r="G2393" s="1"/>
      <c r="H2393" s="1"/>
      <c r="I2393" s="1"/>
    </row>
    <row r="2394" spans="1:9" ht="15.6" x14ac:dyDescent="0.3">
      <c r="A2394" s="1" t="s">
        <v>4</v>
      </c>
      <c r="B2394" s="1" t="s">
        <v>5</v>
      </c>
      <c r="C2394" s="10" t="s">
        <v>4</v>
      </c>
      <c r="D2394" s="5" t="s">
        <v>2157</v>
      </c>
      <c r="E2394" s="1" t="str">
        <f ca="1">IFERROR(__xludf.DUMMYFUNCTION("GOOGLETRANSLATE(D2394, ""bn"", ""en"")"),"It is not like that in our India. Is Bangladesh like this? Muslims in India can not say a ghazal? Hinduism is very deep. Hare Krishna Gaur name victory sound.")</f>
        <v>It is not like that in our India. Is Bangladesh like this? Muslims in India can not say a ghazal? Hinduism is very deep. Hare Krishna Gaur name victory sound.</v>
      </c>
      <c r="F2394" s="1"/>
      <c r="G2394" s="1"/>
      <c r="H2394" s="1"/>
      <c r="I2394" s="1"/>
    </row>
    <row r="2395" spans="1:9" ht="15.6" x14ac:dyDescent="0.3">
      <c r="A2395" s="1" t="s">
        <v>9</v>
      </c>
      <c r="B2395" s="1" t="s">
        <v>9</v>
      </c>
      <c r="C2395" s="10" t="s">
        <v>9</v>
      </c>
      <c r="D2395" s="5" t="s">
        <v>2158</v>
      </c>
      <c r="E2395" s="1" t="str">
        <f ca="1">IFERROR(__xludf.DUMMYFUNCTION("GOOGLETRANSLATE(D2395, ""bn"", ""en"")"),"Rasraj Das of Haripur village in Nasirnagar posted a picture of Shiva with the Kaaba house on Facebook after some Islamic extremists beat up Rasraj Das to the police on October 29. He was sent to jail under section 57(2) of the Information and Communicati"&amp;"on Technology Act against him for defamation of Islam.")</f>
        <v>Rasraj Das of Haripur village in Nasirnagar posted a picture of Shiva with the Kaaba house on Facebook after some Islamic extremists beat up Rasraj Das to the police on October 29. He was sent to jail under section 57(2) of the Information and Communication Technology Act against him for defamation of Islam.</v>
      </c>
      <c r="F2395" s="1"/>
      <c r="G2395" s="1"/>
      <c r="H2395" s="1"/>
      <c r="I2395" s="1"/>
    </row>
    <row r="2396" spans="1:9" ht="15.6" x14ac:dyDescent="0.3">
      <c r="A2396" s="1" t="s">
        <v>5</v>
      </c>
      <c r="B2396" s="1" t="s">
        <v>5</v>
      </c>
      <c r="C2396" s="10" t="s">
        <v>5</v>
      </c>
      <c r="D2396" s="5" t="s">
        <v>2159</v>
      </c>
      <c r="E2396" s="1" t="str">
        <f ca="1">IFERROR(__xludf.DUMMYFUNCTION("GOOGLETRANSLATE(D2396, ""bn"", ""en"")"),"It is not an argument about religion, but people should leave these issues and move forward together.")</f>
        <v>It is not an argument about religion, but people should leave these issues and move forward together.</v>
      </c>
      <c r="F2396" s="1"/>
      <c r="G2396" s="1"/>
      <c r="H2396" s="1"/>
      <c r="I2396" s="1"/>
    </row>
    <row r="2397" spans="1:9" ht="15.6" x14ac:dyDescent="0.3">
      <c r="A2397" s="1" t="s">
        <v>4</v>
      </c>
      <c r="B2397" s="9" t="s">
        <v>9</v>
      </c>
      <c r="C2397" s="10" t="s">
        <v>4</v>
      </c>
      <c r="D2397" s="5" t="s">
        <v>2160</v>
      </c>
      <c r="E2397" s="1" t="str">
        <f ca="1">IFERROR(__xludf.DUMMYFUNCTION("GOOGLETRANSLATE(D2397, ""bn"", ""en"")")," So why are you doing this kind of insults to Pratima Rani Biswas? This willful behavior of yours must be judged.")</f>
        <v xml:space="preserve"> So why are you doing this kind of insults to Pratima Rani Biswas? This willful behavior of yours must be judged.</v>
      </c>
      <c r="F2397" s="1"/>
      <c r="G2397" s="1"/>
      <c r="H2397" s="1"/>
      <c r="I2397" s="1"/>
    </row>
    <row r="2398" spans="1:9" ht="15.6" x14ac:dyDescent="0.3">
      <c r="A2398" s="1" t="s">
        <v>5</v>
      </c>
      <c r="B2398" s="1" t="s">
        <v>5</v>
      </c>
      <c r="C2398" s="10" t="s">
        <v>5</v>
      </c>
      <c r="D2398" s="5" t="s">
        <v>2161</v>
      </c>
      <c r="E2398" s="1" t="str">
        <f ca="1">IFERROR(__xludf.DUMMYFUNCTION("GOOGLETRANSLATE(D2398, ""bn"", ""en"")"),"""Lailatul Qadr"" in Arabic, Qadr Rajni in Bengali, its Persian is Shabe Qadr. Meaning Honorable Rajni or fateful Rajni. Any one of the odd nights in the last decade of Ramadan is Shabae Qadr.")</f>
        <v>"Lailatul Qadr" in Arabic, Qadr Rajni in Bengali, its Persian is Shabe Qadr. Meaning Honorable Rajni or fateful Rajni. Any one of the odd nights in the last decade of Ramadan is Shabae Qadr.</v>
      </c>
      <c r="F2398" s="1"/>
      <c r="G2398" s="1"/>
      <c r="H2398" s="1"/>
      <c r="I2398" s="1"/>
    </row>
    <row r="2399" spans="1:9" ht="15.6" x14ac:dyDescent="0.3">
      <c r="A2399" s="1" t="s">
        <v>4</v>
      </c>
      <c r="B2399" s="1" t="s">
        <v>5</v>
      </c>
      <c r="C2399" s="10" t="s">
        <v>4</v>
      </c>
      <c r="D2399" s="5" t="s">
        <v>2162</v>
      </c>
      <c r="E2399" s="1" t="str">
        <f ca="1">IFERROR(__xludf.DUMMYFUNCTION("GOOGLETRANSLATE(D2399, ""bn"", ""en"")"),"Brother journalist, the government of all countries may oppose, our Bangladesh government or people will not oppose because I think our Muslim faith has weakened.")</f>
        <v>Brother journalist, the government of all countries may oppose, our Bangladesh government or people will not oppose because I think our Muslim faith has weakened.</v>
      </c>
      <c r="F2399" s="1"/>
      <c r="G2399" s="1"/>
      <c r="H2399" s="1"/>
      <c r="I2399" s="1"/>
    </row>
    <row r="2400" spans="1:9" ht="15.6" x14ac:dyDescent="0.3">
      <c r="A2400" s="1" t="s">
        <v>4</v>
      </c>
      <c r="B2400" s="1" t="s">
        <v>5</v>
      </c>
      <c r="C2400" s="10" t="s">
        <v>4</v>
      </c>
      <c r="D2400" s="5" t="s">
        <v>2163</v>
      </c>
      <c r="E2400" s="1" t="str">
        <f ca="1">IFERROR(__xludf.DUMMYFUNCTION("GOOGLETRANSLATE(D2400, ""bn"", ""en"")"),"Dada/Brother whoever you are we will never accept such indecent comments from you. ")</f>
        <v xml:space="preserve">Dada/Brother whoever you are we will never accept such indecent comments from you. </v>
      </c>
      <c r="F2400" s="1"/>
      <c r="G2400" s="1"/>
      <c r="H2400" s="1"/>
      <c r="I2400" s="1"/>
    </row>
    <row r="2401" spans="1:9" ht="93.6" x14ac:dyDescent="0.3">
      <c r="A2401" s="1" t="s">
        <v>7</v>
      </c>
      <c r="B2401" s="1" t="s">
        <v>7</v>
      </c>
      <c r="C2401" s="10" t="s">
        <v>7</v>
      </c>
      <c r="D2401" s="6" t="s">
        <v>3780</v>
      </c>
      <c r="E2401" s="1" t="str">
        <f ca="1">IFERROR(__xludf.DUMMYFUNCTION("GOOGLETRANSLATE(D2401, ""bn"", ""en"")"),"In the late afternoon a group of 20 to 25 Razakars led by Rajab Ali Fakir reached Dakar in two boats. [4] The first boat passed Kaliganj Bazar and proceeded towards Madartali Canal. The second fleet proceeded along Kumarkhali Canal and then Akram Akbar Ak"&amp;"ram along Madartali Canal. Rajakars from the second boat came down and fired into the crowd. Meanwhile, the Rajakaras also got down from the first boat and proceeded towards the Kali temple, firing indiscriminately into the crowd. The crowd started runnin"&amp;"g for cover. Many waded into the river and were shot dead. More than 150 people were shot in the river. [4] Rajakars were victims of looting, arson and rape in villages. Beautiful women are captured for sexual slavery.")</f>
        <v>In the late afternoon a group of 20 to 25 Razakars led by Rajab Ali Fakir reached Dakar in two boats. [4] The first boat passed Kaliganj Bazar and proceeded towards Madartali Canal. The second fleet proceeded along Kumarkhali Canal and then Akram Akbar Akram along Madartali Canal. Rajakars from the second boat came down and fired into the crowd. Meanwhile, the Rajakaras also got down from the first boat and proceeded towards the Kali temple, firing indiscriminately into the crowd. The crowd started running for cover. Many waded into the river and were shot dead. More than 150 people were shot in the river. [4] Rajakars were victims of looting, arson and rape in villages. Beautiful women are captured for sexual slavery.</v>
      </c>
      <c r="F2401" s="1"/>
      <c r="G2401" s="1"/>
      <c r="H2401" s="1"/>
      <c r="I2401" s="1"/>
    </row>
    <row r="2402" spans="1:9" ht="46.8" x14ac:dyDescent="0.3">
      <c r="A2402" s="1" t="s">
        <v>4</v>
      </c>
      <c r="B2402" s="1" t="s">
        <v>4</v>
      </c>
      <c r="C2402" s="10" t="s">
        <v>4</v>
      </c>
      <c r="D2402" s="6" t="s">
        <v>3779</v>
      </c>
      <c r="E2402" s="1" t="str">
        <f ca="1">IFERROR(__xludf.DUMMYFUNCTION("GOOGLETRANSLATE(D2402, ""bn"", ""en"")")," The rules are doing very well according to Shariah. You don't like it if you don't take out your navel again. Thousands and thousands of people are growing up in the identity of adultery by watching Indian movies. There is no shortage of rape cases all o"&amp;"ver India. The youth society is being destroyed by showing nudity and obscenity in movies day and night. Along with it is Zee Bangla, Star Jalsa.")</f>
        <v> The rules are doing very well according to Shariah. You don't like it if you don't take out your navel again. Thousands and thousands of people are growing up in the identity of adultery by watching Indian movies. There is no shortage of rape cases all over India. The youth society is being destroyed by showing nudity and obscenity in movies day and night. Along with it is Zee Bangla, Star Jalsa.</v>
      </c>
      <c r="F2402" s="1"/>
      <c r="G2402" s="1"/>
      <c r="H2402" s="1"/>
      <c r="I2402" s="1"/>
    </row>
    <row r="2403" spans="1:9" ht="15.6" x14ac:dyDescent="0.3">
      <c r="A2403" s="1" t="s">
        <v>9</v>
      </c>
      <c r="B2403" s="1" t="s">
        <v>5</v>
      </c>
      <c r="C2403" s="10" t="s">
        <v>9</v>
      </c>
      <c r="D2403" s="5" t="s">
        <v>2164</v>
      </c>
      <c r="E2403" s="1" t="str">
        <f ca="1">IFERROR(__xludf.DUMMYFUNCTION("GOOGLETRANSLATE(D2403, ""bn"", ""en"")"),"The Prime Minister has given assistance to the families affected by the attack, vandalism and looting of the houses of minority Hindus in Shalla of Sunamganj.")</f>
        <v>The Prime Minister has given assistance to the families affected by the attack, vandalism and looting of the houses of minority Hindus in Shalla of Sunamganj.</v>
      </c>
      <c r="F2403" s="1"/>
      <c r="G2403" s="1"/>
      <c r="H2403" s="1"/>
      <c r="I2403" s="1"/>
    </row>
    <row r="2404" spans="1:9" ht="15.6" x14ac:dyDescent="0.3">
      <c r="A2404" s="1" t="s">
        <v>9</v>
      </c>
      <c r="B2404" s="1" t="s">
        <v>9</v>
      </c>
      <c r="C2404" s="10" t="s">
        <v>9</v>
      </c>
      <c r="D2404" s="5" t="s">
        <v>2165</v>
      </c>
      <c r="E2404" s="1" t="str">
        <f ca="1">IFERROR(__xludf.DUMMYFUNCTION("GOOGLETRANSLATE(D2404, ""bn"", ""en"")"),"Many temples were attacked, including Jaykali temple in old Dhaka, Rishipara temple in Nawabganj. When Dhakshwari tried to attack the temple, the police and local people jointly prevented it.")</f>
        <v>Many temples were attacked, including Jaykali temple in old Dhaka, Rishipara temple in Nawabganj. When Dhakshwari tried to attack the temple, the police and local people jointly prevented it.</v>
      </c>
      <c r="F2404" s="1"/>
      <c r="G2404" s="1"/>
      <c r="H2404" s="1"/>
      <c r="I2404" s="1"/>
    </row>
    <row r="2405" spans="1:9" ht="15.6" x14ac:dyDescent="0.3">
      <c r="A2405" s="1" t="s">
        <v>5</v>
      </c>
      <c r="B2405" s="1" t="s">
        <v>4</v>
      </c>
      <c r="C2405" s="10" t="s">
        <v>5</v>
      </c>
      <c r="D2405" s="5" t="s">
        <v>2166</v>
      </c>
      <c r="E2405" s="1" t="str">
        <f ca="1">IFERROR(__xludf.DUMMYFUNCTION("GOOGLETRANSLATE(D2405, ""bn"", ""en"")"),"I have to ask Allah for any problem and I have to keep the confidence that Allah will accept my prayers. That is the essence of today's class. ")</f>
        <v xml:space="preserve">I have to ask Allah for any problem and I have to keep the confidence that Allah will accept my prayers. That is the essence of today's class. </v>
      </c>
      <c r="F2405" s="1"/>
      <c r="G2405" s="1"/>
      <c r="H2405" s="1"/>
      <c r="I2405" s="1"/>
    </row>
    <row r="2406" spans="1:9" ht="31.2" x14ac:dyDescent="0.3">
      <c r="A2406" s="1" t="s">
        <v>7</v>
      </c>
      <c r="B2406" s="1" t="s">
        <v>7</v>
      </c>
      <c r="C2406" s="10" t="s">
        <v>7</v>
      </c>
      <c r="D2406" s="6" t="s">
        <v>3778</v>
      </c>
      <c r="E2406" s="1" t="str">
        <f ca="1">IFERROR(__xludf.DUMMYFUNCTION("GOOGLETRANSLATE(D2406, ""bn"", ""en"")"),"30 people were taken to Wapda Dam south of Suryamani village. They were drawn up in a line and shot by the Rajakars. 24 Bengali Hindus died on the spot. Six of them miraculously survived the gunshot wounds.")</f>
        <v>30 people were taken to Wapda Dam south of Suryamani village. They were drawn up in a line and shot by the Rajakars. 24 Bengali Hindus died on the spot. Six of them miraculously survived the gunshot wounds.</v>
      </c>
      <c r="F2406" s="1"/>
      <c r="G2406" s="1"/>
      <c r="H2406" s="1"/>
      <c r="I2406" s="1"/>
    </row>
    <row r="2407" spans="1:9" ht="31.2" x14ac:dyDescent="0.3">
      <c r="A2407" s="1" t="s">
        <v>5</v>
      </c>
      <c r="B2407" s="1" t="s">
        <v>5</v>
      </c>
      <c r="C2407" s="10" t="s">
        <v>5</v>
      </c>
      <c r="D2407" s="6" t="s">
        <v>3777</v>
      </c>
      <c r="E2407" s="1" t="str">
        <f ca="1">IFERROR(__xludf.DUMMYFUNCTION("GOOGLETRANSLATE(D2407, ""bn"", ""en"")"),"Muslims believe that every letter, word and sentence of the Holy Qur'an is as preserved as ever since it was revealed to the Holy Prophet Muhammad (PBUH) about 1400 years ago. ")</f>
        <v xml:space="preserve">Muslims believe that every letter, word and sentence of the Holy Qur'an is as preserved as ever since it was revealed to the Holy Prophet Muhammad (PBUH) about 1400 years ago. </v>
      </c>
      <c r="F2407" s="1"/>
      <c r="G2407" s="1"/>
      <c r="H2407" s="1"/>
      <c r="I2407" s="1"/>
    </row>
    <row r="2408" spans="1:9" ht="46.8" x14ac:dyDescent="0.3">
      <c r="A2408" s="1" t="s">
        <v>7</v>
      </c>
      <c r="B2408" s="1" t="s">
        <v>4</v>
      </c>
      <c r="C2408" s="10" t="s">
        <v>7</v>
      </c>
      <c r="D2408" s="6" t="s">
        <v>3776</v>
      </c>
      <c r="E2408" s="1" t="str">
        <f ca="1">IFERROR(__xludf.DUMMYFUNCTION("GOOGLETRANSLATE(D2408, ""bn"", ""en"")"),"Every moment thousands, millions of people are sick, suffering and countless people are dying in the world. Even the world is changing. Nothing in this world is permanent and imperishable. That is why the Tathagata Buddha said, 'Reluctance vat-sankhara, r"&amp;"eluctance dukkha anatta' means samskara sorrow, the destruction of everything is inevitable. So what is the conflict of interest in the world? What is war?")</f>
        <v>Every moment thousands, millions of people are sick, suffering and countless people are dying in the world. Even the world is changing. Nothing in this world is permanent and imperishable. That is why the Tathagata Buddha said, 'Reluctance vat-sankhara, reluctance dukkha anatta' means samskara sorrow, the destruction of everything is inevitable. So what is the conflict of interest in the world? What is war?</v>
      </c>
      <c r="F2408" s="1"/>
      <c r="G2408" s="1"/>
      <c r="H2408" s="1"/>
      <c r="I2408" s="1"/>
    </row>
    <row r="2409" spans="1:9" ht="15.6" x14ac:dyDescent="0.3">
      <c r="A2409" s="1" t="s">
        <v>9</v>
      </c>
      <c r="B2409" s="1" t="s">
        <v>9</v>
      </c>
      <c r="C2409" s="10" t="s">
        <v>9</v>
      </c>
      <c r="D2409" s="5" t="s">
        <v>2167</v>
      </c>
      <c r="E2409" s="1" t="str">
        <f ca="1">IFERROR(__xludf.DUMMYFUNCTION("GOOGLETRANSLATE(D2409, ""bn"", ""en"")"),"Blasphemy is a social crime, which creates unrest and atmosphere in the society. Anti-religious behavior creates social conflict within the society.")</f>
        <v>Blasphemy is a social crime, which creates unrest and atmosphere in the society. Anti-religious behavior creates social conflict within the society.</v>
      </c>
      <c r="F2409" s="1"/>
      <c r="G2409" s="1"/>
      <c r="H2409" s="1"/>
      <c r="I2409" s="1"/>
    </row>
    <row r="2410" spans="1:9" ht="15.6" x14ac:dyDescent="0.3">
      <c r="A2410" s="1" t="s">
        <v>7</v>
      </c>
      <c r="B2410" s="1" t="s">
        <v>4</v>
      </c>
      <c r="C2410" s="10" t="s">
        <v>7</v>
      </c>
      <c r="D2410" s="5" t="s">
        <v>2168</v>
      </c>
      <c r="E2410" s="1" t="str">
        <f ca="1">IFERROR(__xludf.DUMMYFUNCTION("GOOGLETRANSLATE(D2410, ""bn"", ""en"")")," Two days ago, a 50-year-old man named Shahidunnabi Jewel was beaten and burnt to death on the charge of blasphemy in Patgram of Lalmonirhat district.")</f>
        <v> Two days ago, a 50-year-old man named Shahidunnabi Jewel was beaten and burnt to death on the charge of blasphemy in Patgram of Lalmonirhat district.</v>
      </c>
      <c r="F2410" s="1"/>
      <c r="G2410" s="1"/>
      <c r="H2410" s="1"/>
      <c r="I2410" s="1"/>
    </row>
    <row r="2411" spans="1:9" ht="15.6" x14ac:dyDescent="0.3">
      <c r="A2411" s="1" t="s">
        <v>5</v>
      </c>
      <c r="B2411" s="1" t="s">
        <v>5</v>
      </c>
      <c r="C2411" s="10" t="s">
        <v>5</v>
      </c>
      <c r="D2411" s="5" t="s">
        <v>2169</v>
      </c>
      <c r="E2411" s="1" t="str">
        <f ca="1">IFERROR(__xludf.DUMMYFUNCTION("GOOGLETRANSLATE(D2411, ""bn"", ""en"")"),"Subhanallah, Alhamdulillah. It is good to see the three people together in the holy Masjid ul Haram.")</f>
        <v>Subhanallah, Alhamdulillah. It is good to see the three people together in the holy Masjid ul Haram.</v>
      </c>
      <c r="F2411" s="1"/>
      <c r="G2411" s="1"/>
      <c r="H2411" s="1"/>
      <c r="I2411" s="1"/>
    </row>
    <row r="2412" spans="1:9" ht="15.6" x14ac:dyDescent="0.3">
      <c r="A2412" s="1" t="s">
        <v>9</v>
      </c>
      <c r="B2412" s="1" t="s">
        <v>4</v>
      </c>
      <c r="C2412" s="10" t="s">
        <v>9</v>
      </c>
      <c r="D2412" s="5" t="s">
        <v>2170</v>
      </c>
      <c r="E2412" s="1" t="str">
        <f ca="1">IFERROR(__xludf.DUMMYFUNCTION("GOOGLETRANSLATE(D2412, ""bn"", ""en"")"),"On the night of January 5, 46 houses and Hindu properties were destroyed and 6 houses were set on fire in Satkhira district. Miscreants blame Hindus for voting Awami League.[")</f>
        <v>On the night of January 5, 46 houses and Hindu properties were destroyed and 6 houses were set on fire in Satkhira district. Miscreants blame Hindus for voting Awami League.[</v>
      </c>
      <c r="F2412" s="1"/>
      <c r="G2412" s="1"/>
      <c r="H2412" s="1"/>
      <c r="I2412" s="1"/>
    </row>
    <row r="2413" spans="1:9" ht="15.6" x14ac:dyDescent="0.3">
      <c r="A2413" s="1" t="s">
        <v>5</v>
      </c>
      <c r="B2413" s="1" t="s">
        <v>5</v>
      </c>
      <c r="C2413" s="10" t="s">
        <v>5</v>
      </c>
      <c r="D2413" s="5" t="s">
        <v>2171</v>
      </c>
      <c r="E2413" s="1" t="str">
        <f ca="1">IFERROR(__xludf.DUMMYFUNCTION("GOOGLETRANSLATE(D2413, ""bn"", ""en"")"),"If there is mutual respect and love between Hindu Muslims, a strong and peaceful relationship is established respecting the religious and cultural diversity in their society.")</f>
        <v>If there is mutual respect and love between Hindu Muslims, a strong and peaceful relationship is established respecting the religious and cultural diversity in their society.</v>
      </c>
      <c r="F2413" s="1"/>
      <c r="G2413" s="1"/>
      <c r="H2413" s="1"/>
      <c r="I2413" s="1"/>
    </row>
    <row r="2414" spans="1:9" ht="15.6" x14ac:dyDescent="0.3">
      <c r="A2414" s="1" t="s">
        <v>9</v>
      </c>
      <c r="B2414" s="1" t="s">
        <v>9</v>
      </c>
      <c r="C2414" s="10" t="s">
        <v>9</v>
      </c>
      <c r="D2414" s="5" t="s">
        <v>2172</v>
      </c>
      <c r="E2414" s="1" t="str">
        <f ca="1">IFERROR(__xludf.DUMMYFUNCTION("GOOGLETRANSLATE(D2414, ""bn"", ""en"")")," The attackers used petrol to set the houses on fire. The remote island of Sandwip did not have motor vehicles or petrol so Hindus had to bring petrol from the mainland to burn their homes.")</f>
        <v> The attackers used petrol to set the houses on fire. The remote island of Sandwip did not have motor vehicles or petrol so Hindus had to bring petrol from the mainland to burn their homes.</v>
      </c>
      <c r="F2414" s="1"/>
      <c r="G2414" s="1"/>
      <c r="H2414" s="1"/>
      <c r="I2414" s="1"/>
    </row>
    <row r="2415" spans="1:9" ht="15.6" x14ac:dyDescent="0.3">
      <c r="A2415" s="1" t="s">
        <v>5</v>
      </c>
      <c r="B2415" s="1" t="s">
        <v>5</v>
      </c>
      <c r="C2415" s="10" t="s">
        <v>5</v>
      </c>
      <c r="D2415" s="5" t="s">
        <v>2173</v>
      </c>
      <c r="E2415" s="1" t="str">
        <f ca="1">IFERROR(__xludf.DUMMYFUNCTION("GOOGLETRANSLATE(D2415, ""bn"", ""en"")"),"For the welfare of humanity, Allah has commanded all people in the Qur'an to live together in peace, harmony and love, which transcends religious differences.")</f>
        <v>For the welfare of humanity, Allah has commanded all people in the Qur'an to live together in peace, harmony and love, which transcends religious differences.</v>
      </c>
      <c r="F2415" s="1"/>
      <c r="G2415" s="1"/>
      <c r="H2415" s="1"/>
      <c r="I2415" s="1"/>
    </row>
    <row r="2416" spans="1:9" ht="15.6" x14ac:dyDescent="0.3">
      <c r="A2416" s="1" t="s">
        <v>5</v>
      </c>
      <c r="B2416" s="1" t="s">
        <v>4</v>
      </c>
      <c r="C2416" s="10" t="s">
        <v>4</v>
      </c>
      <c r="D2416" s="5" t="s">
        <v>2174</v>
      </c>
      <c r="E2416" s="1" t="str">
        <f ca="1">IFERROR(__xludf.DUMMYFUNCTION("GOOGLETRANSLATE(D2416, ""bn"", ""en"")"),"As much as the problems of the people in the burqa! If they had given pictures in a short dress, there would have been no problem. They enjoyed the girl. Alas civil!")</f>
        <v>As much as the problems of the people in the burqa! If they had given pictures in a short dress, there would have been no problem. They enjoyed the girl. Alas civil!</v>
      </c>
      <c r="F2416" s="1"/>
      <c r="G2416" s="1"/>
      <c r="H2416" s="1"/>
      <c r="I2416" s="1"/>
    </row>
    <row r="2417" spans="1:9" ht="15.6" x14ac:dyDescent="0.3">
      <c r="A2417" s="1" t="s">
        <v>5</v>
      </c>
      <c r="B2417" s="1" t="s">
        <v>5</v>
      </c>
      <c r="C2417" s="10" t="s">
        <v>5</v>
      </c>
      <c r="D2417" s="5" t="s">
        <v>2175</v>
      </c>
      <c r="E2417" s="1" t="str">
        <f ca="1">IFERROR(__xludf.DUMMYFUNCTION("GOOGLETRANSLATE(D2417, ""bn"", ""en"")"),"What happens when two favorite faces are together, may Allah Ta'ala grant them both a good life, Ameen")</f>
        <v>What happens when two favorite faces are together, may Allah Ta'ala grant them both a good life, Ameen</v>
      </c>
      <c r="F2417" s="1"/>
      <c r="G2417" s="1"/>
      <c r="H2417" s="1"/>
      <c r="I2417" s="1"/>
    </row>
    <row r="2418" spans="1:9" ht="15.6" x14ac:dyDescent="0.3">
      <c r="A2418" s="1" t="s">
        <v>4</v>
      </c>
      <c r="B2418" s="1" t="s">
        <v>5</v>
      </c>
      <c r="C2418" s="10" t="s">
        <v>4</v>
      </c>
      <c r="D2418" s="5" t="s">
        <v>2176</v>
      </c>
      <c r="E2418" s="1" t="str">
        <f ca="1">IFERROR(__xludf.DUMMYFUNCTION("GOOGLETRANSLATE(D2418, ""bn"", ""en"")"),"Where can I find the story of gazakhuri, scientific or logic? And why so much, I do not understand...")</f>
        <v>Where can I find the story of gazakhuri, scientific or logic? And why so much, I do not understand...</v>
      </c>
      <c r="F2418" s="1"/>
      <c r="G2418" s="1"/>
      <c r="H2418" s="1"/>
      <c r="I2418" s="1"/>
    </row>
    <row r="2419" spans="1:9" ht="15.6" x14ac:dyDescent="0.3">
      <c r="A2419" s="1" t="s">
        <v>9</v>
      </c>
      <c r="B2419" s="1" t="s">
        <v>9</v>
      </c>
      <c r="C2419" s="10" t="s">
        <v>9</v>
      </c>
      <c r="D2419" s="5" t="s">
        <v>2177</v>
      </c>
      <c r="E2419" s="1" t="str">
        <f ca="1">IFERROR(__xludf.DUMMYFUNCTION("GOOGLETRANSLATE(D2419, ""bn"", ""en"")"),"""Rape of Thirteen-Year-Old Daughter in Front of Bisexual Mother in Public in a Secular Democratic Free State"" ")</f>
        <v xml:space="preserve">"Rape of Thirteen-Year-Old Daughter in Front of Bisexual Mother in Public in a Secular Democratic Free State" </v>
      </c>
      <c r="F2419" s="1"/>
      <c r="G2419" s="1"/>
      <c r="H2419" s="1"/>
      <c r="I2419" s="1"/>
    </row>
    <row r="2420" spans="1:9" ht="15.6" x14ac:dyDescent="0.3">
      <c r="A2420" s="1" t="s">
        <v>5</v>
      </c>
      <c r="B2420" s="1" t="s">
        <v>7</v>
      </c>
      <c r="C2420" s="10" t="s">
        <v>5</v>
      </c>
      <c r="D2420" s="5" t="s">
        <v>2178</v>
      </c>
      <c r="E2420" s="1" t="str">
        <f ca="1">IFERROR(__xludf.DUMMYFUNCTION("GOOGLETRANSLATE(D2420, ""bn"", ""en"")"),"From the beginning of Islam, Muhammad instilled in his followers a sense of brotherhood and bonds of faith, both of which helped foster a sense of closeness among them that was accentuated by their experiences of persecution as a fledgling community in Me"&amp;"cca.")</f>
        <v>From the beginning of Islam, Muhammad instilled in his followers a sense of brotherhood and bonds of faith, both of which helped foster a sense of closeness among them that was accentuated by their experiences of persecution as a fledgling community in Mecca.</v>
      </c>
      <c r="F2420" s="1"/>
      <c r="G2420" s="1"/>
      <c r="H2420" s="1"/>
      <c r="I2420" s="1"/>
    </row>
    <row r="2421" spans="1:9" ht="31.2" x14ac:dyDescent="0.3">
      <c r="A2421" s="1" t="s">
        <v>4</v>
      </c>
      <c r="B2421" s="1" t="s">
        <v>4</v>
      </c>
      <c r="C2421" s="10" t="s">
        <v>4</v>
      </c>
      <c r="D2421" s="6" t="s">
        <v>3775</v>
      </c>
      <c r="E2421" s="1" t="str">
        <f ca="1">IFERROR(__xludf.DUMMYFUNCTION("GOOGLETRANSLATE(D2421, ""bn"", ""en"")"),"According to the general secretary of the Lalmonirhat Puja Utyapan Parishad, only 4 to 5 percent of Hindus were able to exercise their right to vote.[14] Hundreds of Hindu families in Shafinagar and Senpara villages; After the elections, Jamaat-e-Islam an"&amp;"d Islami Chhatra Shibir received threats.")</f>
        <v>According to the general secretary of the Lalmonirhat Puja Utyapan Parishad, only 4 to 5 percent of Hindus were able to exercise their right to vote.[14] Hundreds of Hindu families in Shafinagar and Senpara villages; After the elections, Jamaat-e-Islam and Islami Chhatra Shibir received threats.</v>
      </c>
      <c r="F2421" s="1"/>
      <c r="G2421" s="1"/>
      <c r="H2421" s="1"/>
      <c r="I2421" s="1"/>
    </row>
    <row r="2422" spans="1:9" ht="15.6" x14ac:dyDescent="0.3">
      <c r="A2422" s="1" t="s">
        <v>5</v>
      </c>
      <c r="B2422" s="1" t="s">
        <v>5</v>
      </c>
      <c r="C2422" s="10" t="s">
        <v>5</v>
      </c>
      <c r="D2422" s="5" t="s">
        <v>2179</v>
      </c>
      <c r="E2422" s="1" t="str">
        <f ca="1">IFERROR(__xludf.DUMMYFUNCTION("GOOGLETRANSLATE(D2422, ""bn"", ""en"")"),"The government of Bangladesh has ordered the closure of all religious, political, social and cultural gatherings including wajmahfil and pilgrimages to prevent the spread of coronavirus.")</f>
        <v>The government of Bangladesh has ordered the closure of all religious, political, social and cultural gatherings including wajmahfil and pilgrimages to prevent the spread of coronavirus.</v>
      </c>
      <c r="F2422" s="1"/>
      <c r="G2422" s="1"/>
      <c r="H2422" s="1"/>
      <c r="I2422" s="1"/>
    </row>
    <row r="2423" spans="1:9" ht="15.6" x14ac:dyDescent="0.3">
      <c r="A2423" s="1" t="s">
        <v>4</v>
      </c>
      <c r="B2423" s="1" t="s">
        <v>4</v>
      </c>
      <c r="C2423" s="10" t="s">
        <v>4</v>
      </c>
      <c r="D2423" s="5" t="s">
        <v>2180</v>
      </c>
      <c r="E2423" s="1" t="str">
        <f ca="1">IFERROR(__xludf.DUMMYFUNCTION("GOOGLETRANSLATE(D2423, ""bn"", ""en"")"),"Religious persecution included - obstruction of religion, forced conversion, expulsion from the country, etc. After the Industrial Revolution, the socio-economic status of the Jews improved. At this time, when nationalism developed in Europe, racial hatre"&amp;"d against Jews arose.")</f>
        <v>Religious persecution included - obstruction of religion, forced conversion, expulsion from the country, etc. After the Industrial Revolution, the socio-economic status of the Jews improved. At this time, when nationalism developed in Europe, racial hatred against Jews arose.</v>
      </c>
      <c r="F2423" s="1"/>
      <c r="G2423" s="1"/>
      <c r="H2423" s="1"/>
      <c r="I2423" s="1"/>
    </row>
    <row r="2424" spans="1:9" ht="15.6" x14ac:dyDescent="0.3">
      <c r="A2424" s="1" t="s">
        <v>4</v>
      </c>
      <c r="B2424" s="1" t="s">
        <v>4</v>
      </c>
      <c r="C2424" s="10" t="s">
        <v>4</v>
      </c>
      <c r="D2424" s="5" t="s">
        <v>2181</v>
      </c>
      <c r="E2424" s="1" t="str">
        <f ca="1">IFERROR(__xludf.DUMMYFUNCTION("GOOGLETRANSLATE(D2424, ""bn"", ""en"")"),"The international human rights organization Amnesty International has expressed concern over the arrest of Hriday Chandra Mondal, a science teacher of a school in Munshiganj, on charges of insulting religion.")</f>
        <v>The international human rights organization Amnesty International has expressed concern over the arrest of Hriday Chandra Mondal, a science teacher of a school in Munshiganj, on charges of insulting religion.</v>
      </c>
      <c r="F2424" s="1"/>
      <c r="G2424" s="1"/>
      <c r="H2424" s="1"/>
      <c r="I2424" s="1"/>
    </row>
    <row r="2425" spans="1:9" ht="31.2" x14ac:dyDescent="0.3">
      <c r="A2425" s="1" t="s">
        <v>9</v>
      </c>
      <c r="B2425" s="1" t="s">
        <v>9</v>
      </c>
      <c r="C2425" s="10" t="s">
        <v>9</v>
      </c>
      <c r="D2425" s="6" t="s">
        <v>3774</v>
      </c>
      <c r="E2425" s="1" t="str">
        <f ca="1">IFERROR(__xludf.DUMMYFUNCTION("GOOGLETRANSLATE(D2425, ""bn"", ""en"")"),"The first incident of vandalism of Durga idols by extremist groups in Bangladesh in 2021 was recorded on 22 September in Kushtia city. In the incident, all the idols including Durga idol under construction were vandalized.")</f>
        <v>The first incident of vandalism of Durga idols by extremist groups in Bangladesh in 2021 was recorded on 22 September in Kushtia city. In the incident, all the idols including Durga idol under construction were vandalized.</v>
      </c>
      <c r="F2425" s="1"/>
      <c r="G2425" s="1"/>
      <c r="H2425" s="1"/>
      <c r="I2425" s="1"/>
    </row>
    <row r="2426" spans="1:9" ht="15.6" x14ac:dyDescent="0.3">
      <c r="A2426" s="1" t="s">
        <v>7</v>
      </c>
      <c r="B2426" s="1" t="s">
        <v>7</v>
      </c>
      <c r="C2426" s="10" t="s">
        <v>7</v>
      </c>
      <c r="D2426" s="5" t="s">
        <v>2182</v>
      </c>
      <c r="E2426" s="1" t="str">
        <f ca="1">IFERROR(__xludf.DUMMYFUNCTION("GOOGLETRANSLATE(D2426, ""bn"", ""en"")"),"In Kasganj riots in 2018, several lives were lost and many properties were damaged in Hindu-Muslim clashes.")</f>
        <v>In Kasganj riots in 2018, several lives were lost and many properties were damaged in Hindu-Muslim clashes.</v>
      </c>
      <c r="F2426" s="1"/>
      <c r="G2426" s="1"/>
      <c r="H2426" s="1"/>
      <c r="I2426" s="1"/>
    </row>
    <row r="2427" spans="1:9" ht="15.6" x14ac:dyDescent="0.3">
      <c r="A2427" s="1" t="s">
        <v>4</v>
      </c>
      <c r="B2427" s="1" t="s">
        <v>4</v>
      </c>
      <c r="C2427" s="10" t="s">
        <v>4</v>
      </c>
      <c r="D2427" s="5" t="s">
        <v>2183</v>
      </c>
      <c r="E2427" s="1" t="str">
        <f ca="1">IFERROR(__xludf.DUMMYFUNCTION("GOOGLETRANSLATE(D2427, ""bn"", ""en"")"),"He is not a Hindu, because any religion teaches inhumanity, no. Here he glorified Lord Rama, meaning, he insulted Lord Rama, because God is One.")</f>
        <v>He is not a Hindu, because any religion teaches inhumanity, no. Here he glorified Lord Rama, meaning, he insulted Lord Rama, because God is One.</v>
      </c>
      <c r="F2427" s="1"/>
      <c r="G2427" s="1"/>
      <c r="H2427" s="1"/>
      <c r="I2427" s="1"/>
    </row>
    <row r="2428" spans="1:9" ht="31.2" x14ac:dyDescent="0.3">
      <c r="A2428" s="1" t="s">
        <v>5</v>
      </c>
      <c r="B2428" s="1" t="s">
        <v>5</v>
      </c>
      <c r="C2428" s="10" t="s">
        <v>5</v>
      </c>
      <c r="D2428" s="6" t="s">
        <v>3773</v>
      </c>
      <c r="E2428" s="1" t="str">
        <f ca="1">IFERROR(__xludf.DUMMYFUNCTION("GOOGLETRANSLATE(D2428, ""bn"", ""en"")"),"Allahu Akbar No matter how many research videos, theories and personal thoughts about God's creation, the great being bows his head to Allah Ta'ala without knowing it. Millions of prostrations and shukurs to the great Lord.")</f>
        <v>Allahu Akbar No matter how many research videos, theories and personal thoughts about God's creation, the great being bows his head to Allah Ta'ala without knowing it. Millions of prostrations and shukurs to the great Lord.</v>
      </c>
      <c r="F2428" s="1"/>
      <c r="G2428" s="1"/>
      <c r="H2428" s="1"/>
      <c r="I2428" s="1"/>
    </row>
    <row r="2429" spans="1:9" ht="31.2" x14ac:dyDescent="0.3">
      <c r="A2429" s="1" t="s">
        <v>4</v>
      </c>
      <c r="B2429" s="1" t="s">
        <v>5</v>
      </c>
      <c r="C2429" s="10" t="s">
        <v>4</v>
      </c>
      <c r="D2429" s="6" t="s">
        <v>3772</v>
      </c>
      <c r="E2429" s="1" t="str">
        <f ca="1">IFERROR(__xludf.DUMMYFUNCTION("GOOGLETRANSLATE(D2429, ""bn"", ""en"")"),"Many people are very angry about the passage of Article 370 in Jammu and Kashmir, which has taken away the rights of Muslims. But many people cannot accept that a man of his own country wants to leave music and become a regular follower of Islam")</f>
        <v>Many people are very angry about the passage of Article 370 in Jammu and Kashmir, which has taken away the rights of Muslims. But many people cannot accept that a man of his own country wants to leave music and become a regular follower of Islam</v>
      </c>
      <c r="F2429" s="1"/>
      <c r="G2429" s="1"/>
      <c r="H2429" s="1"/>
      <c r="I2429" s="1"/>
    </row>
    <row r="2430" spans="1:9" ht="31.2" x14ac:dyDescent="0.3">
      <c r="A2430" s="1" t="s">
        <v>9</v>
      </c>
      <c r="B2430" s="1" t="s">
        <v>9</v>
      </c>
      <c r="C2430" s="10" t="s">
        <v>9</v>
      </c>
      <c r="D2430" s="6" t="s">
        <v>3771</v>
      </c>
      <c r="E2430" s="1" t="str">
        <f ca="1">IFERROR(__xludf.DUMMYFUNCTION("GOOGLETRANSLATE(D2430, ""bn"", ""en"")"),"December 6, 1992 was a Sunday. Hundreds of thousands of radical Hindus who gathered in Ayodhya on that day demolished the Babri Masjid, built more than 450 years ago. Hundreds of Hindutva activists were killed in clashes with the police while trying to st"&amp;"op them.")</f>
        <v>December 6, 1992 was a Sunday. Hundreds of thousands of radical Hindus who gathered in Ayodhya on that day demolished the Babri Masjid, built more than 450 years ago. Hundreds of Hindutva activists were killed in clashes with the police while trying to stop them.</v>
      </c>
      <c r="F2430" s="1"/>
      <c r="G2430" s="1"/>
      <c r="H2430" s="1"/>
      <c r="I2430" s="1"/>
    </row>
    <row r="2431" spans="1:9" ht="46.8" x14ac:dyDescent="0.3">
      <c r="A2431" s="1" t="s">
        <v>9</v>
      </c>
      <c r="B2431" s="1" t="s">
        <v>9</v>
      </c>
      <c r="C2431" s="10" t="s">
        <v>9</v>
      </c>
      <c r="D2431" s="6" t="s">
        <v>3770</v>
      </c>
      <c r="E2431" s="1" t="str">
        <f ca="1">IFERROR(__xludf.DUMMYFUNCTION("GOOGLETRANSLATE(D2431, ""bn"", ""en"")"),"Massive vandalism of the goddess idols began in Kushtia beginning on September 22, followed by repeated attacks in Jaipurhat, Chittagong and even the capital, Dhaka. On October 12, extremist groups and their supporters launched attacks on Hindu temples, h"&amp;"ouses, and mosques in Comilla on charges of desecration of the Holy Qur'an in a puja mandap, circulating a video on social media.")</f>
        <v>Massive vandalism of the goddess idols began in Kushtia beginning on September 22, followed by repeated attacks in Jaipurhat, Chittagong and even the capital, Dhaka. On October 12, extremist groups and their supporters launched attacks on Hindu temples, houses, and mosques in Comilla on charges of desecration of the Holy Qur'an in a puja mandap, circulating a video on social media.</v>
      </c>
      <c r="F2431" s="1"/>
      <c r="G2431" s="1"/>
      <c r="H2431" s="1"/>
      <c r="I2431" s="1"/>
    </row>
    <row r="2432" spans="1:9" ht="15.6" x14ac:dyDescent="0.3">
      <c r="A2432" s="1" t="s">
        <v>5</v>
      </c>
      <c r="B2432" s="1" t="s">
        <v>5</v>
      </c>
      <c r="C2432" s="10" t="s">
        <v>5</v>
      </c>
      <c r="D2432" s="5" t="s">
        <v>2184</v>
      </c>
      <c r="E2432" s="1" t="str">
        <f ca="1">IFERROR(__xludf.DUMMYFUNCTION("GOOGLETRANSLATE(D2432, ""bn"", ""en"")"),"Religion will survive as long as there is no exaggeration")</f>
        <v>Religion will survive as long as there is no exaggeration</v>
      </c>
      <c r="F2432" s="1"/>
      <c r="G2432" s="1"/>
      <c r="H2432" s="1"/>
      <c r="I2432" s="1"/>
    </row>
    <row r="2433" spans="1:9" ht="15.6" x14ac:dyDescent="0.3">
      <c r="A2433" s="1" t="s">
        <v>5</v>
      </c>
      <c r="B2433" s="1" t="s">
        <v>5</v>
      </c>
      <c r="C2433" s="10" t="s">
        <v>5</v>
      </c>
      <c r="D2433" s="5" t="s">
        <v>2185</v>
      </c>
      <c r="E2433" s="1" t="str">
        <f ca="1">IFERROR(__xludf.DUMMYFUNCTION("GOOGLETRANSLATE(D2433, ""bn"", ""en"")"),"Bengali Christians are among Bengalis who follow Christianity. They speak the Bengali language and are mainly indigenous to Bangladesh and the Indian state of West Bengal. ")</f>
        <v>Bengali Christians are among Bengalis who follow Christianity. They speak the Bengali language and are mainly indigenous to Bangladesh and the Indian state of West Bengal. </v>
      </c>
      <c r="F2433" s="1"/>
      <c r="G2433" s="1"/>
      <c r="H2433" s="1"/>
      <c r="I2433" s="1"/>
    </row>
    <row r="2434" spans="1:9" ht="15.6" x14ac:dyDescent="0.3">
      <c r="A2434" s="1" t="s">
        <v>4</v>
      </c>
      <c r="B2434" s="1" t="s">
        <v>4</v>
      </c>
      <c r="C2434" s="10" t="s">
        <v>4</v>
      </c>
      <c r="D2434" s="5" t="s">
        <v>2186</v>
      </c>
      <c r="E2434" s="1" t="str">
        <f ca="1">IFERROR(__xludf.DUMMYFUNCTION("GOOGLETRANSLATE(D2434, ""bn"", ""en"")"),"Damage to any religious place, disrespect, hurt religious sentiments in writing or verbally, create disturbance in religious ceremony, trespass to religious place with intent to insult or mutilate religious words or words shall be considered as religious "&amp;"insult.")</f>
        <v>Damage to any religious place, disrespect, hurt religious sentiments in writing or verbally, create disturbance in religious ceremony, trespass to religious place with intent to insult or mutilate religious words or words shall be considered as religious insult.</v>
      </c>
      <c r="F2434" s="1"/>
      <c r="G2434" s="1"/>
      <c r="H2434" s="1"/>
      <c r="I2434" s="1"/>
    </row>
    <row r="2435" spans="1:9" ht="15.6" x14ac:dyDescent="0.3">
      <c r="A2435" s="1" t="s">
        <v>7</v>
      </c>
      <c r="B2435" s="1" t="s">
        <v>7</v>
      </c>
      <c r="C2435" s="10" t="s">
        <v>7</v>
      </c>
      <c r="D2435" s="5" t="s">
        <v>2187</v>
      </c>
      <c r="E2435" s="1" t="str">
        <f ca="1">IFERROR(__xludf.DUMMYFUNCTION("GOOGLETRANSLATE(D2435, ""bn"", ""en"")"),"On the other hand many hadith inform us about suicide and its punishment. Rasulullah SAW warned us specifically about this.")</f>
        <v>On the other hand many hadith inform us about suicide and its punishment. Rasulullah SAW warned us specifically about this.</v>
      </c>
      <c r="F2435" s="1"/>
      <c r="G2435" s="1"/>
      <c r="H2435" s="1"/>
      <c r="I2435" s="1"/>
    </row>
    <row r="2436" spans="1:9" ht="15.6" x14ac:dyDescent="0.3">
      <c r="A2436" s="1" t="s">
        <v>5</v>
      </c>
      <c r="B2436" s="1" t="s">
        <v>5</v>
      </c>
      <c r="C2436" s="10" t="s">
        <v>5</v>
      </c>
      <c r="D2436" s="5" t="s">
        <v>2188</v>
      </c>
      <c r="E2436" s="1" t="str">
        <f ca="1">IFERROR(__xludf.DUMMYFUNCTION("GOOGLETRANSLATE(D2436, ""bn"", ""en"")"),"And the Christian citizens of that country are coming and taking pictures and enjoying the joy")</f>
        <v>And the Christian citizens of that country are coming and taking pictures and enjoying the joy</v>
      </c>
      <c r="F2436" s="1"/>
      <c r="G2436" s="1"/>
      <c r="H2436" s="1"/>
      <c r="I2436" s="1"/>
    </row>
    <row r="2437" spans="1:9" ht="46.8" x14ac:dyDescent="0.3">
      <c r="A2437" s="1" t="s">
        <v>9</v>
      </c>
      <c r="B2437" s="1" t="s">
        <v>4</v>
      </c>
      <c r="C2437" s="10" t="s">
        <v>9</v>
      </c>
      <c r="D2437" s="6" t="s">
        <v>3769</v>
      </c>
      <c r="E2437" s="1" t="str">
        <f ca="1">IFERROR(__xludf.DUMMYFUNCTION("GOOGLETRANSLATE(D2437, ""bn"", ""en"")"),"Abu Saleh, Headmaster of Kaya Child Haven Girls' School, was arrested in a case filed against him for allegedly injuring religious sentiments from his house in Kushtia's Kumarkhali village. The next day, after the demonstration march and protest rally dem"&amp;"anding the hanging of the teacher, his house was attacked and vandalized. ")</f>
        <v>Abu Saleh, Headmaster of Kaya Child Haven Girls' School, was arrested in a case filed against him for allegedly injuring religious sentiments from his house in Kushtia's Kumarkhali village. The next day, after the demonstration march and protest rally demanding the hanging of the teacher, his house was attacked and vandalized. </v>
      </c>
      <c r="F2437" s="1"/>
      <c r="G2437" s="1"/>
      <c r="H2437" s="1"/>
      <c r="I2437" s="1"/>
    </row>
    <row r="2438" spans="1:9" ht="15.6" x14ac:dyDescent="0.3">
      <c r="A2438" s="1" t="s">
        <v>7</v>
      </c>
      <c r="B2438" s="1" t="s">
        <v>7</v>
      </c>
      <c r="C2438" s="10" t="s">
        <v>7</v>
      </c>
      <c r="D2438" s="5" t="s">
        <v>2189</v>
      </c>
      <c r="E2438" s="1" t="str">
        <f ca="1">IFERROR(__xludf.DUMMYFUNCTION("GOOGLETRANSLATE(D2438, ""bn"", ""en"")"),"Pity in the country of 90 percent Muslim. Lovers of the Qur'an are shot like birds.")</f>
        <v>Pity in the country of 90 percent Muslim. Lovers of the Qur'an are shot like birds.</v>
      </c>
      <c r="F2438" s="1"/>
      <c r="G2438" s="1"/>
      <c r="H2438" s="1"/>
      <c r="I2438" s="1"/>
    </row>
    <row r="2439" spans="1:9" ht="15.6" x14ac:dyDescent="0.3">
      <c r="A2439" s="1" t="s">
        <v>9</v>
      </c>
      <c r="B2439" s="1" t="s">
        <v>9</v>
      </c>
      <c r="C2439" s="10" t="s">
        <v>9</v>
      </c>
      <c r="D2439" s="5" t="s">
        <v>2190</v>
      </c>
      <c r="E2439" s="1" t="str">
        <f ca="1">IFERROR(__xludf.DUMMYFUNCTION("GOOGLETRANSLATE(D2439, ""bn"", ""en"")"),"In Thakurpara of Rangpur, in 2017, the houses of the Hindu community were set on fire by accusing them of insulting Islam through social media.")</f>
        <v>In Thakurpara of Rangpur, in 2017, the houses of the Hindu community were set on fire by accusing them of insulting Islam through social media.</v>
      </c>
      <c r="F2439" s="1"/>
      <c r="G2439" s="1"/>
      <c r="H2439" s="1"/>
      <c r="I2439" s="1"/>
    </row>
    <row r="2440" spans="1:9" ht="15.6" x14ac:dyDescent="0.3">
      <c r="A2440" s="1" t="s">
        <v>5</v>
      </c>
      <c r="B2440" s="1" t="s">
        <v>5</v>
      </c>
      <c r="C2440" s="10" t="s">
        <v>5</v>
      </c>
      <c r="D2440" s="5" t="s">
        <v>2191</v>
      </c>
      <c r="E2440" s="1" t="str">
        <f ca="1">IFERROR(__xludf.DUMMYFUNCTION("GOOGLETRANSLATE(D2440, ""bn"", ""en"")"),"Thank you very much for discussing the Qur'an from the past to the present. May Allah bless you with many blessings, Ameen.")</f>
        <v>Thank you very much for discussing the Qur'an from the past to the present. May Allah bless you with many blessings, Ameen.</v>
      </c>
      <c r="F2440" s="1"/>
      <c r="G2440" s="1"/>
      <c r="H2440" s="1"/>
      <c r="I2440" s="1"/>
    </row>
    <row r="2441" spans="1:9" ht="31.2" x14ac:dyDescent="0.3">
      <c r="A2441" s="1" t="s">
        <v>4</v>
      </c>
      <c r="B2441" s="1" t="s">
        <v>5</v>
      </c>
      <c r="C2441" s="10" t="s">
        <v>4</v>
      </c>
      <c r="D2441" s="6" t="s">
        <v>3768</v>
      </c>
      <c r="E2441" s="1" t="str">
        <f ca="1">IFERROR(__xludf.DUMMYFUNCTION("GOOGLETRANSLATE(D2441, ""bn"", ""en"")"),"That anger has been felt in Bangladesh as well. An Islamist group called Islami Andolan Bangladesh has planned to besiege the French embassy in Dhaka on Tuesday after a protest rally at the Dhaka University campus under the banner of ordinary students on "&amp;"Sunday.")</f>
        <v>That anger has been felt in Bangladesh as well. An Islamist group called Islami Andolan Bangladesh has planned to besiege the French embassy in Dhaka on Tuesday after a protest rally at the Dhaka University campus under the banner of ordinary students on Sunday.</v>
      </c>
      <c r="F2441" s="1"/>
      <c r="G2441" s="1"/>
      <c r="H2441" s="1"/>
      <c r="I2441" s="1"/>
    </row>
    <row r="2442" spans="1:9" ht="31.2" x14ac:dyDescent="0.3">
      <c r="A2442" s="1" t="s">
        <v>4</v>
      </c>
      <c r="B2442" s="1" t="s">
        <v>5</v>
      </c>
      <c r="C2442" s="10" t="s">
        <v>4</v>
      </c>
      <c r="D2442" s="6" t="s">
        <v>3767</v>
      </c>
      <c r="E2442" s="1" t="str">
        <f ca="1">IFERROR(__xludf.DUMMYFUNCTION("GOOGLETRANSLATE(D2442, ""bn"", ""en"")"),"Malik Aslam, a senior leader of Jamaat-e-Islami Hind, an Islamic-based organization in India, said that when someone criticizes and denigrates Islam, every Muslim needs to be united. At the same time, it is necessary to maintain peace in such a critical m"&amp;"oment.")</f>
        <v>Malik Aslam, a senior leader of Jamaat-e-Islami Hind, an Islamic-based organization in India, said that when someone criticizes and denigrates Islam, every Muslim needs to be united. At the same time, it is necessary to maintain peace in such a critical moment.</v>
      </c>
      <c r="F2442" s="1"/>
      <c r="G2442" s="1"/>
      <c r="H2442" s="1"/>
      <c r="I2442" s="1"/>
    </row>
    <row r="2443" spans="1:9" ht="15.6" x14ac:dyDescent="0.3">
      <c r="A2443" s="1" t="s">
        <v>4</v>
      </c>
      <c r="B2443" s="1" t="s">
        <v>4</v>
      </c>
      <c r="C2443" s="10" t="s">
        <v>4</v>
      </c>
      <c r="D2443" s="5" t="s">
        <v>2192</v>
      </c>
      <c r="E2443" s="1" t="str">
        <f ca="1">IFERROR(__xludf.DUMMYFUNCTION("GOOGLETRANSLATE(D2443, ""bn"", ""en"")"),"In place of Muslims, world terrorists, Israelis and the people of the United States, the group of silver hyenas are the ultimate enemy of humanity, I strongly condemn and protest against you.")</f>
        <v>In place of Muslims, world terrorists, Israelis and the people of the United States, the group of silver hyenas are the ultimate enemy of humanity, I strongly condemn and protest against you.</v>
      </c>
      <c r="F2443" s="1"/>
      <c r="G2443" s="1"/>
      <c r="H2443" s="1"/>
      <c r="I2443" s="1"/>
    </row>
    <row r="2444" spans="1:9" ht="15.6" x14ac:dyDescent="0.3">
      <c r="A2444" s="1" t="s">
        <v>7</v>
      </c>
      <c r="B2444" s="1" t="s">
        <v>7</v>
      </c>
      <c r="C2444" s="10" t="s">
        <v>7</v>
      </c>
      <c r="D2444" s="5" t="s">
        <v>2193</v>
      </c>
      <c r="E2444" s="1" t="str">
        <f ca="1">IFERROR(__xludf.DUMMYFUNCTION("GOOGLETRANSLATE(D2444, ""bn"", ""en"")"),"Hundreds of non-Muslim men were killed on the outskirts of the police station after Hindus and Christians got together.[2] O.C. He himself stripped Hindu women of vermilion and shankha (conch bangles) and forced them to recite the kalma. Later he distribu"&amp;"ted the women among the party leaders.")</f>
        <v>Hundreds of non-Muslim men were killed on the outskirts of the police station after Hindus and Christians got together.[2] O.C. He himself stripped Hindu women of vermilion and shankha (conch bangles) and forced them to recite the kalma. Later he distributed the women among the party leaders.</v>
      </c>
      <c r="F2444" s="1"/>
      <c r="G2444" s="1"/>
      <c r="H2444" s="1"/>
      <c r="I2444" s="1"/>
    </row>
    <row r="2445" spans="1:9" ht="15.6" x14ac:dyDescent="0.3">
      <c r="A2445" s="1" t="s">
        <v>9</v>
      </c>
      <c r="B2445" s="1" t="s">
        <v>9</v>
      </c>
      <c r="C2445" s="10" t="s">
        <v>9</v>
      </c>
      <c r="D2445" s="5" t="s">
        <v>2194</v>
      </c>
      <c r="E2445" s="1" t="str">
        <f ca="1">IFERROR(__xludf.DUMMYFUNCTION("GOOGLETRANSLATE(D2445, ""bn"", ""en"")"),"The six arms of the Durga idol in the temple, the head and nose of a demon, the teeth of a lion, two arms of Lakshmi, two arms of Saraswati, the head of Kartika, four arms of Ganesha were broken. Apart from this, the hair of Asura and Lakshmi's head was t"&amp;"aken off and thrown down in a disorderly manner.")</f>
        <v>The six arms of the Durga idol in the temple, the head and nose of a demon, the teeth of a lion, two arms of Lakshmi, two arms of Saraswati, the head of Kartika, four arms of Ganesha were broken. Apart from this, the hair of Asura and Lakshmi's head was taken off and thrown down in a disorderly manner.</v>
      </c>
      <c r="F2445" s="1"/>
      <c r="G2445" s="1"/>
      <c r="H2445" s="1"/>
      <c r="I2445" s="1"/>
    </row>
    <row r="2446" spans="1:9" ht="62.4" x14ac:dyDescent="0.3">
      <c r="A2446" s="1" t="s">
        <v>9</v>
      </c>
      <c r="B2446" s="1" t="s">
        <v>4</v>
      </c>
      <c r="C2446" s="10" t="s">
        <v>9</v>
      </c>
      <c r="D2446" s="6" t="s">
        <v>3766</v>
      </c>
      <c r="E2446" s="1" t="str">
        <f ca="1">IFERROR(__xludf.DUMMYFUNCTION("GOOGLETRANSLATE(D2446, ""bn"", ""en"")")," The attack on this Hindu village was planned to destroy the communal harmony. Amir, secretary and 100 people of Pirganj Jamaat-e-Islami were arrested in this attack. [25] [26] Two cases were registered in Gangachra and Kotyali police stations. Additional"&amp;" District Magistrate Abu Rafa. An investigation committee was formed with Arif headed by Additional Superintendent of Police Saifur Rahman and Sadar Upazila Nirbahi Officer Ziaur Rahman. ")</f>
        <v> The attack on this Hindu village was planned to destroy the communal harmony. Amir, secretary and 100 people of Pirganj Jamaat-e-Islami were arrested in this attack. [25] [26] Two cases were registered in Gangachra and Kotyali police stations. Additional District Magistrate Abu Rafa. An investigation committee was formed with Arif headed by Additional Superintendent of Police Saifur Rahman and Sadar Upazila Nirbahi Officer Ziaur Rahman. </v>
      </c>
      <c r="F2446" s="1"/>
      <c r="G2446" s="1"/>
      <c r="H2446" s="1"/>
      <c r="I2446" s="1"/>
    </row>
    <row r="2447" spans="1:9" ht="15.6" x14ac:dyDescent="0.3">
      <c r="A2447" s="1" t="s">
        <v>7</v>
      </c>
      <c r="B2447" s="1" t="s">
        <v>7</v>
      </c>
      <c r="C2447" s="10" t="s">
        <v>7</v>
      </c>
      <c r="D2447" s="5" t="s">
        <v>544</v>
      </c>
      <c r="E2447" s="1" t="str">
        <f ca="1">IFERROR(__xludf.DUMMYFUNCTION("GOOGLETRANSLATE(D2447, ""bn"", ""en"")"),"A train fire in Godhra, Gujarat, kills 59 Hindu pilgrims, sparking violent communal riots in Gujarat that kill more than a thousand people, mostly Muslims.")</f>
        <v>A train fire in Godhra, Gujarat, kills 59 Hindu pilgrims, sparking violent communal riots in Gujarat that kill more than a thousand people, mostly Muslims.</v>
      </c>
      <c r="F2447" s="1"/>
      <c r="G2447" s="1"/>
      <c r="H2447" s="1"/>
      <c r="I2447" s="1"/>
    </row>
    <row r="2448" spans="1:9" ht="46.8" x14ac:dyDescent="0.3">
      <c r="A2448" s="1" t="s">
        <v>9</v>
      </c>
      <c r="B2448" s="1" t="s">
        <v>9</v>
      </c>
      <c r="C2448" s="10" t="s">
        <v>9</v>
      </c>
      <c r="D2448" s="6" t="s">
        <v>3765</v>
      </c>
      <c r="E2448" s="1" t="str">
        <f ca="1">IFERROR(__xludf.DUMMYFUNCTION("GOOGLETRANSLATE(D2448, ""bn"", ""en"")"),"Former Finance Minister of Bengal and former Vice-Chancellor of Calcutta University Shyamaprasad Mukhopadhyay rejected the contention of portraying the Noakhali riots as a simple communal riot. He described the incident as a well-planned and organized att"&amp;"ack by the majority Muslims on the minority Hindu community.")</f>
        <v>Former Finance Minister of Bengal and former Vice-Chancellor of Calcutta University Shyamaprasad Mukhopadhyay rejected the contention of portraying the Noakhali riots as a simple communal riot. He described the incident as a well-planned and organized attack by the majority Muslims on the minority Hindu community.</v>
      </c>
      <c r="F2448" s="1"/>
      <c r="G2448" s="1"/>
      <c r="H2448" s="1"/>
      <c r="I2448" s="1"/>
    </row>
    <row r="2449" spans="1:9" ht="15.6" x14ac:dyDescent="0.3">
      <c r="A2449" s="1" t="s">
        <v>5</v>
      </c>
      <c r="B2449" s="1" t="s">
        <v>5</v>
      </c>
      <c r="C2449" s="10" t="s">
        <v>5</v>
      </c>
      <c r="D2449" s="5" t="s">
        <v>2195</v>
      </c>
      <c r="E2449" s="1" t="str">
        <f ca="1">IFERROR(__xludf.DUMMYFUNCTION("GOOGLETRANSLATE(D2449, ""bn"", ""en"")"),"Even listening to it every day does not satisfy me. My heart got cold after hearing it. I don't know how we will feel when we go to heaven. May Allah accept us all, Ameen.")</f>
        <v>Even listening to it every day does not satisfy me. My heart got cold after hearing it. I don't know how we will feel when we go to heaven. May Allah accept us all, Ameen.</v>
      </c>
      <c r="F2449" s="1"/>
      <c r="G2449" s="1"/>
      <c r="H2449" s="1"/>
      <c r="I2449" s="1"/>
    </row>
    <row r="2450" spans="1:9" ht="46.8" x14ac:dyDescent="0.3">
      <c r="A2450" s="1" t="s">
        <v>4</v>
      </c>
      <c r="B2450" s="1" t="s">
        <v>5</v>
      </c>
      <c r="C2450" s="10" t="s">
        <v>4</v>
      </c>
      <c r="D2450" s="6" t="s">
        <v>3764</v>
      </c>
      <c r="E2450" s="1" t="str">
        <f ca="1">IFERROR(__xludf.DUMMYFUNCTION("GOOGLETRANSLATE(D2450, ""bn"", ""en"")"),"The Israeli government wants to portray its critics as anti-Semitic. However, opposition to the concept of the state and hatred of Judaism are not the same thing. There are also Jews who believe in Zionism or the idea of ​​a Jewish state who do not suppor"&amp;"t the government's policy of occupation.")</f>
        <v>The Israeli government wants to portray its critics as anti-Semitic. However, opposition to the concept of the state and hatred of Judaism are not the same thing. There are also Jews who believe in Zionism or the idea of ​​a Jewish state who do not support the government's policy of occupation.</v>
      </c>
      <c r="F2450" s="1"/>
      <c r="G2450" s="1"/>
      <c r="H2450" s="1"/>
      <c r="I2450" s="1"/>
    </row>
    <row r="2451" spans="1:9" ht="15.6" x14ac:dyDescent="0.3">
      <c r="A2451" s="1" t="s">
        <v>5</v>
      </c>
      <c r="B2451" s="1" t="s">
        <v>5</v>
      </c>
      <c r="C2451" s="10" t="s">
        <v>5</v>
      </c>
      <c r="D2451" s="5" t="s">
        <v>2196</v>
      </c>
      <c r="E2451" s="1" t="str">
        <f ca="1">IFERROR(__xludf.DUMMYFUNCTION("GOOGLETRANSLATE(D2451, ""bn"", ""en"")"),"On this holy day Buddha was born, attained bodhi or siddhi and attained Mahaparinirvana. On this day, Buddhists bathe, wear sanitary clothes and worship the Buddha in the temple. ")</f>
        <v>On this holy day Buddha was born, attained bodhi or siddhi and attained Mahaparinirvana. On this day, Buddhists bathe, wear sanitary clothes and worship the Buddha in the temple. </v>
      </c>
      <c r="F2451" s="1"/>
      <c r="G2451" s="1"/>
      <c r="H2451" s="1"/>
      <c r="I2451" s="1"/>
    </row>
    <row r="2452" spans="1:9" ht="15.6" x14ac:dyDescent="0.3">
      <c r="A2452" s="1" t="s">
        <v>7</v>
      </c>
      <c r="B2452" s="1" t="s">
        <v>7</v>
      </c>
      <c r="C2452" s="10" t="s">
        <v>7</v>
      </c>
      <c r="D2452" s="5" t="s">
        <v>2197</v>
      </c>
      <c r="E2452" s="1" t="str">
        <f ca="1">IFERROR(__xludf.DUMMYFUNCTION("GOOGLETRANSLATE(D2452, ""bn"", ""en"")"),"Our main task today is to stop bloodshed and violence. Otherwise the crisis will deepen and become more dire and lead to devastating consequences.")</f>
        <v>Our main task today is to stop bloodshed and violence. Otherwise the crisis will deepen and become more dire and lead to devastating consequences.</v>
      </c>
      <c r="F2452" s="1"/>
      <c r="G2452" s="1"/>
      <c r="H2452" s="1"/>
      <c r="I2452" s="1"/>
    </row>
    <row r="2453" spans="1:9" ht="46.8" x14ac:dyDescent="0.3">
      <c r="A2453" s="1" t="s">
        <v>9</v>
      </c>
      <c r="B2453" s="1" t="s">
        <v>9</v>
      </c>
      <c r="C2453" s="10" t="s">
        <v>9</v>
      </c>
      <c r="D2453" s="6" t="s">
        <v>3762</v>
      </c>
      <c r="E2453" s="12" t="s">
        <v>3763</v>
      </c>
      <c r="F2453" s="1"/>
      <c r="G2453" s="1"/>
      <c r="H2453" s="1"/>
      <c r="I2453" s="1"/>
    </row>
    <row r="2454" spans="1:9" ht="15.6" x14ac:dyDescent="0.3">
      <c r="A2454" s="1" t="s">
        <v>7</v>
      </c>
      <c r="B2454" s="1" t="s">
        <v>7</v>
      </c>
      <c r="C2454" s="10" t="s">
        <v>7</v>
      </c>
      <c r="D2454" s="5" t="s">
        <v>2198</v>
      </c>
      <c r="E2454" s="1" t="str">
        <f ca="1">IFERROR(__xludf.DUMMYFUNCTION("GOOGLETRANSLATE(D2454, ""bn"", ""en"")"),"Suicide is always a great sin without any justification. Because Allah has decreed a very severe punishment for the suicide. It is for those who follow the law of Allah.")</f>
        <v>Suicide is always a great sin without any justification. Because Allah has decreed a very severe punishment for the suicide. It is for those who follow the law of Allah.</v>
      </c>
      <c r="F2454" s="1"/>
      <c r="G2454" s="1"/>
      <c r="H2454" s="1"/>
      <c r="I2454" s="1"/>
    </row>
    <row r="2455" spans="1:9" ht="15.6" x14ac:dyDescent="0.3">
      <c r="A2455" s="1" t="s">
        <v>4</v>
      </c>
      <c r="B2455" s="1" t="s">
        <v>4</v>
      </c>
      <c r="C2455" s="10" t="s">
        <v>4</v>
      </c>
      <c r="D2455" s="5" t="s">
        <v>2199</v>
      </c>
      <c r="E2455" s="1" t="str">
        <f ca="1">IFERROR(__xludf.DUMMYFUNCTION("GOOGLETRANSLATE(D2455, ""bn"", ""en"")"),"If the same offense is committed more than once, the punishment is twice this sentence. Because it is very insignificant and insufficient compared to the crime, some people have made and continue to make various comments and taunts by hurting the religiou"&amp;"s sentiments of the Holy Prophet. Although it is against the Quran, Hadith, Sunnah and the Constitution. ")</f>
        <v>If the same offense is committed more than once, the punishment is twice this sentence. Because it is very insignificant and insufficient compared to the crime, some people have made and continue to make various comments and taunts by hurting the religious sentiments of the Holy Prophet. Although it is against the Quran, Hadith, Sunnah and the Constitution. </v>
      </c>
      <c r="F2455" s="1"/>
      <c r="G2455" s="1"/>
      <c r="H2455" s="1"/>
      <c r="I2455" s="1"/>
    </row>
    <row r="2456" spans="1:9" ht="46.8" x14ac:dyDescent="0.3">
      <c r="A2456" s="1" t="s">
        <v>9</v>
      </c>
      <c r="B2456" s="1" t="s">
        <v>9</v>
      </c>
      <c r="C2456" s="10" t="s">
        <v>9</v>
      </c>
      <c r="D2456" s="6" t="s">
        <v>3761</v>
      </c>
      <c r="E2456" s="1" t="str">
        <f ca="1">IFERROR(__xludf.DUMMYFUNCTION("GOOGLETRANSLATE(D2456, ""bn"", ""en"")"),"He who was beloved by us all, always smiling, friendly, the most undisputed of a crowd of ambitious or self-confident people, saw his face shrouded in the darkness of worry and fear. That he was a 'Hindu' suddenly became a matter of harsh realization. Our"&amp;" beloved man headed home untimely, fearing something terrible had happened.")</f>
        <v>He who was beloved by us all, always smiling, friendly, the most undisputed of a crowd of ambitious or self-confident people, saw his face shrouded in the darkness of worry and fear. That he was a 'Hindu' suddenly became a matter of harsh realization. Our beloved man headed home untimely, fearing something terrible had happened.</v>
      </c>
      <c r="F2456" s="1"/>
      <c r="G2456" s="1"/>
      <c r="H2456" s="1"/>
      <c r="I2456" s="1"/>
    </row>
    <row r="2457" spans="1:9" ht="15.6" x14ac:dyDescent="0.3">
      <c r="A2457" s="1" t="s">
        <v>5</v>
      </c>
      <c r="B2457" s="1" t="s">
        <v>5</v>
      </c>
      <c r="C2457" s="10" t="s">
        <v>5</v>
      </c>
      <c r="D2457" s="5" t="s">
        <v>608</v>
      </c>
      <c r="E2457" s="1" t="str">
        <f ca="1">IFERROR(__xludf.DUMMYFUNCTION("GOOGLETRANSLATE(D2457, ""bn"", ""en"")"),"Alhamdulillah Alhamdulillah tears came to my eyes hearing the words May Allah grant us Jannatul Ferdows Amin")</f>
        <v>Alhamdulillah Alhamdulillah tears came to my eyes hearing the words May Allah grant us Jannatul Ferdows Amin</v>
      </c>
      <c r="F2457" s="1"/>
      <c r="G2457" s="1"/>
      <c r="H2457" s="1"/>
      <c r="I2457" s="1"/>
    </row>
    <row r="2458" spans="1:9" ht="15.6" x14ac:dyDescent="0.3">
      <c r="A2458" s="1" t="s">
        <v>5</v>
      </c>
      <c r="B2458" s="1" t="s">
        <v>5</v>
      </c>
      <c r="C2458" s="10" t="s">
        <v>5</v>
      </c>
      <c r="D2458" s="5" t="s">
        <v>2200</v>
      </c>
      <c r="E2458" s="1" t="str">
        <f ca="1">IFERROR(__xludf.DUMMYFUNCTION("GOOGLETRANSLATE(D2458, ""bn"", ""en"")"),"Where discussion about Islam is important, Muslims can focus on more constructive matters rather than just preoccupation with sehri and iftar. There should be constructive discussions on the organization of religious activities in social and educational i"&amp;"nstitutions, so that everyone's opinion and religious freedom is respected.")</f>
        <v>Where discussion about Islam is important, Muslims can focus on more constructive matters rather than just preoccupation with sehri and iftar. There should be constructive discussions on the organization of religious activities in social and educational institutions, so that everyone's opinion and religious freedom is respected.</v>
      </c>
      <c r="F2458" s="1"/>
      <c r="G2458" s="1"/>
      <c r="H2458" s="1"/>
      <c r="I2458" s="1"/>
    </row>
    <row r="2459" spans="1:9" ht="15.6" x14ac:dyDescent="0.3">
      <c r="A2459" s="1" t="s">
        <v>5</v>
      </c>
      <c r="B2459" s="1" t="s">
        <v>4</v>
      </c>
      <c r="C2459" s="10" t="s">
        <v>5</v>
      </c>
      <c r="D2459" s="5" t="s">
        <v>2201</v>
      </c>
      <c r="E2459" s="1" t="str">
        <f ca="1">IFERROR(__xludf.DUMMYFUNCTION("GOOGLETRANSLATE(D2459, ""bn"", ""en"")"),"Once the majority of the people of this Bengal were followers of Buddhism. Buddhists ruled Bengal for four hundred years. Buddhist rule was known as 'Pala' rule. That is, the entire Pala period was the Buddhist period in the history of Bengal.")</f>
        <v>Once the majority of the people of this Bengal were followers of Buddhism. Buddhists ruled Bengal for four hundred years. Buddhist rule was known as 'Pala' rule. That is, the entire Pala period was the Buddhist period in the history of Bengal.</v>
      </c>
      <c r="F2459" s="1"/>
      <c r="G2459" s="1"/>
      <c r="H2459" s="1"/>
      <c r="I2459" s="1"/>
    </row>
    <row r="2460" spans="1:9" ht="15.6" x14ac:dyDescent="0.3">
      <c r="A2460" s="1" t="s">
        <v>7</v>
      </c>
      <c r="B2460" s="1" t="s">
        <v>7</v>
      </c>
      <c r="C2460" s="10" t="s">
        <v>7</v>
      </c>
      <c r="D2460" s="5" t="s">
        <v>2202</v>
      </c>
      <c r="E2460" s="1" t="str">
        <f ca="1">IFERROR(__xludf.DUMMYFUNCTION("GOOGLETRANSLATE(D2460, ""bn"", ""en"")"),"The Madhyapara massacre was a massacre of Bengali Hindus in Madhyapara and its surrounding villages under Palang police station in Faridpur district on 22 May 1971. [1] According to the official figures, approximately 370 people died in the massacre.")</f>
        <v>The Madhyapara massacre was a massacre of Bengali Hindus in Madhyapara and its surrounding villages under Palang police station in Faridpur district on 22 May 1971. [1] According to the official figures, approximately 370 people died in the massacre.</v>
      </c>
      <c r="F2460" s="1"/>
      <c r="G2460" s="1"/>
      <c r="H2460" s="1"/>
      <c r="I2460" s="1"/>
    </row>
    <row r="2461" spans="1:9" ht="15.6" x14ac:dyDescent="0.3">
      <c r="A2461" s="1" t="s">
        <v>7</v>
      </c>
      <c r="B2461" s="1" t="s">
        <v>7</v>
      </c>
      <c r="C2461" s="10" t="s">
        <v>7</v>
      </c>
      <c r="D2461" s="5" t="s">
        <v>2203</v>
      </c>
      <c r="E2461" s="1" t="str">
        <f ca="1">IFERROR(__xludf.DUMMYFUNCTION("GOOGLETRANSLATE(D2461, ""bn"", ""en"")"),"At 10 pm, the prisoners were taken to Loharpool and lined up and shot. Dholai dumped the bodies in the canal under the bridge. ")</f>
        <v>At 10 pm, the prisoners were taken to Loharpool and lined up and shot. Dholai dumped the bodies in the canal under the bridge. </v>
      </c>
      <c r="F2461" s="1"/>
      <c r="G2461" s="1"/>
      <c r="H2461" s="1"/>
      <c r="I2461" s="1"/>
    </row>
    <row r="2462" spans="1:9" ht="15.6" x14ac:dyDescent="0.3">
      <c r="A2462" s="1" t="s">
        <v>9</v>
      </c>
      <c r="B2462" s="1" t="s">
        <v>9</v>
      </c>
      <c r="C2462" s="10" t="s">
        <v>9</v>
      </c>
      <c r="D2462" s="5" t="s">
        <v>2204</v>
      </c>
      <c r="E2462" s="1" t="str">
        <f ca="1">IFERROR(__xludf.DUMMYFUNCTION("GOOGLETRANSLATE(D2462, ""bn"", ""en"")"),"Where the Jews have occupied the whole of Palestine, why are the Muslims of Palestine rushing to the mosque again and again after suffering so much torture for only 12 acres of land?")</f>
        <v>Where the Jews have occupied the whole of Palestine, why are the Muslims of Palestine rushing to the mosque again and again after suffering so much torture for only 12 acres of land?</v>
      </c>
      <c r="F2462" s="1"/>
      <c r="G2462" s="1"/>
      <c r="H2462" s="1"/>
      <c r="I2462" s="1"/>
    </row>
    <row r="2463" spans="1:9" ht="15.6" x14ac:dyDescent="0.3">
      <c r="A2463" s="1" t="s">
        <v>9</v>
      </c>
      <c r="B2463" s="1" t="s">
        <v>9</v>
      </c>
      <c r="C2463" s="10" t="s">
        <v>9</v>
      </c>
      <c r="D2463" s="5" t="s">
        <v>2205</v>
      </c>
      <c r="E2463" s="1" t="str">
        <f ca="1">IFERROR(__xludf.DUMMYFUNCTION("GOOGLETRANSLATE(D2463, ""bn"", ""en"")")," From February 15 to March 1 there were reports of 15 stabbings of Hindus in Laujung and Dighali. On 28 February, the entire Dighali Bazaar was burnt to ashes.")</f>
        <v> From February 15 to March 1 there were reports of 15 stabbings of Hindus in Laujung and Dighali. On 28 February, the entire Dighali Bazaar was burnt to ashes.</v>
      </c>
      <c r="F2463" s="1"/>
      <c r="G2463" s="1"/>
      <c r="H2463" s="1"/>
      <c r="I2463" s="1"/>
    </row>
    <row r="2464" spans="1:9" ht="15.6" x14ac:dyDescent="0.3">
      <c r="A2464" s="1" t="s">
        <v>5</v>
      </c>
      <c r="B2464" s="1" t="s">
        <v>5</v>
      </c>
      <c r="C2464" s="10" t="s">
        <v>5</v>
      </c>
      <c r="D2464" s="5" t="s">
        <v>2206</v>
      </c>
      <c r="E2464" s="1" t="str">
        <f ca="1">IFERROR(__xludf.DUMMYFUNCTION("GOOGLETRANSLATE(D2464, ""bn"", ""en"")"),"In 2017, it was announced at an international conference that initiatives will be taken to increase foreign tourists to Buddhist establishments in Bangladesh. ")</f>
        <v>In 2017, it was announced at an international conference that initiatives will be taken to increase foreign tourists to Buddhist establishments in Bangladesh. </v>
      </c>
      <c r="F2464" s="1"/>
      <c r="G2464" s="1"/>
      <c r="H2464" s="1"/>
      <c r="I2464" s="1"/>
    </row>
    <row r="2465" spans="1:9" ht="46.8" x14ac:dyDescent="0.3">
      <c r="A2465" s="1" t="s">
        <v>9</v>
      </c>
      <c r="B2465" s="1" t="s">
        <v>9</v>
      </c>
      <c r="C2465" s="10" t="s">
        <v>9</v>
      </c>
      <c r="D2465" s="6" t="s">
        <v>3760</v>
      </c>
      <c r="E2465" s="1" t="str">
        <f ca="1">IFERROR(__xludf.DUMMYFUNCTION("GOOGLETRANSLATE(D2465, ""bn"", ""en"")"),"Looting, vandalism and burning of Hindu homes in several districts across the country. [1] Seven people from Jamaat-e-Islami and the Bangladesh Nationalist Party were arrested for their involvement in the attacks. [2] The National Human Rights Commission "&amp;"blamed the government for the attacks on Hindus after the election. [3] India's then-opposition Bharatiya Janata Party condemned the attacks on minorities in Bangladesh.")</f>
        <v>Looting, vandalism and burning of Hindu homes in several districts across the country. [1] Seven people from Jamaat-e-Islami and the Bangladesh Nationalist Party were arrested for their involvement in the attacks. [2] The National Human Rights Commission blamed the government for the attacks on Hindus after the election. [3] India's then-opposition Bharatiya Janata Party condemned the attacks on minorities in Bangladesh.</v>
      </c>
      <c r="F2465" s="1"/>
      <c r="G2465" s="1"/>
      <c r="H2465" s="1"/>
      <c r="I2465" s="1"/>
    </row>
    <row r="2466" spans="1:9" ht="15.6" x14ac:dyDescent="0.3">
      <c r="A2466" s="1" t="s">
        <v>4</v>
      </c>
      <c r="B2466" s="1" t="s">
        <v>5</v>
      </c>
      <c r="C2466" s="10" t="s">
        <v>4</v>
      </c>
      <c r="D2466" s="5" t="s">
        <v>2207</v>
      </c>
      <c r="E2466" s="1" t="str">
        <f ca="1">IFERROR(__xludf.DUMMYFUNCTION("GOOGLETRANSLATE(D2466, ""bn"", ""en"")"),"This is a sign of Dajjal's temptation. Dajjal will also win the hearts of some people by giving them bread and sustenance and will make them lose their faith.")</f>
        <v>This is a sign of Dajjal's temptation. Dajjal will also win the hearts of some people by giving them bread and sustenance and will make them lose their faith.</v>
      </c>
      <c r="F2466" s="1"/>
      <c r="G2466" s="1"/>
      <c r="H2466" s="1"/>
      <c r="I2466" s="1"/>
    </row>
    <row r="2467" spans="1:9" ht="15.6" x14ac:dyDescent="0.3">
      <c r="A2467" s="1" t="s">
        <v>5</v>
      </c>
      <c r="B2467" s="1" t="s">
        <v>5</v>
      </c>
      <c r="C2467" s="10" t="s">
        <v>5</v>
      </c>
      <c r="D2467" s="5" t="s">
        <v>2208</v>
      </c>
      <c r="E2467" s="1" t="str">
        <f ca="1">IFERROR(__xludf.DUMMYFUNCTION("GOOGLETRANSLATE(D2467, ""bn"", ""en"")"),"Quran Sharif is the only solution to all problems, just search.")</f>
        <v>Quran Sharif is the only solution to all problems, just search.</v>
      </c>
      <c r="F2467" s="1"/>
      <c r="G2467" s="1"/>
      <c r="H2467" s="1"/>
      <c r="I2467" s="1"/>
    </row>
    <row r="2468" spans="1:9" ht="15.6" x14ac:dyDescent="0.3">
      <c r="A2468" s="1" t="s">
        <v>5</v>
      </c>
      <c r="B2468" s="1" t="s">
        <v>5</v>
      </c>
      <c r="C2468" s="10" t="s">
        <v>5</v>
      </c>
      <c r="D2468" s="5" t="s">
        <v>2209</v>
      </c>
      <c r="E2468" s="1" t="str">
        <f ca="1">IFERROR(__xludf.DUMMYFUNCTION("GOOGLETRANSLATE(D2468, ""bn"", ""en"")"),"The most troubling thing is that all the comments talking bad about Islam are made by Muslims. Their religion has no value to themselves.")</f>
        <v>The most troubling thing is that all the comments talking bad about Islam are made by Muslims. Their religion has no value to themselves.</v>
      </c>
      <c r="F2468" s="1"/>
      <c r="G2468" s="1"/>
      <c r="H2468" s="1"/>
      <c r="I2468" s="1"/>
    </row>
    <row r="2469" spans="1:9" ht="62.4" x14ac:dyDescent="0.3">
      <c r="A2469" s="1" t="s">
        <v>9</v>
      </c>
      <c r="B2469" s="1" t="s">
        <v>9</v>
      </c>
      <c r="C2469" s="10" t="s">
        <v>9</v>
      </c>
      <c r="D2469" s="6" t="s">
        <v>3759</v>
      </c>
      <c r="E2469" s="1" t="str">
        <f ca="1">IFERROR(__xludf.DUMMYFUNCTION("GOOGLETRANSLATE(D2469, ""bn"", ""en"")")," People of the Hindu community left the village and went into hiding due to the attack of thousands of people. According to the Chairman of Shalla Upazila, hundreds of houses were vandalized. Looting was more common in the homes of the wealthy.[8] Jhumon "&amp;"Das's wife and the local UP chairman's wife were severely beaten as they could not escape. When UP chairman's wife tried to defend herself by entering the bathroom, she was dragged out and beaten up")</f>
        <v> People of the Hindu community left the village and went into hiding due to the attack of thousands of people. According to the Chairman of Shalla Upazila, hundreds of houses were vandalized. Looting was more common in the homes of the wealthy.[8] Jhumon Das's wife and the local UP chairman's wife were severely beaten as they could not escape. When UP chairman's wife tried to defend herself by entering the bathroom, she was dragged out and beaten up</v>
      </c>
      <c r="F2469" s="1"/>
      <c r="G2469" s="1"/>
      <c r="H2469" s="1"/>
      <c r="I2469" s="1"/>
    </row>
    <row r="2470" spans="1:9" ht="15.6" x14ac:dyDescent="0.3">
      <c r="A2470" s="1" t="s">
        <v>9</v>
      </c>
      <c r="B2470" s="1" t="s">
        <v>9</v>
      </c>
      <c r="C2470" s="10" t="s">
        <v>9</v>
      </c>
      <c r="D2470" s="5" t="s">
        <v>2210</v>
      </c>
      <c r="E2470" s="1" t="str">
        <f ca="1">IFERROR(__xludf.DUMMYFUNCTION("GOOGLETRANSLATE(D2470, ""bn"", ""en"")"),"Two fifty year old temples were attacked in Jandi village of Tujarpur union of Bhanga upazila of Faridpur on Sunday, June 5. ")</f>
        <v>Two fifty year old temples were attacked in Jandi village of Tujarpur union of Bhanga upazila of Faridpur on Sunday, June 5. </v>
      </c>
      <c r="F2470" s="1"/>
      <c r="G2470" s="1"/>
      <c r="H2470" s="1"/>
      <c r="I2470" s="1"/>
    </row>
    <row r="2471" spans="1:9" ht="15.6" x14ac:dyDescent="0.3">
      <c r="A2471" s="1" t="s">
        <v>4</v>
      </c>
      <c r="B2471" s="1" t="s">
        <v>4</v>
      </c>
      <c r="C2471" s="10" t="s">
        <v>4</v>
      </c>
      <c r="D2471" s="5" t="s">
        <v>2211</v>
      </c>
      <c r="E2471" s="1" t="str">
        <f ca="1">IFERROR(__xludf.DUMMYFUNCTION("GOOGLETRANSLATE(D2471, ""bn"", ""en"")"),"Our identity in their eyes is that we are 'fanatics'. We are religious. From TV channels to government institutions everywhere, they continue to use all their tactics to keep us and our organization Lifespring in isolation. ")</f>
        <v xml:space="preserve">Our identity in their eyes is that we are 'fanatics'. We are religious. From TV channels to government institutions everywhere, they continue to use all their tactics to keep us and our organization Lifespring in isolation. </v>
      </c>
      <c r="F2471" s="1"/>
      <c r="G2471" s="1"/>
      <c r="H2471" s="1"/>
      <c r="I2471" s="1"/>
    </row>
    <row r="2472" spans="1:9" ht="15.6" x14ac:dyDescent="0.3">
      <c r="A2472" s="1" t="s">
        <v>9</v>
      </c>
      <c r="B2472" s="1" t="s">
        <v>9</v>
      </c>
      <c r="C2472" s="10" t="s">
        <v>9</v>
      </c>
      <c r="D2472" s="5" t="s">
        <v>2212</v>
      </c>
      <c r="E2472" s="1" t="str">
        <f ca="1">IFERROR(__xludf.DUMMYFUNCTION("GOOGLETRANSLATE(D2472, ""bn"", ""en"")"),"At around five o'clock in the morning, 20,000 armed mad Muslim workers of Adamji Jute mill attacked No. 2 Dhakeswari Cotton Mill and carried out non-stop killing, looting, kidnapping and rape of Hindus there.")</f>
        <v>At around five o'clock in the morning, 20,000 armed mad Muslim workers of Adamji Jute mill attacked No. 2 Dhakeswari Cotton Mill and carried out non-stop killing, looting, kidnapping and rape of Hindus there.</v>
      </c>
      <c r="F2472" s="1"/>
      <c r="G2472" s="1"/>
      <c r="H2472" s="1"/>
      <c r="I2472" s="1"/>
    </row>
    <row r="2473" spans="1:9" ht="62.4" x14ac:dyDescent="0.3">
      <c r="A2473" s="1" t="s">
        <v>7</v>
      </c>
      <c r="B2473" s="1" t="s">
        <v>5</v>
      </c>
      <c r="C2473" s="10" t="s">
        <v>7</v>
      </c>
      <c r="D2473" s="6" t="s">
        <v>3758</v>
      </c>
      <c r="E2473" s="1" t="str">
        <f ca="1">IFERROR(__xludf.DUMMYFUNCTION("GOOGLETRANSLATE(D2473, ""bn"", ""en"")"),"Many people fled Kolkata during the horrific massacre. For several days, innumerable waves of people continued to cross the Howrah Bridge towards the station. Many of them did not escape the violence, which spread to areas outside Calcutta. [38] Lord Wave"&amp;"ll claimed in an interview on 27 August 1946 that Mahatma Gandhi told him, ""If India wants bloodshed, she can accept it ... if bloodshed is necessary, it will be done in spite of non-violence"".")</f>
        <v>Many people fled Kolkata during the horrific massacre. For several days, innumerable waves of people continued to cross the Howrah Bridge towards the station. Many of them did not escape the violence, which spread to areas outside Calcutta. [38] Lord Wavell claimed in an interview on 27 August 1946 that Mahatma Gandhi told him, "If India wants bloodshed, she can accept it ... if bloodshed is necessary, it will be done in spite of non-violence".</v>
      </c>
      <c r="F2473" s="1"/>
      <c r="G2473" s="1"/>
      <c r="H2473" s="1"/>
      <c r="I2473" s="1"/>
    </row>
    <row r="2474" spans="1:9" ht="15.6" x14ac:dyDescent="0.3">
      <c r="A2474" s="1" t="s">
        <v>9</v>
      </c>
      <c r="B2474" s="1" t="s">
        <v>4</v>
      </c>
      <c r="C2474" s="10" t="s">
        <v>9</v>
      </c>
      <c r="D2474" s="5" t="s">
        <v>2213</v>
      </c>
      <c r="E2474" s="1" t="str">
        <f ca="1">IFERROR(__xludf.DUMMYFUNCTION("GOOGLETRANSLATE(D2474, ""bn"", ""en"")"),"The indescribable persecution of Hindus in Bangladesh in 1990 left many places Hindu-free and displaced Hindus from many places. The Hindus of Pahartali of Chittagong lost all their support, homes and took shelter in the refugee camp of Kaivalyadham templ"&amp;"e on the hill.")</f>
        <v>The indescribable persecution of Hindus in Bangladesh in 1990 left many places Hindu-free and displaced Hindus from many places. The Hindus of Pahartali of Chittagong lost all their support, homes and took shelter in the refugee camp of Kaivalyadham temple on the hill.</v>
      </c>
      <c r="F2474" s="1"/>
      <c r="G2474" s="1"/>
      <c r="H2474" s="1"/>
      <c r="I2474" s="1"/>
    </row>
    <row r="2475" spans="1:9" ht="15.6" x14ac:dyDescent="0.3">
      <c r="A2475" s="1" t="s">
        <v>5</v>
      </c>
      <c r="B2475" s="1" t="s">
        <v>5</v>
      </c>
      <c r="C2475" s="10" t="s">
        <v>5</v>
      </c>
      <c r="D2475" s="5" t="s">
        <v>2214</v>
      </c>
      <c r="E2475" s="1" t="str">
        <f ca="1">IFERROR(__xludf.DUMMYFUNCTION("GOOGLETRANSLATE(D2475, ""bn"", ""en"")"),"There is a small hadith:- The doomsday is with whomever you love.")</f>
        <v>There is a small hadith:- The doomsday is with whomever you love.</v>
      </c>
      <c r="F2475" s="1"/>
      <c r="G2475" s="1"/>
      <c r="H2475" s="1"/>
      <c r="I2475" s="1"/>
    </row>
    <row r="2476" spans="1:9" ht="15.6" x14ac:dyDescent="0.3">
      <c r="A2476" s="1" t="s">
        <v>7</v>
      </c>
      <c r="B2476" s="1" t="s">
        <v>7</v>
      </c>
      <c r="C2476" s="10" t="s">
        <v>7</v>
      </c>
      <c r="D2476" s="5" t="s">
        <v>2215</v>
      </c>
      <c r="E2476" s="1" t="str">
        <f ca="1">IFERROR(__xludf.DUMMYFUNCTION("GOOGLETRANSLATE(D2476, ""bn"", ""en"")"),"Atrocities such as keeping families alive in their homes, setting women on fire after gang-raping them, and dismembering children have been documented by Hindu extremists.")</f>
        <v>Atrocities such as keeping families alive in their homes, setting women on fire after gang-raping them, and dismembering children have been documented by Hindu extremists.</v>
      </c>
      <c r="F2476" s="1"/>
      <c r="G2476" s="1"/>
      <c r="H2476" s="1"/>
      <c r="I2476" s="1"/>
    </row>
    <row r="2477" spans="1:9" ht="15.6" x14ac:dyDescent="0.3">
      <c r="A2477" s="1" t="s">
        <v>5</v>
      </c>
      <c r="B2477" s="1" t="s">
        <v>5</v>
      </c>
      <c r="C2477" s="10" t="s">
        <v>5</v>
      </c>
      <c r="D2477" s="5" t="s">
        <v>2216</v>
      </c>
      <c r="E2477" s="1" t="str">
        <f ca="1">IFERROR(__xludf.DUMMYFUNCTION("GOOGLETRANSLATE(D2477, ""bn"", ""en"")"),"Islam and its culture are more of a headache for people of Muslim origin. If Islam is expelled from this country, Muslims are responsible. ")</f>
        <v xml:space="preserve">Islam and its culture are more of a headache for people of Muslim origin. If Islam is expelled from this country, Muslims are responsible. </v>
      </c>
      <c r="F2477" s="1"/>
      <c r="G2477" s="1"/>
      <c r="H2477" s="1"/>
      <c r="I2477" s="1"/>
    </row>
    <row r="2478" spans="1:9" ht="48.6" x14ac:dyDescent="0.3">
      <c r="A2478" s="1" t="s">
        <v>5</v>
      </c>
      <c r="B2478" s="1" t="s">
        <v>5</v>
      </c>
      <c r="C2478" s="10" t="s">
        <v>5</v>
      </c>
      <c r="D2478" s="6" t="s">
        <v>3757</v>
      </c>
      <c r="E2478" s="1" t="str">
        <f ca="1">IFERROR(__xludf.DUMMYFUNCTION("GOOGLETRANSLATE(D2478, ""bn"", ""en"")"),"Muhammad regularly went to the Hera cave on Nur Parbat for some nights to meditate. After the age of 35, this habit became more widespread. According to Islamic belief, at the age of 40[147][148] the first verses of the Qur'an were revealed to Muhammad[15"&amp;"3] and he reported that they were sent by the angel Gabriel to draw near to God.")</f>
        <v>Muhammad regularly went to the Hera cave on Nur Parbat for some nights to meditate. After the age of 35, this habit became more widespread. According to Islamic belief, at the age of 40[147][148] the first verses of the Qur'an were revealed to Muhammad[153] and he reported that they were sent by the angel Gabriel to draw near to God.</v>
      </c>
      <c r="F2478" s="1"/>
      <c r="G2478" s="1"/>
      <c r="H2478" s="1"/>
      <c r="I2478" s="1"/>
    </row>
    <row r="2479" spans="1:9" ht="15.6" x14ac:dyDescent="0.3">
      <c r="A2479" s="1" t="s">
        <v>7</v>
      </c>
      <c r="B2479" s="1" t="s">
        <v>7</v>
      </c>
      <c r="C2479" s="10" t="s">
        <v>7</v>
      </c>
      <c r="D2479" s="5" t="s">
        <v>2217</v>
      </c>
      <c r="E2479" s="1" t="str">
        <f ca="1">IFERROR(__xludf.DUMMYFUNCTION("GOOGLETRANSLATE(D2479, ""bn"", ""en"")"),"On 12th February, the Muslims found and brutally killed all the Hindu passengers traveling between Akhaura and Bhairabazar on the Comilla-Mymensingh route.")</f>
        <v>On 12th February, the Muslims found and brutally killed all the Hindu passengers traveling between Akhaura and Bhairabazar on the Comilla-Mymensingh route.</v>
      </c>
      <c r="F2479" s="1"/>
      <c r="G2479" s="1"/>
      <c r="H2479" s="1"/>
      <c r="I2479" s="1"/>
    </row>
    <row r="2480" spans="1:9" ht="15.6" x14ac:dyDescent="0.3">
      <c r="A2480" s="1" t="s">
        <v>5</v>
      </c>
      <c r="B2480" s="1" t="s">
        <v>5</v>
      </c>
      <c r="C2480" s="10" t="s">
        <v>5</v>
      </c>
      <c r="D2480" s="5" t="s">
        <v>2218</v>
      </c>
      <c r="E2480" s="1" t="str">
        <f ca="1">IFERROR(__xludf.DUMMYFUNCTION("GOOGLETRANSLATE(D2480, ""bn"", ""en"")"),"Followers of Jainism are faithfully aware of non-violence and the fruits of their actions, which help them achieve spiritual growth and peace.")</f>
        <v>Followers of Jainism are faithfully aware of non-violence and the fruits of their actions, which help them achieve spiritual growth and peace.</v>
      </c>
      <c r="F2480" s="1"/>
      <c r="G2480" s="1"/>
      <c r="H2480" s="1"/>
      <c r="I2480" s="1"/>
    </row>
    <row r="2481" spans="1:9" ht="46.8" x14ac:dyDescent="0.3">
      <c r="A2481" s="1" t="s">
        <v>9</v>
      </c>
      <c r="B2481" s="1" t="s">
        <v>4</v>
      </c>
      <c r="C2481" s="10" t="s">
        <v>9</v>
      </c>
      <c r="D2481" s="6" t="s">
        <v>3756</v>
      </c>
      <c r="E2481" s="1" t="str">
        <f ca="1">IFERROR(__xludf.DUMMYFUNCTION("GOOGLETRANSLATE(D2481, ""bn"", ""en"")"),"A joint statement by 24 organizations representing the Bangladeshi Hindu community in Australia sent to SBS Bangla said Islamic extremists spread terror among Hindus throughout the festival. These include killing of Hindus, rape of women, burning of Hindu"&amp;" homes and businesses, desecration of idols and desecration of temples.")</f>
        <v>A joint statement by 24 organizations representing the Bangladeshi Hindu community in Australia sent to SBS Bangla said Islamic extremists spread terror among Hindus throughout the festival. These include killing of Hindus, rape of women, burning of Hindu homes and businesses, desecration of idols and desecration of temples.</v>
      </c>
      <c r="F2481" s="1"/>
      <c r="G2481" s="1"/>
      <c r="H2481" s="1"/>
      <c r="I2481" s="1"/>
    </row>
    <row r="2482" spans="1:9" ht="15.6" x14ac:dyDescent="0.3">
      <c r="A2482" s="1" t="s">
        <v>7</v>
      </c>
      <c r="B2482" s="1" t="s">
        <v>7</v>
      </c>
      <c r="C2482" s="10" t="s">
        <v>7</v>
      </c>
      <c r="D2482" s="5" t="s">
        <v>2219</v>
      </c>
      <c r="E2482" s="1" t="str">
        <f ca="1">IFERROR(__xludf.DUMMYFUNCTION("GOOGLETRANSLATE(D2482, ""bn"", ""en"")"),"A man attacked a synagogue motivated by anti-Semitic ideology, killing one and injuring three, a reflection of growing religious intolerance in the United States.")</f>
        <v>A man attacked a synagogue motivated by anti-Semitic ideology, killing one and injuring three, a reflection of growing religious intolerance in the United States.</v>
      </c>
      <c r="F2482" s="1"/>
      <c r="G2482" s="1"/>
      <c r="H2482" s="1"/>
      <c r="I2482" s="1"/>
    </row>
    <row r="2483" spans="1:9" ht="15.6" x14ac:dyDescent="0.3">
      <c r="A2483" s="4" t="s">
        <v>7</v>
      </c>
      <c r="B2483" s="4" t="s">
        <v>7</v>
      </c>
      <c r="C2483" s="11" t="s">
        <v>7</v>
      </c>
      <c r="D2483" s="5" t="s">
        <v>2220</v>
      </c>
      <c r="E2483" s="1" t="str">
        <f ca="1">IFERROR(__xludf.DUMMYFUNCTION("GOOGLETRANSLATE(D2483, ""bn"", ""en"")")," In 1919, after General Dyer ordered his troops to open fire on unarmed protesters inside a compound in Amritsar, killing 380 civilians, communal violence erupted in India against British immigrants.")</f>
        <v> In 1919, after General Dyer ordered his troops to open fire on unarmed protesters inside a compound in Amritsar, killing 380 civilians, communal violence erupted in India against British immigrants.</v>
      </c>
      <c r="F2483" s="1"/>
      <c r="G2483" s="1"/>
      <c r="H2483" s="1"/>
      <c r="I2483" s="1"/>
    </row>
    <row r="2484" spans="1:9" ht="15.6" x14ac:dyDescent="0.3">
      <c r="A2484" s="1" t="s">
        <v>4</v>
      </c>
      <c r="B2484" s="1" t="s">
        <v>5</v>
      </c>
      <c r="C2484" s="10" t="s">
        <v>4</v>
      </c>
      <c r="D2484" s="5" t="s">
        <v>2221</v>
      </c>
      <c r="E2484" s="1" t="str">
        <f ca="1">IFERROR(__xludf.DUMMYFUNCTION("GOOGLETRANSLATE(D2484, ""bn"", ""en"")"),"Lacking the experience of mixing in a cross-cultural environment, young people are confused by seeing digital multicultural Islamic life only on the Internet. Our common people do not understand the language of fundamentalist religious, moderate religious"&amp;", communist religious, or feminist religious views and ideals.")</f>
        <v>Lacking the experience of mixing in a cross-cultural environment, young people are confused by seeing digital multicultural Islamic life only on the Internet. Our common people do not understand the language of fundamentalist religious, moderate religious, communist religious, or feminist religious views and ideals.</v>
      </c>
      <c r="F2484" s="1"/>
      <c r="G2484" s="1"/>
      <c r="H2484" s="1"/>
      <c r="I2484" s="1"/>
    </row>
    <row r="2485" spans="1:9" ht="15.6" x14ac:dyDescent="0.3">
      <c r="A2485" s="1" t="s">
        <v>7</v>
      </c>
      <c r="B2485" s="1" t="s">
        <v>5</v>
      </c>
      <c r="C2485" s="10" t="s">
        <v>7</v>
      </c>
      <c r="D2485" s="5" t="s">
        <v>2222</v>
      </c>
      <c r="E2485" s="1" t="str">
        <f ca="1">IFERROR(__xludf.DUMMYFUNCTION("GOOGLETRANSLATE(D2485, ""bn"", ""en"")"),"Gautama Buddha died at Kushinagara or Harramba so it is a significant place for Buddhists. ")</f>
        <v>Gautama Buddha died at Kushinagara or Harramba so it is a significant place for Buddhists. </v>
      </c>
      <c r="F2485" s="1"/>
      <c r="G2485" s="1"/>
      <c r="H2485" s="1"/>
      <c r="I2485" s="1"/>
    </row>
    <row r="2486" spans="1:9" ht="15.6" x14ac:dyDescent="0.3">
      <c r="A2486" s="1" t="s">
        <v>4</v>
      </c>
      <c r="B2486" s="1" t="s">
        <v>5</v>
      </c>
      <c r="C2486" s="10" t="s">
        <v>4</v>
      </c>
      <c r="D2486" s="5" t="s">
        <v>2223</v>
      </c>
      <c r="E2486" s="1" t="str">
        <f ca="1">IFERROR(__xludf.DUMMYFUNCTION("GOOGLETRANSLATE(D2486, ""bn"", ""en"")"),"I strongly condemn this kind of action of Sweden and soon Allah Almighty will show them the reward inshallah.")</f>
        <v>I strongly condemn this kind of action of Sweden and soon Allah Almighty will show them the reward inshallah.</v>
      </c>
      <c r="F2486" s="1"/>
      <c r="G2486" s="1"/>
      <c r="H2486" s="1"/>
      <c r="I2486" s="1"/>
    </row>
    <row r="2487" spans="1:9" ht="15.6" x14ac:dyDescent="0.3">
      <c r="A2487" s="1" t="s">
        <v>5</v>
      </c>
      <c r="B2487" s="1" t="s">
        <v>5</v>
      </c>
      <c r="C2487" s="10" t="s">
        <v>5</v>
      </c>
      <c r="D2487" s="5" t="s">
        <v>2224</v>
      </c>
      <c r="E2487" s="1" t="str">
        <f ca="1">IFERROR(__xludf.DUMMYFUNCTION("GOOGLETRANSLATE(D2487, ""bn"", ""en"")"),"All adult Muslims are required to do this at least once in their lifetime if they are physically and financially able and their family is able to support themselves in the absence of the pilgrim.")</f>
        <v>All adult Muslims are required to do this at least once in their lifetime if they are physically and financially able and their family is able to support themselves in the absence of the pilgrim.</v>
      </c>
      <c r="F2487" s="1"/>
      <c r="G2487" s="1"/>
      <c r="H2487" s="1"/>
      <c r="I2487" s="1"/>
    </row>
    <row r="2488" spans="1:9" ht="15.6" x14ac:dyDescent="0.3">
      <c r="A2488" s="1" t="s">
        <v>9</v>
      </c>
      <c r="B2488" s="1" t="s">
        <v>5</v>
      </c>
      <c r="C2488" s="10" t="s">
        <v>9</v>
      </c>
      <c r="D2488" s="5" t="s">
        <v>2225</v>
      </c>
      <c r="E2488" s="1" t="str">
        <f ca="1">IFERROR(__xludf.DUMMYFUNCTION("GOOGLETRANSLATE(D2488, ""bn"", ""en"")"),"In October 1987, a group of young men from this gang attacked Nawroz Modi, an Indian man of Parsi origin. who were thought to be Hindus. But he is Zoroastrian. As he was leaving a Gold Coast cafe with his friend. As a result of the attack, he went into a "&amp;"coma. He died four days later. ")</f>
        <v>In October 1987, a group of young men from this gang attacked Nawroz Modi, an Indian man of Parsi origin. who were thought to be Hindus. But he is Zoroastrian. As he was leaving a Gold Coast cafe with his friend. As a result of the attack, he went into a coma. He died four days later. </v>
      </c>
      <c r="F2488" s="1"/>
      <c r="G2488" s="1"/>
      <c r="H2488" s="1"/>
      <c r="I2488" s="1"/>
    </row>
    <row r="2489" spans="1:9" ht="15.6" x14ac:dyDescent="0.3">
      <c r="A2489" s="1" t="s">
        <v>7</v>
      </c>
      <c r="B2489" s="1" t="s">
        <v>7</v>
      </c>
      <c r="C2489" s="10" t="s">
        <v>7</v>
      </c>
      <c r="D2489" s="5" t="s">
        <v>2226</v>
      </c>
      <c r="E2489" s="1" t="str">
        <f ca="1">IFERROR(__xludf.DUMMYFUNCTION("GOOGLETRANSLATE(D2489, ""bn"", ""en"")"),"On 22 May 1921, local allies attacked Nali village in Barisal district of Bangladesh. Bengali Hindu villagers resisted with spears. But they were overpowered by the accomplices, and they shot dead 15 villagers. ")</f>
        <v>On 22 May 1921, local allies attacked Nali village in Barisal district of Bangladesh. Bengali Hindu villagers resisted with spears. But they were overpowered by the accomplices, and they shot dead 15 villagers. </v>
      </c>
      <c r="F2489" s="1"/>
      <c r="G2489" s="1"/>
      <c r="H2489" s="1"/>
      <c r="I2489" s="1"/>
    </row>
    <row r="2490" spans="1:9" ht="15.6" x14ac:dyDescent="0.3">
      <c r="A2490" s="1" t="s">
        <v>4</v>
      </c>
      <c r="B2490" s="1" t="s">
        <v>4</v>
      </c>
      <c r="C2490" s="10" t="s">
        <v>4</v>
      </c>
      <c r="D2490" s="5" t="s">
        <v>2227</v>
      </c>
      <c r="E2490" s="1" t="str">
        <f ca="1">IFERROR(__xludf.DUMMYFUNCTION("GOOGLETRANSLATE(D2490, ""bn"", ""en"")"),"I strongly condemn and protest against the desecration of the Holy Quran Sharif in the worship hall in Comilla!")</f>
        <v>I strongly condemn and protest against the desecration of the Holy Quran Sharif in the worship hall in Comilla!</v>
      </c>
      <c r="F2490" s="1"/>
      <c r="G2490" s="1"/>
      <c r="H2490" s="1"/>
      <c r="I2490" s="1"/>
    </row>
    <row r="2491" spans="1:9" ht="15.6" x14ac:dyDescent="0.3">
      <c r="A2491" s="1" t="s">
        <v>7</v>
      </c>
      <c r="B2491" s="1" t="s">
        <v>7</v>
      </c>
      <c r="C2491" s="10" t="s">
        <v>7</v>
      </c>
      <c r="D2491" s="5" t="s">
        <v>2228</v>
      </c>
      <c r="E2491" s="1" t="str">
        <f ca="1">IFERROR(__xludf.DUMMYFUNCTION("GOOGLETRANSLATE(D2491, ""bn"", ""en"")"),"On the night of 27 March 1971, the Pakistani occupation army killed Hindus living around the Ramna Kali temple in what is known as the Ramna Massacre or the Ramna Massacre.[1][2] It is estimated that 250 Hindus were killed in the massacre.")</f>
        <v>On the night of 27 March 1971, the Pakistani occupation army killed Hindus living around the Ramna Kali temple in what is known as the Ramna Massacre or the Ramna Massacre.[1][2] It is estimated that 250 Hindus were killed in the massacre.</v>
      </c>
      <c r="F2491" s="1"/>
      <c r="G2491" s="1"/>
      <c r="H2491" s="1"/>
      <c r="I2491" s="1"/>
    </row>
    <row r="2492" spans="1:9" ht="15.6" x14ac:dyDescent="0.3">
      <c r="A2492" s="1" t="s">
        <v>4</v>
      </c>
      <c r="B2492" s="1" t="s">
        <v>5</v>
      </c>
      <c r="C2492" s="10" t="s">
        <v>4</v>
      </c>
      <c r="D2492" s="5" t="s">
        <v>2229</v>
      </c>
      <c r="E2492" s="1" t="str">
        <f ca="1">IFERROR(__xludf.DUMMYFUNCTION("GOOGLETRANSLATE(D2492, ""bn"", ""en"")"),"Attraction to the world and leaning towards it. Indulging in unnecessary quarrels or arguments. Adopting folklore for narrative. Being too busy with yourself.")</f>
        <v>Attraction to the world and leaning towards it. Indulging in unnecessary quarrels or arguments. Adopting folklore for narrative. Being too busy with yourself.</v>
      </c>
      <c r="F2492" s="1"/>
      <c r="G2492" s="1"/>
      <c r="H2492" s="1"/>
      <c r="I2492" s="1"/>
    </row>
    <row r="2493" spans="1:9" ht="15.6" x14ac:dyDescent="0.3">
      <c r="A2493" s="1" t="s">
        <v>5</v>
      </c>
      <c r="B2493" s="1" t="s">
        <v>5</v>
      </c>
      <c r="C2493" s="10" t="s">
        <v>5</v>
      </c>
      <c r="D2493" s="5" t="s">
        <v>2230</v>
      </c>
      <c r="E2493" s="1" t="str">
        <f ca="1">IFERROR(__xludf.DUMMYFUNCTION("GOOGLETRANSLATE(D2493, ""bn"", ""en"")"),"In spite of all the incompetence and backwardness, the Muslim nation is still the object of jealousy and hatred of the West because of the wealth that is the word of Allah and the religion of Islam.")</f>
        <v>In spite of all the incompetence and backwardness, the Muslim nation is still the object of jealousy and hatred of the West because of the wealth that is the word of Allah and the religion of Islam.</v>
      </c>
      <c r="F2493" s="1"/>
      <c r="G2493" s="1"/>
      <c r="H2493" s="1"/>
      <c r="I2493" s="1"/>
    </row>
    <row r="2494" spans="1:9" ht="15.6" x14ac:dyDescent="0.3">
      <c r="A2494" s="1" t="s">
        <v>9</v>
      </c>
      <c r="B2494" s="1" t="s">
        <v>9</v>
      </c>
      <c r="C2494" s="10" t="s">
        <v>9</v>
      </c>
      <c r="D2494" s="5" t="s">
        <v>2231</v>
      </c>
      <c r="E2494" s="1" t="str">
        <f ca="1">IFERROR(__xludf.DUMMYFUNCTION("GOOGLETRANSLATE(D2494, ""bn"", ""en"")"),"It is only my responsibility to reach out from Allah and spread His message. For those who disobey Allah and His Messenger are the Fires of Hell, where they will abide forever.")</f>
        <v>It is only my responsibility to reach out from Allah and spread His message. For those who disobey Allah and His Messenger are the Fires of Hell, where they will abide forever.</v>
      </c>
      <c r="F2494" s="1"/>
      <c r="G2494" s="1"/>
      <c r="H2494" s="1"/>
      <c r="I2494" s="1"/>
    </row>
    <row r="2495" spans="1:9" ht="46.8" x14ac:dyDescent="0.3">
      <c r="A2495" s="4" t="s">
        <v>7</v>
      </c>
      <c r="B2495" s="4" t="s">
        <v>7</v>
      </c>
      <c r="C2495" s="11" t="s">
        <v>7</v>
      </c>
      <c r="D2495" s="6" t="s">
        <v>3755</v>
      </c>
      <c r="E2495" s="1" t="str">
        <f ca="1">IFERROR(__xludf.DUMMYFUNCTION("GOOGLETRANSLATE(D2495, ""bn"", ""en"")"),"Targeted mass violence by some in one community against innocent members of another community, suppression of allegations, refusal to prosecute, killing of peaceful protesters, imprisonment of members of a single community and refusal to arrest members of"&amp;" another community in conflict, perceived or actual detainee torture by the state are often the biggest aggregators of communal violence.")</f>
        <v>Targeted mass violence by some in one community against innocent members of another community, suppression of allegations, refusal to prosecute, killing of peaceful protesters, imprisonment of members of a single community and refusal to arrest members of another community in conflict, perceived or actual detainee torture by the state are often the biggest aggregators of communal violence.</v>
      </c>
      <c r="F2495" s="1"/>
      <c r="G2495" s="1"/>
      <c r="H2495" s="1"/>
      <c r="I2495" s="1"/>
    </row>
    <row r="2496" spans="1:9" ht="15.6" x14ac:dyDescent="0.3">
      <c r="A2496" s="1" t="s">
        <v>7</v>
      </c>
      <c r="B2496" s="1" t="s">
        <v>7</v>
      </c>
      <c r="C2496" s="10" t="s">
        <v>7</v>
      </c>
      <c r="D2496" s="5" t="s">
        <v>2232</v>
      </c>
      <c r="E2496" s="1" t="str">
        <f ca="1">IFERROR(__xludf.DUMMYFUNCTION("GOOGLETRANSLATE(D2496, ""bn"", ""en"")"),"According to the Hamas government in Gaza, at least 900 Palestinians, including civilians and 260 children, were killed in gunfire and airstrikes in the first three days; The IDF said it had killed ""more than 1,500 terrorists"" inside Israel.")</f>
        <v>According to the Hamas government in Gaza, at least 900 Palestinians, including civilians and 260 children, were killed in gunfire and airstrikes in the first three days; The IDF said it had killed "more than 1,500 terrorists" inside Israel.</v>
      </c>
      <c r="F2496" s="1"/>
      <c r="G2496" s="1"/>
      <c r="H2496" s="1"/>
      <c r="I2496" s="1"/>
    </row>
    <row r="2497" spans="1:9" ht="15.6" x14ac:dyDescent="0.3">
      <c r="A2497" s="1" t="s">
        <v>9</v>
      </c>
      <c r="B2497" s="1" t="s">
        <v>9</v>
      </c>
      <c r="C2497" s="10" t="s">
        <v>9</v>
      </c>
      <c r="D2497" s="5" t="s">
        <v>2233</v>
      </c>
      <c r="E2497" s="1" t="str">
        <f ca="1">IFERROR(__xludf.DUMMYFUNCTION("GOOGLETRANSLATE(D2497, ""bn"", ""en"")")," Hindus of Dandapanipur in Vishwanath Police Station were also subjected to horrific looting. Cows sacred to Hindus were slaughtered and force fed to them and all were forced to convert to Islam. Muslims looted Ghosh's house in Tukerkandi village.")</f>
        <v> Hindus of Dandapanipur in Vishwanath Police Station were also subjected to horrific looting. Cows sacred to Hindus were slaughtered and force fed to them and all were forced to convert to Islam. Muslims looted Ghosh's house in Tukerkandi village.</v>
      </c>
      <c r="F2497" s="1"/>
      <c r="G2497" s="1"/>
      <c r="H2497" s="1"/>
      <c r="I2497" s="1"/>
    </row>
    <row r="2498" spans="1:9" ht="15.6" x14ac:dyDescent="0.3">
      <c r="A2498" s="1" t="s">
        <v>5</v>
      </c>
      <c r="B2498" s="1" t="s">
        <v>5</v>
      </c>
      <c r="C2498" s="10" t="s">
        <v>5</v>
      </c>
      <c r="D2498" s="5" t="s">
        <v>2234</v>
      </c>
      <c r="E2498" s="1" t="str">
        <f ca="1">IFERROR(__xludf.DUMMYFUNCTION("GOOGLETRANSLATE(D2498, ""bn"", ""en"")"),"Our country is a country without religious discrimination. Hindus and Muslims of this country sit and eat together and people of all religions live together. ")</f>
        <v xml:space="preserve">Our country is a country without religious discrimination. Hindus and Muslims of this country sit and eat together and people of all religions live together. </v>
      </c>
      <c r="F2498" s="1"/>
      <c r="G2498" s="1"/>
      <c r="H2498" s="1"/>
      <c r="I2498" s="1"/>
    </row>
    <row r="2499" spans="1:9" ht="15.6" x14ac:dyDescent="0.3">
      <c r="A2499" s="1" t="s">
        <v>5</v>
      </c>
      <c r="B2499" s="1" t="s">
        <v>5</v>
      </c>
      <c r="C2499" s="10" t="s">
        <v>5</v>
      </c>
      <c r="D2499" s="5" t="s">
        <v>2235</v>
      </c>
      <c r="E2499" s="1" t="str">
        <f ca="1">IFERROR(__xludf.DUMMYFUNCTION("GOOGLETRANSLATE(D2499, ""bn"", ""en"")"),"The Qur'an calls upon the Jews and the Christians to keep the treasures of the Qur'an in their hearts and to be enlightened by the light of the Qur'an. b")</f>
        <v>The Qur'an calls upon the Jews and the Christians to keep the treasures of the Qur'an in their hearts and to be enlightened by the light of the Qur'an. b</v>
      </c>
      <c r="F2499" s="1"/>
      <c r="G2499" s="1"/>
      <c r="H2499" s="1"/>
      <c r="I2499" s="1"/>
    </row>
    <row r="2500" spans="1:9" ht="15.6" x14ac:dyDescent="0.3">
      <c r="A2500" s="1" t="s">
        <v>9</v>
      </c>
      <c r="B2500" s="1" t="s">
        <v>4</v>
      </c>
      <c r="C2500" s="10" t="s">
        <v>9</v>
      </c>
      <c r="D2500" s="5" t="s">
        <v>2236</v>
      </c>
      <c r="E2500" s="1" t="str">
        <f ca="1">IFERROR(__xludf.DUMMYFUNCTION("GOOGLETRANSLATE(D2500, ""bn"", ""en"")"),"Almost all religions in the world contain some degree of fanaticism, bigotry and misinterpretation. As a result of which militancy or aggressive incidents are currently happening in the country. However, there are some different contexts of these religiou"&amp;"sly-centered events.")</f>
        <v>Almost all religions in the world contain some degree of fanaticism, bigotry and misinterpretation. As a result of which militancy or aggressive incidents are currently happening in the country. However, there are some different contexts of these religiously-centered events.</v>
      </c>
      <c r="F2500" s="1"/>
      <c r="G2500" s="1"/>
      <c r="H2500" s="1"/>
      <c r="I2500" s="1"/>
    </row>
    <row r="2501" spans="1:9" ht="15.6" x14ac:dyDescent="0.3">
      <c r="A2501" s="1" t="s">
        <v>7</v>
      </c>
      <c r="B2501" s="1" t="s">
        <v>7</v>
      </c>
      <c r="C2501" s="10" t="s">
        <v>7</v>
      </c>
      <c r="D2501" s="5" t="s">
        <v>2237</v>
      </c>
      <c r="E2501" s="1" t="str">
        <f ca="1">IFERROR(__xludf.DUMMYFUNCTION("GOOGLETRANSLATE(D2501, ""bn"", ""en"")"),"Mr. Multan in the prison. Hafiz is detained, the court of the prison in which he was sentenced to death.")</f>
        <v>Mr. Multan in the prison. Hafiz is detained, the court of the prison in which he was sentenced to death.</v>
      </c>
      <c r="F2501" s="1"/>
      <c r="G2501" s="1"/>
      <c r="H2501" s="1"/>
      <c r="I2501" s="1"/>
    </row>
    <row r="2502" spans="1:9" ht="46.8" x14ac:dyDescent="0.3">
      <c r="A2502" s="1" t="s">
        <v>5</v>
      </c>
      <c r="B2502" s="1" t="s">
        <v>5</v>
      </c>
      <c r="C2502" s="10" t="s">
        <v>5</v>
      </c>
      <c r="D2502" s="6" t="s">
        <v>3754</v>
      </c>
      <c r="E2502" s="1" t="str">
        <f ca="1">IFERROR(__xludf.DUMMYFUNCTION("GOOGLETRANSLATE(D2502, ""bn"", ""en"")"),"After the witness of his wife Sneha, the charges brought against the neo-Muslim brother were proved false in the court. Therefore, he should be released voluntarily. But the court still detained him and his bail hearing was today but again the court denie"&amp;"d him bail.")</f>
        <v>After the witness of his wife Sneha, the charges brought against the neo-Muslim brother were proved false in the court. Therefore, he should be released voluntarily. But the court still detained him and his bail hearing was today but again the court denied him bail.</v>
      </c>
      <c r="F2502" s="1"/>
      <c r="G2502" s="1"/>
      <c r="H2502" s="1"/>
      <c r="I2502" s="1"/>
    </row>
    <row r="2503" spans="1:9" ht="46.8" x14ac:dyDescent="0.3">
      <c r="A2503" s="1" t="s">
        <v>7</v>
      </c>
      <c r="B2503" s="1" t="s">
        <v>7</v>
      </c>
      <c r="C2503" s="10" t="s">
        <v>7</v>
      </c>
      <c r="D2503" s="6" t="s">
        <v>3753</v>
      </c>
      <c r="E2503" s="1" t="str">
        <f ca="1">IFERROR(__xludf.DUMMYFUNCTION("GOOGLETRANSLATE(D2503, ""bn"", ""en"")")," The death toll in the riots was greatly exaggerated in immediate reports, saying it was difficult for the authorities to deal with because the riots had spread over a large area of ​​scattered villages and it was impossible to establish the exact number "&amp;"of casualties: ""According to the statement taken in the British Parliament, the death toll was close to 5,000.")</f>
        <v> The death toll in the riots was greatly exaggerated in immediate reports, saying it was difficult for the authorities to deal with because the riots had spread over a large area of ​​scattered villages and it was impossible to establish the exact number of casualties: "According to the statement taken in the British Parliament, the death toll was close to 5,000.</v>
      </c>
      <c r="F2503" s="1"/>
      <c r="G2503" s="1"/>
      <c r="H2503" s="1"/>
      <c r="I2503" s="1"/>
    </row>
    <row r="2504" spans="1:9" ht="15.6" x14ac:dyDescent="0.3">
      <c r="A2504" s="1" t="s">
        <v>7</v>
      </c>
      <c r="B2504" s="1" t="s">
        <v>7</v>
      </c>
      <c r="C2504" s="10" t="s">
        <v>7</v>
      </c>
      <c r="D2504" s="5" t="s">
        <v>2238</v>
      </c>
      <c r="E2504" s="1" t="str">
        <f ca="1">IFERROR(__xludf.DUMMYFUNCTION("GOOGLETRANSLATE(D2504, ""bn"", ""en"")"),"According to official data, 1,180 people lost their lives at the hands of peace forces between 1980 and 1991. [2] The Bangladesh Army, Bangladesh Police, Bengali Muslim residents, peace forces and their supporters have been involved in human rights abuses"&amp;", including ethnic evictions.")</f>
        <v>According to official data, 1,180 people lost their lives at the hands of peace forces between 1980 and 1991. [2] The Bangladesh Army, Bangladesh Police, Bengali Muslim residents, peace forces and their supporters have been involved in human rights abuses, including ethnic evictions.</v>
      </c>
      <c r="F2504" s="1"/>
      <c r="G2504" s="1"/>
      <c r="H2504" s="1"/>
      <c r="I2504" s="1"/>
    </row>
    <row r="2505" spans="1:9" ht="15.6" x14ac:dyDescent="0.3">
      <c r="A2505" s="1" t="s">
        <v>5</v>
      </c>
      <c r="B2505" s="1" t="s">
        <v>5</v>
      </c>
      <c r="C2505" s="10" t="s">
        <v>5</v>
      </c>
      <c r="D2505" s="5" t="s">
        <v>2239</v>
      </c>
      <c r="E2505" s="1" t="str">
        <f ca="1">IFERROR(__xludf.DUMMYFUNCTION("GOOGLETRANSLATE(D2505, ""bn"", ""en"")"),"If you don't enter Jannah, you don't understand what Jannah is like. Paradise is so beautiful that just seeing it makes you want to see more. Once you see it, it seems that you are just waiting, even if you wait for 24 minutes, it will seem like time is r"&amp;"unning out. When you see it, you want to keep watching. How long can I wait, I can't stay!")</f>
        <v>If you don't enter Jannah, you don't understand what Jannah is like. Paradise is so beautiful that just seeing it makes you want to see more. Once you see it, it seems that you are just waiting, even if you wait for 24 minutes, it will seem like time is running out. When you see it, you want to keep watching. How long can I wait, I can't stay!</v>
      </c>
      <c r="F2505" s="1"/>
      <c r="G2505" s="1"/>
      <c r="H2505" s="1"/>
      <c r="I2505" s="1"/>
    </row>
    <row r="2506" spans="1:9" ht="15.6" x14ac:dyDescent="0.3">
      <c r="A2506" s="1" t="s">
        <v>5</v>
      </c>
      <c r="B2506" s="1" t="s">
        <v>5</v>
      </c>
      <c r="C2506" s="10" t="s">
        <v>5</v>
      </c>
      <c r="D2506" s="5" t="s">
        <v>2240</v>
      </c>
      <c r="E2506" s="1" t="str">
        <f ca="1">IFERROR(__xludf.DUMMYFUNCTION("GOOGLETRANSLATE(D2506, ""bn"", ""en"")")," Being obsessed with wealth and family. Ambition or desire for luxury. Eating more, sleeping more, talking more, waking up more at night, stiffness.")</f>
        <v xml:space="preserve"> Being obsessed with wealth and family. Ambition or desire for luxury. Eating more, sleeping more, talking more, waking up more at night, stiffness.</v>
      </c>
      <c r="F2506" s="1"/>
      <c r="G2506" s="1"/>
      <c r="H2506" s="1"/>
      <c r="I2506" s="1"/>
    </row>
    <row r="2507" spans="1:9" ht="15.6" x14ac:dyDescent="0.3">
      <c r="A2507" s="1" t="s">
        <v>5</v>
      </c>
      <c r="B2507" s="1" t="s">
        <v>5</v>
      </c>
      <c r="C2507" s="10" t="s">
        <v>5</v>
      </c>
      <c r="D2507" s="5" t="s">
        <v>2241</v>
      </c>
      <c r="E2507" s="1" t="str">
        <f ca="1">IFERROR(__xludf.DUMMYFUNCTION("GOOGLETRANSLATE(D2507, ""bn"", ""en"")"),"Allah mentions in the Qur'an that every animal's life has value, and He does not want them to suffer unjustly.")</f>
        <v>Allah mentions in the Qur'an that every animal's life has value, and He does not want them to suffer unjustly.</v>
      </c>
      <c r="F2507" s="1"/>
      <c r="G2507" s="1"/>
      <c r="H2507" s="1"/>
      <c r="I2507" s="1"/>
    </row>
    <row r="2508" spans="1:9" ht="15.6" x14ac:dyDescent="0.3">
      <c r="A2508" s="1" t="s">
        <v>4</v>
      </c>
      <c r="B2508" s="1" t="s">
        <v>4</v>
      </c>
      <c r="C2508" s="10" t="s">
        <v>4</v>
      </c>
      <c r="D2508" s="5" t="s">
        <v>2242</v>
      </c>
      <c r="E2508" s="1" t="str">
        <f ca="1">IFERROR(__xludf.DUMMYFUNCTION("GOOGLETRANSLATE(D2508, ""bn"", ""en"")"),"Those who insult Islam do not speak against the culprits when they happen and those who come to explain the geography to Muslims are also responsible for these incidents.")</f>
        <v>Those who insult Islam do not speak against the culprits when they happen and those who come to explain the geography to Muslims are also responsible for these incidents.</v>
      </c>
      <c r="F2508" s="1"/>
      <c r="G2508" s="1"/>
      <c r="H2508" s="1"/>
      <c r="I2508" s="1"/>
    </row>
    <row r="2509" spans="1:9" ht="15.6" x14ac:dyDescent="0.3">
      <c r="A2509" s="1" t="s">
        <v>7</v>
      </c>
      <c r="B2509" s="1" t="s">
        <v>7</v>
      </c>
      <c r="C2509" s="10" t="s">
        <v>7</v>
      </c>
      <c r="D2509" s="5" t="s">
        <v>2243</v>
      </c>
      <c r="E2509" s="1" t="str">
        <f ca="1">IFERROR(__xludf.DUMMYFUNCTION("GOOGLETRANSLATE(D2509, ""bn"", ""en"")"),"The East Pakistan riots of 1964 was a brutal inhumane massacre of Bengali Hindus in what was then East Pakistan (present-day Bangladesh) to ethnically exterminate them.")</f>
        <v>The East Pakistan riots of 1964 was a brutal inhumane massacre of Bengali Hindus in what was then East Pakistan (present-day Bangladesh) to ethnically exterminate them.</v>
      </c>
      <c r="F2509" s="1"/>
      <c r="G2509" s="1"/>
      <c r="H2509" s="1"/>
      <c r="I2509" s="1"/>
    </row>
    <row r="2510" spans="1:9" ht="46.8" x14ac:dyDescent="0.3">
      <c r="A2510" s="4" t="s">
        <v>7</v>
      </c>
      <c r="B2510" s="4" t="s">
        <v>7</v>
      </c>
      <c r="C2510" s="11" t="s">
        <v>7</v>
      </c>
      <c r="D2510" s="6" t="s">
        <v>3752</v>
      </c>
      <c r="E2510" s="1" t="str">
        <f ca="1">IFERROR(__xludf.DUMMYFUNCTION("GOOGLETRANSLATE(D2510, ""bn"", ""en"")"),"On August 13, the local police refused to restrain a pig grazing in the Eidgah grounds and a group of Muslims threw stones at the police. More than 100 people died due to indiscriminate firing by the police. After this incident, violent incidents such as "&amp;"burning of property, looting, killing etc., which were religious in nature, took place.")</f>
        <v>On August 13, the local police refused to restrain a pig grazing in the Eidgah grounds and a group of Muslims threw stones at the police. More than 100 people died due to indiscriminate firing by the police. After this incident, violent incidents such as burning of property, looting, killing etc., which were religious in nature, took place.</v>
      </c>
      <c r="F2510" s="1"/>
      <c r="G2510" s="1"/>
      <c r="H2510" s="1"/>
      <c r="I2510" s="1"/>
    </row>
    <row r="2511" spans="1:9" ht="15.6" x14ac:dyDescent="0.3">
      <c r="A2511" s="1" t="s">
        <v>4</v>
      </c>
      <c r="B2511" s="1" t="s">
        <v>4</v>
      </c>
      <c r="C2511" s="10" t="s">
        <v>4</v>
      </c>
      <c r="D2511" s="5" t="s">
        <v>2244</v>
      </c>
      <c r="E2511" s="1" t="str">
        <f ca="1">IFERROR(__xludf.DUMMYFUNCTION("GOOGLETRANSLATE(D2511, ""bn"", ""en"")"),"He told the Hindus to give the money instead of performing the puja.")</f>
        <v>He told the Hindus to give the money instead of performing the puja.</v>
      </c>
      <c r="F2511" s="1"/>
      <c r="G2511" s="1"/>
      <c r="H2511" s="1"/>
      <c r="I2511" s="1"/>
    </row>
    <row r="2512" spans="1:9" ht="15.6" x14ac:dyDescent="0.3">
      <c r="A2512" s="1" t="s">
        <v>4</v>
      </c>
      <c r="B2512" s="1" t="s">
        <v>5</v>
      </c>
      <c r="C2512" s="10" t="s">
        <v>4</v>
      </c>
      <c r="D2512" s="5" t="s">
        <v>2245</v>
      </c>
      <c r="E2512" s="1" t="str">
        <f ca="1">IFERROR(__xludf.DUMMYFUNCTION("GOOGLETRANSLATE(D2512, ""bn"", ""en"")"),"The common people were disgusted by the millennia-long enmity between Hindus and Buddhists – however, through the efforts of Sufi saints and Muslim pioneers, Islam was able to make permanent inroads into the region.")</f>
        <v>The common people were disgusted by the millennia-long enmity between Hindus and Buddhists – however, through the efforts of Sufi saints and Muslim pioneers, Islam was able to make permanent inroads into the region.</v>
      </c>
      <c r="F2512" s="1"/>
      <c r="G2512" s="1"/>
      <c r="H2512" s="1"/>
      <c r="I2512" s="1"/>
    </row>
    <row r="2513" spans="1:9" ht="15.6" x14ac:dyDescent="0.3">
      <c r="A2513" s="1" t="s">
        <v>9</v>
      </c>
      <c r="B2513" s="1" t="s">
        <v>9</v>
      </c>
      <c r="C2513" s="10" t="s">
        <v>9</v>
      </c>
      <c r="D2513" s="5" t="s">
        <v>2246</v>
      </c>
      <c r="E2513" s="1" t="str">
        <f ca="1">IFERROR(__xludf.DUMMYFUNCTION("GOOGLETRANSLATE(D2513, ""bn"", ""en"")"),"Among the several anti-Muslim riots that took place in Gujarat after the partition of India, the worst and most brutal was the Gujarat Violence of 2002, which was carried out with the direct support of then Chief Minister Narendra Modi.")</f>
        <v>Among the several anti-Muslim riots that took place in Gujarat after the partition of India, the worst and most brutal was the Gujarat Violence of 2002, which was carried out with the direct support of then Chief Minister Narendra Modi.</v>
      </c>
      <c r="F2513" s="1"/>
      <c r="G2513" s="1"/>
      <c r="H2513" s="1"/>
      <c r="I2513" s="1"/>
    </row>
    <row r="2514" spans="1:9" ht="15.6" x14ac:dyDescent="0.3">
      <c r="A2514" s="1" t="s">
        <v>7</v>
      </c>
      <c r="B2514" s="1" t="s">
        <v>7</v>
      </c>
      <c r="C2514" s="10" t="s">
        <v>7</v>
      </c>
      <c r="D2514" s="5" t="s">
        <v>2247</v>
      </c>
      <c r="E2514" s="1" t="str">
        <f ca="1">IFERROR(__xludf.DUMMYFUNCTION("GOOGLETRANSLATE(D2514, ""bn"", ""en"")"),"Direct Struggle Day (16 August 1946), also known as the Calcutta Massacre of 1946, was a day of nationwide communal riots.[5] It led to greater violence against Muslims and Hindus in the city of Kolkata in the British Indian province of Bengal.")</f>
        <v>Direct Struggle Day (16 August 1946), also known as the Calcutta Massacre of 1946, was a day of nationwide communal riots.[5] It led to greater violence against Muslims and Hindus in the city of Kolkata in the British Indian province of Bengal.</v>
      </c>
      <c r="F2514" s="1"/>
      <c r="G2514" s="1"/>
      <c r="H2514" s="1"/>
      <c r="I2514" s="1"/>
    </row>
    <row r="2515" spans="1:9" ht="15.6" x14ac:dyDescent="0.3">
      <c r="A2515" s="1" t="s">
        <v>5</v>
      </c>
      <c r="B2515" s="1" t="s">
        <v>5</v>
      </c>
      <c r="C2515" s="10" t="s">
        <v>5</v>
      </c>
      <c r="D2515" s="5" t="s">
        <v>2248</v>
      </c>
      <c r="E2515" s="1" t="str">
        <f ca="1">IFERROR(__xludf.DUMMYFUNCTION("GOOGLETRANSLATE(D2515, ""bn"", ""en"")"),"Islam prescribes veiling for women, which prohibits them from traveling without a male guardian, thereby limiting women's participation in social activities.")</f>
        <v>Islam prescribes veiling for women, which prohibits them from traveling without a male guardian, thereby limiting women's participation in social activities.</v>
      </c>
      <c r="F2515" s="1"/>
      <c r="G2515" s="1"/>
      <c r="H2515" s="1"/>
      <c r="I2515" s="1"/>
    </row>
    <row r="2516" spans="1:9" ht="15.6" x14ac:dyDescent="0.3">
      <c r="A2516" s="1" t="s">
        <v>9</v>
      </c>
      <c r="B2516" s="1" t="s">
        <v>9</v>
      </c>
      <c r="C2516" s="10" t="s">
        <v>9</v>
      </c>
      <c r="D2516" s="5" t="s">
        <v>2249</v>
      </c>
      <c r="E2516" s="1" t="str">
        <f ca="1">IFERROR(__xludf.DUMMYFUNCTION("GOOGLETRANSLATE(D2516, ""bn"", ""en"")"),"In 2019, clashes between Muslim and Christian communities in Ethiopia left several worshipers injured and places of worship damaged.")</f>
        <v>In 2019, clashes between Muslim and Christian communities in Ethiopia left several worshipers injured and places of worship damaged.</v>
      </c>
      <c r="F2516" s="1"/>
      <c r="G2516" s="1"/>
      <c r="H2516" s="1"/>
      <c r="I2516" s="1"/>
    </row>
    <row r="2517" spans="1:9" ht="31.2" x14ac:dyDescent="0.3">
      <c r="A2517" s="1" t="s">
        <v>7</v>
      </c>
      <c r="B2517" s="1" t="s">
        <v>7</v>
      </c>
      <c r="C2517" s="10" t="s">
        <v>7</v>
      </c>
      <c r="D2517" s="7" t="s">
        <v>2250</v>
      </c>
      <c r="E2517" s="1" t="str">
        <f ca="1">IFERROR(__xludf.DUMMYFUNCTION("GOOGLETRANSLATE(D2517, ""bn"", ""en"")"),"After the Gulshan attack, the police found a terrorist hideout in this Taj Manjil in the capital's Kalyanpur; On July 26, nine militants were killed in an operation by the law and order forces.")</f>
        <v>After the Gulshan attack, the police found a terrorist hideout in this Taj Manjil in the capital's Kalyanpur; On July 26, nine militants were killed in an operation by the law and order forces.</v>
      </c>
      <c r="F2517" s="1"/>
      <c r="G2517" s="1"/>
      <c r="H2517" s="1"/>
      <c r="I2517" s="1"/>
    </row>
    <row r="2518" spans="1:9" ht="15.6" x14ac:dyDescent="0.3">
      <c r="A2518" s="1" t="s">
        <v>7</v>
      </c>
      <c r="B2518" s="1" t="s">
        <v>7</v>
      </c>
      <c r="C2518" s="10" t="s">
        <v>7</v>
      </c>
      <c r="D2518" s="5" t="s">
        <v>2251</v>
      </c>
      <c r="E2518" s="1" t="str">
        <f ca="1">IFERROR(__xludf.DUMMYFUNCTION("GOOGLETRANSLATE(D2518, ""bn"", ""en"")"),"The origin and spread of sati-immolation is a complex and much debated question without general consensus. It has been hypothesized that rituals like widow sacrifice or widow cremation have prehistoric roots.")</f>
        <v>The origin and spread of sati-immolation is a complex and much debated question without general consensus. It has been hypothesized that rituals like widow sacrifice or widow cremation have prehistoric roots.</v>
      </c>
      <c r="F2518" s="1"/>
      <c r="G2518" s="1"/>
      <c r="H2518" s="1"/>
      <c r="I2518" s="1"/>
    </row>
    <row r="2519" spans="1:9" ht="15.6" x14ac:dyDescent="0.3">
      <c r="A2519" s="1" t="s">
        <v>4</v>
      </c>
      <c r="B2519" s="1" t="s">
        <v>5</v>
      </c>
      <c r="C2519" s="10" t="s">
        <v>4</v>
      </c>
      <c r="D2519" s="5" t="s">
        <v>2252</v>
      </c>
      <c r="E2519" s="1" t="str">
        <f ca="1">IFERROR(__xludf.DUMMYFUNCTION("GOOGLETRANSLATE(D2519, ""bn"", ""en"")"),"Do Muslim students not study in Dhaka University? Why are they silent? Or are they avoiding the fear of a political party?")</f>
        <v>Do Muslim students not study in Dhaka University? Why are they silent? Or are they avoiding the fear of a political party?</v>
      </c>
      <c r="F2519" s="1"/>
      <c r="G2519" s="1"/>
      <c r="H2519" s="1"/>
      <c r="I2519" s="1"/>
    </row>
    <row r="2520" spans="1:9" ht="15.6" x14ac:dyDescent="0.3">
      <c r="A2520" s="1" t="s">
        <v>4</v>
      </c>
      <c r="B2520" s="1" t="s">
        <v>4</v>
      </c>
      <c r="C2520" s="10" t="s">
        <v>4</v>
      </c>
      <c r="D2520" s="5" t="s">
        <v>2253</v>
      </c>
      <c r="E2520" s="1" t="str">
        <f ca="1">IFERROR(__xludf.DUMMYFUNCTION("GOOGLETRANSLATE(D2520, ""bn"", ""en"")"),"All the Muslims of Bangladesh have to pay for all the sins Islam has committed.")</f>
        <v>All the Muslims of Bangladesh have to pay for all the sins Islam has committed.</v>
      </c>
      <c r="F2520" s="1"/>
      <c r="G2520" s="1"/>
      <c r="H2520" s="1"/>
      <c r="I2520" s="1"/>
    </row>
    <row r="2521" spans="1:9" ht="15.6" x14ac:dyDescent="0.3">
      <c r="A2521" s="1" t="s">
        <v>4</v>
      </c>
      <c r="B2521" s="1" t="s">
        <v>4</v>
      </c>
      <c r="C2521" s="10" t="s">
        <v>4</v>
      </c>
      <c r="D2521" s="5" t="s">
        <v>2254</v>
      </c>
      <c r="E2521" s="1" t="str">
        <f ca="1">IFERROR(__xludf.DUMMYFUNCTION("GOOGLETRANSLATE(D2521, ""bn"", ""en"")"),"Mind cannot be posted which is against religion.  Anti-religious posts will be banned from the group without notice")</f>
        <v>Mind cannot be posted which is against religion.  Anti-religious posts will be banned from the group without notice</v>
      </c>
      <c r="F2521" s="1"/>
      <c r="G2521" s="1"/>
      <c r="H2521" s="1"/>
      <c r="I2521" s="1"/>
    </row>
    <row r="2522" spans="1:9" ht="15.6" x14ac:dyDescent="0.3">
      <c r="A2522" s="1" t="s">
        <v>4</v>
      </c>
      <c r="B2522" s="1" t="s">
        <v>4</v>
      </c>
      <c r="C2522" s="10" t="s">
        <v>4</v>
      </c>
      <c r="D2522" s="5" t="s">
        <v>2255</v>
      </c>
      <c r="E2522" s="1" t="str">
        <f ca="1">IFERROR(__xludf.DUMMYFUNCTION("GOOGLETRANSLATE(D2522, ""bn"", ""en"")"),"A mahal's dirty process to undermine the intended communal harmony. However, whoever the culprit may be, they should be brought under the law and given severe punishment based on a fair investigation. Which will later become an example in the society so t"&amp;"hat no one dares to do this despicable act.")</f>
        <v>A mahal's dirty process to undermine the intended communal harmony. However, whoever the culprit may be, they should be brought under the law and given severe punishment based on a fair investigation. Which will later become an example in the society so that no one dares to do this despicable act.</v>
      </c>
      <c r="F2522" s="1"/>
      <c r="G2522" s="1"/>
      <c r="H2522" s="1"/>
      <c r="I2522" s="1"/>
    </row>
    <row r="2523" spans="1:9" ht="15.6" x14ac:dyDescent="0.3">
      <c r="A2523" s="1" t="s">
        <v>9</v>
      </c>
      <c r="B2523" s="1" t="s">
        <v>4</v>
      </c>
      <c r="C2523" s="10" t="s">
        <v>9</v>
      </c>
      <c r="D2523" s="5" t="s">
        <v>2256</v>
      </c>
      <c r="E2523" s="1" t="str">
        <f ca="1">IFERROR(__xludf.DUMMYFUNCTION("GOOGLETRANSLATE(D2523, ""bn"", ""en"")")," Israel continues to wreak havoc and expand its hegemony in Gaza, largely through vindictive behavior and in complete disregard for international law. Israel is also waging war on hospitals, schools, mosques and residential buildings in Gaza.")</f>
        <v> Israel continues to wreak havoc and expand its hegemony in Gaza, largely through vindictive behavior and in complete disregard for international law. Israel is also waging war on hospitals, schools, mosques and residential buildings in Gaza.</v>
      </c>
      <c r="F2523" s="1"/>
      <c r="G2523" s="1"/>
      <c r="H2523" s="1"/>
      <c r="I2523" s="1"/>
    </row>
    <row r="2524" spans="1:9" ht="15.6" x14ac:dyDescent="0.3">
      <c r="A2524" s="1" t="s">
        <v>9</v>
      </c>
      <c r="B2524" s="1" t="s">
        <v>9</v>
      </c>
      <c r="C2524" s="10" t="s">
        <v>9</v>
      </c>
      <c r="D2524" s="5" t="s">
        <v>2257</v>
      </c>
      <c r="E2524" s="1" t="str">
        <f ca="1">IFERROR(__xludf.DUMMYFUNCTION("GOOGLETRANSLATE(D2524, ""bn"", ""en"")"),"On July 28 last month, on Eid-ul-Azha, a man named Salman Momiko set fire to the Koran outside Stockholm's central mosque.")</f>
        <v>On July 28 last month, on Eid-ul-Azha, a man named Salman Momiko set fire to the Koran outside Stockholm's central mosque.</v>
      </c>
      <c r="F2524" s="1"/>
      <c r="G2524" s="1"/>
      <c r="H2524" s="1"/>
      <c r="I2524" s="1"/>
    </row>
    <row r="2525" spans="1:9" ht="15.6" x14ac:dyDescent="0.3">
      <c r="A2525" s="1" t="s">
        <v>5</v>
      </c>
      <c r="B2525" s="1" t="s">
        <v>5</v>
      </c>
      <c r="C2525" s="10" t="s">
        <v>5</v>
      </c>
      <c r="D2525" s="5" t="s">
        <v>2258</v>
      </c>
      <c r="E2525" s="1" t="str">
        <f ca="1">IFERROR(__xludf.DUMMYFUNCTION("GOOGLETRANSLATE(D2525, ""bn"", ""en"")"),"The followers of Islam are called Muslims. The fundamental belief of Islam is ""Belief in the Oneness of God.""")</f>
        <v>The followers of Islam are called Muslims. The fundamental belief of Islam is "Belief in the Oneness of God."</v>
      </c>
      <c r="F2525" s="1"/>
      <c r="G2525" s="1"/>
      <c r="H2525" s="1"/>
      <c r="I2525" s="1"/>
    </row>
    <row r="2526" spans="1:9" ht="15.6" x14ac:dyDescent="0.3">
      <c r="A2526" s="1" t="s">
        <v>5</v>
      </c>
      <c r="B2526" s="1" t="s">
        <v>5</v>
      </c>
      <c r="C2526" s="10" t="s">
        <v>5</v>
      </c>
      <c r="D2526" s="5" t="s">
        <v>2259</v>
      </c>
      <c r="E2526" s="1" t="str">
        <f ca="1">IFERROR(__xludf.DUMMYFUNCTION("GOOGLETRANSLATE(D2526, ""bn"", ""en"")"),"Christina Church in Dhaka's Asad Gate area next to the main road. On the occasion of Pope Francis' visit to Bangladesh, a banner has been placed inside welcoming him.")</f>
        <v>Christina Church in Dhaka's Asad Gate area next to the main road. On the occasion of Pope Francis' visit to Bangladesh, a banner has been placed inside welcoming him.</v>
      </c>
      <c r="F2526" s="1"/>
      <c r="G2526" s="1"/>
      <c r="H2526" s="1"/>
      <c r="I2526" s="1"/>
    </row>
    <row r="2527" spans="1:9" ht="46.8" x14ac:dyDescent="0.3">
      <c r="A2527" s="1" t="s">
        <v>7</v>
      </c>
      <c r="B2527" s="1" t="s">
        <v>7</v>
      </c>
      <c r="C2527" s="10" t="s">
        <v>7</v>
      </c>
      <c r="D2527" s="6" t="s">
        <v>3751</v>
      </c>
      <c r="E2527" s="1" t="str">
        <f ca="1">IFERROR(__xludf.DUMMYFUNCTION("GOOGLETRANSLATE(D2527, ""bn"", ""en"")"),"At least 21 people were killed and more than 150 wounded when Israeli forces opened fire on Palestinians waiting for a convoy of relief trucks at a roundabout in northern Gaza on Thursday, the Gaza Health Ministry said. Gaza's health ministry called the a"&amp;"ttack a new premeditated massacre.")</f>
        <v>At least 21 people were killed and more than 150 wounded when Israeli forces opened fire on Palestinians waiting for a convoy of relief trucks at a roundabout in northern Gaza on Thursday, the Gaza Health Ministry said. Gaza's health ministry called the attack a new premeditated massacre.</v>
      </c>
      <c r="F2527" s="1"/>
      <c r="G2527" s="1"/>
      <c r="H2527" s="1"/>
      <c r="I2527" s="1"/>
    </row>
    <row r="2528" spans="1:9" ht="46.8" x14ac:dyDescent="0.3">
      <c r="A2528" s="1" t="s">
        <v>9</v>
      </c>
      <c r="B2528" s="1" t="s">
        <v>9</v>
      </c>
      <c r="C2528" s="10" t="s">
        <v>9</v>
      </c>
      <c r="D2528" s="6" t="s">
        <v>3750</v>
      </c>
      <c r="E2528" s="1" t="str">
        <f ca="1">IFERROR(__xludf.DUMMYFUNCTION("GOOGLETRANSLATE(D2528, ""bn"", ""en"")"),"Sares Chandra, Officer-in-Charge (OC) of Pirganj Police Station said on October 25, ""On the day of the incident, Jamaat-Shibir cadres with about 30 motorcycles, led by Shibir cadre Abdullah Al Mamun, committed violent incidents against the Hindu communit"&amp;"y in Jelepara. Therefore, a seven-day remand has been sought in the court for the arrest and interrogation of Abdullah Al Mamun and Omar Farooq.")</f>
        <v>Sares Chandra, Officer-in-Charge (OC) of Pirganj Police Station said on October 25, "On the day of the incident, Jamaat-Shibir cadres with about 30 motorcycles, led by Shibir cadre Abdullah Al Mamun, committed violent incidents against the Hindu community in Jelepara. Therefore, a seven-day remand has been sought in the court for the arrest and interrogation of Abdullah Al Mamun and Omar Farooq.</v>
      </c>
      <c r="F2528" s="1"/>
      <c r="G2528" s="1"/>
      <c r="H2528" s="1"/>
      <c r="I2528" s="1"/>
    </row>
    <row r="2529" spans="1:9" ht="15.6" x14ac:dyDescent="0.3">
      <c r="A2529" s="1" t="s">
        <v>5</v>
      </c>
      <c r="B2529" s="1" t="s">
        <v>5</v>
      </c>
      <c r="C2529" s="10" t="s">
        <v>5</v>
      </c>
      <c r="D2529" s="5" t="s">
        <v>2260</v>
      </c>
      <c r="E2529" s="1" t="str">
        <f ca="1">IFERROR(__xludf.DUMMYFUNCTION("GOOGLETRANSLATE(D2529, ""bn"", ""en"")"),"Muslim scholars generally place more importance on hadith collections than on biographical literature. This is because the hadiths maintain a traditional sanad (tradition). ")</f>
        <v>Muslim scholars generally place more importance on hadith collections than on biographical literature. This is because the hadiths maintain a traditional sanad (tradition). </v>
      </c>
      <c r="F2529" s="1"/>
      <c r="G2529" s="1"/>
      <c r="H2529" s="1"/>
      <c r="I2529" s="1"/>
    </row>
    <row r="2530" spans="1:9" ht="15.6" x14ac:dyDescent="0.3">
      <c r="A2530" s="1" t="s">
        <v>5</v>
      </c>
      <c r="B2530" s="1" t="s">
        <v>4</v>
      </c>
      <c r="C2530" s="10" t="s">
        <v>5</v>
      </c>
      <c r="D2530" s="5" t="s">
        <v>2261</v>
      </c>
      <c r="E2530" s="1" t="str">
        <f ca="1">IFERROR(__xludf.DUMMYFUNCTION("GOOGLETRANSLATE(D2530, ""bn"", ""en"")"),"The people of the zamindar house were very aware of Islam. There was a separate resting room for the house's sons-in-law, they used to come there but could not enter inside.")</f>
        <v>The people of the zamindar house were very aware of Islam. There was a separate resting room for the house's sons-in-law, they used to come there but could not enter inside.</v>
      </c>
      <c r="F2530" s="1"/>
      <c r="G2530" s="1"/>
      <c r="H2530" s="1"/>
      <c r="I2530" s="1"/>
    </row>
    <row r="2531" spans="1:9" ht="15.6" x14ac:dyDescent="0.3">
      <c r="A2531" s="1" t="s">
        <v>7</v>
      </c>
      <c r="B2531" s="1" t="s">
        <v>7</v>
      </c>
      <c r="C2531" s="10" t="s">
        <v>7</v>
      </c>
      <c r="D2531" s="5" t="s">
        <v>2262</v>
      </c>
      <c r="E2531" s="1" t="str">
        <f ca="1">IFERROR(__xludf.DUMMYFUNCTION("GOOGLETRANSLATE(D2531, ""bn"", ""en"")"),"A non-death! A conscious person like you gave a status without knowing whether it was murder or suicide.")</f>
        <v>A non-death! A conscious person like you gave a status without knowing whether it was murder or suicide.</v>
      </c>
      <c r="F2531" s="1"/>
      <c r="G2531" s="1"/>
      <c r="H2531" s="1"/>
      <c r="I2531" s="1"/>
    </row>
    <row r="2532" spans="1:9" ht="15.6" x14ac:dyDescent="0.3">
      <c r="A2532" s="1" t="s">
        <v>9</v>
      </c>
      <c r="B2532" s="1" t="s">
        <v>9</v>
      </c>
      <c r="C2532" s="10" t="s">
        <v>9</v>
      </c>
      <c r="D2532" s="5" t="s">
        <v>2263</v>
      </c>
      <c r="E2532" s="1" t="str">
        <f ca="1">IFERROR(__xludf.DUMMYFUNCTION("GOOGLETRANSLATE(D2532, ""bn"", ""en"")"),"Since October 10, 1946, atrocities had started in the areas under the control of Ramganj police station in the north of Noakhali district. This rampant brutality is described as 'organized violence by Muslim mobs' ")</f>
        <v>Since October 10, 1946, atrocities had started in the areas under the control of Ramganj police station in the north of Noakhali district. This rampant brutality is described as 'organized violence by Muslim mobs' </v>
      </c>
      <c r="F2532" s="1"/>
      <c r="G2532" s="1"/>
      <c r="H2532" s="1"/>
      <c r="I2532" s="1"/>
    </row>
    <row r="2533" spans="1:9" ht="15.6" x14ac:dyDescent="0.3">
      <c r="A2533" s="1" t="s">
        <v>7</v>
      </c>
      <c r="B2533" s="1" t="s">
        <v>7</v>
      </c>
      <c r="C2533" s="10" t="s">
        <v>7</v>
      </c>
      <c r="D2533" s="5" t="s">
        <v>2264</v>
      </c>
      <c r="E2533" s="1" t="str">
        <f ca="1">IFERROR(__xludf.DUMMYFUNCTION("GOOGLETRANSLATE(D2533, ""bn"", ""en"")"),"On 16 December 1971, he committed suicide in front of Jagatbandhu Sundaraya's altar a few days before the surrender of the Pakistani armed forces.[")</f>
        <v>On 16 December 1971, he committed suicide in front of Jagatbandhu Sundaraya's altar a few days before the surrender of the Pakistani armed forces.[</v>
      </c>
      <c r="F2533" s="1"/>
      <c r="G2533" s="1"/>
      <c r="H2533" s="1"/>
      <c r="I2533" s="1"/>
    </row>
    <row r="2534" spans="1:9" ht="15.6" x14ac:dyDescent="0.3">
      <c r="A2534" s="1" t="s">
        <v>7</v>
      </c>
      <c r="B2534" s="1" t="s">
        <v>5</v>
      </c>
      <c r="C2534" s="10" t="s">
        <v>7</v>
      </c>
      <c r="D2534" s="5" t="s">
        <v>2265</v>
      </c>
      <c r="E2534" s="1" t="str">
        <f ca="1">IFERROR(__xludf.DUMMYFUNCTION("GOOGLETRANSLATE(D2534, ""bn"", ""en"")"),"The outpouring of anger and emotion seen in France over the past few days over the brutal killing of a school teacher near Paris on Friday afternoon is unprecedented in the country.")</f>
        <v>The outpouring of anger and emotion seen in France over the past few days over the brutal killing of a school teacher near Paris on Friday afternoon is unprecedented in the country.</v>
      </c>
      <c r="F2534" s="1"/>
      <c r="G2534" s="1"/>
      <c r="H2534" s="1"/>
      <c r="I2534" s="1"/>
    </row>
    <row r="2535" spans="1:9" ht="15.6" x14ac:dyDescent="0.3">
      <c r="A2535" s="1" t="s">
        <v>4</v>
      </c>
      <c r="B2535" s="1" t="s">
        <v>4</v>
      </c>
      <c r="C2535" s="10" t="s">
        <v>4</v>
      </c>
      <c r="D2535" s="5" t="s">
        <v>2266</v>
      </c>
      <c r="E2535" s="1" t="str">
        <f ca="1">IFERROR(__xludf.DUMMYFUNCTION("GOOGLETRANSLATE(D2535, ""bn"", ""en"")"),"Love to express yourself. miserliness Mismatch in words and deeds. Rejoicing at the danger of a Muslim brother. Do not see whether an act is sinful or not to see whether one dislikes it.")</f>
        <v>Love to express yourself. miserliness Mismatch in words and deeds. Rejoicing at the danger of a Muslim brother. Do not see whether an act is sinful or not to see whether one dislikes it.</v>
      </c>
      <c r="F2535" s="1"/>
      <c r="G2535" s="1"/>
      <c r="H2535" s="1"/>
      <c r="I2535" s="1"/>
    </row>
    <row r="2536" spans="1:9" ht="15.6" x14ac:dyDescent="0.3">
      <c r="A2536" s="1" t="s">
        <v>7</v>
      </c>
      <c r="B2536" s="1" t="s">
        <v>7</v>
      </c>
      <c r="C2536" s="10" t="s">
        <v>7</v>
      </c>
      <c r="D2536" s="5" t="s">
        <v>2267</v>
      </c>
      <c r="E2536" s="1" t="str">
        <f ca="1">IFERROR(__xludf.DUMMYFUNCTION("GOOGLETRANSLATE(D2536, ""bn"", ""en"")"),"Incidentally, Pakistan's official documents and statistics say that the number of attacks against minorities has increased in the last one year. In fact, the number of terrorist attacks in Pakistan increased by almost 57 percent in 2021 compared to 2020. "&amp;"Meanwhile, India also protested the death of two Sikh men in the neighboring country. ")</f>
        <v xml:space="preserve">Incidentally, Pakistan's official documents and statistics say that the number of attacks against minorities has increased in the last one year. In fact, the number of terrorist attacks in Pakistan increased by almost 57 percent in 2021 compared to 2020. Meanwhile, India also protested the death of two Sikh men in the neighboring country. </v>
      </c>
      <c r="F2536" s="1"/>
      <c r="G2536" s="1"/>
      <c r="H2536" s="1"/>
      <c r="I2536" s="1"/>
    </row>
    <row r="2537" spans="1:9" ht="15.6" x14ac:dyDescent="0.3">
      <c r="A2537" s="1" t="s">
        <v>9</v>
      </c>
      <c r="B2537" s="1" t="s">
        <v>4</v>
      </c>
      <c r="C2537" s="10" t="s">
        <v>9</v>
      </c>
      <c r="D2537" s="5" t="s">
        <v>2268</v>
      </c>
      <c r="E2537" s="1" t="str">
        <f ca="1">IFERROR(__xludf.DUMMYFUNCTION("GOOGLETRANSLATE(D2537, ""bn"", ""en"")"),"Nowhere in the history is it said that on the eve of the destruction of the military rule, there was any kind of war between the Bengali nation and the Muslims.")</f>
        <v>Nowhere in the history is it said that on the eve of the destruction of the military rule, there was any kind of war between the Bengali nation and the Muslims.</v>
      </c>
      <c r="F2537" s="1"/>
      <c r="G2537" s="1"/>
      <c r="H2537" s="1"/>
      <c r="I2537" s="1"/>
    </row>
    <row r="2538" spans="1:9" ht="46.8" x14ac:dyDescent="0.3">
      <c r="A2538" s="1" t="s">
        <v>9</v>
      </c>
      <c r="B2538" s="1" t="s">
        <v>9</v>
      </c>
      <c r="C2538" s="10" t="s">
        <v>9</v>
      </c>
      <c r="D2538" s="6" t="s">
        <v>3749</v>
      </c>
      <c r="E2538" s="1" t="str">
        <f ca="1">IFERROR(__xludf.DUMMYFUNCTION("GOOGLETRANSLATE(D2538, ""bn"", ""en"")"),"Three-four temples were attacked and set on fire in Akhrabari area Seven-eight shops were attacked and looted in Dighlia market Journalist Sultan Hossain visited the spot and said that the house of Gobind Sahara was completely burnt down. Other houses wer"&amp;"e also attacked and ransacked The Hindus of that area locked their houses and moved away in fear")</f>
        <v>Three-four temples were attacked and set on fire in Akhrabari area Seven-eight shops were attacked and looted in Dighlia market Journalist Sultan Hossain visited the spot and said that the house of Gobind Sahara was completely burnt down. Other houses were also attacked and ransacked The Hindus of that area locked their houses and moved away in fear</v>
      </c>
      <c r="F2538" s="1"/>
      <c r="G2538" s="1"/>
      <c r="H2538" s="1"/>
      <c r="I2538" s="1"/>
    </row>
    <row r="2539" spans="1:9" ht="15.6" x14ac:dyDescent="0.3">
      <c r="A2539" s="1" t="s">
        <v>7</v>
      </c>
      <c r="B2539" s="1" t="s">
        <v>7</v>
      </c>
      <c r="C2539" s="10" t="s">
        <v>7</v>
      </c>
      <c r="D2539" s="5" t="s">
        <v>2269</v>
      </c>
      <c r="E2539" s="1" t="str">
        <f ca="1">IFERROR(__xludf.DUMMYFUNCTION("GOOGLETRANSLATE(D2539, ""bn"", ""en"")"),"An estimated 300 Bengali Hindus were killed. From 5 year old children to 80 year old men and women were killed in this massacre. More than 500 houses were burnt to ashes. According to eyewitnesses, the then chairman of Kharna Union Ramiz Ahmed Chowdhury a"&amp;"nd his associates were responsible for the massacre. ")</f>
        <v>An estimated 300 Bengali Hindus were killed. From 5 year old children to 80 year old men and women were killed in this massacre. More than 500 houses were burnt to ashes. According to eyewitnesses, the then chairman of Kharna Union Ramiz Ahmed Chowdhury and his associates were responsible for the massacre. </v>
      </c>
      <c r="F2539" s="1"/>
      <c r="G2539" s="1"/>
      <c r="H2539" s="1"/>
      <c r="I2539" s="1"/>
    </row>
    <row r="2540" spans="1:9" ht="15.6" x14ac:dyDescent="0.3">
      <c r="A2540" s="1" t="s">
        <v>4</v>
      </c>
      <c r="B2540" s="1" t="s">
        <v>4</v>
      </c>
      <c r="C2540" s="10" t="s">
        <v>4</v>
      </c>
      <c r="D2540" s="5" t="s">
        <v>2270</v>
      </c>
      <c r="E2540" s="1" t="str">
        <f ca="1">IFERROR(__xludf.DUMMYFUNCTION("GOOGLETRANSLATE(D2540, ""bn"", ""en"")"),"If any of you sees wrongdoing, let him prevent it with his own hands. (to resist with one's own hand) if it is not possible to protest with the face. If that is not possible, at least hate it from the heart. It is the lowest level of faith")</f>
        <v>If any of you sees wrongdoing, let him prevent it with his own hands. (to resist with one's own hand) if it is not possible to protest with the face. If that is not possible, at least hate it from the heart. It is the lowest level of faith</v>
      </c>
      <c r="F2540" s="1"/>
      <c r="G2540" s="1"/>
      <c r="H2540" s="1"/>
      <c r="I2540" s="1"/>
    </row>
    <row r="2541" spans="1:9" ht="15.6" x14ac:dyDescent="0.3">
      <c r="A2541" s="4" t="s">
        <v>7</v>
      </c>
      <c r="B2541" s="4" t="s">
        <v>7</v>
      </c>
      <c r="C2541" s="11" t="s">
        <v>7</v>
      </c>
      <c r="D2541" s="5" t="s">
        <v>2271</v>
      </c>
      <c r="E2541" s="1" t="str">
        <f ca="1">IFERROR(__xludf.DUMMYFUNCTION("GOOGLETRANSLATE(D2541, ""bn"", ""en"")"),"Hindutva groups blamed local Christian tribesmen for Laxmanananda's murder - although the government suspected the killers to be Maoist rebels. [33] [36] A senior Maoist leader later claimed responsibility for the killing and the police also confirmed tha"&amp;"t the Maoists had trained tribal youths to kill. ")</f>
        <v xml:space="preserve">Hindutva groups blamed local Christian tribesmen for Laxmanananda's murder - although the government suspected the killers to be Maoist rebels. [33] [36] A senior Maoist leader later claimed responsibility for the killing and the police also confirmed that the Maoists had trained tribal youths to kill. </v>
      </c>
      <c r="F2541" s="1"/>
      <c r="G2541" s="1"/>
      <c r="H2541" s="1"/>
      <c r="I2541" s="1"/>
    </row>
    <row r="2542" spans="1:9" ht="78" x14ac:dyDescent="0.3">
      <c r="A2542" s="1" t="s">
        <v>9</v>
      </c>
      <c r="B2542" s="1" t="s">
        <v>4</v>
      </c>
      <c r="C2542" s="10" t="s">
        <v>9</v>
      </c>
      <c r="D2542" s="6" t="s">
        <v>3748</v>
      </c>
      <c r="E2542" s="1" t="str">
        <f ca="1">IFERROR(__xludf.DUMMYFUNCTION("GOOGLETRANSLATE(D2542, ""bn"", ""en"")"),"Labib, a resident of Madhya Rampur village of ward number 17 of Feni municipality, was arrested from his house. During the interrogation, Labib told RAB that last Saturday evening, he went to the Kali temple with a bottle of petrol along with his two frie"&amp;"nds, Munna and Safi, after performing Maghrib prayers at the big mosque in Feni. There the temple priest was severely beaten and threatened to set fire to the temple, asking him to wear a lungi, or hang the dhoti as a lungi. He is then asked to recite 'La"&amp;" Hawla Wala Quwata Illa Billahil Aliul Azim and La Ilaha Illallahu Muhammadur Rasulullah'.")</f>
        <v>Labib, a resident of Madhya Rampur village of ward number 17 of Feni municipality, was arrested from his house. During the interrogation, Labib told RAB that last Saturday evening, he went to the Kali temple with a bottle of petrol along with his two friends, Munna and Safi, after performing Maghrib prayers at the big mosque in Feni. There the temple priest was severely beaten and threatened to set fire to the temple, asking him to wear a lungi, or hang the dhoti as a lungi. He is then asked to recite 'La Hawla Wala Quwata Illa Billahil Aliul Azim and La Ilaha Illallahu Muhammadur Rasulullah'.</v>
      </c>
      <c r="F2542" s="1"/>
      <c r="G2542" s="1"/>
      <c r="H2542" s="1"/>
      <c r="I2542" s="1"/>
    </row>
    <row r="2543" spans="1:9" ht="15.6" x14ac:dyDescent="0.3">
      <c r="A2543" s="1" t="s">
        <v>9</v>
      </c>
      <c r="B2543" s="1" t="s">
        <v>9</v>
      </c>
      <c r="C2543" s="10" t="s">
        <v>9</v>
      </c>
      <c r="D2543" s="5" t="s">
        <v>2272</v>
      </c>
      <c r="E2543" s="1" t="str">
        <f ca="1">IFERROR(__xludf.DUMMYFUNCTION("GOOGLETRANSLATE(D2543, ""bn"", ""en"")"),"A far-right gunman opened fire at a synagogue in Halle, Germany. This increased the level of anti-Semitic hatred in the country.")</f>
        <v>A far-right gunman opened fire at a synagogue in Halle, Germany. This increased the level of anti-Semitic hatred in the country.</v>
      </c>
      <c r="F2543" s="1"/>
      <c r="G2543" s="1"/>
      <c r="H2543" s="1"/>
      <c r="I2543" s="1"/>
    </row>
    <row r="2544" spans="1:9" ht="15.6" x14ac:dyDescent="0.3">
      <c r="A2544" s="1" t="s">
        <v>4</v>
      </c>
      <c r="B2544" s="1" t="s">
        <v>4</v>
      </c>
      <c r="C2544" s="10" t="s">
        <v>4</v>
      </c>
      <c r="D2544" s="5" t="s">
        <v>2273</v>
      </c>
      <c r="E2544" s="1" t="str">
        <f ca="1">IFERROR(__xludf.DUMMYFUNCTION("GOOGLETRANSLATE(D2544, ""bn"", ""en"")"),"If the UN fails to bring Israel under control then what will happen to the UN and what can be expected from them, is the UN not for the Muslims,,,,")</f>
        <v>If the UN fails to bring Israel under control then what will happen to the UN and what can be expected from them, is the UN not for the Muslims,,,,</v>
      </c>
      <c r="F2544" s="1"/>
      <c r="G2544" s="1"/>
      <c r="H2544" s="1"/>
      <c r="I2544" s="1"/>
    </row>
    <row r="2545" spans="1:9" ht="15.6" x14ac:dyDescent="0.3">
      <c r="A2545" s="1" t="s">
        <v>7</v>
      </c>
      <c r="B2545" s="1" t="s">
        <v>7</v>
      </c>
      <c r="C2545" s="10" t="s">
        <v>7</v>
      </c>
      <c r="D2545" s="5" t="s">
        <v>2274</v>
      </c>
      <c r="E2545" s="1" t="str">
        <f ca="1">IFERROR(__xludf.DUMMYFUNCTION("GOOGLETRANSLATE(D2545, ""bn"", ""en"")"),"Even a year ago, the man who laughed at the Qur'an and talked nonsense about Paradise and Hell, literally died a Sufi within a year. ")</f>
        <v xml:space="preserve">Even a year ago, the man who laughed at the Qur'an and talked nonsense about Paradise and Hell, literally died a Sufi within a year. </v>
      </c>
      <c r="F2545" s="1"/>
      <c r="G2545" s="1"/>
      <c r="H2545" s="1"/>
      <c r="I2545" s="1"/>
    </row>
    <row r="2546" spans="1:9" ht="15.6" x14ac:dyDescent="0.3">
      <c r="A2546" s="1" t="s">
        <v>9</v>
      </c>
      <c r="B2546" s="1" t="s">
        <v>9</v>
      </c>
      <c r="C2546" s="10" t="s">
        <v>9</v>
      </c>
      <c r="D2546" s="5" t="s">
        <v>2275</v>
      </c>
      <c r="E2546" s="1" t="str">
        <f ca="1">IFERROR(__xludf.DUMMYFUNCTION("GOOGLETRANSLATE(D2546, ""bn"", ""en"")"),"In 2005–06, the Kazakh government forcibly evicted the ashrams and homes of members of the International Society for Black Consciousness near Almaty. Community members are harassed in various ways.")</f>
        <v>In 2005–06, the Kazakh government forcibly evicted the ashrams and homes of members of the International Society for Black Consciousness near Almaty. Community members are harassed in various ways.</v>
      </c>
      <c r="F2546" s="1"/>
      <c r="G2546" s="1"/>
      <c r="H2546" s="1"/>
      <c r="I2546" s="1"/>
    </row>
    <row r="2547" spans="1:9" ht="15.6" x14ac:dyDescent="0.3">
      <c r="A2547" s="1" t="s">
        <v>7</v>
      </c>
      <c r="B2547" s="1" t="s">
        <v>7</v>
      </c>
      <c r="C2547" s="10" t="s">
        <v>7</v>
      </c>
      <c r="D2547" s="5" t="s">
        <v>2276</v>
      </c>
      <c r="E2547" s="1" t="str">
        <f ca="1">IFERROR(__xludf.DUMMYFUNCTION("GOOGLETRANSLATE(D2547, ""bn"", ""en"")"),"He said that many people wearing white Punjabis were seen lying in a bloody state around the Shapla square after the operation of the joint forces in the custody rally. The information about the dead body being taken away by the city corporation's garbage"&amp;" truck in different places has been published in different media. ")</f>
        <v>He said that many people wearing white Punjabis were seen lying in a bloody state around the Shapla square after the operation of the joint forces in the custody rally. The information about the dead body being taken away by the city corporation's garbage truck in different places has been published in different media. </v>
      </c>
      <c r="F2547" s="1"/>
      <c r="G2547" s="1"/>
      <c r="H2547" s="1"/>
      <c r="I2547" s="1"/>
    </row>
    <row r="2548" spans="1:9" ht="15.6" x14ac:dyDescent="0.3">
      <c r="A2548" s="1" t="s">
        <v>5</v>
      </c>
      <c r="B2548" s="1" t="s">
        <v>5</v>
      </c>
      <c r="C2548" s="10" t="s">
        <v>5</v>
      </c>
      <c r="D2548" s="5" t="s">
        <v>2277</v>
      </c>
      <c r="E2548" s="1" t="str">
        <f ca="1">IFERROR(__xludf.DUMMYFUNCTION("GOOGLETRANSLATE(D2548, ""bn"", ""en"")"),"""Hindu-Muslim harmony should be developed through coexistence, where everyone can practice their religion peacefully. A harmonious Bangladesh should be built by respecting each other's religious beliefs.""")</f>
        <v>"Hindu-Muslim harmony should be developed through coexistence, where everyone can practice their religion peacefully. A harmonious Bangladesh should be built by respecting each other's religious beliefs."</v>
      </c>
      <c r="F2548" s="1"/>
      <c r="G2548" s="1"/>
      <c r="H2548" s="1"/>
      <c r="I2548" s="1"/>
    </row>
    <row r="2549" spans="1:9" ht="15.6" x14ac:dyDescent="0.3">
      <c r="A2549" s="1" t="s">
        <v>9</v>
      </c>
      <c r="B2549" s="1" t="s">
        <v>9</v>
      </c>
      <c r="C2549" s="10" t="s">
        <v>9</v>
      </c>
      <c r="D2549" s="5" t="s">
        <v>2278</v>
      </c>
      <c r="E2549" s="1" t="str">
        <f ca="1">IFERROR(__xludf.DUMMYFUNCTION("GOOGLETRANSLATE(D2549, ""bn"", ""en"")"),"Communal violence erupted on Friday, July 15, in Dighlia Bazaar of Lohagara Upazila in Narail over a Facebook post. Akash Saha, 18, was charged over the Facebook post and father Ashok Saha was detained by the police.")</f>
        <v>Communal violence erupted on Friday, July 15, in Dighlia Bazaar of Lohagara Upazila in Narail over a Facebook post. Akash Saha, 18, was charged over the Facebook post and father Ashok Saha was detained by the police.</v>
      </c>
      <c r="F2549" s="1"/>
      <c r="G2549" s="1"/>
      <c r="H2549" s="1"/>
      <c r="I2549" s="1"/>
    </row>
    <row r="2550" spans="1:9" ht="15.6" x14ac:dyDescent="0.3">
      <c r="A2550" s="1" t="s">
        <v>5</v>
      </c>
      <c r="B2550" s="1" t="s">
        <v>5</v>
      </c>
      <c r="C2550" s="10" t="s">
        <v>5</v>
      </c>
      <c r="D2550" s="5" t="s">
        <v>2279</v>
      </c>
      <c r="E2550" s="1" t="str">
        <f ca="1">IFERROR(__xludf.DUMMYFUNCTION("GOOGLETRANSLATE(D2550, ""bn"", ""en"")"),"This is why Vivekananda said, Where are you looking for God in front of you in many forms. God among people. God exists in all beings in the world. If you make a temple in your mind, God is there.")</f>
        <v>This is why Vivekananda said, Where are you looking for God in front of you in many forms. God among people. God exists in all beings in the world. If you make a temple in your mind, God is there.</v>
      </c>
      <c r="F2550" s="1"/>
      <c r="G2550" s="1"/>
      <c r="H2550" s="1"/>
      <c r="I2550" s="1"/>
    </row>
    <row r="2551" spans="1:9" ht="15.6" x14ac:dyDescent="0.3">
      <c r="A2551" s="1" t="s">
        <v>9</v>
      </c>
      <c r="B2551" s="1" t="s">
        <v>9</v>
      </c>
      <c r="C2551" s="10" t="s">
        <v>9</v>
      </c>
      <c r="D2551" s="5" t="s">
        <v>2280</v>
      </c>
      <c r="E2551" s="1" t="str">
        <f ca="1">IFERROR(__xludf.DUMMYFUNCTION("GOOGLETRANSLATE(D2551, ""bn"", ""en"")"),"Bangladesh became independent on the basis of secularism, but now the face of communalism that we are seeing is definitely an attack on the Hindu community, more than that it is an attack on Bangladesh, the pillar of Bangladesh's tradition, culture and in"&amp;"dependence.")</f>
        <v>Bangladesh became independent on the basis of secularism, but now the face of communalism that we are seeing is definitely an attack on the Hindu community, more than that it is an attack on Bangladesh, the pillar of Bangladesh's tradition, culture and independence.</v>
      </c>
      <c r="F2551" s="1"/>
      <c r="G2551" s="1"/>
      <c r="H2551" s="1"/>
      <c r="I2551" s="1"/>
    </row>
    <row r="2552" spans="1:9" ht="15.6" x14ac:dyDescent="0.3">
      <c r="A2552" s="1" t="s">
        <v>4</v>
      </c>
      <c r="B2552" s="1" t="s">
        <v>5</v>
      </c>
      <c r="C2552" s="10" t="s">
        <v>4</v>
      </c>
      <c r="D2552" s="5" t="s">
        <v>2281</v>
      </c>
      <c r="E2552" s="1" t="str">
        <f ca="1">IFERROR(__xludf.DUMMYFUNCTION("GOOGLETRANSLATE(D2552, ""bn"", ""en"")"),"It is not right that he should be punished who does not respect the religion of others, he does not respect his own religion, so he demands strong punishment.")</f>
        <v>It is not right that he should be punished who does not respect the religion of others, he does not respect his own religion, so he demands strong punishment.</v>
      </c>
      <c r="F2552" s="1"/>
      <c r="G2552" s="1"/>
      <c r="H2552" s="1"/>
      <c r="I2552" s="1"/>
    </row>
    <row r="2553" spans="1:9" ht="15.6" x14ac:dyDescent="0.3">
      <c r="A2553" s="1" t="s">
        <v>4</v>
      </c>
      <c r="B2553" s="1" t="s">
        <v>5</v>
      </c>
      <c r="C2553" s="10" t="s">
        <v>4</v>
      </c>
      <c r="D2553" s="5" t="s">
        <v>2282</v>
      </c>
      <c r="E2553" s="1" t="str">
        <f ca="1">IFERROR(__xludf.DUMMYFUNCTION("GOOGLETRANSLATE(D2553, ""bn"", ""en"")"),"All kinds of religious talk and religious offensive talkers should be banned. People should talk rationally about pure science.")</f>
        <v>All kinds of religious talk and religious offensive talkers should be banned. People should talk rationally about pure science.</v>
      </c>
      <c r="F2553" s="1"/>
      <c r="G2553" s="1"/>
      <c r="H2553" s="1"/>
      <c r="I2553" s="1"/>
    </row>
    <row r="2554" spans="1:9" ht="15.6" x14ac:dyDescent="0.3">
      <c r="A2554" s="1" t="s">
        <v>5</v>
      </c>
      <c r="B2554" s="1" t="s">
        <v>5</v>
      </c>
      <c r="C2554" s="10" t="s">
        <v>5</v>
      </c>
      <c r="D2554" s="5" t="s">
        <v>2283</v>
      </c>
      <c r="E2554" s="1" t="str">
        <f ca="1">IFERROR(__xludf.DUMMYFUNCTION("GOOGLETRANSLATE(D2554, ""bn"", ""en"")"),"As it is a sign of doomsday, it is the last time, now the Muslims of the whole world will be united. Finally Islam will win. La ilaha illallahu muhammadur rasulullah sallallahu alaihi wa sallam.")</f>
        <v>As it is a sign of doomsday, it is the last time, now the Muslims of the whole world will be united. Finally Islam will win. La ilaha illallahu muhammadur rasulullah sallallahu alaihi wa sallam.</v>
      </c>
      <c r="F2554" s="1"/>
      <c r="G2554" s="1"/>
      <c r="H2554" s="1"/>
      <c r="I2554" s="1"/>
    </row>
    <row r="2555" spans="1:9" ht="15.6" x14ac:dyDescent="0.3">
      <c r="A2555" s="1" t="s">
        <v>4</v>
      </c>
      <c r="B2555" s="1" t="s">
        <v>4</v>
      </c>
      <c r="C2555" s="10" t="s">
        <v>4</v>
      </c>
      <c r="D2555" s="5" t="s">
        <v>2284</v>
      </c>
      <c r="E2555" s="1" t="str">
        <f ca="1">IFERROR(__xludf.DUMMYFUNCTION("GOOGLETRANSLATE(D2555, ""bn"", ""en"")"),"We do not disrespect anyone or any religion but why my religion is being disrespected again and again, I strongly condemn it, O Allah, destroy those who have disrespected my religion like those who disrespected my religion in the past.")</f>
        <v>We do not disrespect anyone or any religion but why my religion is being disrespected again and again, I strongly condemn it, O Allah, destroy those who have disrespected my religion like those who disrespected my religion in the past.</v>
      </c>
      <c r="F2555" s="1"/>
      <c r="G2555" s="1"/>
      <c r="H2555" s="1"/>
      <c r="I2555" s="1"/>
    </row>
    <row r="2556" spans="1:9" ht="15.6" x14ac:dyDescent="0.3">
      <c r="A2556" s="1" t="s">
        <v>5</v>
      </c>
      <c r="B2556" s="1" t="s">
        <v>5</v>
      </c>
      <c r="C2556" s="10" t="s">
        <v>5</v>
      </c>
      <c r="D2556" s="5" t="s">
        <v>2285</v>
      </c>
      <c r="E2556" s="1" t="str">
        <f ca="1">IFERROR(__xludf.DUMMYFUNCTION("GOOGLETRANSLATE(D2556, ""bn"", ""en"")"),"All religions show the path of peace, love and harmony for human beings, and true religion never encourages the spirit of aggression or antagonism towards other human beings, but rather strives to make the world a peaceful place through mutual respect and"&amp;" compassion.")</f>
        <v>All religions show the path of peace, love and harmony for human beings, and true religion never encourages the spirit of aggression or antagonism towards other human beings, but rather strives to make the world a peaceful place through mutual respect and compassion.</v>
      </c>
      <c r="F2556" s="1"/>
      <c r="G2556" s="1"/>
      <c r="H2556" s="1"/>
      <c r="I2556" s="1"/>
    </row>
    <row r="2557" spans="1:9" ht="15.6" x14ac:dyDescent="0.3">
      <c r="A2557" s="1" t="s">
        <v>7</v>
      </c>
      <c r="B2557" s="1" t="s">
        <v>7</v>
      </c>
      <c r="C2557" s="10" t="s">
        <v>7</v>
      </c>
      <c r="D2557" s="5" t="s">
        <v>2286</v>
      </c>
      <c r="E2557" s="1" t="str">
        <f ca="1">IFERROR(__xludf.DUMMYFUNCTION("GOOGLETRANSLATE(D2557, ""bn"", ""en"")"),"The Islamic interpretation of death is so comprehensive that it is as clear as a picture.")</f>
        <v>The Islamic interpretation of death is so comprehensive that it is as clear as a picture.</v>
      </c>
      <c r="F2557" s="1"/>
      <c r="G2557" s="1"/>
      <c r="H2557" s="1"/>
      <c r="I2557" s="1"/>
    </row>
    <row r="2558" spans="1:9" ht="15.6" x14ac:dyDescent="0.3">
      <c r="A2558" s="1" t="s">
        <v>9</v>
      </c>
      <c r="B2558" s="1" t="s">
        <v>9</v>
      </c>
      <c r="C2558" s="10" t="s">
        <v>9</v>
      </c>
      <c r="D2558" s="5" t="s">
        <v>2287</v>
      </c>
      <c r="E2558" s="1" t="str">
        <f ca="1">IFERROR(__xludf.DUMMYFUNCTION("GOOGLETRANSLATE(D2558, ""bn"", ""en"")"),"Incidents of vandalism also occur in religious places. The National Human Rights Commission of Bangladesh has said that religious minorities are being attacked in a well-planned manner to grab land.")</f>
        <v>Incidents of vandalism also occur in religious places. The National Human Rights Commission of Bangladesh has said that religious minorities are being attacked in a well-planned manner to grab land.</v>
      </c>
      <c r="F2558" s="1"/>
      <c r="G2558" s="1"/>
      <c r="H2558" s="1"/>
      <c r="I2558" s="1"/>
    </row>
    <row r="2559" spans="1:9" ht="15.6" x14ac:dyDescent="0.3">
      <c r="A2559" s="1" t="s">
        <v>4</v>
      </c>
      <c r="B2559" s="1" t="s">
        <v>4</v>
      </c>
      <c r="C2559" s="10" t="s">
        <v>4</v>
      </c>
      <c r="D2559" s="5" t="s">
        <v>2288</v>
      </c>
      <c r="E2559" s="1" t="str">
        <f ca="1">IFERROR(__xludf.DUMMYFUNCTION("GOOGLETRANSLATE(D2559, ""bn"", ""en"")"),"Demanding exemplary punishment for the desecration of the greatest book Al-Qur'an at the foot of the idol in the Puja Mandap in Comilla.")</f>
        <v>Demanding exemplary punishment for the desecration of the greatest book Al-Qur'an at the foot of the idol in the Puja Mandap in Comilla.</v>
      </c>
      <c r="F2559" s="1"/>
      <c r="G2559" s="1"/>
      <c r="H2559" s="1"/>
      <c r="I2559" s="1"/>
    </row>
    <row r="2560" spans="1:9" ht="15.6" x14ac:dyDescent="0.3">
      <c r="A2560" s="1" t="s">
        <v>7</v>
      </c>
      <c r="B2560" s="1" t="s">
        <v>7</v>
      </c>
      <c r="C2560" s="10" t="s">
        <v>7</v>
      </c>
      <c r="D2560" s="5" t="s">
        <v>2289</v>
      </c>
      <c r="E2560" s="1" t="str">
        <f ca="1">IFERROR(__xludf.DUMMYFUNCTION("GOOGLETRANSLATE(D2560, ""bn"", ""en"")"),"Suicide is said to be a great sin in all religions. It is never a right decision to choose the path of suicide to escape loneliness or any mental problem.")</f>
        <v>Suicide is said to be a great sin in all religions. It is never a right decision to choose the path of suicide to escape loneliness or any mental problem.</v>
      </c>
      <c r="F2560" s="1"/>
      <c r="G2560" s="1"/>
      <c r="H2560" s="1"/>
      <c r="I2560" s="1"/>
    </row>
    <row r="2561" spans="1:9" ht="15.6" x14ac:dyDescent="0.3">
      <c r="A2561" s="1" t="s">
        <v>4</v>
      </c>
      <c r="B2561" s="1" t="s">
        <v>4</v>
      </c>
      <c r="C2561" s="10" t="s">
        <v>4</v>
      </c>
      <c r="D2561" s="5" t="s">
        <v>2290</v>
      </c>
      <c r="E2561" s="1" t="str">
        <f ca="1">IFERROR(__xludf.DUMMYFUNCTION("GOOGLETRANSLATE(D2561, ""bn"", ""en"")"),"Alleged comments on social media Facebook insulting Islam and the Holy Prophet Muhammad (PBUH).")</f>
        <v>Alleged comments on social media Facebook insulting Islam and the Holy Prophet Muhammad (PBUH).</v>
      </c>
      <c r="F2561" s="1"/>
      <c r="G2561" s="1"/>
      <c r="H2561" s="1"/>
      <c r="I2561" s="1"/>
    </row>
    <row r="2562" spans="1:9" ht="15.6" x14ac:dyDescent="0.3">
      <c r="A2562" s="1" t="s">
        <v>9</v>
      </c>
      <c r="B2562" s="1" t="s">
        <v>5</v>
      </c>
      <c r="C2562" s="10" t="s">
        <v>9</v>
      </c>
      <c r="D2562" s="5" t="s">
        <v>2291</v>
      </c>
      <c r="E2562" s="1" t="str">
        <f ca="1">IFERROR(__xludf.DUMMYFUNCTION("GOOGLETRANSLATE(D2562, ""bn"", ""en"")"),"In different countries of the world, religious harmony is seen to be destroyed more or less. Communal harmony is being destroyed. In religion there are injuries, violence, fights and disruptive programs.")</f>
        <v>In different countries of the world, religious harmony is seen to be destroyed more or less. Communal harmony is being destroyed. In religion there are injuries, violence, fights and disruptive programs.</v>
      </c>
      <c r="F2562" s="1"/>
      <c r="G2562" s="1"/>
      <c r="H2562" s="1"/>
      <c r="I2562" s="1"/>
    </row>
    <row r="2563" spans="1:9" ht="15.6" x14ac:dyDescent="0.3">
      <c r="A2563" s="1" t="s">
        <v>4</v>
      </c>
      <c r="B2563" s="1" t="s">
        <v>4</v>
      </c>
      <c r="C2563" s="10" t="s">
        <v>4</v>
      </c>
      <c r="D2563" s="5" t="s">
        <v>2292</v>
      </c>
      <c r="E2563" s="1" t="str">
        <f ca="1">IFERROR(__xludf.DUMMYFUNCTION("GOOGLETRANSLATE(D2563, ""bn"", ""en"")"),"Mohammad Jahangir Islam opened a fake Facebook ID named Akash Saha and made bad comments about Islam.")</f>
        <v>Mohammad Jahangir Islam opened a fake Facebook ID named Akash Saha and made bad comments about Islam.</v>
      </c>
      <c r="F2563" s="1"/>
      <c r="G2563" s="1"/>
      <c r="H2563" s="1"/>
      <c r="I2563" s="1"/>
    </row>
    <row r="2564" spans="1:9" ht="15.6" x14ac:dyDescent="0.3">
      <c r="A2564" s="1" t="s">
        <v>5</v>
      </c>
      <c r="B2564" s="1" t="s">
        <v>5</v>
      </c>
      <c r="C2564" s="10" t="s">
        <v>5</v>
      </c>
      <c r="D2564" s="5" t="s">
        <v>2293</v>
      </c>
      <c r="E2564" s="1" t="str">
        <f ca="1">IFERROR(__xludf.DUMMYFUNCTION("GOOGLETRANSLATE(D2564, ""bn"", ""en"")"),"People no longer hesitate to say what they believe in. Be it about politics or religion.")</f>
        <v>People no longer hesitate to say what they believe in. Be it about politics or religion.</v>
      </c>
      <c r="F2564" s="1"/>
      <c r="G2564" s="1"/>
      <c r="H2564" s="1"/>
      <c r="I2564" s="1"/>
    </row>
    <row r="2565" spans="1:9" ht="15.6" x14ac:dyDescent="0.3">
      <c r="A2565" s="1" t="s">
        <v>5</v>
      </c>
      <c r="B2565" s="1" t="s">
        <v>5</v>
      </c>
      <c r="C2565" s="10" t="s">
        <v>5</v>
      </c>
      <c r="D2565" s="5" t="s">
        <v>2294</v>
      </c>
      <c r="E2565" s="1" t="str">
        <f ca="1">IFERROR(__xludf.DUMMYFUNCTION("GOOGLETRANSLATE(D2565, ""bn"", ""en"")"),"To show loyalty and goodwill, Allah calls in the Qur'an to show love and respect to all people, even if they belong to different religions.")</f>
        <v>To show loyalty and goodwill, Allah calls in the Qur'an to show love and respect to all people, even if they belong to different religions.</v>
      </c>
      <c r="F2565" s="1"/>
      <c r="G2565" s="1"/>
      <c r="H2565" s="1"/>
      <c r="I2565" s="1"/>
    </row>
    <row r="2566" spans="1:9" ht="62.4" x14ac:dyDescent="0.3">
      <c r="A2566" s="1" t="s">
        <v>4</v>
      </c>
      <c r="B2566" s="1" t="s">
        <v>4</v>
      </c>
      <c r="C2566" s="10" t="s">
        <v>4</v>
      </c>
      <c r="D2566" s="6" t="s">
        <v>3747</v>
      </c>
      <c r="E2566" s="1" t="str">
        <f ca="1">IFERROR(__xludf.DUMMYFUNCTION("GOOGLETRANSLATE(D2566, ""bn"", ""en"")"),"There was no protest on the part of our intellectuals and civil society. I did not see any punishment. At this disregard and indifference the common devout Muslims were outraged, shocked, their hearts wounded, but not a single word of solace and sympathy "&amp;"was uttered anywhere. They have been repeatedly shocked by the disdainful silence of intellectuals known as the 'conscience of society' and the contemptuous indifference of the judiciary and administration.")</f>
        <v>There was no protest on the part of our intellectuals and civil society. I did not see any punishment. At this disregard and indifference the common devout Muslims were outraged, shocked, their hearts wounded, but not a single word of solace and sympathy was uttered anywhere. They have been repeatedly shocked by the disdainful silence of intellectuals known as the 'conscience of society' and the contemptuous indifference of the judiciary and administration.</v>
      </c>
      <c r="F2566" s="1"/>
      <c r="G2566" s="1"/>
      <c r="H2566" s="1"/>
      <c r="I2566" s="1"/>
    </row>
    <row r="2567" spans="1:9" ht="15.6" x14ac:dyDescent="0.3">
      <c r="A2567" s="1" t="s">
        <v>9</v>
      </c>
      <c r="B2567" s="1" t="s">
        <v>9</v>
      </c>
      <c r="C2567" s="10" t="s">
        <v>9</v>
      </c>
      <c r="D2567" s="5" t="s">
        <v>2295</v>
      </c>
      <c r="E2567" s="1" t="str">
        <f ca="1">IFERROR(__xludf.DUMMYFUNCTION("GOOGLETRANSLATE(D2567, ""bn"", ""en"")"),"Gaza's Ministry of Religious Affairs reported that at least 1,000 of the 1,200 mosques in Gaza had been completely or partially destroyed as of February.")</f>
        <v>Gaza's Ministry of Religious Affairs reported that at least 1,000 of the 1,200 mosques in Gaza had been completely or partially destroyed as of February.</v>
      </c>
      <c r="F2567" s="1"/>
      <c r="G2567" s="1"/>
      <c r="H2567" s="1"/>
      <c r="I2567" s="1"/>
    </row>
    <row r="2568" spans="1:9" ht="15.6" x14ac:dyDescent="0.3">
      <c r="A2568" s="4" t="s">
        <v>7</v>
      </c>
      <c r="B2568" s="4" t="s">
        <v>7</v>
      </c>
      <c r="C2568" s="11" t="s">
        <v>7</v>
      </c>
      <c r="D2568" s="5" t="s">
        <v>2296</v>
      </c>
      <c r="E2568" s="1" t="str">
        <f ca="1">IFERROR(__xludf.DUMMYFUNCTION("GOOGLETRANSLATE(D2568, ""bn"", ""en"")"),"In our Chittagong Hill Tracts, it is often seen that communal attitudes on various issues and its internal form have come out and created unusual situations like fights and murders, which we simply identify as riots.")</f>
        <v>In our Chittagong Hill Tracts, it is often seen that communal attitudes on various issues and its internal form have come out and created unusual situations like fights and murders, which we simply identify as riots.</v>
      </c>
      <c r="F2568" s="1"/>
      <c r="G2568" s="1"/>
      <c r="H2568" s="1"/>
      <c r="I2568" s="1"/>
    </row>
    <row r="2569" spans="1:9" ht="15.6" x14ac:dyDescent="0.3">
      <c r="A2569" s="1" t="s">
        <v>4</v>
      </c>
      <c r="B2569" s="1" t="s">
        <v>4</v>
      </c>
      <c r="C2569" s="10" t="s">
        <v>4</v>
      </c>
      <c r="D2569" s="5" t="s">
        <v>2297</v>
      </c>
      <c r="E2569" s="1" t="str">
        <f ca="1">IFERROR(__xludf.DUMMYFUNCTION("GOOGLETRANSLATE(D2569, ""bn"", ""en"")"),"They walk in western clothes. And the Islamic dress burns them.")</f>
        <v>They walk in western clothes. And the Islamic dress burns them.</v>
      </c>
      <c r="F2569" s="1"/>
      <c r="G2569" s="1"/>
      <c r="H2569" s="1"/>
      <c r="I2569" s="1"/>
    </row>
    <row r="2570" spans="1:9" ht="15.6" x14ac:dyDescent="0.3">
      <c r="A2570" s="1" t="s">
        <v>7</v>
      </c>
      <c r="B2570" s="1" t="s">
        <v>7</v>
      </c>
      <c r="C2570" s="10" t="s">
        <v>7</v>
      </c>
      <c r="D2570" s="5" t="s">
        <v>2298</v>
      </c>
      <c r="E2570" s="1" t="str">
        <f ca="1">IFERROR(__xludf.DUMMYFUNCTION("GOOGLETRANSLATE(D2570, ""bn"", ""en"")"),"Not being able to bear the insult of the Prophet! Killing the enemy of the Prophet and being martyred on the ropes! Who was Ilmuddin?")</f>
        <v>Not being able to bear the insult of the Prophet! Killing the enemy of the Prophet and being martyred on the ropes! Who was Ilmuddin?</v>
      </c>
      <c r="F2570" s="1"/>
      <c r="G2570" s="1"/>
      <c r="H2570" s="1"/>
      <c r="I2570" s="1"/>
    </row>
    <row r="2571" spans="1:9" ht="15.6" x14ac:dyDescent="0.3">
      <c r="A2571" s="1" t="s">
        <v>4</v>
      </c>
      <c r="B2571" s="1" t="s">
        <v>4</v>
      </c>
      <c r="C2571" s="10" t="s">
        <v>4</v>
      </c>
      <c r="D2571" s="5" t="s">
        <v>2299</v>
      </c>
      <c r="E2571" s="1" t="str">
        <f ca="1">IFERROR(__xludf.DUMMYFUNCTION("GOOGLETRANSLATE(D2571, ""bn"", ""en"")"),"We are appalled by the arrogance of non-Muslim pagans in a Muslim-majority country. The incident of the Buddhist youth is not the first incident in this regard. Insulting of Islam and the Prophet of Islam by a section of Hindus and Hindus is happening con"&amp;"tinuously. ")</f>
        <v>We are appalled by the arrogance of non-Muslim pagans in a Muslim-majority country. The incident of the Buddhist youth is not the first incident in this regard. Insulting of Islam and the Prophet of Islam by a section of Hindus and Hindus is happening continuously. </v>
      </c>
      <c r="F2571" s="1"/>
      <c r="G2571" s="1"/>
      <c r="H2571" s="1"/>
      <c r="I2571" s="1"/>
    </row>
    <row r="2572" spans="1:9" ht="15.6" x14ac:dyDescent="0.3">
      <c r="A2572" s="1" t="s">
        <v>4</v>
      </c>
      <c r="B2572" s="1" t="s">
        <v>4</v>
      </c>
      <c r="C2572" s="10" t="s">
        <v>4</v>
      </c>
      <c r="D2572" s="5" t="s">
        <v>2300</v>
      </c>
      <c r="E2572" s="1" t="str">
        <f ca="1">IFERROR(__xludf.DUMMYFUNCTION("GOOGLETRANSLATE(D2572, ""bn"", ""en"")"),"First gain trust by talking anti-India. Then suddenly a new discovery, a lot of Hindu youth or anti-India!")</f>
        <v>First gain trust by talking anti-India. Then suddenly a new discovery, a lot of Hindu youth or anti-India!</v>
      </c>
      <c r="F2572" s="1"/>
      <c r="G2572" s="1"/>
      <c r="H2572" s="1"/>
      <c r="I2572" s="1"/>
    </row>
    <row r="2573" spans="1:9" ht="15.6" x14ac:dyDescent="0.3">
      <c r="A2573" s="1" t="s">
        <v>9</v>
      </c>
      <c r="B2573" s="1" t="s">
        <v>9</v>
      </c>
      <c r="C2573" s="10" t="s">
        <v>9</v>
      </c>
      <c r="D2573" s="5" t="s">
        <v>2301</v>
      </c>
      <c r="E2573" s="1" t="str">
        <f ca="1">IFERROR(__xludf.DUMMYFUNCTION("GOOGLETRANSLATE(D2573, ""bn"", ""en"")"),"10 idols of 3 temples vandalized in Alfadanga in one night, human chain in protest")</f>
        <v>10 idols of 3 temples vandalized in Alfadanga in one night, human chain in protest</v>
      </c>
      <c r="F2573" s="1"/>
      <c r="G2573" s="1"/>
      <c r="H2573" s="1"/>
      <c r="I2573" s="1"/>
    </row>
    <row r="2574" spans="1:9" ht="15.6" x14ac:dyDescent="0.3">
      <c r="A2574" s="1" t="s">
        <v>9</v>
      </c>
      <c r="B2574" s="1" t="s">
        <v>9</v>
      </c>
      <c r="C2574" s="10" t="s">
        <v>9</v>
      </c>
      <c r="D2574" s="5" t="s">
        <v>2302</v>
      </c>
      <c r="E2574" s="1" t="str">
        <f ca="1">IFERROR(__xludf.DUMMYFUNCTION("GOOGLETRANSLATE(D2574, ""bn"", ""en"")"),"A bomb attack in a mosque in Palestine during the call to prayer ")</f>
        <v xml:space="preserve">A bomb attack in a mosque in Palestine during the call to prayer </v>
      </c>
      <c r="F2574" s="1"/>
      <c r="G2574" s="1"/>
      <c r="H2574" s="1"/>
      <c r="I2574" s="1"/>
    </row>
    <row r="2575" spans="1:9" ht="15.6" x14ac:dyDescent="0.3">
      <c r="A2575" s="1" t="s">
        <v>5</v>
      </c>
      <c r="B2575" s="1" t="s">
        <v>5</v>
      </c>
      <c r="C2575" s="10" t="s">
        <v>5</v>
      </c>
      <c r="D2575" s="5" t="s">
        <v>2303</v>
      </c>
      <c r="E2575" s="1" t="str">
        <f ca="1">IFERROR(__xludf.DUMMYFUNCTION("GOOGLETRANSLATE(D2575, ""bn"", ""en"")"),"In the Qur'an, Allah asks people to be responsible for their own souls and families, so that peace and equality are maintained in the society.")</f>
        <v>In the Qur'an, Allah asks people to be responsible for their own souls and families, so that peace and equality are maintained in the society.</v>
      </c>
      <c r="F2575" s="1"/>
      <c r="G2575" s="1"/>
      <c r="H2575" s="1"/>
      <c r="I2575" s="1"/>
    </row>
    <row r="2576" spans="1:9" ht="15.6" x14ac:dyDescent="0.3">
      <c r="A2576" s="1" t="s">
        <v>4</v>
      </c>
      <c r="B2576" s="1" t="s">
        <v>4</v>
      </c>
      <c r="C2576" s="10" t="s">
        <v>4</v>
      </c>
      <c r="D2576" s="5" t="s">
        <v>2304</v>
      </c>
      <c r="E2576" s="1" t="str">
        <f ca="1">IFERROR(__xludf.DUMMYFUNCTION("GOOGLETRANSLATE(D2576, ""bn"", ""en"")"),"Ka'b bin Ashraf was a Jew who was very hostile and jealous towards Islam and Muslims. He harassed the Prophet (PBUH) and openly threatened war against him.")</f>
        <v>Ka'b bin Ashraf was a Jew who was very hostile and jealous towards Islam and Muslims. He harassed the Prophet (PBUH) and openly threatened war against him.</v>
      </c>
      <c r="F2576" s="1"/>
      <c r="G2576" s="1"/>
      <c r="H2576" s="1"/>
      <c r="I2576" s="1"/>
    </row>
    <row r="2577" spans="1:9" ht="17.399999999999999" x14ac:dyDescent="0.3">
      <c r="A2577" s="1" t="s">
        <v>5</v>
      </c>
      <c r="B2577" s="1" t="s">
        <v>5</v>
      </c>
      <c r="C2577" s="10" t="s">
        <v>5</v>
      </c>
      <c r="D2577" s="5" t="s">
        <v>3512</v>
      </c>
      <c r="E2577" s="1" t="str">
        <f ca="1">IFERROR(__xludf.DUMMYFUNCTION("GOOGLETRANSLATE(D2577, ""bn"", ""en"")"),"The Hajj is an annual Islamic pilgrimage to Mecca, the holiest city for Muslims in Saudi Arabia. [1] The Hajj is an obligatory religious pilgrimage for Muslims.")</f>
        <v>The Hajj is an annual Islamic pilgrimage to Mecca, the holiest city for Muslims in Saudi Arabia. [1] The Hajj is an obligatory religious pilgrimage for Muslims.</v>
      </c>
      <c r="F2577" s="1"/>
      <c r="G2577" s="1"/>
      <c r="H2577" s="1"/>
      <c r="I2577" s="1"/>
    </row>
    <row r="2578" spans="1:9" ht="15.6" x14ac:dyDescent="0.3">
      <c r="A2578" s="1" t="s">
        <v>4</v>
      </c>
      <c r="B2578" s="1" t="s">
        <v>5</v>
      </c>
      <c r="C2578" s="10" t="s">
        <v>4</v>
      </c>
      <c r="D2578" s="5" t="s">
        <v>2305</v>
      </c>
      <c r="E2578" s="1" t="str">
        <f ca="1">IFERROR(__xludf.DUMMYFUNCTION("GOOGLETRANSLATE(D2578, ""bn"", ""en"")"),"It only happens when people's deeply held beliefs are hurt or they feel their beliefs are being questioned. Then it comes out through anger or violence.")</f>
        <v>It only happens when people's deeply held beliefs are hurt or they feel their beliefs are being questioned. Then it comes out through anger or violence.</v>
      </c>
      <c r="F2578" s="1"/>
      <c r="G2578" s="1"/>
      <c r="H2578" s="1"/>
      <c r="I2578" s="1"/>
    </row>
    <row r="2579" spans="1:9" ht="15.6" x14ac:dyDescent="0.3">
      <c r="A2579" s="1" t="s">
        <v>5</v>
      </c>
      <c r="B2579" s="1" t="s">
        <v>5</v>
      </c>
      <c r="C2579" s="10" t="s">
        <v>5</v>
      </c>
      <c r="D2579" s="5" t="s">
        <v>2306</v>
      </c>
      <c r="E2579" s="1" t="str">
        <f ca="1">IFERROR(__xludf.DUMMYFUNCTION("GOOGLETRANSLATE(D2579, ""bn"", ""en"")"),"Completely above exclusion, Alhamdulillah. Also happened, liked, heard whose product. After hearing the products of India, I said, 'Sorry, I am putting India above exclusion.")</f>
        <v>Completely above exclusion, Alhamdulillah. Also happened, liked, heard whose product. After hearing the products of India, I said, 'Sorry, I am putting India above exclusion.</v>
      </c>
      <c r="F2579" s="1"/>
      <c r="G2579" s="1"/>
      <c r="H2579" s="1"/>
      <c r="I2579" s="1"/>
    </row>
    <row r="2580" spans="1:9" ht="15.6" x14ac:dyDescent="0.3">
      <c r="A2580" s="1" t="s">
        <v>9</v>
      </c>
      <c r="B2580" s="1" t="s">
        <v>9</v>
      </c>
      <c r="C2580" s="10" t="s">
        <v>9</v>
      </c>
      <c r="D2580" s="5" t="s">
        <v>2307</v>
      </c>
      <c r="E2580" s="1" t="str">
        <f ca="1">IFERROR(__xludf.DUMMYFUNCTION("GOOGLETRANSLATE(D2580, ""bn"", ""en"")")," In 2016, there were attacks on Hindu temples and houses in Comilla's Nasirnagar on rumors of blasphemy.")</f>
        <v> In 2016, there were attacks on Hindu temples and houses in Comilla's Nasirnagar on rumors of blasphemy.</v>
      </c>
      <c r="F2580" s="1"/>
      <c r="G2580" s="1"/>
      <c r="H2580" s="1"/>
      <c r="I2580" s="1"/>
    </row>
    <row r="2581" spans="1:9" ht="15.6" x14ac:dyDescent="0.3">
      <c r="A2581" s="1" t="s">
        <v>5</v>
      </c>
      <c r="B2581" s="1" t="s">
        <v>5</v>
      </c>
      <c r="C2581" s="10" t="s">
        <v>5</v>
      </c>
      <c r="D2581" s="5" t="s">
        <v>2308</v>
      </c>
      <c r="E2581" s="1" t="str">
        <f ca="1">IFERROR(__xludf.DUMMYFUNCTION("GOOGLETRANSLATE(D2581, ""bn"", ""en"")"),"To escape the wrath of Allah one should follow the right path. If one goes astray, there is a chance for them to turn back, for Allah is Most Merciful and Forgiving.")</f>
        <v>To escape the wrath of Allah one should follow the right path. If one goes astray, there is a chance for them to turn back, for Allah is Most Merciful and Forgiving.</v>
      </c>
      <c r="F2581" s="1"/>
      <c r="G2581" s="1"/>
      <c r="H2581" s="1"/>
      <c r="I2581" s="1"/>
    </row>
    <row r="2582" spans="1:9" ht="15.6" x14ac:dyDescent="0.3">
      <c r="A2582" s="1" t="s">
        <v>9</v>
      </c>
      <c r="B2582" s="1" t="s">
        <v>9</v>
      </c>
      <c r="C2582" s="10" t="s">
        <v>9</v>
      </c>
      <c r="D2582" s="5" t="s">
        <v>2309</v>
      </c>
      <c r="E2582" s="1" t="str">
        <f ca="1">IFERROR(__xludf.DUMMYFUNCTION("GOOGLETRANSLATE(D2582, ""bn"", ""en"")"),"The Bangladesh National Hindu Mahazot has demanded compensation for the Hindu families affected by the attack by the followers of Hefazat leader Mamunul Haque in Noagaon village of Habibpur Union of Shalla Upazila of Sunamganj.")</f>
        <v>The Bangladesh National Hindu Mahazot has demanded compensation for the Hindu families affected by the attack by the followers of Hefazat leader Mamunul Haque in Noagaon village of Habibpur Union of Shalla Upazila of Sunamganj.</v>
      </c>
      <c r="F2582" s="1"/>
      <c r="G2582" s="1"/>
      <c r="H2582" s="1"/>
      <c r="I2582" s="1"/>
    </row>
    <row r="2583" spans="1:9" ht="46.8" x14ac:dyDescent="0.3">
      <c r="A2583" s="1" t="s">
        <v>9</v>
      </c>
      <c r="B2583" s="1" t="s">
        <v>9</v>
      </c>
      <c r="C2583" s="10" t="s">
        <v>9</v>
      </c>
      <c r="D2583" s="6" t="s">
        <v>3746</v>
      </c>
      <c r="E2583" s="1" t="str">
        <f ca="1">IFERROR(__xludf.DUMMYFUNCTION("GOOGLETRANSLATE(D2583, ""bn"", ""en"")"),"Another thing observed in the Battle of Uhud is that loyalty to the leader is the most important factor in battle. A single mistake, a single inadvertence can turn the tide of war. The archery forces forgot the Prophet's instructions and caused a disaster"&amp;". This disaster teaches that obedience to the leader is essential. Even in the difficult situation of Uhud, the Prophet (PBUH) brought the army under complete control.")</f>
        <v>Another thing observed in the Battle of Uhud is that loyalty to the leader is the most important factor in battle. A single mistake, a single inadvertence can turn the tide of war. The archery forces forgot the Prophet's instructions and caused a disaster. This disaster teaches that obedience to the leader is essential. Even in the difficult situation of Uhud, the Prophet (PBUH) brought the army under complete control.</v>
      </c>
      <c r="F2583" s="1"/>
      <c r="G2583" s="1"/>
      <c r="H2583" s="1"/>
      <c r="I2583" s="1"/>
    </row>
    <row r="2584" spans="1:9" ht="15.6" x14ac:dyDescent="0.3">
      <c r="A2584" s="1" t="s">
        <v>5</v>
      </c>
      <c r="B2584" s="1" t="s">
        <v>5</v>
      </c>
      <c r="C2584" s="10" t="s">
        <v>5</v>
      </c>
      <c r="D2584" s="5" t="s">
        <v>2310</v>
      </c>
      <c r="E2584" s="1" t="str">
        <f ca="1">IFERROR(__xludf.DUMMYFUNCTION("GOOGLETRANSLATE(D2584, ""bn"", ""en"")"),"Just as it cannot be said that your fate will not be like that of Iblish, who is blinded by pride while worshiping, similarly, who has given you the assurance that God did not write the end of Abu Jahl, whom Abu Jahl insults today, like Abu Sufyan?")</f>
        <v>Just as it cannot be said that your fate will not be like that of Iblish, who is blinded by pride while worshiping, similarly, who has given you the assurance that God did not write the end of Abu Jahl, whom Abu Jahl insults today, like Abu Sufyan?</v>
      </c>
      <c r="F2584" s="1"/>
      <c r="G2584" s="1"/>
      <c r="H2584" s="1"/>
      <c r="I2584" s="1"/>
    </row>
    <row r="2585" spans="1:9" ht="15.6" x14ac:dyDescent="0.3">
      <c r="A2585" s="1" t="s">
        <v>9</v>
      </c>
      <c r="B2585" s="1" t="s">
        <v>9</v>
      </c>
      <c r="C2585" s="10" t="s">
        <v>9</v>
      </c>
      <c r="D2585" s="5" t="s">
        <v>422</v>
      </c>
      <c r="E2585" s="1" t="str">
        <f ca="1">IFERROR(__xludf.DUMMYFUNCTION("GOOGLETRANSLATE(D2585, ""bn"", ""en"")"),"Chhatipara Chandramani Raksha Kali Temple was also attacked and idols were vandalized and set on fire. Outside, 15 more temples and mandapam gates were set on fire and vandalized. Due to this, worship was stopped in several temples on that day.")</f>
        <v>Chhatipara Chandramani Raksha Kali Temple was also attacked and idols were vandalized and set on fire. Outside, 15 more temples and mandapam gates were set on fire and vandalized. Due to this, worship was stopped in several temples on that day.</v>
      </c>
      <c r="F2585" s="1"/>
      <c r="G2585" s="1"/>
      <c r="H2585" s="1"/>
      <c r="I2585" s="1"/>
    </row>
    <row r="2586" spans="1:9" ht="17.399999999999999" x14ac:dyDescent="0.3">
      <c r="A2586" s="1" t="s">
        <v>5</v>
      </c>
      <c r="B2586" s="1" t="s">
        <v>5</v>
      </c>
      <c r="C2586" s="10" t="s">
        <v>5</v>
      </c>
      <c r="D2586" s="5" t="s">
        <v>3513</v>
      </c>
      <c r="E2586" s="1" t="str">
        <f ca="1">IFERROR(__xludf.DUMMYFUNCTION("GOOGLETRANSLATE(D2586, ""bn"", ""en"")"),"He preaches the message that Allah is One and Only and says that the only way to gain Allah's pleasure is submission to Allah. [155] He declares himself to be Allah's Messenger and Prophet and that he is a descendant of previous prophets.")</f>
        <v>He preaches the message that Allah is One and Only and says that the only way to gain Allah's pleasure is submission to Allah. [155] He declares himself to be Allah's Messenger and Prophet and that he is a descendant of previous prophets.</v>
      </c>
      <c r="F2586" s="1"/>
      <c r="G2586" s="1"/>
      <c r="H2586" s="1"/>
      <c r="I2586" s="1"/>
    </row>
    <row r="2587" spans="1:9" ht="15.6" x14ac:dyDescent="0.3">
      <c r="A2587" s="1" t="s">
        <v>7</v>
      </c>
      <c r="B2587" s="1" t="s">
        <v>7</v>
      </c>
      <c r="C2587" s="10" t="s">
        <v>7</v>
      </c>
      <c r="D2587" s="5" t="s">
        <v>2311</v>
      </c>
      <c r="E2587" s="1" t="str">
        <f ca="1">IFERROR(__xludf.DUMMYFUNCTION("GOOGLETRANSLATE(D2587, ""bn"", ""en"")"),"In 2015, a Shia mosque in Rajshahi was attacked by terrorists, killing one worshiper and injuring several others.")</f>
        <v>In 2015, a Shia mosque in Rajshahi was attacked by terrorists, killing one worshiper and injuring several others.</v>
      </c>
      <c r="F2587" s="1"/>
      <c r="G2587" s="1"/>
      <c r="H2587" s="1"/>
      <c r="I2587" s="1"/>
    </row>
    <row r="2588" spans="1:9" ht="15.6" x14ac:dyDescent="0.3">
      <c r="A2588" s="1" t="s">
        <v>9</v>
      </c>
      <c r="B2588" s="1" t="s">
        <v>9</v>
      </c>
      <c r="C2588" s="10" t="s">
        <v>9</v>
      </c>
      <c r="D2588" s="5" t="s">
        <v>2312</v>
      </c>
      <c r="E2588" s="1" t="str">
        <f ca="1">IFERROR(__xludf.DUMMYFUNCTION("GOOGLETRANSLATE(D2588, ""bn"", ""en"")"),"The attackers went on a frenzied killing spree, looting and arson. A total of 8 male members of that house were killed. The women of the house were dragged out of the house and gang-raped in public in broad daylight.")</f>
        <v>The attackers went on a frenzied killing spree, looting and arson. A total of 8 male members of that house were killed. The women of the house were dragged out of the house and gang-raped in public in broad daylight.</v>
      </c>
      <c r="F2588" s="1"/>
      <c r="G2588" s="1"/>
      <c r="H2588" s="1"/>
      <c r="I2588" s="1"/>
    </row>
    <row r="2589" spans="1:9" ht="15.6" x14ac:dyDescent="0.3">
      <c r="A2589" s="1" t="s">
        <v>5</v>
      </c>
      <c r="B2589" s="1" t="s">
        <v>5</v>
      </c>
      <c r="C2589" s="10" t="s">
        <v>5</v>
      </c>
      <c r="D2589" s="5" t="s">
        <v>2313</v>
      </c>
      <c r="E2589" s="1" t="str">
        <f ca="1">IFERROR(__xludf.DUMMYFUNCTION("GOOGLETRANSLATE(D2589, ""bn"", ""en"")"),"The man who helped enlighten the life, encouraged to stay on the path of religion, that man is no more in life. He promised to be by his side for the rest of his life. I love him so much, I will wait for that day.")</f>
        <v>The man who helped enlighten the life, encouraged to stay on the path of religion, that man is no more in life. He promised to be by his side for the rest of his life. I love him so much, I will wait for that day.</v>
      </c>
      <c r="F2589" s="1"/>
      <c r="G2589" s="1"/>
      <c r="H2589" s="1"/>
      <c r="I2589" s="1"/>
    </row>
    <row r="2590" spans="1:9" ht="15.6" x14ac:dyDescent="0.3">
      <c r="A2590" s="1" t="s">
        <v>7</v>
      </c>
      <c r="B2590" s="1" t="s">
        <v>7</v>
      </c>
      <c r="C2590" s="10" t="s">
        <v>7</v>
      </c>
      <c r="D2590" s="5" t="s">
        <v>2314</v>
      </c>
      <c r="E2590" s="1" t="str">
        <f ca="1">IFERROR(__xludf.DUMMYFUNCTION("GOOGLETRANSLATE(D2590, ""bn"", ""en"")"),"Death is a transitional state in the ongoing life process. From the Islamic perspective, death is the most terrifying experience for all living beings.")</f>
        <v>Death is a transitional state in the ongoing life process. From the Islamic perspective, death is the most terrifying experience for all living beings.</v>
      </c>
      <c r="F2590" s="1"/>
      <c r="G2590" s="1"/>
      <c r="H2590" s="1"/>
      <c r="I2590" s="1"/>
    </row>
    <row r="2591" spans="1:9" ht="15.6" x14ac:dyDescent="0.3">
      <c r="A2591" s="1" t="s">
        <v>9</v>
      </c>
      <c r="B2591" s="1" t="s">
        <v>9</v>
      </c>
      <c r="C2591" s="10" t="s">
        <v>9</v>
      </c>
      <c r="D2591" s="5" t="s">
        <v>2315</v>
      </c>
      <c r="E2591" s="1" t="str">
        <f ca="1">IFERROR(__xludf.DUMMYFUNCTION("GOOGLETRANSLATE(D2591, ""bn"", ""en"")"),"After reservists joined the battle and eliminated the Mujahideen from the affected areas, Israel retaliated with airstrikes targeting strategic buildings and military installations in the densely populated Gaza Strip.")</f>
        <v>After reservists joined the battle and eliminated the Mujahideen from the affected areas, Israel retaliated with airstrikes targeting strategic buildings and military installations in the densely populated Gaza Strip.</v>
      </c>
      <c r="F2591" s="1"/>
      <c r="G2591" s="1"/>
      <c r="H2591" s="1"/>
      <c r="I2591" s="1"/>
    </row>
    <row r="2592" spans="1:9" ht="15.6" x14ac:dyDescent="0.3">
      <c r="A2592" s="1" t="s">
        <v>7</v>
      </c>
      <c r="B2592" s="1" t="s">
        <v>7</v>
      </c>
      <c r="C2592" s="10" t="s">
        <v>7</v>
      </c>
      <c r="D2592" s="5" t="s">
        <v>2316</v>
      </c>
      <c r="E2592" s="1" t="str">
        <f ca="1">IFERROR(__xludf.DUMMYFUNCTION("GOOGLETRANSLATE(D2592, ""bn"", ""en"")"),"When a Hindu person dies, the last rites are performed for the sake of the soul of the deceased. There are three stages of cremation. 1. Donation; 2. Pindlep and 3. water donation")</f>
        <v>When a Hindu person dies, the last rites are performed for the sake of the soul of the deceased. There are three stages of cremation. 1. Donation; 2. Pindlep and 3. water donation</v>
      </c>
      <c r="F2592" s="1"/>
      <c r="G2592" s="1"/>
      <c r="H2592" s="1"/>
      <c r="I2592" s="1"/>
    </row>
    <row r="2593" spans="1:9" ht="15.6" x14ac:dyDescent="0.3">
      <c r="A2593" s="1" t="s">
        <v>7</v>
      </c>
      <c r="B2593" s="1" t="s">
        <v>7</v>
      </c>
      <c r="C2593" s="10" t="s">
        <v>7</v>
      </c>
      <c r="D2593" s="5" t="s">
        <v>2317</v>
      </c>
      <c r="E2593" s="1" t="str">
        <f ca="1">IFERROR(__xludf.DUMMYFUNCTION("GOOGLETRANSLATE(D2593, ""bn"", ""en"")"),"Another temple in Ekhlaspur was vandalized by police, according to the police. [44] An ISKCON temple in Noakhali district was attacked on Friday, October 15 by Tawhidi mobs. ISKCON member Partha Das was brutally murdered by over 200 people. His dead body "&amp;"was found in the pond next to the temple.")</f>
        <v>Another temple in Ekhlaspur was vandalized by police, according to the police. [44] An ISKCON temple in Noakhali district was attacked on Friday, October 15 by Tawhidi mobs. ISKCON member Partha Das was brutally murdered by over 200 people. His dead body was found in the pond next to the temple.</v>
      </c>
      <c r="F2593" s="1"/>
      <c r="G2593" s="1"/>
      <c r="H2593" s="1"/>
      <c r="I2593" s="1"/>
    </row>
    <row r="2594" spans="1:9" ht="15.6" x14ac:dyDescent="0.3">
      <c r="A2594" s="1" t="s">
        <v>4</v>
      </c>
      <c r="B2594" s="1" t="s">
        <v>4</v>
      </c>
      <c r="C2594" s="10" t="s">
        <v>4</v>
      </c>
      <c r="D2594" s="5" t="s">
        <v>2318</v>
      </c>
      <c r="E2594" s="1" t="str">
        <f ca="1">IFERROR(__xludf.DUMMYFUNCTION("GOOGLETRANSLATE(D2594, ""bn"", ""en"")"),"Parents do not practice religion and do not teach traditional religion to their children. What will happen will happen.")</f>
        <v>Parents do not practice religion and do not teach traditional religion to their children. What will happen will happen.</v>
      </c>
      <c r="F2594" s="1"/>
      <c r="G2594" s="1"/>
      <c r="H2594" s="1"/>
      <c r="I2594" s="1"/>
    </row>
    <row r="2595" spans="1:9" ht="15.6" x14ac:dyDescent="0.3">
      <c r="A2595" s="1" t="s">
        <v>5</v>
      </c>
      <c r="B2595" s="1" t="s">
        <v>5</v>
      </c>
      <c r="C2595" s="10" t="s">
        <v>5</v>
      </c>
      <c r="D2595" s="5" t="s">
        <v>2319</v>
      </c>
      <c r="E2595" s="1" t="str">
        <f ca="1">IFERROR(__xludf.DUMMYFUNCTION("GOOGLETRANSLATE(D2595, ""bn"", ""en"")"),"Religion guides us to the spiritual path, which is important to find meaning in our lives, but this path is never to create hatred or conflict against others, but to help make the world peaceful and prosperous.")</f>
        <v>Religion guides us to the spiritual path, which is important to find meaning in our lives, but this path is never to create hatred or conflict against others, but to help make the world peaceful and prosperous.</v>
      </c>
      <c r="F2595" s="1"/>
      <c r="G2595" s="1"/>
      <c r="H2595" s="1"/>
      <c r="I2595" s="1"/>
    </row>
    <row r="2596" spans="1:9" ht="15.6" x14ac:dyDescent="0.3">
      <c r="A2596" s="1" t="s">
        <v>4</v>
      </c>
      <c r="B2596" s="1" t="s">
        <v>4</v>
      </c>
      <c r="C2596" s="10" t="s">
        <v>4</v>
      </c>
      <c r="D2596" s="5" t="s">
        <v>2320</v>
      </c>
      <c r="E2596" s="1" t="str">
        <f ca="1">IFERROR(__xludf.DUMMYFUNCTION("GOOGLETRANSLATE(D2596, ""bn"", ""en"")"),"Built the history of the temple inside the mosque. Made the amended citizenship law and incited religious differences and did vote politics.")</f>
        <v>Built the history of the temple inside the mosque. Made the amended citizenship law and incited religious differences and did vote politics.</v>
      </c>
      <c r="F2596" s="1"/>
      <c r="G2596" s="1"/>
      <c r="H2596" s="1"/>
      <c r="I2596" s="1"/>
    </row>
    <row r="2597" spans="1:9" ht="15.6" x14ac:dyDescent="0.3">
      <c r="A2597" s="1" t="s">
        <v>5</v>
      </c>
      <c r="B2597" s="1" t="s">
        <v>5</v>
      </c>
      <c r="C2597" s="10" t="s">
        <v>5</v>
      </c>
      <c r="D2597" s="5" t="s">
        <v>2321</v>
      </c>
      <c r="E2597" s="1" t="str">
        <f ca="1">IFERROR(__xludf.DUMMYFUNCTION("GOOGLETRANSLATE(D2597, ""bn"", ""en"")"),"The entire Dhaka University was built for the Muslims of the Bhati region, which brought together the diversity of the society while respecting it.")</f>
        <v>The entire Dhaka University was built for the Muslims of the Bhati region, which brought together the diversity of the society while respecting it.</v>
      </c>
      <c r="F2597" s="1"/>
      <c r="G2597" s="1"/>
      <c r="H2597" s="1"/>
      <c r="I2597" s="1"/>
    </row>
    <row r="2598" spans="1:9" ht="46.8" x14ac:dyDescent="0.3">
      <c r="A2598" s="1" t="s">
        <v>9</v>
      </c>
      <c r="B2598" s="1" t="s">
        <v>5</v>
      </c>
      <c r="C2598" s="10" t="s">
        <v>9</v>
      </c>
      <c r="D2598" s="6" t="s">
        <v>3745</v>
      </c>
      <c r="E2598" s="1" t="str">
        <f ca="1">IFERROR(__xludf.DUMMYFUNCTION("GOOGLETRANSLATE(D2598, ""bn"", ""en"")"),"Hindus are one of the most targeted and persecuted minorities in Pakistan. Militancy and sectarianism have been on the rise in Pakistan since the 1990s, and religious minorities ""have borne the brunt of Islamist violence"" and endured ""much more persecu"&amp;"tion than in previous decades,"" said Farhanaz Ispahani, a public policy scholar at the Wilson Center.")</f>
        <v>Hindus are one of the most targeted and persecuted minorities in Pakistan. Militancy and sectarianism have been on the rise in Pakistan since the 1990s, and religious minorities "have borne the brunt of Islamist violence" and endured "much more persecution than in previous decades," said Farhanaz Ispahani, a public policy scholar at the Wilson Center.</v>
      </c>
      <c r="F2598" s="1"/>
      <c r="G2598" s="1"/>
      <c r="H2598" s="1"/>
      <c r="I2598" s="1"/>
    </row>
    <row r="2599" spans="1:9" ht="15.6" x14ac:dyDescent="0.3">
      <c r="A2599" s="1" t="s">
        <v>7</v>
      </c>
      <c r="B2599" s="1" t="s">
        <v>7</v>
      </c>
      <c r="C2599" s="10" t="s">
        <v>7</v>
      </c>
      <c r="D2599" s="5" t="s">
        <v>2322</v>
      </c>
      <c r="E2599" s="1" t="str">
        <f ca="1">IFERROR(__xludf.DUMMYFUNCTION("GOOGLETRANSLATE(D2599, ""bn"", ""en"")")," The Hindus of the then Hindu dominated areas of Feni such as Masterpara, Ukilpara, Doctorpara, Sahdevpur, Barahipur, Sultanpur were attacked by Muslims and their settlements were burnt. An influential Hindu figure named Gurdas Kar was killed by the Musli"&amp;"ms. ")</f>
        <v> The Hindus of the then Hindu dominated areas of Feni such as Masterpara, Ukilpara, Doctorpara, Sahdevpur, Barahipur, Sultanpur were attacked by Muslims and their settlements were burnt. An influential Hindu figure named Gurdas Kar was killed by the Muslims. </v>
      </c>
      <c r="F2599" s="1"/>
      <c r="G2599" s="1"/>
      <c r="H2599" s="1"/>
      <c r="I2599" s="1"/>
    </row>
    <row r="2600" spans="1:9" ht="15.6" x14ac:dyDescent="0.3">
      <c r="A2600" s="1" t="s">
        <v>5</v>
      </c>
      <c r="B2600" s="1" t="s">
        <v>5</v>
      </c>
      <c r="C2600" s="10" t="s">
        <v>5</v>
      </c>
      <c r="D2600" s="5" t="s">
        <v>2323</v>
      </c>
      <c r="E2600" s="1" t="str">
        <f ca="1">IFERROR(__xludf.DUMMYFUNCTION("GOOGLETRANSLATE(D2600, ""bn"", ""en"")"),"Initiate a full, impartial and independent investigation into the attacks in various districts of Bangladesh and publish the findings, form a special tribunal to try the perpetrators, provide adequate compensation to the victims and rebuild damaged religi"&amp;"ous places, homes and businesses.")</f>
        <v>Initiate a full, impartial and independent investigation into the attacks in various districts of Bangladesh and publish the findings, form a special tribunal to try the perpetrators, provide adequate compensation to the victims and rebuild damaged religious places, homes and businesses.</v>
      </c>
      <c r="F2600" s="1"/>
      <c r="G2600" s="1"/>
      <c r="H2600" s="1"/>
      <c r="I2600" s="1"/>
    </row>
    <row r="2601" spans="1:9" ht="15.6" x14ac:dyDescent="0.3">
      <c r="A2601" s="1" t="s">
        <v>4</v>
      </c>
      <c r="B2601" s="1" t="s">
        <v>5</v>
      </c>
      <c r="C2601" s="10" t="s">
        <v>4</v>
      </c>
      <c r="D2601" s="5" t="s">
        <v>2324</v>
      </c>
      <c r="E2601" s="1" t="str">
        <f ca="1">IFERROR(__xludf.DUMMYFUNCTION("GOOGLETRANSLATE(D2601, ""bn"", ""en"")"),"By the words of those who leave militant fundamentalist extremists, what consciousness of yours spread it in the society by justifying it.")</f>
        <v>By the words of those who leave militant fundamentalist extremists, what consciousness of yours spread it in the society by justifying it.</v>
      </c>
      <c r="F2601" s="1"/>
      <c r="G2601" s="1"/>
      <c r="H2601" s="1"/>
      <c r="I2601" s="1"/>
    </row>
    <row r="2602" spans="1:9" ht="15.6" x14ac:dyDescent="0.3">
      <c r="A2602" s="1" t="s">
        <v>7</v>
      </c>
      <c r="B2602" s="1" t="s">
        <v>7</v>
      </c>
      <c r="C2602" s="10" t="s">
        <v>7</v>
      </c>
      <c r="D2602" s="5" t="s">
        <v>2325</v>
      </c>
      <c r="E2602" s="1" t="str">
        <f ca="1">IFERROR(__xludf.DUMMYFUNCTION("GOOGLETRANSLATE(D2602, ""bn"", ""en"")"),"A post has been made about the girl who was burnt in the fire whose religion caused a stir.")</f>
        <v>A post has been made about the girl who was burnt in the fire whose religion caused a stir.</v>
      </c>
      <c r="F2602" s="1"/>
      <c r="G2602" s="1"/>
      <c r="H2602" s="1"/>
      <c r="I2602" s="1"/>
    </row>
    <row r="2603" spans="1:9" ht="15.6" x14ac:dyDescent="0.3">
      <c r="A2603" s="4" t="s">
        <v>7</v>
      </c>
      <c r="B2603" s="4" t="s">
        <v>7</v>
      </c>
      <c r="C2603" s="11" t="s">
        <v>7</v>
      </c>
      <c r="D2603" s="5" t="s">
        <v>2326</v>
      </c>
      <c r="E2603" s="1" t="str">
        <f ca="1">IFERROR(__xludf.DUMMYFUNCTION("GOOGLETRANSLATE(D2603, ""bn"", ""en"")"),"On 22 May 1987, the Hashimpura massacre occurred during Hindu-Muslim riots in the city of Meerut in the Indian state of Uttar Pradesh, when 19 members of the Provincial Armed Constabulary (PAC) allegedly rounded up 42 Muslim youths from Hashimpura Mohalla"&amp;" (local).")</f>
        <v>On 22 May 1987, the Hashimpura massacre occurred during Hindu-Muslim riots in the city of Meerut in the Indian state of Uttar Pradesh, when 19 members of the Provincial Armed Constabulary (PAC) allegedly rounded up 42 Muslim youths from Hashimpura Mohalla (local).</v>
      </c>
      <c r="F2603" s="1"/>
      <c r="G2603" s="1"/>
      <c r="H2603" s="1"/>
      <c r="I2603" s="1"/>
    </row>
    <row r="2604" spans="1:9" ht="15.6" x14ac:dyDescent="0.3">
      <c r="A2604" s="1" t="s">
        <v>9</v>
      </c>
      <c r="B2604" s="1" t="s">
        <v>5</v>
      </c>
      <c r="C2604" s="10" t="s">
        <v>9</v>
      </c>
      <c r="D2604" s="5" t="s">
        <v>2327</v>
      </c>
      <c r="E2604" s="1" t="str">
        <f ca="1">IFERROR(__xludf.DUMMYFUNCTION("GOOGLETRANSLATE(D2604, ""bn"", ""en"")"),"Pooja uncertain after Saraswati idol vandalized in Dewanganj")</f>
        <v>Pooja uncertain after Saraswati idol vandalized in Dewanganj</v>
      </c>
      <c r="F2604" s="1"/>
      <c r="G2604" s="1"/>
      <c r="H2604" s="1"/>
      <c r="I2604" s="1"/>
    </row>
    <row r="2605" spans="1:9" ht="15.6" x14ac:dyDescent="0.3">
      <c r="A2605" s="1" t="s">
        <v>7</v>
      </c>
      <c r="B2605" s="1" t="s">
        <v>7</v>
      </c>
      <c r="C2605" s="10" t="s">
        <v>7</v>
      </c>
      <c r="D2605" s="5" t="s">
        <v>2328</v>
      </c>
      <c r="E2605" s="1" t="str">
        <f ca="1">IFERROR(__xludf.DUMMYFUNCTION("GOOGLETRANSLATE(D2605, ""bn"", ""en"")"),"A widow with the body of her deceased husband or any other relative or with any article, article or thing belonging to the husband or similar relative.")</f>
        <v>A widow with the body of her deceased husband or any other relative or with any article, article or thing belonging to the husband or similar relative.</v>
      </c>
      <c r="F2605" s="1"/>
      <c r="G2605" s="1"/>
      <c r="H2605" s="1"/>
      <c r="I2605" s="1"/>
    </row>
    <row r="2606" spans="1:9" ht="15.6" x14ac:dyDescent="0.3">
      <c r="A2606" s="1" t="s">
        <v>4</v>
      </c>
      <c r="B2606" s="1" t="s">
        <v>4</v>
      </c>
      <c r="C2606" s="10" t="s">
        <v>4</v>
      </c>
      <c r="D2606" s="5" t="s">
        <v>2329</v>
      </c>
      <c r="E2606" s="1" t="str">
        <f ca="1">IFERROR(__xludf.DUMMYFUNCTION("GOOGLETRANSLATE(D2606, ""bn"", ""en"")"),"It is not right,,,regardless of any religion,,,hitting a person while praying to God is also a sin to touch the person even remotely,,,this is the situation there,,,people are losing their humanity from the earth like this.")</f>
        <v>It is not right,,,regardless of any religion,,,hitting a person while praying to God is also a sin to touch the person even remotely,,,this is the situation there,,,people are losing their humanity from the earth like this.</v>
      </c>
      <c r="F2606" s="1"/>
      <c r="G2606" s="1"/>
      <c r="H2606" s="1"/>
      <c r="I2606" s="1"/>
    </row>
    <row r="2607" spans="1:9" ht="15.6" x14ac:dyDescent="0.3">
      <c r="A2607" s="1" t="s">
        <v>4</v>
      </c>
      <c r="B2607" s="1" t="s">
        <v>4</v>
      </c>
      <c r="C2607" s="10" t="s">
        <v>4</v>
      </c>
      <c r="D2607" s="5" t="s">
        <v>2330</v>
      </c>
      <c r="E2607" s="1" t="str">
        <f ca="1">IFERROR(__xludf.DUMMYFUNCTION("GOOGLETRANSLATE(D2607, ""bn"", ""en"")"),"Today I was surprised to see the Holy Quran placed on the thigh of Hanuman idol in a puja mandap on the bank of Dighi in Nanua. Be it Hindu or Muslim, no real religious should have a hand in such work.")</f>
        <v>Today I was surprised to see the Holy Quran placed on the thigh of Hanuman idol in a puja mandap on the bank of Dighi in Nanua. Be it Hindu or Muslim, no real religious should have a hand in such work.</v>
      </c>
      <c r="F2607" s="1"/>
      <c r="G2607" s="1"/>
      <c r="H2607" s="1"/>
      <c r="I2607" s="1"/>
    </row>
    <row r="2608" spans="1:9" ht="15.6" x14ac:dyDescent="0.3">
      <c r="A2608" s="1" t="s">
        <v>4</v>
      </c>
      <c r="B2608" s="1" t="s">
        <v>4</v>
      </c>
      <c r="C2608" s="10" t="s">
        <v>4</v>
      </c>
      <c r="D2608" s="5" t="s">
        <v>2331</v>
      </c>
      <c r="E2608" s="1" t="str">
        <f ca="1">IFERROR(__xludf.DUMMYFUNCTION("GOOGLETRANSLATE(D2608, ""bn"", ""en"")"),"Desecration of any scripture is very bad.")</f>
        <v>Desecration of any scripture is very bad.</v>
      </c>
      <c r="F2608" s="1"/>
      <c r="G2608" s="1"/>
      <c r="H2608" s="1"/>
      <c r="I2608" s="1"/>
    </row>
    <row r="2609" spans="1:9" ht="15.6" x14ac:dyDescent="0.3">
      <c r="A2609" s="4" t="s">
        <v>7</v>
      </c>
      <c r="B2609" s="4" t="s">
        <v>7</v>
      </c>
      <c r="C2609" s="11" t="s">
        <v>7</v>
      </c>
      <c r="D2609" s="5" t="s">
        <v>2332</v>
      </c>
      <c r="E2609" s="1" t="str">
        <f ca="1">IFERROR(__xludf.DUMMYFUNCTION("GOOGLETRANSLATE(D2609, ""bn"", ""en"")"),"According to a Chinese source, 132 mosques were destroyed during the Khmer Rouge regime. Many mosques are desecrated by being used for acts of iniquity. Muslims were stopped from worshiping. They were forced to eat pork. Those who refused to eat it were k"&amp;"illed.")</f>
        <v>According to a Chinese source, 132 mosques were destroyed during the Khmer Rouge regime. Many mosques are desecrated by being used for acts of iniquity. Muslims were stopped from worshiping. They were forced to eat pork. Those who refused to eat it were killed.</v>
      </c>
      <c r="F2609" s="1"/>
      <c r="G2609" s="1"/>
      <c r="H2609" s="1"/>
      <c r="I2609" s="1"/>
    </row>
    <row r="2610" spans="1:9" ht="15.6" x14ac:dyDescent="0.3">
      <c r="A2610" s="1" t="s">
        <v>4</v>
      </c>
      <c r="B2610" s="1" t="s">
        <v>4</v>
      </c>
      <c r="C2610" s="10" t="s">
        <v>4</v>
      </c>
      <c r="D2610" s="5" t="s">
        <v>2333</v>
      </c>
      <c r="E2610" s="1" t="str">
        <f ca="1">IFERROR(__xludf.DUMMYFUNCTION("GOOGLETRANSLATE(D2610, ""bn"", ""en"")"),"Similarly, if Hindus are able to stop the construction of a mosque 1 km away for the sake of the temple, then the next step will be that no cow can be slaughtered in that Kantnagar village.")</f>
        <v>Similarly, if Hindus are able to stop the construction of a mosque 1 km away for the sake of the temple, then the next step will be that no cow can be slaughtered in that Kantnagar village.</v>
      </c>
      <c r="F2610" s="1"/>
      <c r="G2610" s="1"/>
      <c r="H2610" s="1"/>
      <c r="I2610" s="1"/>
    </row>
    <row r="2611" spans="1:9" ht="15.6" x14ac:dyDescent="0.3">
      <c r="A2611" s="1" t="s">
        <v>9</v>
      </c>
      <c r="B2611" s="1" t="s">
        <v>4</v>
      </c>
      <c r="C2611" s="10" t="s">
        <v>9</v>
      </c>
      <c r="D2611" s="5" t="s">
        <v>2334</v>
      </c>
      <c r="E2611" s="1" t="str">
        <f ca="1">IFERROR(__xludf.DUMMYFUNCTION("GOOGLETRANSLATE(D2611, ""bn"", ""en"")"),"In his book, the professor debunks this myth about Buddhist-Muslim relations in India. He rejects the notion that Buddhists were oppressed by Muslim rulers and rulers.")</f>
        <v>In his book, the professor debunks this myth about Buddhist-Muslim relations in India. He rejects the notion that Buddhists were oppressed by Muslim rulers and rulers.</v>
      </c>
      <c r="F2611" s="1"/>
      <c r="G2611" s="1"/>
      <c r="H2611" s="1"/>
      <c r="I2611" s="1"/>
    </row>
    <row r="2612" spans="1:9" ht="15.6" x14ac:dyDescent="0.3">
      <c r="A2612" s="1" t="s">
        <v>5</v>
      </c>
      <c r="B2612" s="1" t="s">
        <v>5</v>
      </c>
      <c r="C2612" s="10" t="s">
        <v>5</v>
      </c>
      <c r="D2612" s="5" t="s">
        <v>2335</v>
      </c>
      <c r="E2612" s="1" t="str">
        <f ca="1">IFERROR(__xludf.DUMMYFUNCTION("GOOGLETRANSLATE(D2612, ""bn"", ""en"")"),"Sri Naresh Kumar, who has researched the causes of change in Buddhism, opines that, with a view to reviving the context of Buddhism and the Brahminical culture, the Brahmin thinkers adopted a three-step plan.")</f>
        <v>Sri Naresh Kumar, who has researched the causes of change in Buddhism, opines that, with a view to reviving the context of Buddhism and the Brahminical culture, the Brahmin thinkers adopted a three-step plan.</v>
      </c>
      <c r="F2612" s="1"/>
      <c r="G2612" s="1"/>
      <c r="H2612" s="1"/>
      <c r="I2612" s="1"/>
    </row>
    <row r="2613" spans="1:9" ht="46.8" x14ac:dyDescent="0.3">
      <c r="A2613" s="4" t="s">
        <v>7</v>
      </c>
      <c r="B2613" s="4" t="s">
        <v>7</v>
      </c>
      <c r="C2613" s="11" t="s">
        <v>7</v>
      </c>
      <c r="D2613" s="6" t="s">
        <v>3744</v>
      </c>
      <c r="E2613" s="1" t="str">
        <f ca="1">IFERROR(__xludf.DUMMYFUNCTION("GOOGLETRANSLATE(D2613, ""bn"", ""en"")"),"Gauri Lankesh was an outspoken critic of the Hindu Right through her writings. Bangalore Police Commissioner Sunil Kumar told the BBC, ""When he was returning home on Tuesday night, shots were fired right in front of the house. The exact reason for the at"&amp;"tack is not yet known.""")</f>
        <v>Gauri Lankesh was an outspoken critic of the Hindu Right through her writings. Bangalore Police Commissioner Sunil Kumar told the BBC, "When he was returning home on Tuesday night, shots were fired right in front of the house. The exact reason for the attack is not yet known."</v>
      </c>
      <c r="F2613" s="1"/>
      <c r="G2613" s="1"/>
      <c r="H2613" s="1"/>
      <c r="I2613" s="1"/>
    </row>
    <row r="2614" spans="1:9" ht="15.6" x14ac:dyDescent="0.3">
      <c r="A2614" s="1" t="s">
        <v>7</v>
      </c>
      <c r="B2614" s="1" t="s">
        <v>7</v>
      </c>
      <c r="C2614" s="10" t="s">
        <v>7</v>
      </c>
      <c r="D2614" s="5" t="s">
        <v>2336</v>
      </c>
      <c r="E2614" s="1" t="str">
        <f ca="1">IFERROR(__xludf.DUMMYFUNCTION("GOOGLETRANSLATE(D2614, ""bn"", ""en"")"),"The Baha'is are the largest religious minority in Iran, and Iran is home to one of the world's seventh largest Baha'i populations, with a population of only 251,100 as of 2010. , torture, extrajudicial executions, confiscation and destruction of property "&amp;"owned by individuals and the Bahá'í community, denial of employment, denial of government benefits, denial of civil rights and liberties, and denial of access to higher education.")</f>
        <v>The Baha'is are the largest religious minority in Iran, and Iran is home to one of the world's seventh largest Baha'i populations, with a population of only 251,100 as of 2010. , torture, extrajudicial executions, confiscation and destruction of property owned by individuals and the Bahá'í community, denial of employment, denial of government benefits, denial of civil rights and liberties, and denial of access to higher education.</v>
      </c>
      <c r="F2614" s="1"/>
      <c r="G2614" s="1"/>
      <c r="H2614" s="1"/>
      <c r="I2614" s="1"/>
    </row>
    <row r="2615" spans="1:9" ht="15.6" x14ac:dyDescent="0.3">
      <c r="A2615" s="1" t="s">
        <v>9</v>
      </c>
      <c r="B2615" s="1" t="s">
        <v>9</v>
      </c>
      <c r="C2615" s="10" t="s">
        <v>9</v>
      </c>
      <c r="D2615" s="5" t="s">
        <v>2337</v>
      </c>
      <c r="E2615" s="1" t="str">
        <f ca="1">IFERROR(__xludf.DUMMYFUNCTION("GOOGLETRANSLATE(D2615, ""bn"", ""en"")"),"In Lakshmipur district, five Hindu-owned jewelery shops were looted and a Hindu temple was attacked and looted in Chandraganj.[16] A Hindu temple was set on fire at Gayarchar in Raipur upazila after midnight on 28 February.")</f>
        <v>In Lakshmipur district, five Hindu-owned jewelery shops were looted and a Hindu temple was attacked and looted in Chandraganj.[16] A Hindu temple was set on fire at Gayarchar in Raipur upazila after midnight on 28 February.</v>
      </c>
      <c r="F2615" s="1"/>
      <c r="G2615" s="1"/>
      <c r="H2615" s="1"/>
      <c r="I2615" s="1"/>
    </row>
    <row r="2616" spans="1:9" ht="15.6" x14ac:dyDescent="0.3">
      <c r="A2616" s="1" t="s">
        <v>5</v>
      </c>
      <c r="B2616" s="1" t="s">
        <v>5</v>
      </c>
      <c r="C2616" s="10" t="s">
        <v>5</v>
      </c>
      <c r="D2616" s="5" t="s">
        <v>2338</v>
      </c>
      <c r="E2616" s="1" t="str">
        <f ca="1">IFERROR(__xludf.DUMMYFUNCTION("GOOGLETRANSLATE(D2616, ""bn"", ""en"")"),"Historically, the idea that God, religion, and religious matters are sacred and therefore treated with reverence has gained importance as a means of preserving the power of religious institutions.")</f>
        <v>Historically, the idea that God, religion, and religious matters are sacred and therefore treated with reverence has gained importance as a means of preserving the power of religious institutions.</v>
      </c>
      <c r="F2616" s="1"/>
      <c r="G2616" s="1"/>
      <c r="H2616" s="1"/>
      <c r="I2616" s="1"/>
    </row>
    <row r="2617" spans="1:9" ht="15.6" x14ac:dyDescent="0.3">
      <c r="A2617" s="1" t="s">
        <v>9</v>
      </c>
      <c r="B2617" s="1" t="s">
        <v>9</v>
      </c>
      <c r="C2617" s="10" t="s">
        <v>9</v>
      </c>
      <c r="D2617" s="5" t="s">
        <v>2339</v>
      </c>
      <c r="E2617" s="1" t="str">
        <f ca="1">IFERROR(__xludf.DUMMYFUNCTION("GOOGLETRANSLATE(D2617, ""bn"", ""en"")"),"A knife-wielding attack on Somali Muslim immigrants in Ohio has sparked anti-immigrant and anti-Muslim sentiment.")</f>
        <v>A knife-wielding attack on Somali Muslim immigrants in Ohio has sparked anti-immigrant and anti-Muslim sentiment.</v>
      </c>
      <c r="F2617" s="1"/>
      <c r="G2617" s="1"/>
      <c r="H2617" s="1"/>
      <c r="I2617" s="1"/>
    </row>
    <row r="2618" spans="1:9" ht="15.6" x14ac:dyDescent="0.3">
      <c r="A2618" s="1" t="s">
        <v>9</v>
      </c>
      <c r="B2618" s="1" t="s">
        <v>9</v>
      </c>
      <c r="C2618" s="10" t="s">
        <v>9</v>
      </c>
      <c r="D2618" s="5" t="s">
        <v>2340</v>
      </c>
      <c r="E2618" s="1" t="str">
        <f ca="1">IFERROR(__xludf.DUMMYFUNCTION("GOOGLETRANSLATE(D2618, ""bn"", ""en"")"),"A white extremist gunman attacked two mosques in Christchurch, New Zealand, which became a global example of Islamophobia.")</f>
        <v>A white extremist gunman attacked two mosques in Christchurch, New Zealand, which became a global example of Islamophobia.</v>
      </c>
      <c r="F2618" s="1"/>
      <c r="G2618" s="1"/>
      <c r="H2618" s="1"/>
      <c r="I2618" s="1"/>
    </row>
    <row r="2619" spans="1:9" ht="15.6" x14ac:dyDescent="0.3">
      <c r="A2619" s="1" t="s">
        <v>5</v>
      </c>
      <c r="B2619" s="1" t="s">
        <v>5</v>
      </c>
      <c r="C2619" s="10" t="s">
        <v>5</v>
      </c>
      <c r="D2619" s="5" t="s">
        <v>2341</v>
      </c>
      <c r="E2619" s="1" t="str">
        <f ca="1">IFERROR(__xludf.DUMMYFUNCTION("GOOGLETRANSLATE(D2619, ""bn"", ""en"")"),"Not only in Surah Baqarah, but also in the field of Surah Fatihar, it can be seen. Alhamdulillah I learned these from the series of Ulto Nirnoy and Pado. Thank you sir. I try to watch all your videos. ")</f>
        <v xml:space="preserve">Not only in Surah Baqarah, but also in the field of Surah Fatihar, it can be seen. Alhamdulillah I learned these from the series of Ulto Nirnoy and Pado. Thank you sir. I try to watch all your videos. </v>
      </c>
      <c r="F2619" s="1"/>
      <c r="G2619" s="1"/>
      <c r="H2619" s="1"/>
      <c r="I2619" s="1"/>
    </row>
    <row r="2620" spans="1:9" ht="15.6" x14ac:dyDescent="0.3">
      <c r="A2620" s="1" t="s">
        <v>4</v>
      </c>
      <c r="B2620" s="1" t="s">
        <v>4</v>
      </c>
      <c r="C2620" s="10" t="s">
        <v>4</v>
      </c>
      <c r="D2620" s="5" t="s">
        <v>2342</v>
      </c>
      <c r="E2620" s="1" t="str">
        <f ca="1">IFERROR(__xludf.DUMMYFUNCTION("GOOGLETRANSLATE(D2620, ""bn"", ""en"")"),"Mohammad Shami came under fire on social media after India's 10-wicket loss against Pakistan. He was taunted about religion.")</f>
        <v>Mohammad Shami came under fire on social media after India's 10-wicket loss against Pakistan. He was taunted about religion.</v>
      </c>
      <c r="F2620" s="1"/>
      <c r="G2620" s="1"/>
      <c r="H2620" s="1"/>
      <c r="I2620" s="1"/>
    </row>
    <row r="2621" spans="1:9" ht="15.6" x14ac:dyDescent="0.3">
      <c r="A2621" s="1" t="s">
        <v>7</v>
      </c>
      <c r="B2621" s="1" t="s">
        <v>7</v>
      </c>
      <c r="C2621" s="10" t="s">
        <v>7</v>
      </c>
      <c r="D2621" s="5" t="s">
        <v>2343</v>
      </c>
      <c r="E2621" s="1" t="str">
        <f ca="1">IFERROR(__xludf.DUMMYFUNCTION("GOOGLETRANSLATE(D2621, ""bn"", ""en"")"),"BJP leader and head of the party's IT cell Amit Malviya says that the Tamil leader is talking about 'extermination' of Sanatan Dharma, the 80 percent of people living in India who follow Sanatan Dharma.")</f>
        <v>BJP leader and head of the party's IT cell Amit Malviya says that the Tamil leader is talking about 'extermination' of Sanatan Dharma, the 80 percent of people living in India who follow Sanatan Dharma.</v>
      </c>
      <c r="F2621" s="1"/>
      <c r="G2621" s="1"/>
      <c r="H2621" s="1"/>
      <c r="I2621" s="1"/>
    </row>
    <row r="2622" spans="1:9" ht="15.6" x14ac:dyDescent="0.3">
      <c r="A2622" s="1" t="s">
        <v>9</v>
      </c>
      <c r="B2622" s="1" t="s">
        <v>9</v>
      </c>
      <c r="C2622" s="10" t="s">
        <v>9</v>
      </c>
      <c r="D2622" s="5" t="s">
        <v>2344</v>
      </c>
      <c r="E2622" s="1" t="str">
        <f ca="1">IFERROR(__xludf.DUMMYFUNCTION("GOOGLETRANSLATE(D2622, ""bn"", ""en"")"),"The Muslims looted and set fire to entire villages and destroyed all family temples, shrines and sacred tulsimanchas. They looted all the Hindu houses including the houses of Mahendra Chandra De, Kamakant Dhar, Ashwini Kumar De of neighboring village Manm"&amp;"athpur. ")</f>
        <v>The Muslims looted and set fire to entire villages and destroyed all family temples, shrines and sacred tulsimanchas. They looted all the Hindu houses including the houses of Mahendra Chandra De, Kamakant Dhar, Ashwini Kumar De of neighboring village Manmathpur. </v>
      </c>
      <c r="F2622" s="1"/>
      <c r="G2622" s="1"/>
      <c r="H2622" s="1"/>
      <c r="I2622" s="1"/>
    </row>
    <row r="2623" spans="1:9" ht="15.6" x14ac:dyDescent="0.3">
      <c r="A2623" s="1" t="s">
        <v>5</v>
      </c>
      <c r="B2623" s="1" t="s">
        <v>5</v>
      </c>
      <c r="C2623" s="10" t="s">
        <v>5</v>
      </c>
      <c r="D2623" s="5" t="s">
        <v>2345</v>
      </c>
      <c r="E2623" s="1" t="str">
        <f ca="1">IFERROR(__xludf.DUMMYFUNCTION("GOOGLETRANSLATE(D2623, ""bn"", ""en"")"),"The government operates training academies for imams and monitors the content of religious education in Islamic religious schools or madrasas and announces its intention to change the curriculum, including modernizing and mainstreaming the content of reli"&amp;"gious education.[")</f>
        <v>The government operates training academies for imams and monitors the content of religious education in Islamic religious schools or madrasas and announces its intention to change the curriculum, including modernizing and mainstreaming the content of religious education.[</v>
      </c>
      <c r="F2623" s="1"/>
      <c r="G2623" s="1"/>
      <c r="H2623" s="1"/>
      <c r="I2623" s="1"/>
    </row>
    <row r="2624" spans="1:9" ht="15.6" x14ac:dyDescent="0.3">
      <c r="A2624" s="1" t="s">
        <v>5</v>
      </c>
      <c r="B2624" s="1" t="s">
        <v>5</v>
      </c>
      <c r="C2624" s="10" t="s">
        <v>5</v>
      </c>
      <c r="D2624" s="5" t="s">
        <v>2346</v>
      </c>
      <c r="E2624" s="1" t="str">
        <f ca="1">IFERROR(__xludf.DUMMYFUNCTION("GOOGLETRANSLATE(D2624, ""bn"", ""en"")"),"The philosophy of Buddhism is essentially a happy, peaceful and meaningful life")</f>
        <v>The philosophy of Buddhism is essentially a happy, peaceful and meaningful life</v>
      </c>
      <c r="F2624" s="1"/>
      <c r="G2624" s="1"/>
      <c r="H2624" s="1"/>
      <c r="I2624" s="1"/>
    </row>
    <row r="2625" spans="1:9" ht="15.6" x14ac:dyDescent="0.3">
      <c r="A2625" s="1" t="s">
        <v>4</v>
      </c>
      <c r="B2625" s="1" t="s">
        <v>4</v>
      </c>
      <c r="C2625" s="10" t="s">
        <v>4</v>
      </c>
      <c r="D2625" s="5" t="s">
        <v>2347</v>
      </c>
      <c r="E2625" s="1" t="str">
        <f ca="1">IFERROR(__xludf.DUMMYFUNCTION("GOOGLETRANSLATE(D2625, ""bn"", ""en"")"),"Rather soon we will see that nothing will happen to those involved in the incident. And those who will protest and demand punishment will be attacked and harassed. Bangladesh is a strange country.")</f>
        <v>Rather soon we will see that nothing will happen to those involved in the incident. And those who will protest and demand punishment will be attacked and harassed. Bangladesh is a strange country.</v>
      </c>
      <c r="F2625" s="1"/>
      <c r="G2625" s="1"/>
      <c r="H2625" s="1"/>
      <c r="I2625" s="1"/>
    </row>
    <row r="2626" spans="1:9" ht="15.6" x14ac:dyDescent="0.3">
      <c r="A2626" s="1" t="s">
        <v>5</v>
      </c>
      <c r="B2626" s="1" t="s">
        <v>5</v>
      </c>
      <c r="C2626" s="10" t="s">
        <v>5</v>
      </c>
      <c r="D2626" s="5" t="s">
        <v>2348</v>
      </c>
      <c r="E2626" s="1" t="str">
        <f ca="1">IFERROR(__xludf.DUMMYFUNCTION("GOOGLETRANSLATE(D2626, ""bn"", ""en"")"),"Now I see that all religions and cultures are practiced in our country, which I used to think only as an Islamic state.")</f>
        <v>Now I see that all religions and cultures are practiced in our country, which I used to think only as an Islamic state.</v>
      </c>
      <c r="F2626" s="1"/>
      <c r="G2626" s="1"/>
      <c r="H2626" s="1"/>
      <c r="I2626" s="1"/>
    </row>
    <row r="2627" spans="1:9" ht="15.6" x14ac:dyDescent="0.3">
      <c r="A2627" s="1" t="s">
        <v>9</v>
      </c>
      <c r="B2627" s="1" t="s">
        <v>9</v>
      </c>
      <c r="C2627" s="10" t="s">
        <v>9</v>
      </c>
      <c r="D2627" s="5" t="s">
        <v>2349</v>
      </c>
      <c r="E2627" s="1" t="str">
        <f ca="1">IFERROR(__xludf.DUMMYFUNCTION("GOOGLETRANSLATE(D2627, ""bn"", ""en"")")," A total of 66 families were affected in this incident. Around 25 houses and shops including 7 tin houses, 9 brick houses, 4 mud houses, 2 shops of these families were burnt by miscreants. In addition to fire connections, these houses were looted and vand"&amp;"alized. Hindus fled the village for their lives.")</f>
        <v> A total of 66 families were affected in this incident. Around 25 houses and shops including 7 tin houses, 9 brick houses, 4 mud houses, 2 shops of these families were burnt by miscreants. In addition to fire connections, these houses were looted and vandalized. Hindus fled the village for their lives.</v>
      </c>
      <c r="F2627" s="1"/>
      <c r="G2627" s="1"/>
      <c r="H2627" s="1"/>
      <c r="I2627" s="1"/>
    </row>
    <row r="2628" spans="1:9" ht="15.6" x14ac:dyDescent="0.3">
      <c r="A2628" s="1" t="s">
        <v>9</v>
      </c>
      <c r="B2628" s="1" t="s">
        <v>9</v>
      </c>
      <c r="C2628" s="10" t="s">
        <v>9</v>
      </c>
      <c r="D2628" s="5" t="s">
        <v>2350</v>
      </c>
      <c r="E2628" s="1" t="str">
        <f ca="1">IFERROR(__xludf.DUMMYFUNCTION("GOOGLETRANSLATE(D2628, ""bn"", ""en"")"),"Bangladesh is already under international pressure for not being able to provide security to minorities. Minority Hindus are under attack again in Bangladesh on the eve of Shardotsav. On Monday night, miscreants vandalized the idol of Durga in Tambulkhana"&amp;" market of Kaijuri union of Faridpur upazila.")</f>
        <v>Bangladesh is already under international pressure for not being able to provide security to minorities. Minority Hindus are under attack again in Bangladesh on the eve of Shardotsav. On Monday night, miscreants vandalized the idol of Durga in Tambulkhana market of Kaijuri union of Faridpur upazila.</v>
      </c>
      <c r="F2628" s="1"/>
      <c r="G2628" s="1"/>
      <c r="H2628" s="1"/>
      <c r="I2628" s="1"/>
    </row>
    <row r="2629" spans="1:9" ht="15.6" x14ac:dyDescent="0.3">
      <c r="A2629" s="1" t="s">
        <v>5</v>
      </c>
      <c r="B2629" s="1" t="s">
        <v>5</v>
      </c>
      <c r="C2629" s="10" t="s">
        <v>5</v>
      </c>
      <c r="D2629" s="5" t="s">
        <v>2351</v>
      </c>
      <c r="E2629" s="1" t="str">
        <f ca="1">IFERROR(__xludf.DUMMYFUNCTION("GOOGLETRANSLATE(D2629, ""bn"", ""en"")"),"MashaAllah, SubhanAllah, Alhamdulillah, Allahu Akbar I left it in the cottage of the heart. I haven't seen Jannat with my own eyes, but every image of her imagination has moved in my mind today after listening to the words. May Allah bless you with good l"&amp;"ife, Ameen.")</f>
        <v>MashaAllah, SubhanAllah, Alhamdulillah, Allahu Akbar I left it in the cottage of the heart. I haven't seen Jannat with my own eyes, but every image of her imagination has moved in my mind today after listening to the words. May Allah bless you with good life, Ameen.</v>
      </c>
      <c r="F2629" s="1"/>
      <c r="G2629" s="1"/>
      <c r="H2629" s="1"/>
      <c r="I2629" s="1"/>
    </row>
    <row r="2630" spans="1:9" ht="15.6" x14ac:dyDescent="0.3">
      <c r="A2630" s="1" t="s">
        <v>5</v>
      </c>
      <c r="B2630" s="1" t="s">
        <v>5</v>
      </c>
      <c r="C2630" s="10" t="s">
        <v>5</v>
      </c>
      <c r="D2630" s="5" t="s">
        <v>2352</v>
      </c>
      <c r="E2630" s="1" t="str">
        <f ca="1">IFERROR(__xludf.DUMMYFUNCTION("GOOGLETRANSLATE(D2630, ""bn"", ""en"")"),"The problem is that instead of being human, we have become Hindus, Muslims, Christians, Buddhists, etc., and this is why there are so many problems. Religion should be in the place of religion. ")</f>
        <v>The problem is that instead of being human, we have become Hindus, Muslims, Christians, Buddhists, etc., and this is why there are so many problems. Religion should be in the place of religion. </v>
      </c>
      <c r="F2630" s="1"/>
      <c r="G2630" s="1"/>
      <c r="H2630" s="1"/>
      <c r="I2630" s="1"/>
    </row>
    <row r="2631" spans="1:9" ht="15.6" x14ac:dyDescent="0.3">
      <c r="A2631" s="1" t="s">
        <v>4</v>
      </c>
      <c r="B2631" s="1" t="s">
        <v>4</v>
      </c>
      <c r="C2631" s="10" t="s">
        <v>4</v>
      </c>
      <c r="D2631" s="5" t="s">
        <v>2353</v>
      </c>
      <c r="E2631" s="1" t="str">
        <f ca="1">IFERROR(__xludf.DUMMYFUNCTION("GOOGLETRANSLATE(D2631, ""bn"", ""en"")"),"They have proved that there is no religion in the world outside of humanity, no education is better than humanity. A good deed is good for Muslims, good for Christians, good for atheists! ""Good"" doesn't need money to be good, it only needs to be human! "&amp;"ok?")</f>
        <v>They have proved that there is no religion in the world outside of humanity, no education is better than humanity. A good deed is good for Muslims, good for Christians, good for atheists! "Good" doesn't need money to be good, it only needs to be human! ok?</v>
      </c>
      <c r="F2631" s="1"/>
      <c r="G2631" s="1"/>
      <c r="H2631" s="1"/>
      <c r="I2631" s="1"/>
    </row>
    <row r="2632" spans="1:9" ht="15.6" x14ac:dyDescent="0.3">
      <c r="A2632" s="1" t="s">
        <v>9</v>
      </c>
      <c r="B2632" s="1" t="s">
        <v>9</v>
      </c>
      <c r="C2632" s="10" t="s">
        <v>9</v>
      </c>
      <c r="D2632" s="5" t="s">
        <v>2354</v>
      </c>
      <c r="E2632" s="1" t="str">
        <f ca="1">IFERROR(__xludf.DUMMYFUNCTION("GOOGLETRANSLATE(D2632, ""bn"", ""en"")"),"An idol was vandalized in a puja mandap in Chhota Shinga village of Tikikata union in Mathbaria upazila of Pirojpur. On Thursday night, unidentified miscreants vandalized an idol in the mandap of the Sarvajanina Sri Sri Hari temple at Rai Bhavan, the orga"&amp;"nizers claimed.")</f>
        <v>An idol was vandalized in a puja mandap in Chhota Shinga village of Tikikata union in Mathbaria upazila of Pirojpur. On Thursday night, unidentified miscreants vandalized an idol in the mandap of the Sarvajanina Sri Sri Hari temple at Rai Bhavan, the organizers claimed.</v>
      </c>
      <c r="F2632" s="1"/>
      <c r="G2632" s="1"/>
      <c r="H2632" s="1"/>
      <c r="I2632" s="1"/>
    </row>
    <row r="2633" spans="1:9" ht="15.6" x14ac:dyDescent="0.3">
      <c r="A2633" s="1" t="s">
        <v>5</v>
      </c>
      <c r="B2633" s="1" t="s">
        <v>5</v>
      </c>
      <c r="C2633" s="10" t="s">
        <v>5</v>
      </c>
      <c r="D2633" s="5" t="s">
        <v>2355</v>
      </c>
      <c r="E2633" s="1" t="str">
        <f ca="1">IFERROR(__xludf.DUMMYFUNCTION("GOOGLETRANSLATE(D2633, ""bn"", ""en"")"),"Alhamdulillah for all that I have gained and all that I have lost,,,,Allah does for good because not even a leaf of a tree moves without Allah's command.")</f>
        <v>Alhamdulillah for all that I have gained and all that I have lost,,,,Allah does for good because not even a leaf of a tree moves without Allah's command.</v>
      </c>
      <c r="F2633" s="1"/>
      <c r="G2633" s="1"/>
      <c r="H2633" s="1"/>
      <c r="I2633" s="1"/>
    </row>
    <row r="2634" spans="1:9" ht="15.6" x14ac:dyDescent="0.3">
      <c r="A2634" s="1" t="s">
        <v>7</v>
      </c>
      <c r="B2634" s="1" t="s">
        <v>7</v>
      </c>
      <c r="C2634" s="10" t="s">
        <v>7</v>
      </c>
      <c r="D2634" s="5" t="s">
        <v>2356</v>
      </c>
      <c r="E2634" s="1" t="str">
        <f ca="1">IFERROR(__xludf.DUMMYFUNCTION("GOOGLETRANSLATE(D2634, ""bn"", ""en"")"),"Another massacre was carried out on 3 March. Security forces killed between three and four thousand people. [15] On March 25, 1981, squatters and army personnel attacked and killed five hundred people in Matiranga.")</f>
        <v>Another massacre was carried out on 3 March. Security forces killed between three and four thousand people. [15] On March 25, 1981, squatters and army personnel attacked and killed five hundred people in Matiranga.</v>
      </c>
      <c r="F2634" s="1"/>
      <c r="G2634" s="1"/>
      <c r="H2634" s="1"/>
      <c r="I2634" s="1"/>
    </row>
    <row r="2635" spans="1:9" ht="15.6" x14ac:dyDescent="0.3">
      <c r="A2635" s="1" t="s">
        <v>9</v>
      </c>
      <c r="B2635" s="1" t="s">
        <v>5</v>
      </c>
      <c r="C2635" s="10" t="s">
        <v>9</v>
      </c>
      <c r="D2635" s="5" t="s">
        <v>2357</v>
      </c>
      <c r="E2635" s="1" t="str">
        <f ca="1">IFERROR(__xludf.DUMMYFUNCTION("GOOGLETRANSLATE(D2635, ""bn"", ""en"")"),"""One Muslim attacked, another Muslim saved. If they had not saved us, there would have been looting here.""")</f>
        <v>"One Muslim attacked, another Muslim saved. If they had not saved us, there would have been looting here."</v>
      </c>
      <c r="F2635" s="1"/>
      <c r="G2635" s="1"/>
      <c r="H2635" s="1"/>
      <c r="I2635" s="1"/>
    </row>
    <row r="2636" spans="1:9" ht="15.6" x14ac:dyDescent="0.3">
      <c r="A2636" s="1" t="s">
        <v>7</v>
      </c>
      <c r="B2636" s="1" t="s">
        <v>7</v>
      </c>
      <c r="C2636" s="10" t="s">
        <v>7</v>
      </c>
      <c r="D2636" s="5" t="s">
        <v>2358</v>
      </c>
      <c r="E2636" s="1" t="str">
        <f ca="1">IFERROR(__xludf.DUMMYFUNCTION("GOOGLETRANSLATE(D2636, ""bn"", ""en"")"),"Tensions over the Citizenship Amendment Act (CAA) sparked communal riots in Delhi, where more than 50 people were killed, and Muslim homes, shops and mosques were attacked.")</f>
        <v>Tensions over the Citizenship Amendment Act (CAA) sparked communal riots in Delhi, where more than 50 people were killed, and Muslim homes, shops and mosques were attacked.</v>
      </c>
      <c r="F2636" s="1"/>
      <c r="G2636" s="1"/>
      <c r="H2636" s="1"/>
      <c r="I2636" s="1"/>
    </row>
    <row r="2637" spans="1:9" ht="15.6" x14ac:dyDescent="0.3">
      <c r="A2637" s="1" t="s">
        <v>7</v>
      </c>
      <c r="B2637" s="1" t="s">
        <v>7</v>
      </c>
      <c r="C2637" s="10" t="s">
        <v>7</v>
      </c>
      <c r="D2637" s="5" t="s">
        <v>2359</v>
      </c>
      <c r="E2637" s="1" t="str">
        <f ca="1">IFERROR(__xludf.DUMMYFUNCTION("GOOGLETRANSLATE(D2637, ""bn"", ""en"")"),"His followers protested to the best of their ability, and fought for him with their lives. Allah would send angels from the sky to protect him when the Prophet, may God bless him and grant him peace, prayed, so what was the need for his companions to suff"&amp;"er?")</f>
        <v>His followers protested to the best of their ability, and fought for him with their lives. Allah would send angels from the sky to protect him when the Prophet, may God bless him and grant him peace, prayed, so what was the need for his companions to suffer?</v>
      </c>
      <c r="F2637" s="1"/>
      <c r="G2637" s="1"/>
      <c r="H2637" s="1"/>
      <c r="I2637" s="1"/>
    </row>
    <row r="2638" spans="1:9" ht="15.6" x14ac:dyDescent="0.3">
      <c r="A2638" s="1" t="s">
        <v>7</v>
      </c>
      <c r="B2638" s="1" t="s">
        <v>7</v>
      </c>
      <c r="C2638" s="10" t="s">
        <v>7</v>
      </c>
      <c r="D2638" s="5" t="s">
        <v>2360</v>
      </c>
      <c r="E2638" s="1" t="str">
        <f ca="1">IFERROR(__xludf.DUMMYFUNCTION("GOOGLETRANSLATE(D2638, ""bn"", ""en"")"),"Muslims of Kantnagar village cannot eat cow meat, if cow meat is found in someone's house Hindus will beat him to death just like in the neighboring country.")</f>
        <v>Muslims of Kantnagar village cannot eat cow meat, if cow meat is found in someone's house Hindus will beat him to death just like in the neighboring country.</v>
      </c>
      <c r="F2638" s="1"/>
      <c r="G2638" s="1"/>
      <c r="H2638" s="1"/>
      <c r="I2638" s="1"/>
    </row>
    <row r="2639" spans="1:9" ht="15.6" x14ac:dyDescent="0.3">
      <c r="A2639" s="1" t="s">
        <v>9</v>
      </c>
      <c r="B2639" s="1" t="s">
        <v>9</v>
      </c>
      <c r="C2639" s="10" t="s">
        <v>9</v>
      </c>
      <c r="D2639" s="5" t="s">
        <v>2361</v>
      </c>
      <c r="E2639" s="1" t="str">
        <f ca="1">IFERROR(__xludf.DUMMYFUNCTION("GOOGLETRANSLATE(D2639, ""bn"", ""en"")"),"The Almighty Allah destroyed an entire nation for this homosexuality and how dare they do it openly!")</f>
        <v>The Almighty Allah destroyed an entire nation for this homosexuality and how dare they do it openly!</v>
      </c>
      <c r="F2639" s="1"/>
      <c r="G2639" s="1"/>
      <c r="H2639" s="1"/>
      <c r="I2639" s="1"/>
    </row>
    <row r="2640" spans="1:9" ht="15.6" x14ac:dyDescent="0.3">
      <c r="A2640" s="1" t="s">
        <v>5</v>
      </c>
      <c r="B2640" s="1" t="s">
        <v>5</v>
      </c>
      <c r="C2640" s="10" t="s">
        <v>5</v>
      </c>
      <c r="D2640" s="5" t="s">
        <v>2362</v>
      </c>
      <c r="E2640" s="1" t="str">
        <f ca="1">IFERROR(__xludf.DUMMYFUNCTION("GOOGLETRANSLATE(D2640, ""bn"", ""en"")"),"Religion is not important to be a good person. If you practice religion and practice hypocrisy, resort to lies, deceive people, deceive, then that religion will not be useful for your development; That religion will not help you to be a good person.")</f>
        <v>Religion is not important to be a good person. If you practice religion and practice hypocrisy, resort to lies, deceive people, deceive, then that religion will not be useful for your development; That religion will not help you to be a good person.</v>
      </c>
      <c r="F2640" s="1"/>
      <c r="G2640" s="1"/>
      <c r="H2640" s="1"/>
      <c r="I2640" s="1"/>
    </row>
    <row r="2641" spans="1:9" ht="15.6" x14ac:dyDescent="0.3">
      <c r="A2641" s="1" t="s">
        <v>7</v>
      </c>
      <c r="B2641" s="1" t="s">
        <v>7</v>
      </c>
      <c r="C2641" s="10" t="s">
        <v>7</v>
      </c>
      <c r="D2641" s="5" t="s">
        <v>2363</v>
      </c>
      <c r="E2641" s="1" t="str">
        <f ca="1">IFERROR(__xludf.DUMMYFUNCTION("GOOGLETRANSLATE(D2641, ""bn"", ""en"")"),"A Hindu tailor was brutally killed by two Muslim men for allegedly insulting the Holy Prophet (PBUH), sparking tension across the country.")</f>
        <v>A Hindu tailor was brutally killed by two Muslim men for allegedly insulting the Holy Prophet (PBUH), sparking tension across the country.</v>
      </c>
      <c r="F2641" s="1"/>
      <c r="G2641" s="1"/>
      <c r="H2641" s="1"/>
      <c r="I2641" s="1"/>
    </row>
    <row r="2642" spans="1:9" ht="15.6" x14ac:dyDescent="0.3">
      <c r="A2642" s="1" t="s">
        <v>7</v>
      </c>
      <c r="B2642" s="1" t="s">
        <v>7</v>
      </c>
      <c r="C2642" s="10" t="s">
        <v>7</v>
      </c>
      <c r="D2642" s="5" t="s">
        <v>2364</v>
      </c>
      <c r="E2642" s="1" t="str">
        <f ca="1">IFERROR(__xludf.DUMMYFUNCTION("GOOGLETRANSLATE(D2642, ""bn"", ""en"")")," Five policemen died on the spot. As a result of this incident, on 7 January the then government of Pakistan sent a 2,000-strong army contingent, joined by armed police and Ansar forces. These armed forces burnt twelve villages to the ground, captured and"&amp;" killed the villagers going to Chandipur.[")</f>
        <v> Five policemen died on the spot. As a result of this incident, on 7 January the then government of Pakistan sent a 2,000-strong army contingent, joined by armed police and Ansar forces. These armed forces burnt twelve villages to the ground, captured and killed the villagers going to Chandipur.[</v>
      </c>
      <c r="F2642" s="1"/>
      <c r="G2642" s="1"/>
      <c r="H2642" s="1"/>
      <c r="I2642" s="1"/>
    </row>
    <row r="2643" spans="1:9" ht="15.6" x14ac:dyDescent="0.3">
      <c r="A2643" s="1" t="s">
        <v>7</v>
      </c>
      <c r="B2643" s="1" t="s">
        <v>7</v>
      </c>
      <c r="C2643" s="10" t="s">
        <v>7</v>
      </c>
      <c r="D2643" s="5" t="s">
        <v>2365</v>
      </c>
      <c r="E2643" s="1" t="str">
        <f ca="1">IFERROR(__xludf.DUMMYFUNCTION("GOOGLETRANSLATE(D2643, ""bn"", ""en"")"),"The Nadia Genocide refers to the massacre of Bengali Hindus on May 14, 1971 in Nadia village of Sylhet, Bangladesh by the Pakistani occupation army during the Bangladesh War of Independence.")</f>
        <v>The Nadia Genocide refers to the massacre of Bengali Hindus on May 14, 1971 in Nadia village of Sylhet, Bangladesh by the Pakistani occupation army during the Bangladesh War of Independence.</v>
      </c>
      <c r="F2643" s="1"/>
      <c r="G2643" s="1"/>
      <c r="H2643" s="1"/>
      <c r="I2643" s="1"/>
    </row>
    <row r="2644" spans="1:9" ht="15.6" x14ac:dyDescent="0.3">
      <c r="A2644" s="1" t="s">
        <v>9</v>
      </c>
      <c r="B2644" s="1" t="s">
        <v>4</v>
      </c>
      <c r="C2644" s="10" t="s">
        <v>9</v>
      </c>
      <c r="D2644" s="5" t="s">
        <v>2366</v>
      </c>
      <c r="E2644" s="1" t="str">
        <f ca="1">IFERROR(__xludf.DUMMYFUNCTION("GOOGLETRANSLATE(D2644, ""bn"", ""en"")"),"The staunch Hindu king Shashanka carried out the Buddhist extermination campaign up to the foothills of Nepal, the birthplace of Gautama Buddha. It is mentioned in the book 'Arya Mukhsree Moolakalpa' that he oppressed and oppressed not only Buddhism but J"&amp;"ainism equally.")</f>
        <v>The staunch Hindu king Shashanka carried out the Buddhist extermination campaign up to the foothills of Nepal, the birthplace of Gautama Buddha. It is mentioned in the book 'Arya Mukhsree Moolakalpa' that he oppressed and oppressed not only Buddhism but Jainism equally.</v>
      </c>
      <c r="F2644" s="1"/>
      <c r="G2644" s="1"/>
      <c r="H2644" s="1"/>
      <c r="I2644" s="1"/>
    </row>
    <row r="2645" spans="1:9" ht="15.6" x14ac:dyDescent="0.3">
      <c r="A2645" s="1" t="s">
        <v>5</v>
      </c>
      <c r="B2645" s="1" t="s">
        <v>5</v>
      </c>
      <c r="C2645" s="10" t="s">
        <v>5</v>
      </c>
      <c r="D2645" s="5" t="s">
        <v>2367</v>
      </c>
      <c r="E2645" s="1" t="str">
        <f ca="1">IFERROR(__xludf.DUMMYFUNCTION("GOOGLETRANSLATE(D2645, ""bn"", ""en"")"),"An important teaching of Christianity is kindness and forgiveness, where according to their belief, God forgives all our wrongs, and we must also forgive each other to establish peace and unity, without creating any kind of turmoil or violence.")</f>
        <v>An important teaching of Christianity is kindness and forgiveness, where according to their belief, God forgives all our wrongs, and we must also forgive each other to establish peace and unity, without creating any kind of turmoil or violence.</v>
      </c>
      <c r="F2645" s="1"/>
      <c r="G2645" s="1"/>
      <c r="H2645" s="1"/>
      <c r="I2645" s="1"/>
    </row>
    <row r="2646" spans="1:9" ht="15.6" x14ac:dyDescent="0.3">
      <c r="A2646" s="1" t="s">
        <v>5</v>
      </c>
      <c r="B2646" s="1" t="s">
        <v>5</v>
      </c>
      <c r="C2646" s="10" t="s">
        <v>5</v>
      </c>
      <c r="D2646" s="5" t="s">
        <v>2368</v>
      </c>
      <c r="E2646" s="1" t="str">
        <f ca="1">IFERROR(__xludf.DUMMYFUNCTION("GOOGLETRANSLATE(D2646, ""bn"", ""en"")"),"Prabarana Purnima is one of the major religious festivals celebrated by Buddhists; Which is also known as Ashwini Purnima.")</f>
        <v>Prabarana Purnima is one of the major religious festivals celebrated by Buddhists; Which is also known as Ashwini Purnima.</v>
      </c>
      <c r="F2646" s="1"/>
      <c r="G2646" s="1"/>
      <c r="H2646" s="1"/>
      <c r="I2646" s="1"/>
    </row>
    <row r="2647" spans="1:9" ht="15.6" x14ac:dyDescent="0.3">
      <c r="A2647" s="1" t="s">
        <v>4</v>
      </c>
      <c r="B2647" s="1" t="s">
        <v>4</v>
      </c>
      <c r="C2647" s="10" t="s">
        <v>4</v>
      </c>
      <c r="D2647" s="5" t="s">
        <v>2369</v>
      </c>
      <c r="E2647" s="1" t="str">
        <f ca="1">IFERROR(__xludf.DUMMYFUNCTION("GOOGLETRANSLATE(D2647, ""bn"", ""en"")"),"Rakhines complain: Teacher insulted Buddhism")</f>
        <v>Rakhines complain: Teacher insulted Buddhism</v>
      </c>
      <c r="F2647" s="1"/>
      <c r="G2647" s="1"/>
      <c r="H2647" s="1"/>
      <c r="I2647" s="1"/>
    </row>
    <row r="2648" spans="1:9" ht="15.6" x14ac:dyDescent="0.3">
      <c r="A2648" s="1" t="s">
        <v>7</v>
      </c>
      <c r="B2648" s="1" t="s">
        <v>7</v>
      </c>
      <c r="C2648" s="10" t="s">
        <v>7</v>
      </c>
      <c r="D2648" s="5" t="s">
        <v>2370</v>
      </c>
      <c r="E2648" s="1" t="str">
        <f ca="1">IFERROR(__xludf.DUMMYFUNCTION("GOOGLETRANSLATE(D2648, ""bn"", ""en"")"),"According to the National Hindu Mahasabha, 40 thousand 703 crimes occurred in 2020. 149 people were killed, 53 were raped, 2 thousand 125 families were forced to leave the country.")</f>
        <v>According to the National Hindu Mahasabha, 40 thousand 703 crimes occurred in 2020. 149 people were killed, 53 were raped, 2 thousand 125 families were forced to leave the country.</v>
      </c>
      <c r="F2648" s="1"/>
      <c r="G2648" s="1"/>
      <c r="H2648" s="1"/>
      <c r="I2648" s="1"/>
    </row>
    <row r="2649" spans="1:9" ht="15.6" x14ac:dyDescent="0.3">
      <c r="A2649" s="1" t="s">
        <v>4</v>
      </c>
      <c r="B2649" s="1" t="s">
        <v>4</v>
      </c>
      <c r="C2649" s="10" t="s">
        <v>4</v>
      </c>
      <c r="D2649" s="5" t="s">
        <v>2371</v>
      </c>
      <c r="E2649" s="1" t="str">
        <f ca="1">IFERROR(__xludf.DUMMYFUNCTION("GOOGLETRANSLATE(D2649, ""bn"", ""en"")"),"Some brothers reconciled these disrespectful incidents by bringing forward the indifference and errors of the people in observing the Qur'an and Sunnah. And said, ""They themselves have insulted the Qur'an and the Sunnah all their lives and have been insu"&amp;"lting people of other religions.")</f>
        <v>Some brothers reconciled these disrespectful incidents by bringing forward the indifference and errors of the people in observing the Qur'an and Sunnah. And said, "They themselves have insulted the Qur'an and the Sunnah all their lives and have been insulting people of other religions.</v>
      </c>
      <c r="F2649" s="1"/>
      <c r="G2649" s="1"/>
      <c r="H2649" s="1"/>
      <c r="I2649" s="1"/>
    </row>
    <row r="2650" spans="1:9" ht="15.6" x14ac:dyDescent="0.3">
      <c r="A2650" s="1" t="s">
        <v>4</v>
      </c>
      <c r="B2650" s="1" t="s">
        <v>4</v>
      </c>
      <c r="C2650" s="10" t="s">
        <v>4</v>
      </c>
      <c r="D2650" s="5" t="s">
        <v>2372</v>
      </c>
      <c r="E2650" s="1" t="str">
        <f ca="1">IFERROR(__xludf.DUMMYFUNCTION("GOOGLETRANSLATE(D2650, ""bn"", ""en"")"),"Every Muslim country should cancel diplomatic relations with Sweden. Bangladesh government has not yet announced any symbolic action. We are living in a Muslim country, right?")</f>
        <v>Every Muslim country should cancel diplomatic relations with Sweden. Bangladesh government has not yet announced any symbolic action. We are living in a Muslim country, right?</v>
      </c>
      <c r="F2650" s="1"/>
      <c r="G2650" s="1"/>
      <c r="H2650" s="1"/>
      <c r="I2650" s="1"/>
    </row>
    <row r="2651" spans="1:9" ht="15.6" x14ac:dyDescent="0.3">
      <c r="A2651" s="1" t="s">
        <v>9</v>
      </c>
      <c r="B2651" s="1" t="s">
        <v>9</v>
      </c>
      <c r="C2651" s="10" t="s">
        <v>9</v>
      </c>
      <c r="D2651" s="5" t="s">
        <v>2373</v>
      </c>
      <c r="E2651" s="1" t="str">
        <f ca="1">IFERROR(__xludf.DUMMYFUNCTION("GOOGLETRANSLATE(D2651, ""bn"", ""en"")"),"According to police information, 43 people have been arrested in connection with the attack and vandalism of temples in various areas of Comilla and Chittagong range till October 14, 2021.")</f>
        <v>According to police information, 43 people have been arrested in connection with the attack and vandalism of temples in various areas of Comilla and Chittagong range till October 14, 2021.</v>
      </c>
      <c r="F2651" s="1"/>
      <c r="G2651" s="1"/>
      <c r="H2651" s="1"/>
      <c r="I2651" s="1"/>
    </row>
    <row r="2652" spans="1:9" ht="15.6" x14ac:dyDescent="0.3">
      <c r="A2652" s="1" t="s">
        <v>5</v>
      </c>
      <c r="B2652" s="1" t="s">
        <v>5</v>
      </c>
      <c r="C2652" s="10" t="s">
        <v>5</v>
      </c>
      <c r="D2652" s="5" t="s">
        <v>2374</v>
      </c>
      <c r="E2652" s="1" t="str">
        <f ca="1">IFERROR(__xludf.DUMMYFUNCTION("GOOGLETRANSLATE(D2652, ""bn"", ""en"")"),"On the morning of Ramnavami on April 13, I saw BJP candidates marching in different places of Kolkata, which is a reflection of various political and cultural practices.")</f>
        <v>On the morning of Ramnavami on April 13, I saw BJP candidates marching in different places of Kolkata, which is a reflection of various political and cultural practices.</v>
      </c>
      <c r="F2652" s="1"/>
      <c r="G2652" s="1"/>
      <c r="H2652" s="1"/>
      <c r="I2652" s="1"/>
    </row>
    <row r="2653" spans="1:9" ht="15.6" x14ac:dyDescent="0.3">
      <c r="A2653" s="1" t="s">
        <v>5</v>
      </c>
      <c r="B2653" s="1" t="s">
        <v>5</v>
      </c>
      <c r="C2653" s="10" t="s">
        <v>5</v>
      </c>
      <c r="D2653" s="5" t="s">
        <v>2375</v>
      </c>
      <c r="E2653" s="1" t="str">
        <f ca="1">IFERROR(__xludf.DUMMYFUNCTION("GOOGLETRANSLATE(D2653, ""bn"", ""en"")"),"The Abwa campaign or Ghazwaye Abwa[1] took place in the month of Safar 2 Hijri (August 623 AD).[2] Muhammad led an army of 70 men in this campaign. He led this expedition to intercept the Quraish caravan.")</f>
        <v>The Abwa campaign or Ghazwaye Abwa[1] took place in the month of Safar 2 Hijri (August 623 AD).[2] Muhammad led an army of 70 men in this campaign. He led this expedition to intercept the Quraish caravan.</v>
      </c>
      <c r="F2653" s="1"/>
      <c r="G2653" s="1"/>
      <c r="H2653" s="1"/>
      <c r="I2653" s="1"/>
    </row>
    <row r="2654" spans="1:9" ht="15.6" x14ac:dyDescent="0.3">
      <c r="A2654" s="1" t="s">
        <v>5</v>
      </c>
      <c r="B2654" s="1" t="s">
        <v>5</v>
      </c>
      <c r="C2654" s="10" t="s">
        <v>5</v>
      </c>
      <c r="D2654" s="5" t="s">
        <v>2376</v>
      </c>
      <c r="E2654" s="1" t="str">
        <f ca="1">IFERROR(__xludf.DUMMYFUNCTION("GOOGLETRANSLATE(D2654, ""bn"", ""en"")"),"Jainism places great importance on special respect for life and non-violence towards living beings, which is the inspiration for a peaceful society.")</f>
        <v>Jainism places great importance on special respect for life and non-violence towards living beings, which is the inspiration for a peaceful society.</v>
      </c>
      <c r="F2654" s="1"/>
      <c r="G2654" s="1"/>
      <c r="H2654" s="1"/>
      <c r="I2654" s="1"/>
    </row>
    <row r="2655" spans="1:9" ht="15.6" x14ac:dyDescent="0.3">
      <c r="A2655" s="1" t="s">
        <v>9</v>
      </c>
      <c r="B2655" s="1" t="s">
        <v>7</v>
      </c>
      <c r="C2655" s="10" t="s">
        <v>9</v>
      </c>
      <c r="D2655" s="5" t="s">
        <v>2377</v>
      </c>
      <c r="E2655" s="1" t="str">
        <f ca="1">IFERROR(__xludf.DUMMYFUNCTION("GOOGLETRANSLATE(D2655, ""bn"", ""en"")"),"Sri Lankan Buddhists are the majority. Sri Lankan Buddhist monks played an important role in the persecution of Tamil Hindus during the civil war. Tamil Hindus in Sri Lanka are regularly persecuted by Buddhist extremists.")</f>
        <v>Sri Lankan Buddhists are the majority. Sri Lankan Buddhist monks played an important role in the persecution of Tamil Hindus during the civil war. Tamil Hindus in Sri Lanka are regularly persecuted by Buddhist extremists.</v>
      </c>
      <c r="F2655" s="1"/>
      <c r="G2655" s="1"/>
      <c r="H2655" s="1"/>
      <c r="I2655" s="1"/>
    </row>
    <row r="2656" spans="1:9" ht="15.6" x14ac:dyDescent="0.3">
      <c r="A2656" s="1" t="s">
        <v>5</v>
      </c>
      <c r="B2656" s="1" t="s">
        <v>5</v>
      </c>
      <c r="C2656" s="10" t="s">
        <v>5</v>
      </c>
      <c r="D2656" s="5" t="s">
        <v>2378</v>
      </c>
      <c r="E2656" s="1" t="str">
        <f ca="1">IFERROR(__xludf.DUMMYFUNCTION("GOOGLETRANSLATE(D2656, ""bn"", ""en"")"),"The message of Sanatan Dharma is like Amrit. No religion preaches such words. There is no violence and no belittling of any religion. Because it is the creator of all religions.")</f>
        <v>The message of Sanatan Dharma is like Amrit. No religion preaches such words. There is no violence and no belittling of any religion. Because it is the creator of all religions.</v>
      </c>
      <c r="F2656" s="1"/>
      <c r="G2656" s="1"/>
      <c r="H2656" s="1"/>
      <c r="I2656" s="1"/>
    </row>
    <row r="2657" spans="1:9" ht="15.6" x14ac:dyDescent="0.3">
      <c r="A2657" s="1" t="s">
        <v>5</v>
      </c>
      <c r="B2657" s="1" t="s">
        <v>5</v>
      </c>
      <c r="C2657" s="10" t="s">
        <v>5</v>
      </c>
      <c r="D2657" s="5" t="s">
        <v>2379</v>
      </c>
      <c r="E2657" s="1" t="str">
        <f ca="1">IFERROR(__xludf.DUMMYFUNCTION("GOOGLETRANSLATE(D2657, ""bn"", ""en"")"),"If we follow Allah's guidance, we will have patience and peace during difficult times in our lives.")</f>
        <v>If we follow Allah's guidance, we will have patience and peace during difficult times in our lives.</v>
      </c>
      <c r="F2657" s="1"/>
      <c r="G2657" s="1"/>
      <c r="H2657" s="1"/>
      <c r="I2657" s="1"/>
    </row>
    <row r="2658" spans="1:9" ht="15.6" x14ac:dyDescent="0.3">
      <c r="A2658" s="1" t="s">
        <v>9</v>
      </c>
      <c r="B2658" s="1" t="s">
        <v>5</v>
      </c>
      <c r="C2658" s="10" t="s">
        <v>9</v>
      </c>
      <c r="D2658" s="5" t="s">
        <v>2380</v>
      </c>
      <c r="E2658" s="1" t="str">
        <f ca="1">IFERROR(__xludf.DUMMYFUNCTION("GOOGLETRANSLATE(D2658, ""bn"", ""en"")"),"The riots in Bihar arose as a reaction to the Noakhali riots of 1946. [79] The Bihar riots organized between 30 October and 7 November precipitated the partition of India. ")</f>
        <v>The riots in Bihar arose as a reaction to the Noakhali riots of 1946. [79] The Bihar riots organized between 30 October and 7 November precipitated the partition of India. </v>
      </c>
      <c r="F2658" s="1"/>
      <c r="G2658" s="1"/>
      <c r="H2658" s="1"/>
      <c r="I2658" s="1"/>
    </row>
    <row r="2659" spans="1:9" ht="15.6" x14ac:dyDescent="0.3">
      <c r="A2659" s="1" t="s">
        <v>5</v>
      </c>
      <c r="B2659" s="1" t="s">
        <v>5</v>
      </c>
      <c r="C2659" s="10" t="s">
        <v>5</v>
      </c>
      <c r="D2659" s="5" t="s">
        <v>2381</v>
      </c>
      <c r="E2659" s="1" t="str">
        <f ca="1">IFERROR(__xludf.DUMMYFUNCTION("GOOGLETRANSLATE(D2659, ""bn"", ""en"")"),"I heard the best words of my life today, this Tawfiq this mercy has been given to me by the great Rabi, my good fortune Alhamdulillah.")</f>
        <v>I heard the best words of my life today, this Tawfiq this mercy has been given to me by the great Rabi, my good fortune Alhamdulillah.</v>
      </c>
      <c r="F2659" s="1"/>
      <c r="G2659" s="1"/>
      <c r="H2659" s="1"/>
      <c r="I2659" s="1"/>
    </row>
    <row r="2660" spans="1:9" ht="15.6" x14ac:dyDescent="0.3">
      <c r="A2660" s="1" t="s">
        <v>9</v>
      </c>
      <c r="B2660" s="1" t="s">
        <v>9</v>
      </c>
      <c r="C2660" s="10" t="s">
        <v>9</v>
      </c>
      <c r="D2660" s="5" t="s">
        <v>2382</v>
      </c>
      <c r="E2660" s="1" t="str">
        <f ca="1">IFERROR(__xludf.DUMMYFUNCTION("GOOGLETRANSLATE(D2660, ""bn"", ""en"")"),"Hindus of Boalia village in Sukash union of Natore district were threatened if they did not go to vote. Despite that, three Hindus went to vote on January 5. After the election, their house was set on fire.")</f>
        <v>Hindus of Boalia village in Sukash union of Natore district were threatened if they did not go to vote. Despite that, three Hindus went to vote on January 5. After the election, their house was set on fire.</v>
      </c>
      <c r="F2660" s="1"/>
      <c r="G2660" s="1"/>
      <c r="H2660" s="1"/>
      <c r="I2660" s="1"/>
    </row>
    <row r="2661" spans="1:9" ht="15.6" x14ac:dyDescent="0.3">
      <c r="A2661" s="1" t="s">
        <v>4</v>
      </c>
      <c r="B2661" s="1" t="s">
        <v>5</v>
      </c>
      <c r="C2661" s="10" t="s">
        <v>4</v>
      </c>
      <c r="D2661" s="5" t="s">
        <v>2383</v>
      </c>
      <c r="E2661" s="1" t="str">
        <f ca="1">IFERROR(__xludf.DUMMYFUNCTION("GOOGLETRANSLATE(D2661, ""bn"", ""en"")"),"Nowhere does it say not to allow or ban Ramadan related events. But for the past few days, dirty propaganda has been going on in Facebook.")</f>
        <v>Nowhere does it say not to allow or ban Ramadan related events. But for the past few days, dirty propaganda has been going on in Facebook.</v>
      </c>
      <c r="F2661" s="1"/>
      <c r="G2661" s="1"/>
      <c r="H2661" s="1"/>
      <c r="I2661" s="1"/>
    </row>
    <row r="2662" spans="1:9" ht="15.6" x14ac:dyDescent="0.3">
      <c r="A2662" s="1" t="s">
        <v>5</v>
      </c>
      <c r="B2662" s="1" t="s">
        <v>5</v>
      </c>
      <c r="C2662" s="10" t="s">
        <v>5</v>
      </c>
      <c r="D2662" s="5" t="s">
        <v>2384</v>
      </c>
      <c r="E2662" s="1" t="str">
        <f ca="1">IFERROR(__xludf.DUMMYFUNCTION("GOOGLETRANSLATE(D2662, ""bn"", ""en"")"),"Due to lack of space for worshippers, the mosque is being reconstructed on the land of the 75-year-old mosque established in 1949. Which is located half a kilometer east of the Kantnagar temple where no Hindu citizen lives in the entire Kantnagar Mauza.")</f>
        <v>Due to lack of space for worshippers, the mosque is being reconstructed on the land of the 75-year-old mosque established in 1949. Which is located half a kilometer east of the Kantnagar temple where no Hindu citizen lives in the entire Kantnagar Mauza.</v>
      </c>
      <c r="F2662" s="1"/>
      <c r="G2662" s="1"/>
      <c r="H2662" s="1"/>
      <c r="I2662" s="1"/>
    </row>
    <row r="2663" spans="1:9" ht="15.6" x14ac:dyDescent="0.3">
      <c r="A2663" s="1" t="s">
        <v>4</v>
      </c>
      <c r="B2663" s="1" t="s">
        <v>4</v>
      </c>
      <c r="C2663" s="10" t="s">
        <v>4</v>
      </c>
      <c r="D2663" s="5" t="s">
        <v>2385</v>
      </c>
      <c r="E2663" s="1" t="str">
        <f ca="1">IFERROR(__xludf.DUMMYFUNCTION("GOOGLETRANSLATE(D2663, ""bn"", ""en"")"),"Embrace all the visible symbols of Islam. Increase from what they used to hold. The above words of the Prophet will also be followed: contrast with the Gentiles. ")</f>
        <v xml:space="preserve">Embrace all the visible symbols of Islam. Increase from what they used to hold. The above words of the Prophet will also be followed: contrast with the Gentiles. </v>
      </c>
      <c r="F2663" s="1"/>
      <c r="G2663" s="1"/>
      <c r="H2663" s="1"/>
      <c r="I2663" s="1"/>
    </row>
    <row r="2664" spans="1:9" ht="15.6" x14ac:dyDescent="0.3">
      <c r="A2664" s="1" t="s">
        <v>5</v>
      </c>
      <c r="B2664" s="1" t="s">
        <v>5</v>
      </c>
      <c r="C2664" s="10" t="s">
        <v>5</v>
      </c>
      <c r="D2664" s="5" t="s">
        <v>2386</v>
      </c>
      <c r="E2664" s="1" t="str">
        <f ca="1">IFERROR(__xludf.DUMMYFUNCTION("GOOGLETRANSLATE(D2664, ""bn"", ""en"")"),"Christians in Malaysia and Indonesia use the word Allah to refer to God in Malaysian and Indonesian (the two languages ​​are standard forms of Malay). ")</f>
        <v>Christians in Malaysia and Indonesia use the word Allah to refer to God in Malaysian and Indonesian (the two languages ​​are standard forms of Malay). </v>
      </c>
      <c r="F2664" s="1"/>
      <c r="G2664" s="1"/>
      <c r="H2664" s="1"/>
      <c r="I2664" s="1"/>
    </row>
    <row r="2665" spans="1:9" ht="15.6" x14ac:dyDescent="0.3">
      <c r="A2665" s="1" t="s">
        <v>7</v>
      </c>
      <c r="B2665" s="1" t="s">
        <v>5</v>
      </c>
      <c r="C2665" s="10" t="s">
        <v>7</v>
      </c>
      <c r="D2665" s="5" t="s">
        <v>2387</v>
      </c>
      <c r="E2665" s="1" t="str">
        <f ca="1">IFERROR(__xludf.DUMMYFUNCTION("GOOGLETRANSLATE(D2665, ""bn"", ""en"")"),"The Krishnapur Massacre or the Krishnapur Massacre took place on 18 September 1971, in Krishnapur and surrounding villages in the Sylhet district of Bangladesh. In Krishnapur, the Pakistani occupation army opened fire and killed 127 Bengali Hindus.[1] Mor"&amp;"e than a hundred Hindus were killed in the surrounding villages.")</f>
        <v>The Krishnapur Massacre or the Krishnapur Massacre took place on 18 September 1971, in Krishnapur and surrounding villages in the Sylhet district of Bangladesh. In Krishnapur, the Pakistani occupation army opened fire and killed 127 Bengali Hindus.[1] More than a hundred Hindus were killed in the surrounding villages.</v>
      </c>
      <c r="F2665" s="1"/>
      <c r="G2665" s="1"/>
      <c r="H2665" s="1"/>
      <c r="I2665" s="1"/>
    </row>
    <row r="2666" spans="1:9" ht="15.6" x14ac:dyDescent="0.3">
      <c r="A2666" s="1" t="s">
        <v>9</v>
      </c>
      <c r="B2666" s="1" t="s">
        <v>9</v>
      </c>
      <c r="C2666" s="10" t="s">
        <v>9</v>
      </c>
      <c r="D2666" s="5" t="s">
        <v>2388</v>
      </c>
      <c r="E2666" s="1" t="str">
        <f ca="1">IFERROR(__xludf.DUMMYFUNCTION("GOOGLETRANSLATE(D2666, ""bn"", ""en"")"),"Every Hindu-dominated village in Fatikchari and Meeresarai in Chittagong was completely burnt down. Five Hindu temples including Panchanandham and Tulsidham were vandalized and destroyed by Muslims. Hindu women in Bachulia and Elias Colony in Chittagong w"&amp;"ere raped and abducted by Muslims.")</f>
        <v>Every Hindu-dominated village in Fatikchari and Meeresarai in Chittagong was completely burnt down. Five Hindu temples including Panchanandham and Tulsidham were vandalized and destroyed by Muslims. Hindu women in Bachulia and Elias Colony in Chittagong were raped and abducted by Muslims.</v>
      </c>
      <c r="F2666" s="1"/>
      <c r="G2666" s="1"/>
      <c r="H2666" s="1"/>
      <c r="I2666" s="1"/>
    </row>
    <row r="2667" spans="1:9" ht="15.6" x14ac:dyDescent="0.3">
      <c r="A2667" s="1" t="s">
        <v>4</v>
      </c>
      <c r="B2667" s="1" t="s">
        <v>4</v>
      </c>
      <c r="C2667" s="10" t="s">
        <v>4</v>
      </c>
      <c r="D2667" s="5" t="s">
        <v>2389</v>
      </c>
      <c r="E2667" s="1" t="str">
        <f ca="1">IFERROR(__xludf.DUMMYFUNCTION("GOOGLETRANSLATE(D2667, ""bn"", ""en"")"),"Where a group of stupid Muslims comment ""Accept Islam, the religion of peace"", another group of Muslims will say ""Why did so-and-so grow a beard, why did Tamuk wear a burka?""")</f>
        <v>Where a group of stupid Muslims comment "Accept Islam, the religion of peace", another group of Muslims will say "Why did so-and-so grow a beard, why did Tamuk wear a burka?"</v>
      </c>
      <c r="F2667" s="1"/>
      <c r="G2667" s="1"/>
      <c r="H2667" s="1"/>
      <c r="I2667" s="1"/>
    </row>
    <row r="2668" spans="1:9" ht="15.6" x14ac:dyDescent="0.3">
      <c r="A2668" s="1" t="s">
        <v>4</v>
      </c>
      <c r="B2668" s="1" t="s">
        <v>4</v>
      </c>
      <c r="C2668" s="10" t="s">
        <v>4</v>
      </c>
      <c r="D2668" s="5" t="s">
        <v>2390</v>
      </c>
      <c r="E2668" s="1" t="str">
        <f ca="1">IFERROR(__xludf.DUMMYFUNCTION("GOOGLETRANSLATE(D2668, ""bn"", ""en"")"),"It is his business that he does not like Sanatanism, but he has no right to speak by hurting the hearts of so many religious Sanatans, I humbly request him to be brought under the law. ")</f>
        <v xml:space="preserve">It is his business that he does not like Sanatanism, but he has no right to speak by hurting the hearts of so many religious Sanatans, I humbly request him to be brought under the law. </v>
      </c>
      <c r="F2668" s="1"/>
      <c r="G2668" s="1"/>
      <c r="H2668" s="1"/>
      <c r="I2668" s="1"/>
    </row>
    <row r="2669" spans="1:9" ht="15.6" x14ac:dyDescent="0.3">
      <c r="A2669" s="1" t="s">
        <v>7</v>
      </c>
      <c r="B2669" s="1" t="s">
        <v>7</v>
      </c>
      <c r="C2669" s="10" t="s">
        <v>7</v>
      </c>
      <c r="D2669" s="5" t="s">
        <v>2391</v>
      </c>
      <c r="E2669" s="1" t="str">
        <f ca="1">IFERROR(__xludf.DUMMYFUNCTION("GOOGLETRANSLATE(D2669, ""bn"", ""en"")"),"Israel's deliberate genocide of the Palestinian people under the pretext of self-defense will not secure the country's current or future security. Rather, it will create a greater level of insecurity and instability. would further isolate Tel Aviv and und"&amp;"ermine its long-term viability in the troubled region.")</f>
        <v>Israel's deliberate genocide of the Palestinian people under the pretext of self-defense will not secure the country's current or future security. Rather, it will create a greater level of insecurity and instability. would further isolate Tel Aviv and undermine its long-term viability in the troubled region.</v>
      </c>
      <c r="F2669" s="1"/>
      <c r="G2669" s="1"/>
      <c r="H2669" s="1"/>
      <c r="I2669" s="1"/>
    </row>
    <row r="2670" spans="1:9" ht="15.6" x14ac:dyDescent="0.3">
      <c r="A2670" s="1" t="s">
        <v>5</v>
      </c>
      <c r="B2670" s="1" t="s">
        <v>5</v>
      </c>
      <c r="C2670" s="10" t="s">
        <v>5</v>
      </c>
      <c r="D2670" s="5" t="s">
        <v>2392</v>
      </c>
      <c r="E2670" s="1" t="str">
        <f ca="1">IFERROR(__xludf.DUMMYFUNCTION("GOOGLETRANSLATE(D2670, ""bn"", ""en"")"),"It is mentioned in the Qur'an that homosexuality was taught through the incident of the people of Lut (pbuh). Acquiring knowledge is very valuable, and trying to understand the meaning of the Qur'an is also important. The Qur'an is not only religious, but"&amp;" also moral and social in human life. At the same time, trying to know and understand the facts of science also enriches our knowledge.")</f>
        <v>It is mentioned in the Qur'an that homosexuality was taught through the incident of the people of Lut (pbuh). Acquiring knowledge is very valuable, and trying to understand the meaning of the Qur'an is also important. The Qur'an is not only religious, but also moral and social in human life. At the same time, trying to know and understand the facts of science also enriches our knowledge.</v>
      </c>
      <c r="F2670" s="1"/>
      <c r="G2670" s="1"/>
      <c r="H2670" s="1"/>
      <c r="I2670" s="1"/>
    </row>
    <row r="2671" spans="1:9" ht="15.6" x14ac:dyDescent="0.3">
      <c r="A2671" s="1" t="s">
        <v>5</v>
      </c>
      <c r="B2671" s="1" t="s">
        <v>5</v>
      </c>
      <c r="C2671" s="10" t="s">
        <v>5</v>
      </c>
      <c r="D2671" s="5" t="s">
        <v>2393</v>
      </c>
      <c r="E2671" s="1" t="str">
        <f ca="1">IFERROR(__xludf.DUMMYFUNCTION("GOOGLETRANSLATE(D2671, ""bn"", ""en"")"),"They must, however, pay the jizya per capita tax, unlike pagans, who must convert to Islam or die. The same status of ""people of the book"" was later extended to Zoroastrians and Hindus at particular times and places, but many ""people of the book"" join"&amp;"ed Islam to escape the jizya.")</f>
        <v>They must, however, pay the jizya per capita tax, unlike pagans, who must convert to Islam or die. The same status of "people of the book" was later extended to Zoroastrians and Hindus at particular times and places, but many "people of the book" joined Islam to escape the jizya.</v>
      </c>
      <c r="F2671" s="1"/>
      <c r="G2671" s="1"/>
      <c r="H2671" s="1"/>
      <c r="I2671" s="1"/>
    </row>
    <row r="2672" spans="1:9" ht="15.6" x14ac:dyDescent="0.3">
      <c r="A2672" s="1" t="s">
        <v>4</v>
      </c>
      <c r="B2672" s="1" t="s">
        <v>4</v>
      </c>
      <c r="C2672" s="10" t="s">
        <v>4</v>
      </c>
      <c r="D2672" s="5" t="s">
        <v>2394</v>
      </c>
      <c r="E2672" s="1" t="str">
        <f ca="1">IFERROR(__xludf.DUMMYFUNCTION("GOOGLETRANSLATE(D2672, ""bn"", ""en"")"),"Anyway, all the atheists, free-thinkers, Islam haters of Bangladesh are very satisfied after seeing this post.")</f>
        <v>Anyway, all the atheists, free-thinkers, Islam haters of Bangladesh are very satisfied after seeing this post.</v>
      </c>
      <c r="F2672" s="1"/>
      <c r="G2672" s="1"/>
      <c r="H2672" s="1"/>
      <c r="I2672" s="1"/>
    </row>
    <row r="2673" spans="1:9" ht="62.4" x14ac:dyDescent="0.3">
      <c r="A2673" s="1" t="s">
        <v>9</v>
      </c>
      <c r="B2673" s="1" t="s">
        <v>9</v>
      </c>
      <c r="C2673" s="10" t="s">
        <v>9</v>
      </c>
      <c r="D2673" s="6" t="s">
        <v>3743</v>
      </c>
      <c r="E2673" s="1" t="str">
        <f ca="1">IFERROR(__xludf.DUMMYFUNCTION("GOOGLETRANSLATE(D2673, ""bn"", ""en"")"),"Quranic verses revealed after the Hijrah allow Muslims to bear arms. After his arrival in Medina, Muhammad SAW: took three major military actions. First, peace treaties were made with the tribes of Medina; Second, intelligence was employed to collect info"&amp;"rmation on the Quraish and their allies; Thirdly, Meccan trade caravans bound for Syria were raided by Medina.")</f>
        <v>Quranic verses revealed after the Hijrah allow Muslims to bear arms. After his arrival in Medina, Muhammad SAW: took three major military actions. First, peace treaties were made with the tribes of Medina; Second, intelligence was employed to collect information on the Quraish and their allies; Thirdly, Meccan trade caravans bound for Syria were raided by Medina.</v>
      </c>
      <c r="F2673" s="1"/>
      <c r="G2673" s="1"/>
      <c r="H2673" s="1"/>
      <c r="I2673" s="1"/>
    </row>
    <row r="2674" spans="1:9" ht="15.6" x14ac:dyDescent="0.3">
      <c r="A2674" s="1" t="s">
        <v>9</v>
      </c>
      <c r="B2674" s="1" t="s">
        <v>9</v>
      </c>
      <c r="C2674" s="10" t="s">
        <v>9</v>
      </c>
      <c r="D2674" s="5" t="s">
        <v>2395</v>
      </c>
      <c r="E2674" s="1" t="str">
        <f ca="1">IFERROR(__xludf.DUMMYFUNCTION("GOOGLETRANSLATE(D2674, ""bn"", ""en"")"),"The attack was carried out on 30 October 2016 by a Hindu fisherman, Rasraj Das, for allegedly posting anti-Islam[2]. 19 temples were attacked[3] and nearly 300 houses were vandalized and over 100 Hindus were injured.")</f>
        <v>The attack was carried out on 30 October 2016 by a Hindu fisherman, Rasraj Das, for allegedly posting anti-Islam[2]. 19 temples were attacked[3] and nearly 300 houses were vandalized and over 100 Hindus were injured.</v>
      </c>
      <c r="F2674" s="1"/>
      <c r="G2674" s="1"/>
      <c r="H2674" s="1"/>
      <c r="I2674" s="1"/>
    </row>
    <row r="2675" spans="1:9" ht="15.6" x14ac:dyDescent="0.3">
      <c r="A2675" s="1" t="s">
        <v>7</v>
      </c>
      <c r="B2675" s="1" t="s">
        <v>7</v>
      </c>
      <c r="C2675" s="10" t="s">
        <v>7</v>
      </c>
      <c r="D2675" s="5" t="s">
        <v>2396</v>
      </c>
      <c r="E2675" s="1" t="str">
        <f ca="1">IFERROR(__xludf.DUMMYFUNCTION("GOOGLETRANSLATE(D2675, ""bn"", ""en"")"),"Religious persecution of Rohingya Muslims in Myanmar has killed thousands, one of the most brutal human rights abuses in history.")</f>
        <v>Religious persecution of Rohingya Muslims in Myanmar has killed thousands, one of the most brutal human rights abuses in history.</v>
      </c>
      <c r="F2675" s="1"/>
      <c r="G2675" s="1"/>
      <c r="H2675" s="1"/>
      <c r="I2675" s="1"/>
    </row>
    <row r="2676" spans="1:9" ht="15.6" x14ac:dyDescent="0.3">
      <c r="A2676" s="1" t="s">
        <v>5</v>
      </c>
      <c r="B2676" s="1" t="s">
        <v>5</v>
      </c>
      <c r="C2676" s="10" t="s">
        <v>5</v>
      </c>
      <c r="D2676" s="5" t="s">
        <v>2397</v>
      </c>
      <c r="E2676" s="1" t="str">
        <f ca="1">IFERROR(__xludf.DUMMYFUNCTION("GOOGLETRANSLATE(D2676, ""bn"", ""en"")"),"Abhayacharan De, born in Taliganj area of ​​South Kolkata, later in life Abhay Charanavinda Bhaktivedanta Swami 'Prabhupada' or AC Bhaktivedanta is the founder of ISKCON. Millions of followers of ISKCON all over the world consider him as the religious lea"&amp;"der.")</f>
        <v>Abhayacharan De, born in Taliganj area of ​​South Kolkata, later in life Abhay Charanavinda Bhaktivedanta Swami 'Prabhupada' or AC Bhaktivedanta is the founder of ISKCON. Millions of followers of ISKCON all over the world consider him as the religious leader.</v>
      </c>
      <c r="F2676" s="1"/>
      <c r="G2676" s="1"/>
      <c r="H2676" s="1"/>
      <c r="I2676" s="1"/>
    </row>
    <row r="2677" spans="1:9" ht="15.6" x14ac:dyDescent="0.3">
      <c r="A2677" s="1" t="s">
        <v>9</v>
      </c>
      <c r="B2677" s="1" t="s">
        <v>9</v>
      </c>
      <c r="C2677" s="10" t="s">
        <v>9</v>
      </c>
      <c r="D2677" s="5" t="s">
        <v>2398</v>
      </c>
      <c r="E2677" s="1" t="str">
        <f ca="1">IFERROR(__xludf.DUMMYFUNCTION("GOOGLETRANSLATE(D2677, ""bn"", ""en"")"),"Converted from Hindu to Muslim with the hope of the hereafter. After enjoying the husband, he raped her and threw her out of the house and got married a second time.")</f>
        <v>Converted from Hindu to Muslim with the hope of the hereafter. After enjoying the husband, he raped her and threw her out of the house and got married a second time.</v>
      </c>
      <c r="F2677" s="1"/>
      <c r="G2677" s="1"/>
      <c r="H2677" s="1"/>
      <c r="I2677" s="1"/>
    </row>
    <row r="2678" spans="1:9" ht="15.6" x14ac:dyDescent="0.3">
      <c r="A2678" s="1" t="s">
        <v>4</v>
      </c>
      <c r="B2678" s="1" t="s">
        <v>4</v>
      </c>
      <c r="C2678" s="10" t="s">
        <v>4</v>
      </c>
      <c r="D2678" s="5" t="s">
        <v>2399</v>
      </c>
      <c r="E2678" s="1" t="str">
        <f ca="1">IFERROR(__xludf.DUMMYFUNCTION("GOOGLETRANSLATE(D2678, ""bn"", ""en"")"),"The violence began early in the morning with a rocket barrage of at least 5,000 missiles against Israel and an infiltration of land transport vehicles.")</f>
        <v>The violence began early in the morning with a rocket barrage of at least 5,000 missiles against Israel and an infiltration of land transport vehicles.</v>
      </c>
      <c r="F2678" s="1"/>
      <c r="G2678" s="1"/>
      <c r="H2678" s="1"/>
      <c r="I2678" s="1"/>
    </row>
    <row r="2679" spans="1:9" ht="15.6" x14ac:dyDescent="0.3">
      <c r="A2679" s="1" t="s">
        <v>9</v>
      </c>
      <c r="B2679" s="1" t="s">
        <v>9</v>
      </c>
      <c r="C2679" s="10" t="s">
        <v>9</v>
      </c>
      <c r="D2679" s="5" t="s">
        <v>2400</v>
      </c>
      <c r="E2679" s="1" t="str">
        <f ca="1">IFERROR(__xludf.DUMMYFUNCTION("GOOGLETRANSLATE(D2679, ""bn"", ""en"")"),"On February 6, a group of 300 Muslims attacked the village of Akhra. When the village temple priest escaped, they destroyed all the images and idols. ")</f>
        <v>On February 6, a group of 300 Muslims attacked the village of Akhra. When the village temple priest escaped, they destroyed all the images and idols. </v>
      </c>
      <c r="F2679" s="1"/>
      <c r="G2679" s="1"/>
      <c r="H2679" s="1"/>
      <c r="I2679" s="1"/>
    </row>
    <row r="2680" spans="1:9" ht="31.2" x14ac:dyDescent="0.3">
      <c r="A2680" s="1" t="s">
        <v>7</v>
      </c>
      <c r="B2680" s="1" t="s">
        <v>7</v>
      </c>
      <c r="C2680" s="10" t="s">
        <v>7</v>
      </c>
      <c r="D2680" s="6" t="s">
        <v>3742</v>
      </c>
      <c r="E2680" s="1" t="str">
        <f ca="1">IFERROR(__xludf.DUMMYFUNCTION("GOOGLETRANSLATE(D2680, ""bn"", ""en"")"),"Sutrapur Massacre refers to the killing of Bengali Hindu residents of Malakartala Lane in Sutrapur, Old Dhaka by the Pakistan Army on 27 March 1971. Pak soldiers lined up 14 Hindus and 1 Muslim on Loharpool and shot them dead.")</f>
        <v>Sutrapur Massacre refers to the killing of Bengali Hindu residents of Malakartala Lane in Sutrapur, Old Dhaka by the Pakistan Army on 27 March 1971. Pak soldiers lined up 14 Hindus and 1 Muslim on Loharpool and shot them dead.</v>
      </c>
      <c r="F2680" s="1"/>
      <c r="G2680" s="1"/>
      <c r="H2680" s="1"/>
      <c r="I2680" s="1"/>
    </row>
    <row r="2681" spans="1:9" ht="15.6" x14ac:dyDescent="0.3">
      <c r="A2681" s="1" t="s">
        <v>4</v>
      </c>
      <c r="B2681" s="1" t="s">
        <v>4</v>
      </c>
      <c r="C2681" s="10" t="s">
        <v>4</v>
      </c>
      <c r="D2681" s="5" t="s">
        <v>2401</v>
      </c>
      <c r="E2681" s="1" t="str">
        <f ca="1">IFERROR(__xludf.DUMMYFUNCTION("GOOGLETRANSLATE(D2681, ""bn"", ""en"")"),"In the greedy eyes of fanatics, Bangladesh is dear to our lives! Narrow-minded fanatics may want a minority-free Bangladesh! They really want to know whether Bangladesh will be a happy and prosperous state in the list of all the prosperity tables?")</f>
        <v>In the greedy eyes of fanatics, Bangladesh is dear to our lives! Narrow-minded fanatics may want a minority-free Bangladesh! They really want to know whether Bangladesh will be a happy and prosperous state in the list of all the prosperity tables?</v>
      </c>
      <c r="F2681" s="1"/>
      <c r="G2681" s="1"/>
      <c r="H2681" s="1"/>
      <c r="I2681" s="1"/>
    </row>
    <row r="2682" spans="1:9" ht="15.6" x14ac:dyDescent="0.3">
      <c r="A2682" s="1" t="s">
        <v>5</v>
      </c>
      <c r="B2682" s="1" t="s">
        <v>5</v>
      </c>
      <c r="C2682" s="10" t="s">
        <v>5</v>
      </c>
      <c r="D2682" s="5" t="s">
        <v>2402</v>
      </c>
      <c r="E2682" s="1" t="str">
        <f ca="1">IFERROR(__xludf.DUMMYFUNCTION("GOOGLETRANSLATE(D2682, ""bn"", ""en"")"),"Following Allah's guidance brings peace and tranquility in life, and we get Allah's help to keep us on the right path.")</f>
        <v>Following Allah's guidance brings peace and tranquility in life, and we get Allah's help to keep us on the right path.</v>
      </c>
      <c r="F2682" s="1"/>
      <c r="G2682" s="1"/>
      <c r="H2682" s="1"/>
      <c r="I2682" s="1"/>
    </row>
    <row r="2683" spans="1:9" ht="15.6" x14ac:dyDescent="0.3">
      <c r="A2683" s="1" t="s">
        <v>4</v>
      </c>
      <c r="B2683" s="1" t="s">
        <v>4</v>
      </c>
      <c r="C2683" s="10" t="s">
        <v>4</v>
      </c>
      <c r="D2683" s="5" t="s">
        <v>2403</v>
      </c>
      <c r="E2683" s="1" t="str">
        <f ca="1">IFERROR(__xludf.DUMMYFUNCTION("GOOGLETRANSLATE(D2683, ""bn"", ""en"")"),"Insulting our holy book Al-Qur'an, again shoot at the people of my religion there")</f>
        <v>Insulting our holy book Al-Qur'an, again shoot at the people of my religion there</v>
      </c>
      <c r="F2683" s="1"/>
      <c r="G2683" s="1"/>
      <c r="H2683" s="1"/>
      <c r="I2683" s="1"/>
    </row>
    <row r="2684" spans="1:9" ht="15.6" x14ac:dyDescent="0.3">
      <c r="A2684" s="1" t="s">
        <v>4</v>
      </c>
      <c r="B2684" s="1" t="s">
        <v>4</v>
      </c>
      <c r="C2684" s="10" t="s">
        <v>4</v>
      </c>
      <c r="D2684" s="5" t="s">
        <v>2404</v>
      </c>
      <c r="E2684" s="1" t="str">
        <f ca="1">IFERROR(__xludf.DUMMYFUNCTION("GOOGLETRANSLATE(D2684, ""bn"", ""en"")"),"Since Partition or just before, foreign rulers have injected this poison into Hindu Muslims for their own benefit. But we as a nation are so unfortunate that even after so many years we could not come out of it.")</f>
        <v>Since Partition or just before, foreign rulers have injected this poison into Hindu Muslims for their own benefit. But we as a nation are so unfortunate that even after so many years we could not come out of it.</v>
      </c>
      <c r="F2684" s="1"/>
      <c r="G2684" s="1"/>
      <c r="H2684" s="1"/>
      <c r="I2684" s="1"/>
    </row>
    <row r="2685" spans="1:9" ht="15.6" x14ac:dyDescent="0.3">
      <c r="A2685" s="1" t="s">
        <v>4</v>
      </c>
      <c r="B2685" s="1" t="s">
        <v>4</v>
      </c>
      <c r="C2685" s="10" t="s">
        <v>4</v>
      </c>
      <c r="D2685" s="5" t="s">
        <v>2405</v>
      </c>
      <c r="E2685" s="1" t="str">
        <f ca="1">IFERROR(__xludf.DUMMYFUNCTION("GOOGLETRANSLATE(D2685, ""bn"", ""en"")"),"Attempts to destroy communal harmony have started in Bangladesh. As part of this, a Buddhist youth in Ramu Upazila of Cox's Bazar has insulted the Holy Quran by showing unimaginable courage. That young man also showed audacity about Almighty Allah and Kaa"&amp;"ba Sharif. The devout Muslims of Ramu immediately demonstrated on Saturday night to protest against such extreme insult to Islam.")</f>
        <v>Attempts to destroy communal harmony have started in Bangladesh. As part of this, a Buddhist youth in Ramu Upazila of Cox's Bazar has insulted the Holy Quran by showing unimaginable courage. That young man also showed audacity about Almighty Allah and Kaaba Sharif. The devout Muslims of Ramu immediately demonstrated on Saturday night to protest against such extreme insult to Islam.</v>
      </c>
      <c r="F2685" s="1"/>
      <c r="G2685" s="1"/>
      <c r="H2685" s="1"/>
      <c r="I2685" s="1"/>
    </row>
    <row r="2686" spans="1:9" ht="15.6" x14ac:dyDescent="0.3">
      <c r="A2686" s="1" t="s">
        <v>4</v>
      </c>
      <c r="B2686" s="1" t="s">
        <v>4</v>
      </c>
      <c r="C2686" s="10" t="s">
        <v>4</v>
      </c>
      <c r="D2686" s="5" t="s">
        <v>2406</v>
      </c>
      <c r="E2686" s="1" t="str">
        <f ca="1">IFERROR(__xludf.DUMMYFUNCTION("GOOGLETRANSLATE(D2686, ""bn"", ""en"")"),"After seeing the post, I stopped and went to the comment section. I went there and saw many people praising it. agrees. If someone disagrees, he replies to them by saying that it's right, it's good, he made fun of religion. ")</f>
        <v xml:space="preserve">After seeing the post, I stopped and went to the comment section. I went there and saw many people praising it. agrees. If someone disagrees, he replies to them by saying that it's right, it's good, he made fun of religion. </v>
      </c>
      <c r="F2686" s="1"/>
      <c r="G2686" s="1"/>
      <c r="H2686" s="1"/>
      <c r="I2686" s="1"/>
    </row>
    <row r="2687" spans="1:9" ht="15.6" x14ac:dyDescent="0.3">
      <c r="A2687" s="1" t="s">
        <v>9</v>
      </c>
      <c r="B2687" s="1" t="s">
        <v>5</v>
      </c>
      <c r="C2687" s="10" t="s">
        <v>9</v>
      </c>
      <c r="D2687" s="5" t="s">
        <v>2407</v>
      </c>
      <c r="E2687" s="1" t="str">
        <f ca="1">IFERROR(__xludf.DUMMYFUNCTION("GOOGLETRANSLATE(D2687, ""bn"", ""en"")"),"Islam is a religion of peace that does not hurt anyone else, Allah will judge those who burn the Quran")</f>
        <v>Islam is a religion of peace that does not hurt anyone else, Allah will judge those who burn the Quran</v>
      </c>
      <c r="F2687" s="1"/>
      <c r="G2687" s="1"/>
      <c r="H2687" s="1"/>
      <c r="I2687" s="1"/>
    </row>
    <row r="2688" spans="1:9" ht="15.6" x14ac:dyDescent="0.3">
      <c r="A2688" s="1" t="s">
        <v>9</v>
      </c>
      <c r="B2688" s="1" t="s">
        <v>9</v>
      </c>
      <c r="C2688" s="10" t="s">
        <v>9</v>
      </c>
      <c r="D2688" s="5" t="s">
        <v>2408</v>
      </c>
      <c r="E2688" s="1" t="str">
        <f ca="1">IFERROR(__xludf.DUMMYFUNCTION("GOOGLETRANSLATE(D2688, ""bn"", ""en"")"),"During the Modi government in 2014-2021, several Muslim and Dalit communities were attacked in the name of cow protection.")</f>
        <v>During the Modi government in 2014-2021, several Muslim and Dalit communities were attacked in the name of cow protection.</v>
      </c>
      <c r="F2688" s="1"/>
      <c r="G2688" s="1"/>
      <c r="H2688" s="1"/>
      <c r="I2688" s="1"/>
    </row>
    <row r="2689" spans="1:9" ht="15.6" x14ac:dyDescent="0.3">
      <c r="A2689" s="1" t="s">
        <v>5</v>
      </c>
      <c r="B2689" s="1" t="s">
        <v>5</v>
      </c>
      <c r="C2689" s="10" t="s">
        <v>5</v>
      </c>
      <c r="D2689" s="5" t="s">
        <v>2409</v>
      </c>
      <c r="E2689" s="1" t="str">
        <f ca="1">IFERROR(__xludf.DUMMYFUNCTION("GOOGLETRANSLATE(D2689, ""bn"", ""en"")"),"The main teaching of religion is to instill love and kindness in the human heart, thereby establishing social harmony and unity, and it does not seek to create violence or enmity, but rather promotes peace and respect among all people.")</f>
        <v>The main teaching of religion is to instill love and kindness in the human heart, thereby establishing social harmony and unity, and it does not seek to create violence or enmity, but rather promotes peace and respect among all people.</v>
      </c>
      <c r="F2689" s="1"/>
      <c r="G2689" s="1"/>
      <c r="H2689" s="1"/>
      <c r="I2689" s="1"/>
    </row>
    <row r="2690" spans="1:9" ht="15.6" x14ac:dyDescent="0.3">
      <c r="A2690" s="1" t="s">
        <v>7</v>
      </c>
      <c r="B2690" s="1" t="s">
        <v>7</v>
      </c>
      <c r="C2690" s="10" t="s">
        <v>7</v>
      </c>
      <c r="D2690" s="5" t="s">
        <v>2410</v>
      </c>
      <c r="E2690" s="1" t="str">
        <f ca="1">IFERROR(__xludf.DUMMYFUNCTION("GOOGLETRANSLATE(D2690, ""bn"", ""en"")"),"I think it's murder. I don't know why but a teacher should commit suicide for someone's words!")</f>
        <v>I think it's murder. I don't know why but a teacher should commit suicide for someone's words!</v>
      </c>
      <c r="F2690" s="1"/>
      <c r="G2690" s="1"/>
      <c r="H2690" s="1"/>
      <c r="I2690" s="1"/>
    </row>
    <row r="2691" spans="1:9" ht="15.6" x14ac:dyDescent="0.3">
      <c r="A2691" s="1" t="s">
        <v>4</v>
      </c>
      <c r="B2691" s="1" t="s">
        <v>4</v>
      </c>
      <c r="C2691" s="10" t="s">
        <v>4</v>
      </c>
      <c r="D2691" s="5" t="s">
        <v>2411</v>
      </c>
      <c r="E2691" s="1" t="str">
        <f ca="1">IFERROR(__xludf.DUMMYFUNCTION("GOOGLETRANSLATE(D2691, ""bn"", ""en"")"),"Religion does not give support in time, rightly said. So doctors continue to serve us without looking at religion. On the other hand, the traders of religion are closing the religious places. So no religion is humanity first.")</f>
        <v>Religion does not give support in time, rightly said. So doctors continue to serve us without looking at religion. On the other hand, the traders of religion are closing the religious places. So no religion is humanity first.</v>
      </c>
      <c r="F2691" s="1"/>
      <c r="G2691" s="1"/>
      <c r="H2691" s="1"/>
      <c r="I2691" s="1"/>
    </row>
    <row r="2692" spans="1:9" ht="15.6" x14ac:dyDescent="0.3">
      <c r="A2692" s="1" t="s">
        <v>7</v>
      </c>
      <c r="B2692" s="1" t="s">
        <v>7</v>
      </c>
      <c r="C2692" s="10" t="s">
        <v>7</v>
      </c>
      <c r="D2692" s="5" t="s">
        <v>2412</v>
      </c>
      <c r="E2692" s="1" t="str">
        <f ca="1">IFERROR(__xludf.DUMMYFUNCTION("GOOGLETRANSLATE(D2692, ""bn"", ""en"")"),"I say one thing, ""listen but don't count"" actually people kill a person for listening. Let them be slain with words as a punishment.")</f>
        <v>I say one thing, "listen but don't count" actually people kill a person for listening. Let them be slain with words as a punishment.</v>
      </c>
      <c r="F2692" s="1"/>
      <c r="G2692" s="1"/>
      <c r="H2692" s="1"/>
      <c r="I2692" s="1"/>
    </row>
    <row r="2693" spans="1:9" ht="15.6" x14ac:dyDescent="0.3">
      <c r="A2693" s="1" t="s">
        <v>9</v>
      </c>
      <c r="B2693" s="1" t="s">
        <v>5</v>
      </c>
      <c r="C2693" s="10" t="s">
        <v>9</v>
      </c>
      <c r="D2693" s="5" t="s">
        <v>2413</v>
      </c>
      <c r="E2693" s="1" t="str">
        <f ca="1">IFERROR(__xludf.DUMMYFUNCTION("GOOGLETRANSLATE(D2693, ""bn"", ""en"")"),"Buddhist temple attacked and vandalized in Ukhia")</f>
        <v>Buddhist temple attacked and vandalized in Ukhia</v>
      </c>
      <c r="F2693" s="1"/>
      <c r="G2693" s="1"/>
      <c r="H2693" s="1"/>
      <c r="I2693" s="1"/>
    </row>
    <row r="2694" spans="1:9" ht="15.6" x14ac:dyDescent="0.3">
      <c r="A2694" s="1" t="s">
        <v>4</v>
      </c>
      <c r="B2694" s="1" t="s">
        <v>4</v>
      </c>
      <c r="C2694" s="10" t="s">
        <v>4</v>
      </c>
      <c r="D2694" s="5" t="s">
        <v>2414</v>
      </c>
      <c r="E2694" s="1" t="str">
        <f ca="1">IFERROR(__xludf.DUMMYFUNCTION("GOOGLETRANSLATE(D2694, ""bn"", ""en"")"),"Why laxity when insulting other religions? Is it the law of an independent state?")</f>
        <v>Why laxity when insulting other religions? Is it the law of an independent state?</v>
      </c>
      <c r="F2694" s="1"/>
      <c r="G2694" s="1"/>
      <c r="H2694" s="1"/>
      <c r="I2694" s="1"/>
    </row>
    <row r="2695" spans="1:9" ht="15.6" x14ac:dyDescent="0.3">
      <c r="A2695" s="1" t="s">
        <v>7</v>
      </c>
      <c r="B2695" s="1" t="s">
        <v>7</v>
      </c>
      <c r="C2695" s="10" t="s">
        <v>7</v>
      </c>
      <c r="D2695" s="5" t="s">
        <v>2415</v>
      </c>
      <c r="E2695" s="1" t="str">
        <f ca="1">IFERROR(__xludf.DUMMYFUNCTION("GOOGLETRANSLATE(D2695, ""bn"", ""en"")"),"In Ethiopia's Oromo-Amhara, ethnic and religious differences have led to violent clashes between the two communities, in which hundreds of people have been killed.")</f>
        <v>In Ethiopia's Oromo-Amhara, ethnic and religious differences have led to violent clashes between the two communities, in which hundreds of people have been killed.</v>
      </c>
      <c r="F2695" s="1"/>
      <c r="G2695" s="1"/>
      <c r="H2695" s="1"/>
      <c r="I2695" s="1"/>
    </row>
    <row r="2696" spans="1:9" ht="15.6" x14ac:dyDescent="0.3">
      <c r="A2696" s="1" t="s">
        <v>7</v>
      </c>
      <c r="B2696" s="1" t="s">
        <v>7</v>
      </c>
      <c r="C2696" s="10" t="s">
        <v>7</v>
      </c>
      <c r="D2696" s="5" t="s">
        <v>2416</v>
      </c>
      <c r="E2696" s="1" t="str">
        <f ca="1">IFERROR(__xludf.DUMMYFUNCTION("GOOGLETRANSLATE(D2696, ""bn"", ""en"")"),"Concubines or others of inferior bloodlines who consented or wished to die with their royal husbands were to be stabbed to death before being burned.")</f>
        <v>Concubines or others of inferior bloodlines who consented or wished to die with their royal husbands were to be stabbed to death before being burned.</v>
      </c>
      <c r="F2696" s="1"/>
      <c r="G2696" s="1"/>
      <c r="H2696" s="1"/>
      <c r="I2696" s="1"/>
    </row>
    <row r="2697" spans="1:9" ht="15.6" x14ac:dyDescent="0.3">
      <c r="A2697" s="1" t="s">
        <v>9</v>
      </c>
      <c r="B2697" s="1" t="s">
        <v>9</v>
      </c>
      <c r="C2697" s="10" t="s">
        <v>9</v>
      </c>
      <c r="D2697" s="5" t="s">
        <v>2417</v>
      </c>
      <c r="E2697" s="1" t="str">
        <f ca="1">IFERROR(__xludf.DUMMYFUNCTION("GOOGLETRANSLATE(D2697, ""bn"", ""en"")"),"Televisions, valuables, money were looted. More than half a hundred men and women were injured in this attack. Rasraj's house was vandalized. Shankar Sen, the serviceman of Gaur Temple in Mahakal Para, was seriously injured. Gaur temple priest Narendra Pr"&amp;"abhu was beaten up. ")</f>
        <v>Televisions, valuables, money were looted. More than half a hundred men and women were injured in this attack. Rasraj's house was vandalized. Shankar Sen, the serviceman of Gaur Temple in Mahakal Para, was seriously injured. Gaur temple priest Narendra Prabhu was beaten up. </v>
      </c>
      <c r="F2697" s="1"/>
      <c r="G2697" s="1"/>
      <c r="H2697" s="1"/>
      <c r="I2697" s="1"/>
    </row>
    <row r="2698" spans="1:9" ht="15.6" x14ac:dyDescent="0.3">
      <c r="A2698" s="1" t="s">
        <v>5</v>
      </c>
      <c r="B2698" s="1" t="s">
        <v>5</v>
      </c>
      <c r="C2698" s="10" t="s">
        <v>5</v>
      </c>
      <c r="D2698" s="5" t="s">
        <v>2418</v>
      </c>
      <c r="E2698" s="1" t="str">
        <f ca="1">IFERROR(__xludf.DUMMYFUNCTION("GOOGLETRANSLATE(D2698, ""bn"", ""en"")"),"Obedience to Allah's orders keeps our body and mind calm, and keeps us on the right path, which helps us achieve our goals in life.")</f>
        <v>Obedience to Allah's orders keeps our body and mind calm, and keeps us on the right path, which helps us achieve our goals in life.</v>
      </c>
      <c r="F2698" s="1"/>
      <c r="G2698" s="1"/>
      <c r="H2698" s="1"/>
      <c r="I2698" s="1"/>
    </row>
    <row r="2699" spans="1:9" ht="15.6" x14ac:dyDescent="0.3">
      <c r="A2699" s="1" t="s">
        <v>7</v>
      </c>
      <c r="B2699" s="1" t="s">
        <v>7</v>
      </c>
      <c r="C2699" s="10" t="s">
        <v>7</v>
      </c>
      <c r="D2699" s="5" t="s">
        <v>2419</v>
      </c>
      <c r="E2699" s="1" t="str">
        <f ca="1">IFERROR(__xludf.DUMMYFUNCTION("GOOGLETRANSLATE(D2699, ""bn"", ""en"")")," The rite with support in Vedic texts was ""symbolic self-immolation"" which was believed to be the dignity required for a widow to perform on her husband's death, with the widow subsequently marrying her husband's brother.")</f>
        <v> The rite with support in Vedic texts was "symbolic self-immolation" which was believed to be the dignity required for a widow to perform on her husband's death, with the widow subsequently marrying her husband's brother.</v>
      </c>
      <c r="F2699" s="1"/>
      <c r="G2699" s="1"/>
      <c r="H2699" s="1"/>
      <c r="I2699" s="1"/>
    </row>
    <row r="2700" spans="1:9" ht="46.8" x14ac:dyDescent="0.3">
      <c r="A2700" s="1" t="s">
        <v>7</v>
      </c>
      <c r="B2700" s="1" t="s">
        <v>7</v>
      </c>
      <c r="C2700" s="10" t="s">
        <v>7</v>
      </c>
      <c r="D2700" s="6" t="s">
        <v>3741</v>
      </c>
      <c r="E2700" s="1" t="str">
        <f ca="1">IFERROR(__xludf.DUMMYFUNCTION("GOOGLETRANSLATE(D2700, ""bn"", ""en"")"),"Islam describes the life after death very clearly. The Angel of Death (Malak ul Maut, also known as Azrael) carries the soul of the deceased out of the body, accompanied by other angels. The arrangements for the death of the deceased are determined based "&amp;"on the worldly lifestyle of the deceased.")</f>
        <v>Islam describes the life after death very clearly. The Angel of Death (Malak ul Maut, also known as Azrael) carries the soul of the deceased out of the body, accompanied by other angels. The arrangements for the death of the deceased are determined based on the worldly lifestyle of the deceased.</v>
      </c>
      <c r="F2700" s="1"/>
      <c r="G2700" s="1"/>
      <c r="H2700" s="1"/>
      <c r="I2700" s="1"/>
    </row>
    <row r="2701" spans="1:9" ht="15.6" x14ac:dyDescent="0.3">
      <c r="A2701" s="1" t="s">
        <v>7</v>
      </c>
      <c r="B2701" s="1" t="s">
        <v>7</v>
      </c>
      <c r="C2701" s="10" t="s">
        <v>7</v>
      </c>
      <c r="D2701" s="5" t="s">
        <v>2420</v>
      </c>
      <c r="E2701" s="1" t="str">
        <f ca="1">IFERROR(__xludf.DUMMYFUNCTION("GOOGLETRANSLATE(D2701, ""bn"", ""en"")"),"Following the assassination of Prime Minister Indira Gandhi, there were massive attacks on Sikhs in various places including Delhi, killing around 3,000 Sikhs.")</f>
        <v>Following the assassination of Prime Minister Indira Gandhi, there were massive attacks on Sikhs in various places including Delhi, killing around 3,000 Sikhs.</v>
      </c>
      <c r="F2701" s="1"/>
      <c r="G2701" s="1"/>
      <c r="H2701" s="1"/>
      <c r="I2701" s="1"/>
    </row>
    <row r="2702" spans="1:9" ht="15.6" x14ac:dyDescent="0.3">
      <c r="A2702" s="1" t="s">
        <v>5</v>
      </c>
      <c r="B2702" s="1" t="s">
        <v>5</v>
      </c>
      <c r="C2702" s="10" t="s">
        <v>5</v>
      </c>
      <c r="D2702" s="5" t="s">
        <v>2421</v>
      </c>
      <c r="E2702" s="1" t="str">
        <f ca="1">IFERROR(__xludf.DUMMYFUNCTION("GOOGLETRANSLATE(D2702, ""bn"", ""en"")"),"Be careful not to make bad comments about religion and iftar.")</f>
        <v>Be careful not to make bad comments about religion and iftar.</v>
      </c>
      <c r="F2702" s="1"/>
      <c r="G2702" s="1"/>
      <c r="H2702" s="1"/>
      <c r="I2702" s="1"/>
    </row>
    <row r="2703" spans="1:9" ht="15.6" x14ac:dyDescent="0.3">
      <c r="A2703" s="1" t="s">
        <v>7</v>
      </c>
      <c r="B2703" s="1" t="s">
        <v>7</v>
      </c>
      <c r="C2703" s="10" t="s">
        <v>7</v>
      </c>
      <c r="D2703" s="5" t="s">
        <v>2422</v>
      </c>
      <c r="E2703" s="1" t="str">
        <f ca="1">IFERROR(__xludf.DUMMYFUNCTION("GOOGLETRANSLATE(D2703, ""bn"", ""en"")"),"Look around you, in your department, in your room, and see how many more severely depressed people there are. Someone looks for them! Some of them may have decided to commit suicide and returned again because of family-religion-society.")</f>
        <v>Look around you, in your department, in your room, and see how many more severely depressed people there are. Someone looks for them! Some of them may have decided to commit suicide and returned again because of family-religion-society.</v>
      </c>
      <c r="F2703" s="1"/>
      <c r="G2703" s="1"/>
      <c r="H2703" s="1"/>
      <c r="I2703" s="1"/>
    </row>
    <row r="2704" spans="1:9" ht="15.6" x14ac:dyDescent="0.3">
      <c r="A2704" s="1" t="s">
        <v>4</v>
      </c>
      <c r="B2704" s="1" t="s">
        <v>4</v>
      </c>
      <c r="C2704" s="10" t="s">
        <v>4</v>
      </c>
      <c r="D2704" s="5" t="s">
        <v>2423</v>
      </c>
      <c r="E2704" s="1" t="str">
        <f ca="1">IFERROR(__xludf.DUMMYFUNCTION("GOOGLETRANSLATE(D2704, ""bn"", ""en"")"),"Do you have any idea about Islamic caliphate? If not, read Islamic history and then comment. No one likes to comment knowingly")</f>
        <v>Do you have any idea about Islamic caliphate? If not, read Islamic history and then comment. No one likes to comment knowingly</v>
      </c>
      <c r="F2704" s="1"/>
      <c r="G2704" s="1"/>
      <c r="H2704" s="1"/>
      <c r="I2704" s="1"/>
    </row>
    <row r="2705" spans="1:9" ht="15.6" x14ac:dyDescent="0.3">
      <c r="A2705" s="1" t="s">
        <v>7</v>
      </c>
      <c r="B2705" s="1" t="s">
        <v>7</v>
      </c>
      <c r="C2705" s="10" t="s">
        <v>7</v>
      </c>
      <c r="D2705" s="5" t="s">
        <v>2424</v>
      </c>
      <c r="E2705" s="1" t="str">
        <f ca="1">IFERROR(__xludf.DUMMYFUNCTION("GOOGLETRANSLATE(D2705, ""bn"", ""en"")"),"The Pak invaders ransacked the entire village and shot dead twenty people. The bodies throw the thread into the river. About 40 people were injured and managed to escape. Although they managed to reach India, most of them died of injuries. Women were rape"&amp;"d and the Rajakars looted entire villages. The entire village was sprinkled with petrol and set on fire.")</f>
        <v>The Pak invaders ransacked the entire village and shot dead twenty people. The bodies throw the thread into the river. About 40 people were injured and managed to escape. Although they managed to reach India, most of them died of injuries. Women were raped and the Rajakars looted entire villages. The entire village was sprinkled with petrol and set on fire.</v>
      </c>
      <c r="F2705" s="1"/>
      <c r="G2705" s="1"/>
      <c r="H2705" s="1"/>
      <c r="I2705" s="1"/>
    </row>
    <row r="2706" spans="1:9" ht="15.6" x14ac:dyDescent="0.3">
      <c r="A2706" s="1" t="s">
        <v>5</v>
      </c>
      <c r="B2706" s="1" t="s">
        <v>5</v>
      </c>
      <c r="C2706" s="10" t="s">
        <v>5</v>
      </c>
      <c r="D2706" s="5" t="s">
        <v>2425</v>
      </c>
      <c r="E2706" s="1" t="str">
        <f ca="1">IFERROR(__xludf.DUMMYFUNCTION("GOOGLETRANSLATE(D2706, ""bn"", ""en"")"),"May Allah guide us all.")</f>
        <v>May Allah guide us all.</v>
      </c>
      <c r="F2706" s="1"/>
      <c r="G2706" s="1"/>
      <c r="H2706" s="1"/>
      <c r="I2706" s="1"/>
    </row>
    <row r="2707" spans="1:9" ht="62.4" x14ac:dyDescent="0.3">
      <c r="A2707" s="1" t="s">
        <v>9</v>
      </c>
      <c r="B2707" s="1" t="s">
        <v>9</v>
      </c>
      <c r="C2707" s="10" t="s">
        <v>9</v>
      </c>
      <c r="D2707" s="6" t="s">
        <v>3740</v>
      </c>
      <c r="E2707" s="1" t="str">
        <f ca="1">IFERROR(__xludf.DUMMYFUNCTION("GOOGLETRANSLATE(D2707, ""bn"", ""en"")"),"Another incident of idol vandalism took place on October 11 in Rastampur village of Ashulia in Dhaka. On the same day, an attack was reported on Tipu Sultan Road. The worshipers could not enter the Sankhanidhi temple with the idol. Devotees sit on the str"&amp;"eets with Durga idols. With local extremists terrorizing worshipers unable to worship at the historic temple, devotees were given a temporary place to worship, where the idols were shifted.")</f>
        <v>Another incident of idol vandalism took place on October 11 in Rastampur village of Ashulia in Dhaka. On the same day, an attack was reported on Tipu Sultan Road. The worshipers could not enter the Sankhanidhi temple with the idol. Devotees sit on the streets with Durga idols. With local extremists terrorizing worshipers unable to worship at the historic temple, devotees were given a temporary place to worship, where the idols were shifted.</v>
      </c>
      <c r="F2707" s="1"/>
      <c r="G2707" s="1"/>
      <c r="H2707" s="1"/>
      <c r="I2707" s="1"/>
    </row>
    <row r="2708" spans="1:9" ht="15.6" x14ac:dyDescent="0.3">
      <c r="A2708" s="1" t="s">
        <v>5</v>
      </c>
      <c r="B2708" s="1" t="s">
        <v>5</v>
      </c>
      <c r="C2708" s="10" t="s">
        <v>5</v>
      </c>
      <c r="D2708" s="5" t="s">
        <v>2426</v>
      </c>
      <c r="E2708" s="1" t="str">
        <f ca="1">IFERROR(__xludf.DUMMYFUNCTION("GOOGLETRANSLATE(D2708, ""bn"", ""en"")")," Fate controls people's lives. Allah says, 'It (predestination) is so that you do not grieve over what you have lost and rejoice over what He has given you. Allah does not like the arrogant and arrogant. ")</f>
        <v> Fate controls people's lives. Allah says, 'It (predestination) is so that you do not grieve over what you have lost and rejoice over what He has given you. Allah does not like the arrogant and arrogant. </v>
      </c>
      <c r="F2708" s="1"/>
      <c r="G2708" s="1"/>
      <c r="H2708" s="1"/>
      <c r="I2708" s="1"/>
    </row>
    <row r="2709" spans="1:9" ht="15.6" x14ac:dyDescent="0.3">
      <c r="A2709" s="4" t="s">
        <v>7</v>
      </c>
      <c r="B2709" s="4" t="s">
        <v>7</v>
      </c>
      <c r="C2709" s="11" t="s">
        <v>7</v>
      </c>
      <c r="D2709" s="5" t="s">
        <v>2427</v>
      </c>
      <c r="E2709" s="1" t="str">
        <f ca="1">IFERROR(__xludf.DUMMYFUNCTION("GOOGLETRANSLATE(D2709, ""bn"", ""en"")"),"According to Francis Tucker, the Hindu press grossly exaggerated reports of the chaos.[51] However, neutral and widely accepted estimates put the death toll at around 5,000.")</f>
        <v>According to Francis Tucker, the Hindu press grossly exaggerated reports of the chaos.[51] However, neutral and widely accepted estimates put the death toll at around 5,000.</v>
      </c>
      <c r="F2709" s="1"/>
      <c r="G2709" s="1"/>
      <c r="H2709" s="1"/>
      <c r="I2709" s="1"/>
    </row>
    <row r="2710" spans="1:9" ht="15.6" x14ac:dyDescent="0.3">
      <c r="A2710" s="1" t="s">
        <v>9</v>
      </c>
      <c r="B2710" s="1" t="s">
        <v>9</v>
      </c>
      <c r="C2710" s="10" t="s">
        <v>9</v>
      </c>
      <c r="D2710" s="5" t="s">
        <v>2428</v>
      </c>
      <c r="E2710" s="1" t="str">
        <f ca="1">IFERROR(__xludf.DUMMYFUNCTION("GOOGLETRANSLATE(D2710, ""bn"", ""en"")"),"In 2019, a group of miscreants stormed a church in Nigeria, injuring many Christian worshippers.")</f>
        <v>In 2019, a group of miscreants stormed a church in Nigeria, injuring many Christian worshippers.</v>
      </c>
      <c r="F2710" s="1"/>
      <c r="G2710" s="1"/>
      <c r="H2710" s="1"/>
      <c r="I2710" s="1"/>
    </row>
    <row r="2711" spans="1:9" ht="15.6" x14ac:dyDescent="0.3">
      <c r="A2711" s="1" t="s">
        <v>9</v>
      </c>
      <c r="B2711" s="1" t="s">
        <v>9</v>
      </c>
      <c r="C2711" s="10" t="s">
        <v>9</v>
      </c>
      <c r="D2711" s="5" t="s">
        <v>2429</v>
      </c>
      <c r="E2711" s="1" t="str">
        <f ca="1">IFERROR(__xludf.DUMMYFUNCTION("GOOGLETRANSLATE(D2711, ""bn"", ""en"")"),"Otherwise, if someone commits such an incident, religious people will burst into anger, sorrow, anger and rage. Communal riots will start. Incidents like fights will start.")</f>
        <v>Otherwise, if someone commits such an incident, religious people will burst into anger, sorrow, anger and rage. Communal riots will start. Incidents like fights will start.</v>
      </c>
      <c r="F2711" s="1"/>
      <c r="G2711" s="1"/>
      <c r="H2711" s="1"/>
      <c r="I2711" s="1"/>
    </row>
    <row r="2712" spans="1:9" ht="15.6" x14ac:dyDescent="0.3">
      <c r="A2712" s="1" t="s">
        <v>9</v>
      </c>
      <c r="B2712" s="1" t="s">
        <v>9</v>
      </c>
      <c r="C2712" s="10" t="s">
        <v>9</v>
      </c>
      <c r="D2712" s="5" t="s">
        <v>2430</v>
      </c>
      <c r="E2712" s="1" t="str">
        <f ca="1">IFERROR(__xludf.DUMMYFUNCTION("GOOGLETRANSLATE(D2712, ""bn"", ""en"")"),"Minority community press conference in Devidwar protesting the vandalism and looting of Kalimandi")</f>
        <v>Minority community press conference in Devidwar protesting the vandalism and looting of Kalimandi</v>
      </c>
      <c r="F2712" s="1"/>
      <c r="G2712" s="1"/>
      <c r="H2712" s="1"/>
      <c r="I2712" s="1"/>
    </row>
    <row r="2713" spans="1:9" ht="15.6" x14ac:dyDescent="0.3">
      <c r="A2713" s="1" t="s">
        <v>5</v>
      </c>
      <c r="B2713" s="1" t="s">
        <v>5</v>
      </c>
      <c r="C2713" s="10" t="s">
        <v>5</v>
      </c>
      <c r="D2713" s="5" t="s">
        <v>2431</v>
      </c>
      <c r="E2713" s="1" t="str">
        <f ca="1">IFERROR(__xludf.DUMMYFUNCTION("GOOGLETRANSLATE(D2713, ""bn"", ""en"")"),"Christian brothers! The Qur'an that is burning has given honor and respect to Jesus to 200 million Muslims. The Qur'an which is burning gives honor and respect to Mary. ")</f>
        <v xml:space="preserve">Christian brothers! The Qur'an that is burning has given honor and respect to Jesus to 200 million Muslims. The Qur'an which is burning gives honor and respect to Mary. </v>
      </c>
      <c r="F2713" s="1"/>
      <c r="G2713" s="1"/>
      <c r="H2713" s="1"/>
      <c r="I2713" s="1"/>
    </row>
    <row r="2714" spans="1:9" ht="15.6" x14ac:dyDescent="0.3">
      <c r="A2714" s="1" t="s">
        <v>4</v>
      </c>
      <c r="B2714" s="1" t="s">
        <v>4</v>
      </c>
      <c r="C2714" s="10" t="s">
        <v>4</v>
      </c>
      <c r="D2714" s="5" t="s">
        <v>2432</v>
      </c>
      <c r="E2714" s="1" t="str">
        <f ca="1">IFERROR(__xludf.DUMMYFUNCTION("GOOGLETRANSLATE(D2714, ""bn"", ""en"")"),"Wikipedia is now a repository of all wrong and misleading information, it provides very shaky information; Because Wikipedia was not born when Al-Aqsa was completed.")</f>
        <v>Wikipedia is now a repository of all wrong and misleading information, it provides very shaky information; Because Wikipedia was not born when Al-Aqsa was completed.</v>
      </c>
      <c r="F2714" s="1"/>
      <c r="G2714" s="1"/>
      <c r="H2714" s="1"/>
      <c r="I2714" s="1"/>
    </row>
    <row r="2715" spans="1:9" ht="15.6" x14ac:dyDescent="0.3">
      <c r="A2715" s="1" t="s">
        <v>4</v>
      </c>
      <c r="B2715" s="1" t="s">
        <v>5</v>
      </c>
      <c r="C2715" s="10" t="s">
        <v>4</v>
      </c>
      <c r="D2715" s="5" t="s">
        <v>2433</v>
      </c>
      <c r="E2715" s="1" t="str">
        <f ca="1">IFERROR(__xludf.DUMMYFUNCTION("GOOGLETRANSLATE(D2715, ""bn"", ""en"")"),"The Church of Satan was founded in San Francisco, California in 1966 by chat show celebrity Anton LaVey.")</f>
        <v>The Church of Satan was founded in San Francisco, California in 1966 by chat show celebrity Anton LaVey.</v>
      </c>
      <c r="F2715" s="1"/>
      <c r="G2715" s="1"/>
      <c r="H2715" s="1"/>
      <c r="I2715" s="1"/>
    </row>
    <row r="2716" spans="1:9" ht="15.6" x14ac:dyDescent="0.3">
      <c r="A2716" s="1" t="s">
        <v>5</v>
      </c>
      <c r="B2716" s="1" t="s">
        <v>5</v>
      </c>
      <c r="C2716" s="10" t="s">
        <v>5</v>
      </c>
      <c r="D2716" s="5" t="s">
        <v>2434</v>
      </c>
      <c r="E2716" s="1" t="str">
        <f ca="1">IFERROR(__xludf.DUMMYFUNCTION("GOOGLETRANSLATE(D2716, ""bn"", ""en"")"),"In the Islam and Science group, Islamic people can practice Islamic science to their heart's content...! At the same time, criticism of other religions will be kept to themselves. Please do not add heathens to the Islam and Science group")</f>
        <v>In the Islam and Science group, Islamic people can practice Islamic science to their heart's content...! At the same time, criticism of other religions will be kept to themselves. Please do not add heathens to the Islam and Science group</v>
      </c>
      <c r="F2716" s="1"/>
      <c r="G2716" s="1"/>
      <c r="H2716" s="1"/>
      <c r="I2716" s="1"/>
    </row>
    <row r="2717" spans="1:9" ht="15.6" x14ac:dyDescent="0.3">
      <c r="A2717" s="1" t="s">
        <v>7</v>
      </c>
      <c r="B2717" s="1" t="s">
        <v>7</v>
      </c>
      <c r="C2717" s="10" t="s">
        <v>7</v>
      </c>
      <c r="D2717" s="5" t="s">
        <v>2435</v>
      </c>
      <c r="E2717" s="1" t="str">
        <f ca="1">IFERROR(__xludf.DUMMYFUNCTION("GOOGLETRANSLATE(D2717, ""bn"", ""en"")"),"Attack on Hindu village of Rangpur, Bangladesh, 1 killed due to accusations of insulting religion on Facebook")</f>
        <v>Attack on Hindu village of Rangpur, Bangladesh, 1 killed due to accusations of insulting religion on Facebook</v>
      </c>
      <c r="F2717" s="1"/>
      <c r="G2717" s="1"/>
      <c r="H2717" s="1"/>
      <c r="I2717" s="1"/>
    </row>
    <row r="2718" spans="1:9" ht="15.6" x14ac:dyDescent="0.3">
      <c r="A2718" s="1" t="s">
        <v>7</v>
      </c>
      <c r="B2718" s="1" t="s">
        <v>7</v>
      </c>
      <c r="C2718" s="10" t="s">
        <v>7</v>
      </c>
      <c r="D2718" s="5" t="s">
        <v>2436</v>
      </c>
      <c r="E2718" s="1" t="str">
        <f ca="1">IFERROR(__xludf.DUMMYFUNCTION("GOOGLETRANSLATE(D2718, ""bn"", ""en"")"),"Serb forces launched a campaign of ethnic cleansing against Bosnian Muslims, killing more than 8,000 Muslim men and boys in Srebrenica.")</f>
        <v>Serb forces launched a campaign of ethnic cleansing against Bosnian Muslims, killing more than 8,000 Muslim men and boys in Srebrenica.</v>
      </c>
      <c r="F2718" s="1"/>
      <c r="G2718" s="1"/>
      <c r="H2718" s="1"/>
      <c r="I2718" s="1"/>
    </row>
    <row r="2719" spans="1:9" ht="15.6" x14ac:dyDescent="0.3">
      <c r="A2719" s="1" t="s">
        <v>9</v>
      </c>
      <c r="B2719" s="1" t="s">
        <v>9</v>
      </c>
      <c r="C2719" s="10" t="s">
        <v>9</v>
      </c>
      <c r="D2719" s="5" t="s">
        <v>2437</v>
      </c>
      <c r="E2719" s="1" t="str">
        <f ca="1">IFERROR(__xludf.DUMMYFUNCTION("GOOGLETRANSLATE(D2719, ""bn"", ""en"")"),"He said, people of Hindu community have been living in that village for many generations. This is the first time they have faced a major attack.")</f>
        <v>He said, people of Hindu community have been living in that village for many generations. This is the first time they have faced a major attack.</v>
      </c>
      <c r="F2719" s="1"/>
      <c r="G2719" s="1"/>
      <c r="H2719" s="1"/>
      <c r="I2719" s="1"/>
    </row>
    <row r="2720" spans="1:9" ht="15.6" x14ac:dyDescent="0.3">
      <c r="A2720" s="1" t="s">
        <v>7</v>
      </c>
      <c r="B2720" s="1" t="s">
        <v>7</v>
      </c>
      <c r="C2720" s="10" t="s">
        <v>7</v>
      </c>
      <c r="D2720" s="5" t="s">
        <v>2438</v>
      </c>
      <c r="E2720" s="1" t="str">
        <f ca="1">IFERROR(__xludf.DUMMYFUNCTION("GOOGLETRANSLATE(D2720, ""bn"", ""en"")"),"After visiting the affected places of worship of the Hindu community, he handed over a donation of 50 thousand taka 1 lakh to the families of Jatan Saha and Thanh Das who died in the violence.")</f>
        <v>After visiting the affected places of worship of the Hindu community, he handed over a donation of 50 thousand taka 1 lakh to the families of Jatan Saha and Thanh Das who died in the violence.</v>
      </c>
      <c r="F2720" s="1"/>
      <c r="G2720" s="1"/>
      <c r="H2720" s="1"/>
      <c r="I2720" s="1"/>
    </row>
    <row r="2721" spans="1:9" ht="15.6" x14ac:dyDescent="0.3">
      <c r="A2721" s="1" t="s">
        <v>9</v>
      </c>
      <c r="B2721" s="1" t="s">
        <v>4</v>
      </c>
      <c r="C2721" s="10" t="s">
        <v>9</v>
      </c>
      <c r="D2721" s="5" t="s">
        <v>2439</v>
      </c>
      <c r="E2721" s="1" t="str">
        <f ca="1">IFERROR(__xludf.DUMMYFUNCTION("GOOGLETRANSLATE(D2721, ""bn"", ""en"")"),"Those who insult Quran should be properly tried, I say as a Muslim, war should be declared against them.")</f>
        <v>Those who insult Quran should be properly tried, I say as a Muslim, war should be declared against them.</v>
      </c>
      <c r="F2721" s="1"/>
      <c r="G2721" s="1"/>
      <c r="H2721" s="1"/>
      <c r="I2721" s="1"/>
    </row>
    <row r="2722" spans="1:9" ht="15.6" x14ac:dyDescent="0.3">
      <c r="A2722" s="1" t="s">
        <v>5</v>
      </c>
      <c r="B2722" s="1" t="s">
        <v>5</v>
      </c>
      <c r="C2722" s="10" t="s">
        <v>5</v>
      </c>
      <c r="D2722" s="5" t="s">
        <v>2440</v>
      </c>
      <c r="E2722" s="1" t="str">
        <f ca="1">IFERROR(__xludf.DUMMYFUNCTION("GOOGLETRANSLATE(D2722, ""bn"", ""en"")"),"But there can be a point, by capitalizing on it, by bringing this point forward and creating a conflicting situation, a group has been wanting for a long time to establish a communal society and create a kind of conflict between religions. It is an attemp"&amp;"t on the part of the political forces who want to turn Bangladesh into Pakistan, to establish a rigid social system. We are aware of that.")</f>
        <v>But there can be a point, by capitalizing on it, by bringing this point forward and creating a conflicting situation, a group has been wanting for a long time to establish a communal society and create a kind of conflict between religions. It is an attempt on the part of the political forces who want to turn Bangladesh into Pakistan, to establish a rigid social system. We are aware of that.</v>
      </c>
      <c r="F2722" s="1"/>
      <c r="G2722" s="1"/>
      <c r="H2722" s="1"/>
      <c r="I2722" s="1"/>
    </row>
    <row r="2723" spans="1:9" ht="15.6" x14ac:dyDescent="0.3">
      <c r="A2723" s="1" t="s">
        <v>7</v>
      </c>
      <c r="B2723" s="1" t="s">
        <v>7</v>
      </c>
      <c r="C2723" s="10" t="s">
        <v>7</v>
      </c>
      <c r="D2723" s="5" t="s">
        <v>2441</v>
      </c>
      <c r="E2723" s="1" t="str">
        <f ca="1">IFERROR(__xludf.DUMMYFUNCTION("GOOGLETRANSLATE(D2723, ""bn"", ""en"")"),"A mosque belonging to the Ahmadiyya Muslim community was bombed, killing one person and injuring many others.")</f>
        <v>A mosque belonging to the Ahmadiyya Muslim community was bombed, killing one person and injuring many others.</v>
      </c>
      <c r="F2723" s="1"/>
      <c r="G2723" s="1"/>
      <c r="H2723" s="1"/>
      <c r="I2723" s="1"/>
    </row>
    <row r="2724" spans="1:9" ht="15.6" x14ac:dyDescent="0.3">
      <c r="A2724" s="1" t="s">
        <v>7</v>
      </c>
      <c r="B2724" s="1" t="s">
        <v>7</v>
      </c>
      <c r="C2724" s="10" t="s">
        <v>7</v>
      </c>
      <c r="D2724" s="5" t="s">
        <v>2442</v>
      </c>
      <c r="E2724" s="1" t="str">
        <f ca="1">IFERROR(__xludf.DUMMYFUNCTION("GOOGLETRANSLATE(D2724, ""bn"", ""en"")"),"During the reign of King Bainnaung (1550-1589) religious intolerance increased and Buddhists killed Muslims.")</f>
        <v>During the reign of King Bainnaung (1550-1589) religious intolerance increased and Buddhists killed Muslims.</v>
      </c>
      <c r="F2724" s="1"/>
      <c r="G2724" s="1"/>
      <c r="H2724" s="1"/>
      <c r="I2724" s="1"/>
    </row>
    <row r="2725" spans="1:9" ht="15.6" x14ac:dyDescent="0.3">
      <c r="A2725" s="1" t="s">
        <v>9</v>
      </c>
      <c r="B2725" s="1" t="s">
        <v>9</v>
      </c>
      <c r="C2725" s="10" t="s">
        <v>9</v>
      </c>
      <c r="D2725" s="5" t="s">
        <v>2443</v>
      </c>
      <c r="E2725" s="1" t="str">
        <f ca="1">IFERROR(__xludf.DUMMYFUNCTION("GOOGLETRANSLATE(D2725, ""bn"", ""en"")"),"Since the establishment of the state of Israel in 1948, the conflict between Jews and Palestinian Muslims and Christians has been ongoing, resulting in the displacement of many people.")</f>
        <v>Since the establishment of the state of Israel in 1948, the conflict between Jews and Palestinian Muslims and Christians has been ongoing, resulting in the displacement of many people.</v>
      </c>
      <c r="F2725" s="1"/>
      <c r="G2725" s="1"/>
      <c r="H2725" s="1"/>
      <c r="I2725" s="1"/>
    </row>
    <row r="2726" spans="1:9" ht="15.6" x14ac:dyDescent="0.3">
      <c r="A2726" s="1" t="s">
        <v>9</v>
      </c>
      <c r="B2726" s="1" t="s">
        <v>9</v>
      </c>
      <c r="C2726" s="10" t="s">
        <v>9</v>
      </c>
      <c r="D2726" s="5" t="s">
        <v>2444</v>
      </c>
      <c r="E2726" s="1" t="str">
        <f ca="1">IFERROR(__xludf.DUMMYFUNCTION("GOOGLETRANSLATE(D2726, ""bn"", ""en"")"),"Nupur Sharma, the national official spokesperson of India's ruling party, BJP, made the offensive comment on a TV channel talk show on May 27 during a debate over the demand to build a temple on the site of Gnanabapi Masjid in Uttar Pradesh.")</f>
        <v>Nupur Sharma, the national official spokesperson of India's ruling party, BJP, made the offensive comment on a TV channel talk show on May 27 during a debate over the demand to build a temple on the site of Gnanabapi Masjid in Uttar Pradesh.</v>
      </c>
      <c r="F2726" s="1"/>
      <c r="G2726" s="1"/>
      <c r="H2726" s="1"/>
      <c r="I2726" s="1"/>
    </row>
    <row r="2727" spans="1:9" ht="62.4" x14ac:dyDescent="0.3">
      <c r="A2727" s="1" t="s">
        <v>7</v>
      </c>
      <c r="B2727" s="1" t="s">
        <v>7</v>
      </c>
      <c r="C2727" s="10" t="s">
        <v>7</v>
      </c>
      <c r="D2727" s="6" t="s">
        <v>3739</v>
      </c>
      <c r="E2727" s="1" t="str">
        <f ca="1">IFERROR(__xludf.DUMMYFUNCTION("GOOGLETRANSLATE(D2727, ""bn"", ""en"")"),"Pakistani soldiers entered the prayer meeting and dragged the monks to the open space in front of the temple under a chalta tree next to the temple.[2] One monk, Navakumar Brahmachari, escaped and hid himself near the room under the stairs. The remaining "&amp;"8 were standing in front of the Pakistani soldiers. According to witnesses, twelve rounds were fired at each monk. Sannyasis attain heroism by singing Jai Jagatbandhu Hari")</f>
        <v>Pakistani soldiers entered the prayer meeting and dragged the monks to the open space in front of the temple under a chalta tree next to the temple.[2] One monk, Navakumar Brahmachari, escaped and hid himself near the room under the stairs. The remaining 8 were standing in front of the Pakistani soldiers. According to witnesses, twelve rounds were fired at each monk. Sannyasis attain heroism by singing Jai Jagatbandhu Hari</v>
      </c>
      <c r="F2727" s="1"/>
      <c r="G2727" s="1"/>
      <c r="H2727" s="1"/>
      <c r="I2727" s="1"/>
    </row>
    <row r="2728" spans="1:9" ht="15.6" x14ac:dyDescent="0.3">
      <c r="A2728" s="1" t="s">
        <v>9</v>
      </c>
      <c r="B2728" s="1" t="s">
        <v>9</v>
      </c>
      <c r="C2728" s="10" t="s">
        <v>9</v>
      </c>
      <c r="D2728" s="5" t="s">
        <v>2445</v>
      </c>
      <c r="E2728" s="1" t="str">
        <f ca="1">IFERROR(__xludf.DUMMYFUNCTION("GOOGLETRANSLATE(D2728, ""bn"", ""en"")"),"An old Ram temple was demolished in 1527 and rebuilt by Emperor Babur in 1528. [1] It has been the focus of conflict between the Hindu and Muslim communities since the eighteenth century, known as the Ayodhya Dispute.")</f>
        <v>An old Ram temple was demolished in 1527 and rebuilt by Emperor Babur in 1528. [1] It has been the focus of conflict between the Hindu and Muslim communities since the eighteenth century, known as the Ayodhya Dispute.</v>
      </c>
      <c r="F2728" s="1"/>
      <c r="G2728" s="1"/>
      <c r="H2728" s="1"/>
      <c r="I2728" s="1"/>
    </row>
    <row r="2729" spans="1:9" ht="15.6" x14ac:dyDescent="0.3">
      <c r="A2729" s="1" t="s">
        <v>5</v>
      </c>
      <c r="B2729" s="1" t="s">
        <v>5</v>
      </c>
      <c r="C2729" s="10" t="s">
        <v>5</v>
      </c>
      <c r="D2729" s="5" t="s">
        <v>2446</v>
      </c>
      <c r="E2729" s="1" t="str">
        <f ca="1">IFERROR(__xludf.DUMMYFUNCTION("GOOGLETRANSLATE(D2729, ""bn"", ""en"")"),"When a traveler sets out for a long journey, after walking a long way through the desert under the intense sun, when he sees a little shadow of a tree, he takes a little rest and sets off again to cover the rest of his journey. ")</f>
        <v>When a traveler sets out for a long journey, after walking a long way through the desert under the intense sun, when he sees a little shadow of a tree, he takes a little rest and sets off again to cover the rest of his journey. </v>
      </c>
      <c r="F2729" s="1"/>
      <c r="G2729" s="1"/>
      <c r="H2729" s="1"/>
      <c r="I2729" s="1"/>
    </row>
    <row r="2730" spans="1:9" ht="15.6" x14ac:dyDescent="0.3">
      <c r="A2730" s="1" t="s">
        <v>7</v>
      </c>
      <c r="B2730" s="1" t="s">
        <v>7</v>
      </c>
      <c r="C2730" s="10" t="s">
        <v>7</v>
      </c>
      <c r="D2730" s="5" t="s">
        <v>2447</v>
      </c>
      <c r="E2730" s="1" t="str">
        <f ca="1">IFERROR(__xludf.DUMMYFUNCTION("GOOGLETRANSLATE(D2730, ""bn"", ""en"")"),"At least one person was killed in police firing when hundreds of people attacked a Hindu village in Gangachra, Rangpur, Bangladesh. According to the police, a person from the Hindu village was attacked after allegedly posting religious insults on Facebook"&amp;".")</f>
        <v>At least one person was killed in police firing when hundreds of people attacked a Hindu village in Gangachra, Rangpur, Bangladesh. According to the police, a person from the Hindu village was attacked after allegedly posting religious insults on Facebook.</v>
      </c>
      <c r="F2730" s="1"/>
      <c r="G2730" s="1"/>
      <c r="H2730" s="1"/>
      <c r="I2730" s="1"/>
    </row>
    <row r="2731" spans="1:9" ht="15.6" x14ac:dyDescent="0.3">
      <c r="A2731" s="1" t="s">
        <v>5</v>
      </c>
      <c r="B2731" s="1" t="s">
        <v>5</v>
      </c>
      <c r="C2731" s="10" t="s">
        <v>5</v>
      </c>
      <c r="D2731" s="5" t="s">
        <v>2448</v>
      </c>
      <c r="E2731" s="1" t="str">
        <f ca="1">IFERROR(__xludf.DUMMYFUNCTION("GOOGLETRANSLATE(D2731, ""bn"", ""en"")"),"That's why I love Russia. Because Russia always stands for truth, virtue and Islam. And America can do any injustice for its own interests. I wish Russia success.")</f>
        <v>That's why I love Russia. Because Russia always stands for truth, virtue and Islam. And America can do any injustice for its own interests. I wish Russia success.</v>
      </c>
      <c r="F2731" s="1"/>
      <c r="G2731" s="1"/>
      <c r="H2731" s="1"/>
      <c r="I2731" s="1"/>
    </row>
    <row r="2732" spans="1:9" ht="15.6" x14ac:dyDescent="0.3">
      <c r="A2732" s="1" t="s">
        <v>5</v>
      </c>
      <c r="B2732" s="1" t="s">
        <v>5</v>
      </c>
      <c r="C2732" s="10" t="s">
        <v>5</v>
      </c>
      <c r="D2732" s="5" t="s">
        <v>2449</v>
      </c>
      <c r="E2732" s="1" t="str">
        <f ca="1">IFERROR(__xludf.DUMMYFUNCTION("GOOGLETRANSLATE(D2732, ""bn"", ""en"")"),"Although an American peacekeeping army nurse stated, on January 21 alone, she saw at least 600 dead bodies at the Dhaka Medical College Hospital, which was a profoundly human experience for her.")</f>
        <v>Although an American peacekeeping army nurse stated, on January 21 alone, she saw at least 600 dead bodies at the Dhaka Medical College Hospital, which was a profoundly human experience for her.</v>
      </c>
      <c r="F2732" s="1"/>
      <c r="G2732" s="1"/>
      <c r="H2732" s="1"/>
      <c r="I2732" s="1"/>
    </row>
    <row r="2733" spans="1:9" ht="15.6" x14ac:dyDescent="0.3">
      <c r="A2733" s="1" t="s">
        <v>5</v>
      </c>
      <c r="B2733" s="1" t="s">
        <v>5</v>
      </c>
      <c r="C2733" s="10" t="s">
        <v>5</v>
      </c>
      <c r="D2733" s="5" t="s">
        <v>2450</v>
      </c>
      <c r="E2733" s="1" t="str">
        <f ca="1">IFERROR(__xludf.DUMMYFUNCTION("GOOGLETRANSLATE(D2733, ""bn"", ""en"")"),"The Kaaba is considered the holiest place by followers of Islam.[1] It is the Qiblah of Muslims, meaning the direction they face when they pray or pray.")</f>
        <v>The Kaaba is considered the holiest place by followers of Islam.[1] It is the Qiblah of Muslims, meaning the direction they face when they pray or pray.</v>
      </c>
      <c r="F2733" s="1"/>
      <c r="G2733" s="1"/>
      <c r="H2733" s="1"/>
      <c r="I2733" s="1"/>
    </row>
    <row r="2734" spans="1:9" ht="15.6" x14ac:dyDescent="0.3">
      <c r="A2734" s="1" t="s">
        <v>9</v>
      </c>
      <c r="B2734" s="1" t="s">
        <v>9</v>
      </c>
      <c r="C2734" s="10" t="s">
        <v>9</v>
      </c>
      <c r="D2734" s="5" t="s">
        <v>2451</v>
      </c>
      <c r="E2734" s="1" t="str">
        <f ca="1">IFERROR(__xludf.DUMMYFUNCTION("GOOGLETRANSLATE(D2734, ""bn"", ""en"")"),"On 15th February the house of Dinendra Chandra Dev Purkayastha of Gangajal village was looted and occupied by Muslim miscreants. An attack was launched at Silani village under the control of Bahubal (formerly a sub-division of Karimganj) police station at"&amp;" 9 am.")</f>
        <v>On 15th February the house of Dinendra Chandra Dev Purkayastha of Gangajal village was looted and occupied by Muslim miscreants. An attack was launched at Silani village under the control of Bahubal (formerly a sub-division of Karimganj) police station at 9 am.</v>
      </c>
      <c r="F2734" s="1"/>
      <c r="G2734" s="1"/>
      <c r="H2734" s="1"/>
      <c r="I2734" s="1"/>
    </row>
    <row r="2735" spans="1:9" ht="15.6" x14ac:dyDescent="0.3">
      <c r="A2735" s="1" t="s">
        <v>9</v>
      </c>
      <c r="B2735" s="1" t="s">
        <v>9</v>
      </c>
      <c r="C2735" s="10" t="s">
        <v>9</v>
      </c>
      <c r="D2735" s="5" t="s">
        <v>2452</v>
      </c>
      <c r="E2735" s="1" t="str">
        <f ca="1">IFERROR(__xludf.DUMMYFUNCTION("GOOGLETRANSLATE(D2735, ""bn"", ""en"")"),"On August 21, 13 people were injured in the attack and beating of the opponents when the Hindu community occupied the Lashkar Union in Khulna's Paikgacha. Both were sent to Khulna Medical College Hospital for advanced treatment.")</f>
        <v>On August 21, 13 people were injured in the attack and beating of the opponents when the Hindu community occupied the Lashkar Union in Khulna's Paikgacha. Both were sent to Khulna Medical College Hospital for advanced treatment.</v>
      </c>
      <c r="F2735" s="1"/>
      <c r="G2735" s="1"/>
      <c r="H2735" s="1"/>
      <c r="I2735" s="1"/>
    </row>
    <row r="2736" spans="1:9" ht="15.6" x14ac:dyDescent="0.3">
      <c r="A2736" s="1" t="s">
        <v>9</v>
      </c>
      <c r="B2736" s="1" t="s">
        <v>9</v>
      </c>
      <c r="C2736" s="10" t="s">
        <v>9</v>
      </c>
      <c r="D2736" s="5" t="s">
        <v>2453</v>
      </c>
      <c r="E2736" s="1" t="str">
        <f ca="1">IFERROR(__xludf.DUMMYFUNCTION("GOOGLETRANSLATE(D2736, ""bn"", ""en"")"),"He said that a young Hindu had insulted Islam by posting on Facebook, and the allegations were spread on Friday afternoon. The attack was carried out in the evening without any opportunity to verify or take any action.")</f>
        <v>He said that a young Hindu had insulted Islam by posting on Facebook, and the allegations were spread on Friday afternoon. The attack was carried out in the evening without any opportunity to verify or take any action.</v>
      </c>
      <c r="F2736" s="1"/>
      <c r="G2736" s="1"/>
      <c r="H2736" s="1"/>
      <c r="I2736" s="1"/>
    </row>
    <row r="2737" spans="1:9" ht="15.6" x14ac:dyDescent="0.3">
      <c r="A2737" s="1" t="s">
        <v>7</v>
      </c>
      <c r="B2737" s="1" t="s">
        <v>7</v>
      </c>
      <c r="C2737" s="10" t="s">
        <v>7</v>
      </c>
      <c r="D2737" s="5" t="s">
        <v>2454</v>
      </c>
      <c r="E2737" s="1" t="str">
        <f ca="1">IFERROR(__xludf.DUMMYFUNCTION("GOOGLETRANSLATE(D2737, ""bn"", ""en"")"),"The Taliban's implementation of strict Sharia law in Afghanistan has resulted in the loss of many lives, particularly the repression of women.")</f>
        <v>The Taliban's implementation of strict Sharia law in Afghanistan has resulted in the loss of many lives, particularly the repression of women.</v>
      </c>
      <c r="F2737" s="1"/>
      <c r="G2737" s="1"/>
      <c r="H2737" s="1"/>
      <c r="I2737" s="1"/>
    </row>
    <row r="2738" spans="1:9" ht="15.6" x14ac:dyDescent="0.3">
      <c r="A2738" s="1" t="s">
        <v>4</v>
      </c>
      <c r="B2738" s="1" t="s">
        <v>4</v>
      </c>
      <c r="C2738" s="10" t="s">
        <v>4</v>
      </c>
      <c r="D2738" s="5" t="s">
        <v>2455</v>
      </c>
      <c r="E2738" s="1" t="str">
        <f ca="1">IFERROR(__xludf.DUMMYFUNCTION("GOOGLETRANSLATE(D2738, ""bn"", ""en"")"),"Proclamation of banning Guru's meat, cooking in rented pots are nothing more than communal provocations. ")</f>
        <v xml:space="preserve">Proclamation of banning Guru's meat, cooking in rented pots are nothing more than communal provocations. </v>
      </c>
      <c r="F2738" s="1"/>
      <c r="G2738" s="1"/>
      <c r="H2738" s="1"/>
      <c r="I2738" s="1"/>
    </row>
    <row r="2739" spans="1:9" ht="15.6" x14ac:dyDescent="0.3">
      <c r="A2739" s="1" t="s">
        <v>7</v>
      </c>
      <c r="B2739" s="1" t="s">
        <v>7</v>
      </c>
      <c r="C2739" s="10" t="s">
        <v>7</v>
      </c>
      <c r="D2739" s="5" t="s">
        <v>2456</v>
      </c>
      <c r="E2739" s="1" t="str">
        <f ca="1">IFERROR(__xludf.DUMMYFUNCTION("GOOGLETRANSLATE(D2739, ""bn"", ""en"")"),"The heart that failed and committed suicide finally passed")</f>
        <v>The heart that failed and committed suicide finally passed</v>
      </c>
      <c r="F2739" s="1"/>
      <c r="G2739" s="1"/>
      <c r="H2739" s="1"/>
      <c r="I2739" s="1"/>
    </row>
    <row r="2740" spans="1:9" ht="15.6" x14ac:dyDescent="0.3">
      <c r="A2740" s="1" t="s">
        <v>7</v>
      </c>
      <c r="B2740" s="1" t="s">
        <v>4</v>
      </c>
      <c r="C2740" s="10" t="s">
        <v>7</v>
      </c>
      <c r="D2740" s="5" t="s">
        <v>2399</v>
      </c>
      <c r="E2740" s="1" t="str">
        <f ca="1">IFERROR(__xludf.DUMMYFUNCTION("GOOGLETRANSLATE(D2740, ""bn"", ""en"")"),"The violence began early in the morning with a rocket barrage of at least 5,000 missiles against Israel and an infiltration of land transport vehicles.")</f>
        <v>The violence began early in the morning with a rocket barrage of at least 5,000 missiles against Israel and an infiltration of land transport vehicles.</v>
      </c>
      <c r="F2740" s="1"/>
      <c r="G2740" s="1"/>
      <c r="H2740" s="1"/>
      <c r="I2740" s="1"/>
    </row>
    <row r="2741" spans="1:9" ht="15.6" x14ac:dyDescent="0.3">
      <c r="A2741" s="1" t="s">
        <v>4</v>
      </c>
      <c r="B2741" s="1" t="s">
        <v>4</v>
      </c>
      <c r="C2741" s="10" t="s">
        <v>4</v>
      </c>
      <c r="D2741" s="5" t="s">
        <v>2457</v>
      </c>
      <c r="E2741" s="1" t="str">
        <f ca="1">IFERROR(__xludf.DUMMYFUNCTION("GOOGLETRANSLATE(D2741, ""bn"", ""en"")")," Hindu men were forced by Muslims to pray in mosques. Hindus are forced to eat beef because they do not eat cow meat as it is sacred to them according to Hindu religion. Hindu girls and women are forced into marriage by Muslims.")</f>
        <v> Hindu men were forced by Muslims to pray in mosques. Hindus are forced to eat beef because they do not eat cow meat as it is sacred to them according to Hindu religion. Hindu girls and women are forced into marriage by Muslims.</v>
      </c>
      <c r="F2741" s="1"/>
      <c r="G2741" s="1"/>
      <c r="H2741" s="1"/>
      <c r="I2741" s="1"/>
    </row>
    <row r="2742" spans="1:9" ht="15.6" x14ac:dyDescent="0.3">
      <c r="A2742" s="1" t="s">
        <v>4</v>
      </c>
      <c r="B2742" s="1" t="s">
        <v>4</v>
      </c>
      <c r="C2742" s="10" t="s">
        <v>4</v>
      </c>
      <c r="D2742" s="5" t="s">
        <v>2458</v>
      </c>
      <c r="E2742" s="1" t="str">
        <f ca="1">IFERROR(__xludf.DUMMYFUNCTION("GOOGLETRANSLATE(D2742, ""bn"", ""en"")"),"I think it is necessary to intervene in this matter whether the statesmen say or the government says. No one should give priority to the matter of religion or instigate it or use it in any way. Lately what I understand is that politics is more about relig"&amp;"ion and politics is going on using religion")</f>
        <v>I think it is necessary to intervene in this matter whether the statesmen say or the government says. No one should give priority to the matter of religion or instigate it or use it in any way. Lately what I understand is that politics is more about religion and politics is going on using religion</v>
      </c>
      <c r="F2742" s="1"/>
      <c r="G2742" s="1"/>
      <c r="H2742" s="1"/>
      <c r="I2742" s="1"/>
    </row>
    <row r="2743" spans="1:9" ht="15.6" x14ac:dyDescent="0.3">
      <c r="A2743" s="1" t="s">
        <v>9</v>
      </c>
      <c r="B2743" s="1" t="s">
        <v>9</v>
      </c>
      <c r="C2743" s="10" t="s">
        <v>9</v>
      </c>
      <c r="D2743" s="5" t="s">
        <v>2459</v>
      </c>
      <c r="E2743" s="1" t="str">
        <f ca="1">IFERROR(__xludf.DUMMYFUNCTION("GOOGLETRANSLATE(D2743, ""bn"", ""en"")"),"In 2000, sectarian violence between Muslims and Christians occurred regularly in northern Nigeria, where many villages were burned and")</f>
        <v>In 2000, sectarian violence between Muslims and Christians occurred regularly in northern Nigeria, where many villages were burned and</v>
      </c>
      <c r="F2743" s="1"/>
      <c r="G2743" s="1"/>
      <c r="H2743" s="1"/>
      <c r="I2743" s="1"/>
    </row>
    <row r="2744" spans="1:9" ht="15.6" x14ac:dyDescent="0.3">
      <c r="A2744" s="1" t="s">
        <v>7</v>
      </c>
      <c r="B2744" s="1" t="s">
        <v>7</v>
      </c>
      <c r="C2744" s="10" t="s">
        <v>7</v>
      </c>
      <c r="D2744" s="5" t="s">
        <v>2460</v>
      </c>
      <c r="E2744" s="1" t="str">
        <f ca="1">IFERROR(__xludf.DUMMYFUNCTION("GOOGLETRANSLATE(D2744, ""bn"", ""en"")"),"Insulting not only the Quran, but all scriptures and God should be punishable by death as the minimum, and public execution as the maximum.")</f>
        <v>Insulting not only the Quran, but all scriptures and God should be punishable by death as the minimum, and public execution as the maximum.</v>
      </c>
      <c r="F2744" s="1"/>
      <c r="G2744" s="1"/>
      <c r="H2744" s="1"/>
      <c r="I2744" s="1"/>
    </row>
    <row r="2745" spans="1:9" ht="15.6" x14ac:dyDescent="0.3">
      <c r="A2745" s="1" t="s">
        <v>9</v>
      </c>
      <c r="B2745" s="1" t="s">
        <v>5</v>
      </c>
      <c r="C2745" s="10" t="s">
        <v>9</v>
      </c>
      <c r="D2745" s="5" t="s">
        <v>2461</v>
      </c>
      <c r="E2745" s="1" t="str">
        <f ca="1">IFERROR(__xludf.DUMMYFUNCTION("GOOGLETRANSLATE(D2745, ""bn"", ""en"")"),"Meanwhile, the Prime Minister in the regular meeting of the Council of Ministers also directed the Home Minister to take strict peaceful action against the people who attacked various puja mandaps and rioters based on rumors in Comilla.")</f>
        <v>Meanwhile, the Prime Minister in the regular meeting of the Council of Ministers also directed the Home Minister to take strict peaceful action against the people who attacked various puja mandaps and rioters based on rumors in Comilla.</v>
      </c>
      <c r="F2745" s="1"/>
      <c r="G2745" s="1"/>
      <c r="H2745" s="1"/>
      <c r="I2745" s="1"/>
    </row>
    <row r="2746" spans="1:9" ht="15.6" x14ac:dyDescent="0.3">
      <c r="A2746" s="1" t="s">
        <v>9</v>
      </c>
      <c r="B2746" s="1" t="s">
        <v>9</v>
      </c>
      <c r="C2746" s="10" t="s">
        <v>9</v>
      </c>
      <c r="D2746" s="5" t="s">
        <v>2462</v>
      </c>
      <c r="E2746" s="1" t="str">
        <f ca="1">IFERROR(__xludf.DUMMYFUNCTION("GOOGLETRANSLATE(D2746, ""bn"", ""en"")"),"Swedish Islamophobic group Danske Patriot burned the Quran in front of the Iraqi embassy in Copenhagen on Friday. The group said they did this mainly to protest the attack on the Swedish embassy in Iraq. ")</f>
        <v>Swedish Islamophobic group Danske Patriot burned the Quran in front of the Iraqi embassy in Copenhagen on Friday. The group said they did this mainly to protest the attack on the Swedish embassy in Iraq. </v>
      </c>
      <c r="F2746" s="1"/>
      <c r="G2746" s="1"/>
      <c r="H2746" s="1"/>
      <c r="I2746" s="1"/>
    </row>
    <row r="2747" spans="1:9" ht="15.6" x14ac:dyDescent="0.3">
      <c r="A2747" s="1" t="s">
        <v>5</v>
      </c>
      <c r="B2747" s="1" t="s">
        <v>5</v>
      </c>
      <c r="C2747" s="10" t="s">
        <v>5</v>
      </c>
      <c r="D2747" s="5" t="s">
        <v>2463</v>
      </c>
      <c r="E2747" s="1" t="str">
        <f ca="1">IFERROR(__xludf.DUMMYFUNCTION("GOOGLETRANSLATE(D2747, ""bn"", ""en"")"),"It cannot be asserted that the Buddhists in Chittagong will remain in peace for much longer, given the recent riots at Ramu and elsewhere.)")</f>
        <v>It cannot be asserted that the Buddhists in Chittagong will remain in peace for much longer, given the recent riots at Ramu and elsewhere.)</v>
      </c>
      <c r="F2747" s="1"/>
      <c r="G2747" s="1"/>
      <c r="H2747" s="1"/>
      <c r="I2747" s="1"/>
    </row>
    <row r="2748" spans="1:9" ht="15.6" x14ac:dyDescent="0.3">
      <c r="A2748" s="1" t="s">
        <v>7</v>
      </c>
      <c r="B2748" s="1" t="s">
        <v>7</v>
      </c>
      <c r="C2748" s="10" t="s">
        <v>7</v>
      </c>
      <c r="D2748" s="5" t="s">
        <v>1741</v>
      </c>
      <c r="E2748" s="1" t="str">
        <f ca="1">IFERROR(__xludf.DUMMYFUNCTION("GOOGLETRANSLATE(D2748, ""bn"", ""en"")"),"How can my Muslim brother kill a brother and the brother remains. Where am I today? May Allah judge them.")</f>
        <v>How can my Muslim brother kill a brother and the brother remains. Where am I today? May Allah judge them.</v>
      </c>
      <c r="F2748" s="1"/>
      <c r="G2748" s="1"/>
      <c r="H2748" s="1"/>
      <c r="I2748" s="1"/>
    </row>
    <row r="2749" spans="1:9" ht="15.6" x14ac:dyDescent="0.3">
      <c r="A2749" s="1" t="s">
        <v>9</v>
      </c>
      <c r="B2749" s="1" t="s">
        <v>9</v>
      </c>
      <c r="C2749" s="10" t="s">
        <v>9</v>
      </c>
      <c r="D2749" s="5" t="s">
        <v>2464</v>
      </c>
      <c r="E2749" s="1" t="str">
        <f ca="1">IFERROR(__xludf.DUMMYFUNCTION("GOOGLETRANSLATE(D2749, ""bn"", ""en"")"),"The attacks are also on the majority Muslim community. A group is doing it for their cause or opinion. Trying to destroy the relationship on the basis of religion. It should be ignored.")</f>
        <v>The attacks are also on the majority Muslim community. A group is doing it for their cause or opinion. Trying to destroy the relationship on the basis of religion. It should be ignored.</v>
      </c>
      <c r="F2749" s="1"/>
      <c r="G2749" s="1"/>
      <c r="H2749" s="1"/>
      <c r="I2749" s="1"/>
    </row>
    <row r="2750" spans="1:9" ht="15.6" x14ac:dyDescent="0.3">
      <c r="A2750" s="1" t="s">
        <v>4</v>
      </c>
      <c r="B2750" s="1" t="s">
        <v>4</v>
      </c>
      <c r="C2750" s="10" t="s">
        <v>4</v>
      </c>
      <c r="D2750" s="5" t="s">
        <v>2465</v>
      </c>
      <c r="E2750" s="1" t="str">
        <f ca="1">IFERROR(__xludf.DUMMYFUNCTION("GOOGLETRANSLATE(D2750, ""bn"", ""en"")"),"Apart from the university-centric conspiracy, who is behind the burning of sugar warehouses imported from Brazil, the imposition of high tariffs on dates as luxury goods, and making the month of Ramadan difficult for Muslims? Think about it, try to think!"&amp;" ")</f>
        <v xml:space="preserve">Apart from the university-centric conspiracy, who is behind the burning of sugar warehouses imported from Brazil, the imposition of high tariffs on dates as luxury goods, and making the month of Ramadan difficult for Muslims? Think about it, try to think! </v>
      </c>
      <c r="F2750" s="1"/>
      <c r="G2750" s="1"/>
      <c r="H2750" s="1"/>
      <c r="I2750" s="1"/>
    </row>
    <row r="2751" spans="1:9" ht="15.6" x14ac:dyDescent="0.3">
      <c r="A2751" s="1" t="s">
        <v>7</v>
      </c>
      <c r="B2751" s="1" t="s">
        <v>7</v>
      </c>
      <c r="C2751" s="10" t="s">
        <v>7</v>
      </c>
      <c r="D2751" s="5" t="s">
        <v>2466</v>
      </c>
      <c r="E2751" s="1" t="str">
        <f ca="1">IFERROR(__xludf.DUMMYFUNCTION("GOOGLETRANSLATE(D2751, ""bn"", ""en"")"),"Riots between Hindus and Muslims left over a hundred dead, with 438 injured.")</f>
        <v>Riots between Hindus and Muslims left over a hundred dead, with 438 injured.</v>
      </c>
      <c r="F2751" s="1"/>
      <c r="G2751" s="1"/>
      <c r="H2751" s="1"/>
      <c r="I2751" s="1"/>
    </row>
    <row r="2752" spans="1:9" ht="15.6" x14ac:dyDescent="0.3">
      <c r="A2752" s="1" t="s">
        <v>7</v>
      </c>
      <c r="B2752" s="1" t="s">
        <v>7</v>
      </c>
      <c r="C2752" s="10" t="s">
        <v>7</v>
      </c>
      <c r="D2752" s="5" t="s">
        <v>2467</v>
      </c>
      <c r="E2752" s="1" t="str">
        <f ca="1">IFERROR(__xludf.DUMMYFUNCTION("GOOGLETRANSLATE(D2752, ""bn"", ""en"")")," It cited hundreds of incidents of ""murders, attempted murders, death threats, assaults, rapes, kidnappings, and attacks on homes, businesses, and places of worship"" against religious minorities in 2017. 207] Since the 1990s, Hindus have been a persecut"&amp;"ed minority in Afghanistan and the subject of ""intense hatred"" with the rise of religious fundamentalism in Afghanistan.")</f>
        <v> It cited hundreds of incidents of "murders, attempted murders, death threats, assaults, rapes, kidnappings, and attacks on homes, businesses, and places of worship" against religious minorities in 2017. 207] Since the 1990s, Hindus have been a persecuted minority in Afghanistan and the subject of "intense hatred" with the rise of religious fundamentalism in Afghanistan.</v>
      </c>
      <c r="F2752" s="1"/>
      <c r="G2752" s="1"/>
      <c r="H2752" s="1"/>
      <c r="I2752" s="1"/>
    </row>
    <row r="2753" spans="1:9" ht="15.6" x14ac:dyDescent="0.3">
      <c r="A2753" s="1" t="s">
        <v>9</v>
      </c>
      <c r="B2753" s="1" t="s">
        <v>9</v>
      </c>
      <c r="C2753" s="10" t="s">
        <v>9</v>
      </c>
      <c r="D2753" s="5" t="s">
        <v>2468</v>
      </c>
      <c r="E2753" s="1" t="str">
        <f ca="1">IFERROR(__xludf.DUMMYFUNCTION("GOOGLETRANSLATE(D2753, ""bn"", ""en"")"),"Shafiqul Islam, OC of Mehendiganj police station, said that there was no vandalism, it was opened. Dilip Dhali, president of the temple committee, said that the pottery artists worked till 1:30 a.m. that day. After that, the artists went to sleep by cling"&amp;"ing to the tin fence of the temple. Came in the morning and saw that the idol had been vandalized. ")</f>
        <v>Shafiqul Islam, OC of Mehendiganj police station, said that there was no vandalism, it was opened. Dilip Dhali, president of the temple committee, said that the pottery artists worked till 1:30 a.m. that day. After that, the artists went to sleep by clinging to the tin fence of the temple. Came in the morning and saw that the idol had been vandalized. </v>
      </c>
      <c r="F2753" s="1"/>
      <c r="G2753" s="1"/>
      <c r="H2753" s="1"/>
      <c r="I2753" s="1"/>
    </row>
    <row r="2754" spans="1:9" ht="17.399999999999999" x14ac:dyDescent="0.3">
      <c r="A2754" s="1" t="s">
        <v>7</v>
      </c>
      <c r="B2754" s="1" t="s">
        <v>7</v>
      </c>
      <c r="C2754" s="10" t="s">
        <v>7</v>
      </c>
      <c r="D2754" s="5" t="s">
        <v>3514</v>
      </c>
      <c r="E2754" s="1" t="str">
        <f ca="1">IFERROR(__xludf.DUMMYFUNCTION("GOOGLETRANSLATE(D2754, ""bn"", ""en"")"),"An early fourteenth-century Christian traveler in Pordenone mentions the burning of women at Jampa or Champa in what is now southern or central Vietnam.")</f>
        <v>An early fourteenth-century Christian traveler in Pordenone mentions the burning of women at Jampa or Champa in what is now southern or central Vietnam.</v>
      </c>
      <c r="F2754" s="1"/>
      <c r="G2754" s="1"/>
      <c r="H2754" s="1"/>
      <c r="I2754" s="1"/>
    </row>
    <row r="2755" spans="1:9" ht="15.6" x14ac:dyDescent="0.3">
      <c r="A2755" s="1" t="s">
        <v>4</v>
      </c>
      <c r="B2755" s="1" t="s">
        <v>5</v>
      </c>
      <c r="C2755" s="10" t="s">
        <v>4</v>
      </c>
      <c r="D2755" s="5" t="s">
        <v>2469</v>
      </c>
      <c r="E2755" s="1" t="str">
        <f ca="1">IFERROR(__xludf.DUMMYFUNCTION("GOOGLETRANSLATE(D2755, ""bn"", ""en"")"),"I don't understand, how dare these inhumans come out like this?!! They should be socially boycotted and punished.")</f>
        <v>I don't understand, how dare these inhumans come out like this?!! They should be socially boycotted and punished.</v>
      </c>
      <c r="F2755" s="1"/>
      <c r="G2755" s="1"/>
      <c r="H2755" s="1"/>
      <c r="I2755" s="1"/>
    </row>
    <row r="2756" spans="1:9" ht="15.6" x14ac:dyDescent="0.3">
      <c r="A2756" s="1" t="s">
        <v>4</v>
      </c>
      <c r="B2756" s="1" t="s">
        <v>4</v>
      </c>
      <c r="C2756" s="10" t="s">
        <v>4</v>
      </c>
      <c r="D2756" s="5" t="s">
        <v>2470</v>
      </c>
      <c r="E2756" s="1" t="str">
        <f ca="1">IFERROR(__xludf.DUMMYFUNCTION("GOOGLETRANSLATE(D2756, ""bn"", ""en"")"),"I am surprised, our former MP is not a man of Sanatan religion but some of his feet licking Muslims are trying to depoliticize their religion with Mosjin.")</f>
        <v>I am surprised, our former MP is not a man of Sanatan religion but some of his feet licking Muslims are trying to depoliticize their religion with Mosjin.</v>
      </c>
      <c r="F2756" s="1"/>
      <c r="G2756" s="1"/>
      <c r="H2756" s="1"/>
      <c r="I2756" s="1"/>
    </row>
    <row r="2757" spans="1:9" ht="15.6" x14ac:dyDescent="0.3">
      <c r="A2757" s="1" t="s">
        <v>4</v>
      </c>
      <c r="B2757" s="1" t="s">
        <v>4</v>
      </c>
      <c r="C2757" s="10" t="s">
        <v>4</v>
      </c>
      <c r="D2757" s="5" t="s">
        <v>2471</v>
      </c>
      <c r="E2757" s="1" t="str">
        <f ca="1">IFERROR(__xludf.DUMMYFUNCTION("GOOGLETRANSLATE(D2757, ""bn"", ""en"")"),"If the male members of every traditional family are aware and aware about the respect of women and the practice of religion, then it is possible to build a civilized society by abolishing the barbaric dance and song during worship. Bro, make a video on th"&amp;"is.")</f>
        <v>If the male members of every traditional family are aware and aware about the respect of women and the practice of religion, then it is possible to build a civilized society by abolishing the barbaric dance and song during worship. Bro, make a video on this.</v>
      </c>
      <c r="F2757" s="1"/>
      <c r="G2757" s="1"/>
      <c r="H2757" s="1"/>
      <c r="I2757" s="1"/>
    </row>
    <row r="2758" spans="1:9" ht="15.6" x14ac:dyDescent="0.3">
      <c r="A2758" s="1" t="s">
        <v>7</v>
      </c>
      <c r="B2758" s="1" t="s">
        <v>7</v>
      </c>
      <c r="C2758" s="10" t="s">
        <v>7</v>
      </c>
      <c r="D2758" s="5" t="s">
        <v>2472</v>
      </c>
      <c r="E2758" s="1" t="str">
        <f ca="1">IFERROR(__xludf.DUMMYFUNCTION("GOOGLETRANSLATE(D2758, ""bn"", ""en"")"),"120,000 Muslims were killed in Bosnia in World War II")</f>
        <v>120,000 Muslims were killed in Bosnia in World War II</v>
      </c>
      <c r="F2758" s="1"/>
      <c r="G2758" s="1"/>
      <c r="H2758" s="1"/>
      <c r="I2758" s="1"/>
    </row>
    <row r="2759" spans="1:9" ht="15.6" x14ac:dyDescent="0.3">
      <c r="A2759" s="1" t="s">
        <v>7</v>
      </c>
      <c r="B2759" s="1" t="s">
        <v>4</v>
      </c>
      <c r="C2759" s="10" t="s">
        <v>7</v>
      </c>
      <c r="D2759" s="5" t="s">
        <v>2473</v>
      </c>
      <c r="E2759" s="1" t="str">
        <f ca="1">IFERROR(__xludf.DUMMYFUNCTION("GOOGLETRANSLATE(D2759, ""bn"", ""en"")"),"The massacres in Noakhali and Tippera districts in October 1946 are considered to be an infamous aftermath of the Great Calcutta Killings. News of the Calcutta riots influenced the Noakhali-Tippar riots. But the violence was different in nature than the C"&amp;"alcutta riots.")</f>
        <v>The massacres in Noakhali and Tippera districts in October 1946 are considered to be an infamous aftermath of the Great Calcutta Killings. News of the Calcutta riots influenced the Noakhali-Tippar riots. But the violence was different in nature than the Calcutta riots.</v>
      </c>
      <c r="F2759" s="1"/>
      <c r="G2759" s="1"/>
      <c r="H2759" s="1"/>
      <c r="I2759" s="1"/>
    </row>
    <row r="2760" spans="1:9" ht="15.6" x14ac:dyDescent="0.3">
      <c r="A2760" s="1" t="s">
        <v>7</v>
      </c>
      <c r="B2760" s="1" t="s">
        <v>5</v>
      </c>
      <c r="C2760" s="10" t="s">
        <v>7</v>
      </c>
      <c r="D2760" s="5" t="s">
        <v>2474</v>
      </c>
      <c r="E2760" s="1" t="str">
        <f ca="1">IFERROR(__xludf.DUMMYFUNCTION("GOOGLETRANSLATE(D2760, ""bn"", ""en"")"),"The killing of Bengali Hindus in East Bengal started with the spread of the news that the hair of the head of Hazrat Muhammad (PBUH) had been stolen from the shrine called Hazratbal located in Jammu and Kashmir, India.")</f>
        <v>The killing of Bengali Hindus in East Bengal started with the spread of the news that the hair of the head of Hazrat Muhammad (PBUH) had been stolen from the shrine called Hazratbal located in Jammu and Kashmir, India.</v>
      </c>
      <c r="F2760" s="1"/>
      <c r="G2760" s="1"/>
      <c r="H2760" s="1"/>
      <c r="I2760" s="1"/>
    </row>
    <row r="2761" spans="1:9" ht="15.6" x14ac:dyDescent="0.3">
      <c r="A2761" s="1" t="s">
        <v>9</v>
      </c>
      <c r="B2761" s="1" t="s">
        <v>9</v>
      </c>
      <c r="C2761" s="10" t="s">
        <v>9</v>
      </c>
      <c r="D2761" s="5" t="s">
        <v>2475</v>
      </c>
      <c r="E2761" s="1" t="str">
        <f ca="1">IFERROR(__xludf.DUMMYFUNCTION("GOOGLETRANSLATE(D2761, ""bn"", ""en"")"),"Inciting Hindu-Muslim riots in the subcontinent and exterminating Muslims from India is just part of the conspiracy. Experts believe that it is appropriate to burn India's cow urine constitution, which is against religious education and sentiments.")</f>
        <v>Inciting Hindu-Muslim riots in the subcontinent and exterminating Muslims from India is just part of the conspiracy. Experts believe that it is appropriate to burn India's cow urine constitution, which is against religious education and sentiments.</v>
      </c>
      <c r="F2761" s="1"/>
      <c r="G2761" s="1"/>
      <c r="H2761" s="1"/>
      <c r="I2761" s="1"/>
    </row>
    <row r="2762" spans="1:9" ht="15.6" x14ac:dyDescent="0.3">
      <c r="A2762" s="1" t="s">
        <v>4</v>
      </c>
      <c r="B2762" s="1" t="s">
        <v>4</v>
      </c>
      <c r="C2762" s="10" t="s">
        <v>4</v>
      </c>
      <c r="D2762" s="5" t="s">
        <v>2476</v>
      </c>
      <c r="E2762" s="1" t="str">
        <f ca="1">IFERROR(__xludf.DUMMYFUNCTION("GOOGLETRANSLATE(D2762, ""bn"", ""en"")"),"Need to discuss in more detail. The person asking the question has a wrong way of asking, and the person giving the answer has many tricks in the answer. A clear answer is not available. Need to call the podcast more intelligently. Let him who is coming h"&amp;"ave no gap in knowledge while answering. ")</f>
        <v xml:space="preserve">Need to discuss in more detail. The person asking the question has a wrong way of asking, and the person giving the answer has many tricks in the answer. A clear answer is not available. Need to call the podcast more intelligently. Let him who is coming have no gap in knowledge while answering. </v>
      </c>
      <c r="F2762" s="1"/>
      <c r="G2762" s="1"/>
      <c r="H2762" s="1"/>
      <c r="I2762" s="1"/>
    </row>
    <row r="2763" spans="1:9" ht="15.6" x14ac:dyDescent="0.3">
      <c r="A2763" s="1" t="s">
        <v>7</v>
      </c>
      <c r="B2763" s="1" t="s">
        <v>7</v>
      </c>
      <c r="C2763" s="10" t="s">
        <v>7</v>
      </c>
      <c r="D2763" s="5" t="s">
        <v>2477</v>
      </c>
      <c r="E2763" s="1" t="str">
        <f ca="1">IFERROR(__xludf.DUMMYFUNCTION("GOOGLETRANSLATE(D2763, ""bn"", ""en"")"),"Shabdah is the method of cremation by cremation.[1] It is an alternative to burial or burial.")</f>
        <v>Shabdah is the method of cremation by cremation.[1] It is an alternative to burial or burial.</v>
      </c>
      <c r="F2763" s="1"/>
      <c r="G2763" s="1"/>
      <c r="H2763" s="1"/>
      <c r="I2763" s="1"/>
    </row>
    <row r="2764" spans="1:9" ht="15.6" x14ac:dyDescent="0.3">
      <c r="A2764" s="1" t="s">
        <v>9</v>
      </c>
      <c r="B2764" s="1" t="s">
        <v>9</v>
      </c>
      <c r="C2764" s="10" t="s">
        <v>9</v>
      </c>
      <c r="D2764" s="5" t="s">
        <v>2478</v>
      </c>
      <c r="E2764" s="1" t="str">
        <f ca="1">IFERROR(__xludf.DUMMYFUNCTION("GOOGLETRANSLATE(D2764, ""bn"", ""en"")"),"The Ramkot fort along with the house considered by Hindus to be the birthplace of Rama was demolished. A mosque with three domes was built in its place. However, he also noted, ""Others say it was built by 'Babur' [Babur]"". Hindus continue to pray at the"&amp;" earthen square marking the birthplace of Rama.")</f>
        <v>The Ramkot fort along with the house considered by Hindus to be the birthplace of Rama was demolished. A mosque with three domes was built in its place. However, he also noted, "Others say it was built by 'Babur' [Babur]". Hindus continue to pray at the earthen square marking the birthplace of Rama.</v>
      </c>
      <c r="F2764" s="1"/>
      <c r="G2764" s="1"/>
      <c r="H2764" s="1"/>
      <c r="I2764" s="1"/>
    </row>
    <row r="2765" spans="1:9" ht="15.6" x14ac:dyDescent="0.3">
      <c r="A2765" s="1" t="s">
        <v>4</v>
      </c>
      <c r="B2765" s="1" t="s">
        <v>4</v>
      </c>
      <c r="C2765" s="10" t="s">
        <v>4</v>
      </c>
      <c r="D2765" s="5" t="s">
        <v>2479</v>
      </c>
      <c r="E2765" s="1" t="str">
        <f ca="1">IFERROR(__xludf.DUMMYFUNCTION("GOOGLETRANSLATE(D2765, ""bn"", ""en"")"),"By preaching the verse you are discouraging people from protesting. They are creating obstacles to awaken the faith of people. You want to make people understand by this verse that, look brother, you don't need to object, there is no problem in whatever H"&amp;"indus do with our Quran, because Allah is the guardian of the Quran.")</f>
        <v>By preaching the verse you are discouraging people from protesting. They are creating obstacles to awaken the faith of people. You want to make people understand by this verse that, look brother, you don't need to object, there is no problem in whatever Hindus do with our Quran, because Allah is the guardian of the Quran.</v>
      </c>
      <c r="F2765" s="1"/>
      <c r="G2765" s="1"/>
      <c r="H2765" s="1"/>
      <c r="I2765" s="1"/>
    </row>
    <row r="2766" spans="1:9" ht="15.6" x14ac:dyDescent="0.3">
      <c r="A2766" s="1" t="s">
        <v>5</v>
      </c>
      <c r="B2766" s="1" t="s">
        <v>5</v>
      </c>
      <c r="C2766" s="10" t="s">
        <v>5</v>
      </c>
      <c r="D2766" s="5" t="s">
        <v>2480</v>
      </c>
      <c r="E2766" s="1" t="str">
        <f ca="1">IFERROR(__xludf.DUMMYFUNCTION("GOOGLETRANSLATE(D2766, ""bn"", ""en"")"),"Shabbat is considered a major festival in Southeast Asia, where Muslims worship collectively and seek forgiveness for their wrongdoings.")</f>
        <v>Shabbat is considered a major festival in Southeast Asia, where Muslims worship collectively and seek forgiveness for their wrongdoings.</v>
      </c>
      <c r="F2766" s="1"/>
      <c r="G2766" s="1"/>
      <c r="H2766" s="1"/>
      <c r="I2766" s="1"/>
    </row>
    <row r="2767" spans="1:9" ht="15.6" x14ac:dyDescent="0.3">
      <c r="A2767" s="1" t="s">
        <v>5</v>
      </c>
      <c r="B2767" s="1" t="s">
        <v>5</v>
      </c>
      <c r="C2767" s="10" t="s">
        <v>5</v>
      </c>
      <c r="D2767" s="5" t="s">
        <v>2481</v>
      </c>
      <c r="E2767" s="1" t="str">
        <f ca="1">IFERROR(__xludf.DUMMYFUNCTION("GOOGLETRANSLATE(D2767, ""bn"", ""en"")"),"O Allah, I know that You are the best guardian of the Qur'an. And You will soon send Your severe punishment on the wrongdoers.")</f>
        <v>O Allah, I know that You are the best guardian of the Qur'an. And You will soon send Your severe punishment on the wrongdoers.</v>
      </c>
      <c r="F2767" s="1"/>
      <c r="G2767" s="1"/>
      <c r="H2767" s="1"/>
      <c r="I2767" s="1"/>
    </row>
    <row r="2768" spans="1:9" ht="15.6" x14ac:dyDescent="0.3">
      <c r="A2768" s="1" t="s">
        <v>9</v>
      </c>
      <c r="B2768" s="1" t="s">
        <v>7</v>
      </c>
      <c r="C2768" s="10" t="s">
        <v>9</v>
      </c>
      <c r="D2768" s="5" t="s">
        <v>2482</v>
      </c>
      <c r="E2768" s="1" t="str">
        <f ca="1">IFERROR(__xludf.DUMMYFUNCTION("GOOGLETRANSLATE(D2768, ""bn"", ""en"")"),"Leaders continue to make violent statements and sometimes orchestrate attacks on Muslims over trivial matters")</f>
        <v>Leaders continue to make violent statements and sometimes orchestrate attacks on Muslims over trivial matters</v>
      </c>
      <c r="F2768" s="1"/>
      <c r="G2768" s="1"/>
      <c r="H2768" s="1"/>
      <c r="I2768" s="1"/>
    </row>
    <row r="2769" spans="1:9" ht="15.6" x14ac:dyDescent="0.3">
      <c r="A2769" s="1" t="s">
        <v>5</v>
      </c>
      <c r="B2769" s="1" t="s">
        <v>5</v>
      </c>
      <c r="C2769" s="10" t="s">
        <v>5</v>
      </c>
      <c r="D2769" s="5" t="s">
        <v>2483</v>
      </c>
      <c r="E2769" s="1" t="str">
        <f ca="1">IFERROR(__xludf.DUMMYFUNCTION("GOOGLETRANSLATE(D2769, ""bn"", ""en"")"),"Shabbarat is celebrated across Pakistan and is an optional holiday that can be chosen from the Employment and Leave Act of Pakistan. Some employees may take this day off, although most offices and businesses remain open.")</f>
        <v>Shabbarat is celebrated across Pakistan and is an optional holiday that can be chosen from the Employment and Leave Act of Pakistan. Some employees may take this day off, although most offices and businesses remain open.</v>
      </c>
      <c r="F2769" s="1"/>
      <c r="G2769" s="1"/>
      <c r="H2769" s="1"/>
      <c r="I2769" s="1"/>
    </row>
    <row r="2770" spans="1:9" ht="15.6" x14ac:dyDescent="0.3">
      <c r="A2770" s="1" t="s">
        <v>4</v>
      </c>
      <c r="B2770" s="1" t="s">
        <v>5</v>
      </c>
      <c r="C2770" s="10" t="s">
        <v>4</v>
      </c>
      <c r="D2770" s="5" t="s">
        <v>2484</v>
      </c>
      <c r="E2770" s="1" t="str">
        <f ca="1">IFERROR(__xludf.DUMMYFUNCTION("GOOGLETRANSLATE(D2770, ""bn"", ""en"")"),"In fact, this law is thought to make Muslims in India unsafe. Bengali Muslims in particular may lose their citizenship.")</f>
        <v>In fact, this law is thought to make Muslims in India unsafe. Bengali Muslims in particular may lose their citizenship.</v>
      </c>
      <c r="F2770" s="1"/>
      <c r="G2770" s="1"/>
      <c r="H2770" s="1"/>
      <c r="I2770" s="1"/>
    </row>
    <row r="2771" spans="1:9" ht="15.6" x14ac:dyDescent="0.3">
      <c r="A2771" s="1" t="s">
        <v>9</v>
      </c>
      <c r="B2771" s="1" t="s">
        <v>5</v>
      </c>
      <c r="C2771" s="10" t="s">
        <v>9</v>
      </c>
      <c r="D2771" s="5" t="s">
        <v>2485</v>
      </c>
      <c r="E2771" s="1" t="str">
        <f ca="1">IFERROR(__xludf.DUMMYFUNCTION("GOOGLETRANSLATE(D2771, ""bn"", ""en"")")," The disputed site is believed to be the birthplace of Rama by Hindus, and the Babri Masjid was built after the demolition of a Hindu temple. The judgment also noted that the mosque was not built in accordance with the principles of Islam.")</f>
        <v> The disputed site is believed to be the birthplace of Rama by Hindus, and the Babri Masjid was built after the demolition of a Hindu temple. The judgment also noted that the mosque was not built in accordance with the principles of Islam.</v>
      </c>
      <c r="F2771" s="1"/>
      <c r="G2771" s="1"/>
      <c r="H2771" s="1"/>
      <c r="I2771" s="1"/>
    </row>
    <row r="2772" spans="1:9" ht="15.6" x14ac:dyDescent="0.3">
      <c r="A2772" s="1" t="s">
        <v>5</v>
      </c>
      <c r="B2772" s="1" t="s">
        <v>5</v>
      </c>
      <c r="C2772" s="10" t="s">
        <v>5</v>
      </c>
      <c r="D2772" s="5" t="s">
        <v>2486</v>
      </c>
      <c r="E2772" s="1" t="str">
        <f ca="1">IFERROR(__xludf.DUMMYFUNCTION("GOOGLETRANSLATE(D2772, ""bn"", ""en"")"),"Those who founded this channel, may Allah bless them with success in this world and the hereafter! Amen, Ya Rabbal Alamin!")</f>
        <v>Those who founded this channel, may Allah bless them with success in this world and the hereafter! Amen, Ya Rabbal Alamin!</v>
      </c>
      <c r="F2772" s="1"/>
      <c r="G2772" s="1"/>
      <c r="H2772" s="1"/>
      <c r="I2772" s="1"/>
    </row>
    <row r="2773" spans="1:9" ht="15.6" x14ac:dyDescent="0.3">
      <c r="A2773" s="1" t="s">
        <v>5</v>
      </c>
      <c r="B2773" s="1" t="s">
        <v>1983</v>
      </c>
      <c r="C2773" s="10" t="s">
        <v>5</v>
      </c>
      <c r="D2773" s="5" t="s">
        <v>2487</v>
      </c>
      <c r="E2773" s="1" t="str">
        <f ca="1">IFERROR(__xludf.DUMMYFUNCTION("GOOGLETRANSLATE(D2773, ""bn"", ""en"")"),"Thanks for the discussion on these topics. Different types of thoughts and ideas are created in society, and they influence our thinking and behavior. However, the main purpose of such thoughts or ideas can never be to create division among us. Therefore,"&amp;" it is very important to consciously examine our mindset and beliefs, so that we can fulfill our responsibilities towards society from the right perspective.")</f>
        <v>Thanks for the discussion on these topics. Different types of thoughts and ideas are created in society, and they influence our thinking and behavior. However, the main purpose of such thoughts or ideas can never be to create division among us. Therefore, it is very important to consciously examine our mindset and beliefs, so that we can fulfill our responsibilities towards society from the right perspective.</v>
      </c>
      <c r="F2773" s="1"/>
      <c r="G2773" s="1"/>
      <c r="H2773" s="1"/>
      <c r="I2773" s="1"/>
    </row>
    <row r="2774" spans="1:9" ht="15.6" x14ac:dyDescent="0.3">
      <c r="A2774" s="4" t="s">
        <v>7</v>
      </c>
      <c r="B2774" s="4" t="s">
        <v>7</v>
      </c>
      <c r="C2774" s="11" t="s">
        <v>7</v>
      </c>
      <c r="D2774" s="5" t="s">
        <v>2488</v>
      </c>
      <c r="E2774" s="1" t="str">
        <f ca="1">IFERROR(__xludf.DUMMYFUNCTION("GOOGLETRANSLATE(D2774, ""bn"", ""en"")"),"Bangladesh Udichi Shirlpi Group celebrated the 17th anniversary of Jessore Massacre Day by vowing to continue the fight against communal, radical evil forces.")</f>
        <v>Bangladesh Udichi Shirlpi Group celebrated the 17th anniversary of Jessore Massacre Day by vowing to continue the fight against communal, radical evil forces.</v>
      </c>
      <c r="F2774" s="1"/>
      <c r="G2774" s="1"/>
      <c r="H2774" s="1"/>
      <c r="I2774" s="1"/>
    </row>
    <row r="2775" spans="1:9" ht="15.6" x14ac:dyDescent="0.3">
      <c r="A2775" s="1" t="s">
        <v>5</v>
      </c>
      <c r="B2775" s="1" t="s">
        <v>5</v>
      </c>
      <c r="C2775" s="10" t="s">
        <v>5</v>
      </c>
      <c r="D2775" s="5" t="s">
        <v>2489</v>
      </c>
      <c r="E2775" s="1" t="str">
        <f ca="1">IFERROR(__xludf.DUMMYFUNCTION("GOOGLETRANSLATE(D2775, ""bn"", ""en"")"),"No one can be a true believer until the Prophet (PBUH) is dearer to him than his father, his children and all people.""")</f>
        <v>No one can be a true believer until the Prophet (PBUH) is dearer to him than his father, his children and all people."</v>
      </c>
      <c r="F2775" s="1"/>
      <c r="G2775" s="1"/>
      <c r="H2775" s="1"/>
      <c r="I2775" s="1"/>
    </row>
    <row r="2776" spans="1:9" ht="15.6" x14ac:dyDescent="0.3">
      <c r="A2776" s="1" t="s">
        <v>5</v>
      </c>
      <c r="B2776" s="1" t="s">
        <v>5</v>
      </c>
      <c r="C2776" s="10" t="s">
        <v>5</v>
      </c>
      <c r="D2776" s="5" t="s">
        <v>2490</v>
      </c>
      <c r="E2776" s="1" t="str">
        <f ca="1">IFERROR(__xludf.DUMMYFUNCTION("GOOGLETRANSLATE(D2776, ""bn"", ""en"")"),"Bengali-speaking Baruas are Buddhists who are concentrated almost exclusively in the Chittagong area and also live in other parts of Bangladesh such as Comilla, Mymensingh, Rangpur, Sylhet districts. ")</f>
        <v>Bengali-speaking Baruas are Buddhists who are concentrated almost exclusively in the Chittagong area and also live in other parts of Bangladesh such as Comilla, Mymensingh, Rangpur, Sylhet districts. </v>
      </c>
      <c r="F2776" s="1"/>
      <c r="G2776" s="1"/>
      <c r="H2776" s="1"/>
      <c r="I2776" s="1"/>
    </row>
    <row r="2777" spans="1:9" ht="15.6" x14ac:dyDescent="0.3">
      <c r="A2777" s="1" t="s">
        <v>4</v>
      </c>
      <c r="B2777" s="1" t="s">
        <v>4</v>
      </c>
      <c r="C2777" s="10" t="s">
        <v>4</v>
      </c>
      <c r="D2777" s="5" t="s">
        <v>2491</v>
      </c>
      <c r="E2777" s="1" t="str">
        <f ca="1">IFERROR(__xludf.DUMMYFUNCTION("GOOGLETRANSLATE(D2777, ""bn"", ""en"")"),"I'm not content with just ignoring posts that are controversial about religion, but I've also started removing the post donor from the friend list.")</f>
        <v>I'm not content with just ignoring posts that are controversial about religion, but I've also started removing the post donor from the friend list.</v>
      </c>
      <c r="F2777" s="1"/>
      <c r="G2777" s="1"/>
      <c r="H2777" s="1"/>
      <c r="I2777" s="1"/>
    </row>
    <row r="2778" spans="1:9" ht="15.6" x14ac:dyDescent="0.3">
      <c r="A2778" s="1" t="s">
        <v>5</v>
      </c>
      <c r="B2778" s="1" t="s">
        <v>5</v>
      </c>
      <c r="C2778" s="10" t="s">
        <v>5</v>
      </c>
      <c r="D2778" s="5" t="s">
        <v>2492</v>
      </c>
      <c r="E2778" s="1" t="str">
        <f ca="1">IFERROR(__xludf.DUMMYFUNCTION("GOOGLETRANSLATE(D2778, ""bn"", ""en"")"),"Lailatul Qadr is a night better than a thousand months. Some know this night as Shabba Kadar. Any act of this night is better than the act of a thousand months.")</f>
        <v>Lailatul Qadr is a night better than a thousand months. Some know this night as Shabba Kadar. Any act of this night is better than the act of a thousand months.</v>
      </c>
      <c r="F2778" s="1"/>
      <c r="G2778" s="1"/>
      <c r="H2778" s="1"/>
      <c r="I2778" s="1"/>
    </row>
    <row r="2779" spans="1:9" ht="78" x14ac:dyDescent="0.3">
      <c r="A2779" s="1" t="s">
        <v>9</v>
      </c>
      <c r="B2779" s="1" t="s">
        <v>4</v>
      </c>
      <c r="C2779" s="10" t="s">
        <v>9</v>
      </c>
      <c r="D2779" s="6" t="s">
        <v>3738</v>
      </c>
      <c r="E2779" s="1" t="str">
        <f ca="1">IFERROR(__xludf.DUMMYFUNCTION("GOOGLETRANSLATE(D2779, ""bn"", ""en"")"),"After being surrounded from all sides by the Pakistani invaders, panicked and scared, the women removed the 'sindoor (vermilion marks on the forehead)' and broke the 'shankhas (bangles made of conch shells)' on their arms. Men and women were standing in s"&amp;"eparate rows. Then some people were shot and left on the ground. Some of them were half dead and crying for water. The Pakistanis collected all the corpses along with the half-dead people, threw bamboo fences from the houses and set the bodies on fire. Pa"&amp;"kistani soldiers threw some children into the fire.")</f>
        <v>After being surrounded from all sides by the Pakistani invaders, panicked and scared, the women removed the 'sindoor (vermilion marks on the forehead)' and broke the 'shankhas (bangles made of conch shells)' on their arms. Men and women were standing in separate rows. Then some people were shot and left on the ground. Some of them were half dead and crying for water. The Pakistanis collected all the corpses along with the half-dead people, threw bamboo fences from the houses and set the bodies on fire. Pakistani soldiers threw some children into the fire.</v>
      </c>
      <c r="F2779" s="1"/>
      <c r="G2779" s="1"/>
      <c r="H2779" s="1"/>
      <c r="I2779" s="1"/>
    </row>
    <row r="2780" spans="1:9" ht="15.6" x14ac:dyDescent="0.3">
      <c r="A2780" s="1" t="s">
        <v>5</v>
      </c>
      <c r="B2780" s="1" t="s">
        <v>5</v>
      </c>
      <c r="C2780" s="10" t="s">
        <v>5</v>
      </c>
      <c r="D2780" s="5" t="s">
        <v>2493</v>
      </c>
      <c r="E2780" s="1" t="str">
        <f ca="1">IFERROR(__xludf.DUMMYFUNCTION("GOOGLETRANSLATE(D2780, ""bn"", ""en"")"),"His wife Neo-Muslim Sneha herself has testified that she was not abducted but voluntarily became a Muslim and married the jailed Neo-Muslim of her own free will. ")</f>
        <v xml:space="preserve">His wife Neo-Muslim Sneha herself has testified that she was not abducted but voluntarily became a Muslim and married the jailed Neo-Muslim of her own free will. </v>
      </c>
      <c r="F2780" s="1"/>
      <c r="G2780" s="1"/>
      <c r="H2780" s="1"/>
      <c r="I2780" s="1"/>
    </row>
    <row r="2781" spans="1:9" ht="15.6" x14ac:dyDescent="0.3">
      <c r="A2781" s="1" t="s">
        <v>9</v>
      </c>
      <c r="B2781" s="1" t="s">
        <v>9</v>
      </c>
      <c r="C2781" s="10" t="s">
        <v>9</v>
      </c>
      <c r="D2781" s="5" t="s">
        <v>2494</v>
      </c>
      <c r="E2781" s="1" t="str">
        <f ca="1">IFERROR(__xludf.DUMMYFUNCTION("GOOGLETRANSLATE(D2781, ""bn"", ""en"")"),"From March 10, Muslims led by members of the government's Ansar forces began terrorizing Hindus. In Jhenaidah sub-division Hindus were evicted from their houses and all those houses were occupied by Muslims. ")</f>
        <v>From March 10, Muslims led by members of the government's Ansar forces began terrorizing Hindus. In Jhenaidah sub-division Hindus were evicted from their houses and all those houses were occupied by Muslims. </v>
      </c>
      <c r="F2781" s="1"/>
      <c r="G2781" s="1"/>
      <c r="H2781" s="1"/>
      <c r="I2781" s="1"/>
    </row>
    <row r="2782" spans="1:9" ht="15.6" x14ac:dyDescent="0.3">
      <c r="A2782" s="1" t="s">
        <v>7</v>
      </c>
      <c r="B2782" s="1" t="s">
        <v>7</v>
      </c>
      <c r="C2782" s="10" t="s">
        <v>7</v>
      </c>
      <c r="D2782" s="5" t="s">
        <v>2495</v>
      </c>
      <c r="E2782" s="1" t="str">
        <f ca="1">IFERROR(__xludf.DUMMYFUNCTION("GOOGLETRANSLATE(D2782, ""bn"", ""en"")"),"On February 12, the massacre began in Chittagong city. Muslim mobs attacked Hindu pilgrims who had gathered at Sitakunda on the occasion of Mahashivratri. This is known as Sitakunda Massacre.")</f>
        <v>On February 12, the massacre began in Chittagong city. Muslim mobs attacked Hindu pilgrims who had gathered at Sitakunda on the occasion of Mahashivratri. This is known as Sitakunda Massacre.</v>
      </c>
      <c r="F2782" s="1"/>
      <c r="G2782" s="1"/>
      <c r="H2782" s="1"/>
      <c r="I2782" s="1"/>
    </row>
    <row r="2783" spans="1:9" ht="15.6" x14ac:dyDescent="0.3">
      <c r="A2783" s="1" t="s">
        <v>4</v>
      </c>
      <c r="B2783" s="1" t="s">
        <v>4</v>
      </c>
      <c r="C2783" s="10" t="s">
        <v>4</v>
      </c>
      <c r="D2783" s="5" t="s">
        <v>2496</v>
      </c>
      <c r="E2783" s="1" t="str">
        <f ca="1">IFERROR(__xludf.DUMMYFUNCTION("GOOGLETRANSLATE(D2783, ""bn"", ""en"")"),"There are some bastard Muslims, in the greed of getting a position, they will write azaira on some topics of Muslims. As a result, they will get some dirt.")</f>
        <v>There are some bastard Muslims, in the greed of getting a position, they will write azaira on some topics of Muslims. As a result, they will get some dirt.</v>
      </c>
      <c r="F2783" s="1"/>
      <c r="G2783" s="1"/>
      <c r="H2783" s="1"/>
      <c r="I2783" s="1"/>
    </row>
    <row r="2784" spans="1:9" ht="15.6" x14ac:dyDescent="0.3">
      <c r="A2784" s="1" t="s">
        <v>7</v>
      </c>
      <c r="B2784" s="1" t="s">
        <v>7</v>
      </c>
      <c r="C2784" s="10" t="s">
        <v>7</v>
      </c>
      <c r="D2784" s="5" t="s">
        <v>2497</v>
      </c>
      <c r="E2784" s="1" t="str">
        <f ca="1">IFERROR(__xludf.DUMMYFUNCTION("GOOGLETRANSLATE(D2784, ""bn"", ""en"")"),"Pomara Genocide refers to the killing of unarmed Bengali Hindus of Pomara Union in Chittagong District of Bangladesh on 14 September 1971. [1][2][3] Pakistan Army buried 13 Bengali Hindus alive in Pomra Reserve Forest.")</f>
        <v>Pomara Genocide refers to the killing of unarmed Bengali Hindus of Pomara Union in Chittagong District of Bangladesh on 14 September 1971. [1][2][3] Pakistan Army buried 13 Bengali Hindus alive in Pomra Reserve Forest.</v>
      </c>
      <c r="F2784" s="1"/>
      <c r="G2784" s="1"/>
      <c r="H2784" s="1"/>
      <c r="I2784" s="1"/>
    </row>
    <row r="2785" spans="1:9" ht="15.6" x14ac:dyDescent="0.3">
      <c r="A2785" s="1" t="s">
        <v>4</v>
      </c>
      <c r="B2785" s="1" t="s">
        <v>4</v>
      </c>
      <c r="C2785" s="10" t="s">
        <v>4</v>
      </c>
      <c r="D2785" s="5" t="s">
        <v>2498</v>
      </c>
      <c r="E2785" s="1" t="str">
        <f ca="1">IFERROR(__xludf.DUMMYFUNCTION("GOOGLETRANSLATE(D2785, ""bn"", ""en"")"),"It is very sad, who gave him the right to make bad comments about religion in India.")</f>
        <v>It is very sad, who gave him the right to make bad comments about religion in India.</v>
      </c>
      <c r="F2785" s="1"/>
      <c r="G2785" s="1"/>
      <c r="H2785" s="1"/>
      <c r="I2785" s="1"/>
    </row>
    <row r="2786" spans="1:9" ht="15.6" x14ac:dyDescent="0.3">
      <c r="A2786" s="1" t="s">
        <v>7</v>
      </c>
      <c r="B2786" s="1" t="s">
        <v>7</v>
      </c>
      <c r="C2786" s="10" t="s">
        <v>7</v>
      </c>
      <c r="D2786" s="5" t="s">
        <v>2499</v>
      </c>
      <c r="E2786" s="1" t="str">
        <f ca="1">IFERROR(__xludf.DUMMYFUNCTION("GOOGLETRANSLATE(D2786, ""bn"", ""en"")"),"Most accounts describe the woman sitting or lying at the funeral next to her dead husband. Many other accounts describe women walking or jumping into the fire after lighting it")</f>
        <v>Most accounts describe the woman sitting or lying at the funeral next to her dead husband. Many other accounts describe women walking or jumping into the fire after lighting it</v>
      </c>
      <c r="F2786" s="1"/>
      <c r="G2786" s="1"/>
      <c r="H2786" s="1"/>
      <c r="I2786" s="1"/>
    </row>
    <row r="2787" spans="1:9" ht="15.6" x14ac:dyDescent="0.3">
      <c r="A2787" s="1" t="s">
        <v>7</v>
      </c>
      <c r="B2787" s="1" t="s">
        <v>7</v>
      </c>
      <c r="C2787" s="10" t="s">
        <v>7</v>
      </c>
      <c r="D2787" s="5" t="s">
        <v>2500</v>
      </c>
      <c r="E2787" s="1" t="str">
        <f ca="1">IFERROR(__xludf.DUMMYFUNCTION("GOOGLETRANSLATE(D2787, ""bn"", ""en"")"),"He uses water cannons on the attackers for resistance. Finally, desperate, he shot his elderly mother and children with his own hands and finally committed suicide.")</f>
        <v>He uses water cannons on the attackers for resistance. Finally, desperate, he shot his elderly mother and children with his own hands and finally committed suicide.</v>
      </c>
      <c r="F2787" s="1"/>
      <c r="G2787" s="1"/>
      <c r="H2787" s="1"/>
      <c r="I2787" s="1"/>
    </row>
    <row r="2788" spans="1:9" ht="62.4" x14ac:dyDescent="0.3">
      <c r="A2788" s="1" t="s">
        <v>9</v>
      </c>
      <c r="B2788" s="1" t="s">
        <v>9</v>
      </c>
      <c r="C2788" s="10" t="s">
        <v>9</v>
      </c>
      <c r="D2788" s="6" t="s">
        <v>3737</v>
      </c>
      <c r="E2788" s="1" t="str">
        <f ca="1">IFERROR(__xludf.DUMMYFUNCTION("GOOGLETRANSLATE(D2788, ""bn"", ""en"")"),"10th October 1946 is the day of Kojagari Lakshmi Puja. Hindus of Noakhali are busy organizing puja at home. On the other hand, Muslim League leaders and activists propagated that the Sikh community had attacked Diara Sharif. [26] As a result of the rumour"&amp;", Muslims from the surrounding areas flocked to Diara Sharif in large numbers. Ghulam Sarwar Hussaini ordered the assembled Muslims to attack the Sahapur market. Another Muslim League leader named Kashem also entered Sahapur market with his own forces, wh"&amp;"o were called Kashem's army.")</f>
        <v>10th October 1946 is the day of Kojagari Lakshmi Puja. Hindus of Noakhali are busy organizing puja at home. On the other hand, Muslim League leaders and activists propagated that the Sikh community had attacked Diara Sharif. [26] As a result of the rumour, Muslims from the surrounding areas flocked to Diara Sharif in large numbers. Ghulam Sarwar Hussaini ordered the assembled Muslims to attack the Sahapur market. Another Muslim League leader named Kashem also entered Sahapur market with his own forces, who were called Kashem's army.</v>
      </c>
      <c r="F2788" s="1"/>
      <c r="G2788" s="1"/>
      <c r="H2788" s="1"/>
      <c r="I2788" s="1"/>
    </row>
    <row r="2789" spans="1:9" ht="15.6" x14ac:dyDescent="0.3">
      <c r="A2789" s="1" t="s">
        <v>5</v>
      </c>
      <c r="B2789" s="1" t="s">
        <v>5</v>
      </c>
      <c r="C2789" s="10" t="s">
        <v>5</v>
      </c>
      <c r="D2789" s="5" t="s">
        <v>2501</v>
      </c>
      <c r="E2789" s="1" t="str">
        <f ca="1">IFERROR(__xludf.DUMMYFUNCTION("GOOGLETRANSLATE(D2789, ""bn"", ""en"")"),"By following Allah's guidance, we realize the purpose of our creation and live our lives aright.")</f>
        <v>By following Allah's guidance, we realize the purpose of our creation and live our lives aright.</v>
      </c>
      <c r="F2789" s="1"/>
      <c r="G2789" s="1"/>
      <c r="H2789" s="1"/>
      <c r="I2789" s="1"/>
    </row>
    <row r="2790" spans="1:9" ht="15.6" x14ac:dyDescent="0.3">
      <c r="A2790" s="1" t="s">
        <v>9</v>
      </c>
      <c r="B2790" s="1" t="s">
        <v>9</v>
      </c>
      <c r="C2790" s="10" t="s">
        <v>9</v>
      </c>
      <c r="D2790" s="5" t="s">
        <v>2502</v>
      </c>
      <c r="E2790" s="1" t="str">
        <f ca="1">IFERROR(__xludf.DUMMYFUNCTION("GOOGLETRANSLATE(D2790, ""bn"", ""en"")"),"The robbers also attacked, looted and vandalized Bholanathgiri Ashram in Dhaka. [2] Muslims looted Hindu-owned gold shops in old Dhaka. They looted and set fire to Hindu houses in Rayerbazar.")</f>
        <v>The robbers also attacked, looted and vandalized Bholanathgiri Ashram in Dhaka. [2] Muslims looted Hindu-owned gold shops in old Dhaka. They looted and set fire to Hindu houses in Rayerbazar.</v>
      </c>
      <c r="F2790" s="1"/>
      <c r="G2790" s="1"/>
      <c r="H2790" s="1"/>
      <c r="I2790" s="1"/>
    </row>
    <row r="2791" spans="1:9" ht="46.8" x14ac:dyDescent="0.3">
      <c r="A2791" s="4" t="s">
        <v>7</v>
      </c>
      <c r="B2791" s="4" t="s">
        <v>7</v>
      </c>
      <c r="C2791" s="11" t="s">
        <v>7</v>
      </c>
      <c r="D2791" s="6" t="s">
        <v>3736</v>
      </c>
      <c r="E2791" s="1" t="str">
        <f ca="1">IFERROR(__xludf.DUMMYFUNCTION("GOOGLETRANSLATE(D2791, ""bn"", ""en"")"),"While the government blamed Maoist rebels for the attack, Sangh Parivar groups blamed Christians for the incident. VHP state general secretary Gauri Ram Prasad blamed Christians for the killings and said the organization would take revenge on Christians a"&amp;"nd called for a ban on churches in the district.")</f>
        <v>While the government blamed Maoist rebels for the attack, Sangh Parivar groups blamed Christians for the incident. VHP state general secretary Gauri Ram Prasad blamed Christians for the killings and said the organization would take revenge on Christians and called for a ban on churches in the district.</v>
      </c>
      <c r="F2791" s="1"/>
      <c r="G2791" s="1"/>
      <c r="H2791" s="1"/>
      <c r="I2791" s="1"/>
    </row>
    <row r="2792" spans="1:9" ht="15.6" x14ac:dyDescent="0.3">
      <c r="A2792" s="1" t="s">
        <v>4</v>
      </c>
      <c r="B2792" s="1" t="s">
        <v>4</v>
      </c>
      <c r="C2792" s="10" t="s">
        <v>4</v>
      </c>
      <c r="D2792" s="5" t="s">
        <v>2503</v>
      </c>
      <c r="E2792" s="1" t="str">
        <f ca="1">IFERROR(__xludf.DUMMYFUNCTION("GOOGLETRANSLATE(D2792, ""bn"", ""en"")"),"In addition to calling for the removal of the French Embassy from Dhaka and the boycott of French products, the Bangladesh government and the Muslim world have been called upon to be more vocal against France.")</f>
        <v>In addition to calling for the removal of the French Embassy from Dhaka and the boycott of French products, the Bangladesh government and the Muslim world have been called upon to be more vocal against France.</v>
      </c>
      <c r="F2792" s="1"/>
      <c r="G2792" s="1"/>
      <c r="H2792" s="1"/>
      <c r="I2792" s="1"/>
    </row>
    <row r="2793" spans="1:9" ht="15.6" x14ac:dyDescent="0.3">
      <c r="A2793" s="1" t="s">
        <v>4</v>
      </c>
      <c r="B2793" s="1" t="s">
        <v>5</v>
      </c>
      <c r="C2793" s="10" t="s">
        <v>4</v>
      </c>
      <c r="D2793" s="5" t="s">
        <v>2504</v>
      </c>
      <c r="E2793" s="1" t="str">
        <f ca="1">IFERROR(__xludf.DUMMYFUNCTION("GOOGLETRANSLATE(D2793, ""bn"", ""en"")"),"I have also boycotted Israeli and Indian products for a long time, but I am afraid that the companies of our country do not maintain the quality of the products.")</f>
        <v>I have also boycotted Israeli and Indian products for a long time, but I am afraid that the companies of our country do not maintain the quality of the products.</v>
      </c>
      <c r="F2793" s="1"/>
      <c r="G2793" s="1"/>
      <c r="H2793" s="1"/>
      <c r="I2793" s="1"/>
    </row>
    <row r="2794" spans="1:9" ht="15.6" x14ac:dyDescent="0.3">
      <c r="A2794" s="1" t="s">
        <v>4</v>
      </c>
      <c r="B2794" s="1" t="s">
        <v>5</v>
      </c>
      <c r="C2794" s="10" t="s">
        <v>4</v>
      </c>
      <c r="D2794" s="5" t="s">
        <v>2505</v>
      </c>
      <c r="E2794" s="1" t="str">
        <f ca="1">IFERROR(__xludf.DUMMYFUNCTION("GOOGLETRANSLATE(D2794, ""bn"", ""en"")"),"Al-Qur'an is the only holy book of Muslims, we want exemplary judgment for those who insult Al-Qur'an.")</f>
        <v>Al-Qur'an is the only holy book of Muslims, we want exemplary judgment for those who insult Al-Qur'an.</v>
      </c>
      <c r="F2794" s="1"/>
      <c r="G2794" s="1"/>
      <c r="H2794" s="1"/>
      <c r="I2794" s="1"/>
    </row>
    <row r="2795" spans="1:9" ht="15.6" x14ac:dyDescent="0.3">
      <c r="A2795" s="1" t="s">
        <v>4</v>
      </c>
      <c r="B2795" s="1" t="s">
        <v>4</v>
      </c>
      <c r="C2795" s="10" t="s">
        <v>4</v>
      </c>
      <c r="D2795" s="5" t="s">
        <v>2506</v>
      </c>
      <c r="E2795" s="1" t="str">
        <f ca="1">IFERROR(__xludf.DUMMYFUNCTION("GOOGLETRANSLATE(D2795, ""bn"", ""en"")"),"All of you who bash Islam and talk about your problems in practicing Islam, please unfriend me. Or I will unfriend you. Because seeing your stupid post makes my heart burn. ")</f>
        <v xml:space="preserve">All of you who bash Islam and talk about your problems in practicing Islam, please unfriend me. Or I will unfriend you. Because seeing your stupid post makes my heart burn. </v>
      </c>
      <c r="F2795" s="1"/>
      <c r="G2795" s="1"/>
      <c r="H2795" s="1"/>
      <c r="I2795" s="1"/>
    </row>
    <row r="2796" spans="1:9" ht="15.6" x14ac:dyDescent="0.3">
      <c r="A2796" s="1" t="s">
        <v>4</v>
      </c>
      <c r="B2796" s="1" t="s">
        <v>4</v>
      </c>
      <c r="C2796" s="10" t="s">
        <v>4</v>
      </c>
      <c r="D2796" s="5" t="s">
        <v>2507</v>
      </c>
      <c r="E2796" s="1" t="str">
        <f ca="1">IFERROR(__xludf.DUMMYFUNCTION("GOOGLETRANSLATE(D2796, ""bn"", ""en"")"),"Bar says something and sits with the atheist tag. I wouldn't have understood that people can be so bigoted if I hadn't seen some of the fanatics in this group. However admin you have to be a little aggressive about them.")</f>
        <v>Bar says something and sits with the atheist tag. I wouldn't have understood that people can be so bigoted if I hadn't seen some of the fanatics in this group. However admin you have to be a little aggressive about them.</v>
      </c>
      <c r="F2796" s="1"/>
      <c r="G2796" s="1"/>
      <c r="H2796" s="1"/>
      <c r="I2796" s="1"/>
    </row>
    <row r="2797" spans="1:9" ht="15.6" x14ac:dyDescent="0.3">
      <c r="A2797" s="1" t="s">
        <v>7</v>
      </c>
      <c r="B2797" s="1" t="s">
        <v>7</v>
      </c>
      <c r="C2797" s="10" t="s">
        <v>7</v>
      </c>
      <c r="D2797" s="5" t="s">
        <v>2508</v>
      </c>
      <c r="E2797" s="1" t="str">
        <f ca="1">IFERROR(__xludf.DUMMYFUNCTION("GOOGLETRANSLATE(D2797, ""bn"", ""en"")"),"The captive Hindus were made to stand in a line in pairs. At the sound of the whistle, the Razakars shot them. 42 Hindus were killed and the rest survived with injuries. The Rajakars looted and set fire to several nearby Hindu villages.")</f>
        <v>The captive Hindus were made to stand in a line in pairs. At the sound of the whistle, the Razakars shot them. 42 Hindus were killed and the rest survived with injuries. The Rajakars looted and set fire to several nearby Hindu villages.</v>
      </c>
      <c r="F2797" s="1"/>
      <c r="G2797" s="1"/>
      <c r="H2797" s="1"/>
      <c r="I2797" s="1"/>
    </row>
    <row r="2798" spans="1:9" ht="15.6" x14ac:dyDescent="0.3">
      <c r="A2798" s="1" t="s">
        <v>7</v>
      </c>
      <c r="B2798" s="1" t="s">
        <v>7</v>
      </c>
      <c r="C2798" s="10" t="s">
        <v>7</v>
      </c>
      <c r="D2798" s="5" t="s">
        <v>2509</v>
      </c>
      <c r="E2798" s="1" t="str">
        <f ca="1">IFERROR(__xludf.DUMMYFUNCTION("GOOGLETRANSLATE(D2798, ""bn"", ""en"")"),"Lebanon's 15-year-long civil war between Muslim and Christian communities has left millions dead.")</f>
        <v>Lebanon's 15-year-long civil war between Muslim and Christian communities has left millions dead.</v>
      </c>
      <c r="F2798" s="1"/>
      <c r="G2798" s="1"/>
      <c r="H2798" s="1"/>
      <c r="I2798" s="1"/>
    </row>
    <row r="2799" spans="1:9" ht="15.6" x14ac:dyDescent="0.3">
      <c r="A2799" s="1" t="s">
        <v>7</v>
      </c>
      <c r="B2799" s="1" t="s">
        <v>7</v>
      </c>
      <c r="C2799" s="10" t="s">
        <v>7</v>
      </c>
      <c r="D2799" s="5" t="s">
        <v>2510</v>
      </c>
      <c r="E2799" s="1" t="str">
        <f ca="1">IFERROR(__xludf.DUMMYFUNCTION("GOOGLETRANSLATE(D2799, ""bn"", ""en"")")," Islam says to show friendly attitude towards other religions,")</f>
        <v> Islam says to show friendly attitude towards other religions,</v>
      </c>
      <c r="F2799" s="1"/>
      <c r="G2799" s="1"/>
      <c r="H2799" s="1"/>
      <c r="I2799" s="1"/>
    </row>
    <row r="2800" spans="1:9" ht="15.6" x14ac:dyDescent="0.3">
      <c r="A2800" s="1" t="s">
        <v>4</v>
      </c>
      <c r="B2800" s="1" t="s">
        <v>5</v>
      </c>
      <c r="C2800" s="10" t="s">
        <v>4</v>
      </c>
      <c r="D2800" s="5" t="s">
        <v>2511</v>
      </c>
      <c r="E2800" s="1" t="str">
        <f ca="1">IFERROR(__xludf.DUMMYFUNCTION("GOOGLETRANSLATE(D2800, ""bn"", ""en"")"),"Indeed, the Bengali smartness is to have such an idea that the West follows. I boycotted Coca-Cola because it was a very small protest on my part.")</f>
        <v>Indeed, the Bengali smartness is to have such an idea that the West follows. I boycotted Coca-Cola because it was a very small protest on my part.</v>
      </c>
      <c r="F2800" s="1"/>
      <c r="G2800" s="1"/>
      <c r="H2800" s="1"/>
      <c r="I2800" s="1"/>
    </row>
    <row r="2801" spans="1:9" ht="15.6" x14ac:dyDescent="0.3">
      <c r="A2801" s="1" t="s">
        <v>5</v>
      </c>
      <c r="B2801" s="1" t="s">
        <v>5</v>
      </c>
      <c r="C2801" s="10" t="s">
        <v>5</v>
      </c>
      <c r="D2801" s="5" t="s">
        <v>2512</v>
      </c>
      <c r="E2801" s="1" t="str">
        <f ca="1">IFERROR(__xludf.DUMMYFUNCTION("GOOGLETRANSLATE(D2801, ""bn"", ""en"")"),"Until then, Judaism was the only monotheistic religion, while the Greeks, Romans and Egyptians believed in many gods.")</f>
        <v>Until then, Judaism was the only monotheistic religion, while the Greeks, Romans and Egyptians believed in many gods.</v>
      </c>
      <c r="F2801" s="1"/>
      <c r="G2801" s="1"/>
      <c r="H2801" s="1"/>
      <c r="I2801" s="1"/>
    </row>
    <row r="2802" spans="1:9" ht="15.6" x14ac:dyDescent="0.3">
      <c r="A2802" s="1" t="s">
        <v>4</v>
      </c>
      <c r="B2802" s="1" t="s">
        <v>4</v>
      </c>
      <c r="C2802" s="10" t="s">
        <v>4</v>
      </c>
      <c r="D2802" s="5" t="s">
        <v>2513</v>
      </c>
      <c r="E2802" s="1" t="str">
        <f ca="1">IFERROR(__xludf.DUMMYFUNCTION("GOOGLETRANSLATE(D2802, ""bn"", ""en"")"),"Brave freedom fighters have never opposed Islam in this country, some nominal leftists are indulging in such misdeeds by tagging the so-called freedom fighters. I am sure of this.")</f>
        <v>Brave freedom fighters have never opposed Islam in this country, some nominal leftists are indulging in such misdeeds by tagging the so-called freedom fighters. I am sure of this.</v>
      </c>
      <c r="F2802" s="1"/>
      <c r="G2802" s="1"/>
      <c r="H2802" s="1"/>
      <c r="I2802" s="1"/>
    </row>
    <row r="2803" spans="1:9" ht="15.6" x14ac:dyDescent="0.3">
      <c r="A2803" s="1" t="s">
        <v>5</v>
      </c>
      <c r="B2803" s="1" t="s">
        <v>5</v>
      </c>
      <c r="C2803" s="10" t="s">
        <v>5</v>
      </c>
      <c r="D2803" s="5" t="s">
        <v>2514</v>
      </c>
      <c r="E2803" s="1" t="str">
        <f ca="1">IFERROR(__xludf.DUMMYFUNCTION("GOOGLETRANSLATE(D2803, ""bn"", ""en"")"),"Buddhists were under the social and political influence of Hindus even before the advent of Muslims in the subcontinent. Even in neighboring Bengal, the birthplace of Gautama Buddha, Bihar, Hindu Brahmins, rulers and leaders were able to spread their cult"&amp;"ure and influence.")</f>
        <v>Buddhists were under the social and political influence of Hindus even before the advent of Muslims in the subcontinent. Even in neighboring Bengal, the birthplace of Gautama Buddha, Bihar, Hindu Brahmins, rulers and leaders were able to spread their culture and influence.</v>
      </c>
      <c r="F2803" s="1"/>
      <c r="G2803" s="1"/>
      <c r="H2803" s="1"/>
      <c r="I2803" s="1"/>
    </row>
    <row r="2804" spans="1:9" ht="15.6" x14ac:dyDescent="0.3">
      <c r="A2804" s="1" t="s">
        <v>5</v>
      </c>
      <c r="B2804" s="1" t="s">
        <v>5</v>
      </c>
      <c r="C2804" s="10" t="s">
        <v>5</v>
      </c>
      <c r="D2804" s="5" t="s">
        <v>2515</v>
      </c>
      <c r="E2804" s="1" t="str">
        <f ca="1">IFERROR(__xludf.DUMMYFUNCTION("GOOGLETRANSLATE(D2804, ""bn"", ""en"")"),"The violent partition of India led to the creation of an Islamic state, Pakistan, and the establishment of a large-Hindu India with the world's second-largest Muslim population.")</f>
        <v>The violent partition of India led to the creation of an Islamic state, Pakistan, and the establishment of a large-Hindu India with the world's second-largest Muslim population.</v>
      </c>
      <c r="F2804" s="1"/>
      <c r="G2804" s="1"/>
      <c r="H2804" s="1"/>
      <c r="I2804" s="1"/>
    </row>
    <row r="2805" spans="1:9" ht="15.6" x14ac:dyDescent="0.3">
      <c r="A2805" s="1" t="s">
        <v>9</v>
      </c>
      <c r="B2805" s="1" t="s">
        <v>9</v>
      </c>
      <c r="C2805" s="10" t="s">
        <v>9</v>
      </c>
      <c r="D2805" s="5" t="s">
        <v>2516</v>
      </c>
      <c r="E2805" s="1" t="str">
        <f ca="1">IFERROR(__xludf.DUMMYFUNCTION("GOOGLETRANSLATE(D2805, ""bn"", ""en"")"),"A few days ago, those who were attacked and bloodied were all university students and did not belong to any political party.")</f>
        <v>A few days ago, those who were attacked and bloodied were all university students and did not belong to any political party.</v>
      </c>
      <c r="F2805" s="1"/>
      <c r="G2805" s="1"/>
      <c r="H2805" s="1"/>
      <c r="I2805" s="1"/>
    </row>
    <row r="2806" spans="1:9" ht="15.6" x14ac:dyDescent="0.3">
      <c r="A2806" s="1" t="s">
        <v>7</v>
      </c>
      <c r="B2806" s="1" t="s">
        <v>7</v>
      </c>
      <c r="C2806" s="10" t="s">
        <v>7</v>
      </c>
      <c r="D2806" s="5" t="s">
        <v>2517</v>
      </c>
      <c r="E2806" s="1" t="str">
        <f ca="1">IFERROR(__xludf.DUMMYFUNCTION("GOOGLETRANSLATE(D2806, ""bn"", ""en"")"),"The soldiers announced on the mike and asked all the residents of the area to come out of their houses. But alas!! They came out as scapegoats and were immediately shot dead by the soldiers. 50 people were killed and 200 injured in this incident. All the "&amp;"Hindu houses were burnt.")</f>
        <v>The soldiers announced on the mike and asked all the residents of the area to come out of their houses. But alas!! They came out as scapegoats and were immediately shot dead by the soldiers. 50 people were killed and 200 injured in this incident. All the Hindu houses were burnt.</v>
      </c>
      <c r="F2806" s="1"/>
      <c r="G2806" s="1"/>
      <c r="H2806" s="1"/>
      <c r="I2806" s="1"/>
    </row>
    <row r="2807" spans="1:9" ht="15.6" x14ac:dyDescent="0.3">
      <c r="A2807" s="1" t="s">
        <v>9</v>
      </c>
      <c r="B2807" s="1" t="s">
        <v>9</v>
      </c>
      <c r="C2807" s="10" t="s">
        <v>9</v>
      </c>
      <c r="D2807" s="5" t="s">
        <v>2518</v>
      </c>
      <c r="E2807" s="1" t="str">
        <f ca="1">IFERROR(__xludf.DUMMYFUNCTION("GOOGLETRANSLATE(D2807, ""bn"", ""en"")"),"They attacked the program called Productivity Ramadan, Dhaka University, the highest university in Bangladesh, the dean of the Faculty of Arts in Battala mourned the chairman of the Arabic department!")</f>
        <v>They attacked the program called Productivity Ramadan, Dhaka University, the highest university in Bangladesh, the dean of the Faculty of Arts in Battala mourned the chairman of the Arabic department!</v>
      </c>
      <c r="F2807" s="1"/>
      <c r="G2807" s="1"/>
      <c r="H2807" s="1"/>
      <c r="I2807" s="1"/>
    </row>
    <row r="2808" spans="1:9" ht="15.6" x14ac:dyDescent="0.3">
      <c r="A2808" s="1" t="s">
        <v>4</v>
      </c>
      <c r="B2808" s="1" t="s">
        <v>4</v>
      </c>
      <c r="C2808" s="10" t="s">
        <v>4</v>
      </c>
      <c r="D2808" s="5" t="s">
        <v>2519</v>
      </c>
      <c r="E2808" s="1" t="str">
        <f ca="1">IFERROR(__xludf.DUMMYFUNCTION("GOOGLETRANSLATE(D2808, ""bn"", ""en"")"),"If we talk a little about religion, they jump on our education, license, family, clothes, beard, hijab! ")</f>
        <v xml:space="preserve">If we talk a little about religion, they jump on our education, license, family, clothes, beard, hijab! </v>
      </c>
      <c r="F2808" s="1"/>
      <c r="G2808" s="1"/>
      <c r="H2808" s="1"/>
      <c r="I2808" s="1"/>
    </row>
    <row r="2809" spans="1:9" ht="15.6" x14ac:dyDescent="0.3">
      <c r="A2809" s="1" t="s">
        <v>5</v>
      </c>
      <c r="B2809" s="1" t="s">
        <v>5</v>
      </c>
      <c r="C2809" s="10" t="s">
        <v>5</v>
      </c>
      <c r="D2809" s="5" t="s">
        <v>2520</v>
      </c>
      <c r="E2809" s="1" t="str">
        <f ca="1">IFERROR(__xludf.DUMMYFUNCTION("GOOGLETRANSLATE(D2809, ""bn"", ""en"")"),"Iftar and Sahri should be organized in every hall, campus, auditorium and canteen of every university even if mass chada is lifted. Alhamdulillah if you can keep beef items.")</f>
        <v>Iftar and Sahri should be organized in every hall, campus, auditorium and canteen of every university even if mass chada is lifted. Alhamdulillah if you can keep beef items.</v>
      </c>
      <c r="F2809" s="1"/>
      <c r="G2809" s="1"/>
      <c r="H2809" s="1"/>
      <c r="I2809" s="1"/>
    </row>
    <row r="2810" spans="1:9" ht="46.8" x14ac:dyDescent="0.3">
      <c r="A2810" s="1" t="s">
        <v>9</v>
      </c>
      <c r="B2810" s="1" t="s">
        <v>4</v>
      </c>
      <c r="C2810" s="10" t="s">
        <v>9</v>
      </c>
      <c r="D2810" s="6" t="s">
        <v>3735</v>
      </c>
      <c r="E2810" s="1" t="str">
        <f ca="1">IFERROR(__xludf.DUMMYFUNCTION("GOOGLETRANSLATE(D2810, ""bn"", ""en"")"),"A plot to create communal riots in the country. Which cannot be done by any religious person (be it Hindu or Muslim or any other religion). No religion in the world supports riots. But I think that some people can do such heinous acts by name bandits, goa"&amp;"t number three chicks, atheists.")</f>
        <v>A plot to create communal riots in the country. Which cannot be done by any religious person (be it Hindu or Muslim or any other religion). No religion in the world supports riots. But I think that some people can do such heinous acts by name bandits, goat number three chicks, atheists.</v>
      </c>
      <c r="F2810" s="1"/>
      <c r="G2810" s="1"/>
      <c r="H2810" s="1"/>
      <c r="I2810" s="1"/>
    </row>
    <row r="2811" spans="1:9" ht="15.6" x14ac:dyDescent="0.3">
      <c r="A2811" s="1" t="s">
        <v>9</v>
      </c>
      <c r="B2811" s="1" t="s">
        <v>7</v>
      </c>
      <c r="C2811" s="10" t="s">
        <v>9</v>
      </c>
      <c r="D2811" s="5" t="s">
        <v>2521</v>
      </c>
      <c r="E2811" s="1" t="str">
        <f ca="1">IFERROR(__xludf.DUMMYFUNCTION("GOOGLETRANSLATE(D2811, ""bn"", ""en"")"),"Some of the idols of the temple were broken by miscreants. Talked to local and temple committee leaders. The police launched an operation to arrest those involved.")</f>
        <v>Some of the idols of the temple were broken by miscreants. Talked to local and temple committee leaders. The police launched an operation to arrest those involved.</v>
      </c>
      <c r="F2811" s="1"/>
      <c r="G2811" s="1"/>
      <c r="H2811" s="1"/>
      <c r="I2811" s="1"/>
    </row>
    <row r="2812" spans="1:9" ht="15.6" x14ac:dyDescent="0.3">
      <c r="A2812" s="1" t="s">
        <v>4</v>
      </c>
      <c r="B2812" s="1" t="s">
        <v>4</v>
      </c>
      <c r="C2812" s="10" t="s">
        <v>4</v>
      </c>
      <c r="D2812" s="5" t="s">
        <v>2522</v>
      </c>
      <c r="E2812" s="1" t="str">
        <f ca="1">IFERROR(__xludf.DUMMYFUNCTION("GOOGLETRANSLATE(D2812, ""bn"", ""en"")"),"He criticized four marriages in Islam.")</f>
        <v>He criticized four marriages in Islam.</v>
      </c>
      <c r="F2812" s="1"/>
      <c r="G2812" s="1"/>
      <c r="H2812" s="1"/>
      <c r="I2812" s="1"/>
    </row>
    <row r="2813" spans="1:9" ht="15.6" x14ac:dyDescent="0.3">
      <c r="A2813" s="1" t="s">
        <v>5</v>
      </c>
      <c r="B2813" s="1" t="s">
        <v>5</v>
      </c>
      <c r="C2813" s="10" t="s">
        <v>5</v>
      </c>
      <c r="D2813" s="5" t="s">
        <v>2523</v>
      </c>
      <c r="E2813" s="1" t="str">
        <f ca="1">IFERROR(__xludf.DUMMYFUNCTION("GOOGLETRANSLATE(D2813, ""bn"", ""en"")"),"University is a secular place. Here Muslims will learn the Quran in public, Sahri, Iftar, and pray in congregation. Players will play sports. ")</f>
        <v>University is a secular place. Here Muslims will learn the Quran in public, Sahri, Iftar, and pray in congregation. Players will play sports. </v>
      </c>
      <c r="F2813" s="1"/>
      <c r="G2813" s="1"/>
      <c r="H2813" s="1"/>
      <c r="I2813" s="1"/>
    </row>
    <row r="2814" spans="1:9" ht="15.6" x14ac:dyDescent="0.3">
      <c r="A2814" s="1" t="s">
        <v>7</v>
      </c>
      <c r="B2814" s="1" t="s">
        <v>4</v>
      </c>
      <c r="C2814" s="10" t="s">
        <v>7</v>
      </c>
      <c r="D2814" s="5" t="s">
        <v>2524</v>
      </c>
      <c r="E2814" s="1" t="str">
        <f ca="1">IFERROR(__xludf.DUMMYFUNCTION("GOOGLETRANSLATE(D2814, ""bn"", ""en"")"),"A famous girls' school 'Nari Shiksha Mandir' was attacked by Muslims. Head clerk Avni Guhra was killed and senior teacher Yogajivan Bose was hacked to death.")</f>
        <v>A famous girls' school 'Nari Shiksha Mandir' was attacked by Muslims. Head clerk Avni Guhra was killed and senior teacher Yogajivan Bose was hacked to death.</v>
      </c>
      <c r="F2814" s="1"/>
      <c r="G2814" s="1"/>
      <c r="H2814" s="1"/>
      <c r="I2814" s="1"/>
    </row>
    <row r="2815" spans="1:9" ht="15.6" x14ac:dyDescent="0.3">
      <c r="A2815" s="1" t="s">
        <v>7</v>
      </c>
      <c r="B2815" s="1" t="s">
        <v>7</v>
      </c>
      <c r="C2815" s="10" t="s">
        <v>7</v>
      </c>
      <c r="D2815" s="5" t="s">
        <v>2525</v>
      </c>
      <c r="E2815" s="1" t="str">
        <f ca="1">IFERROR(__xludf.DUMMYFUNCTION("GOOGLETRANSLATE(D2815, ""bn"", ""en"")"),"During the Gujarat riots, 69 Muslims were killed by Hindutva extremists in the Muslim-majority area of ​​Ahmedabad.")</f>
        <v>During the Gujarat riots, 69 Muslims were killed by Hindutva extremists in the Muslim-majority area of ​​Ahmedabad.</v>
      </c>
      <c r="F2815" s="1"/>
      <c r="G2815" s="1"/>
      <c r="H2815" s="1"/>
      <c r="I2815" s="1"/>
    </row>
    <row r="2816" spans="1:9" ht="15.6" x14ac:dyDescent="0.3">
      <c r="A2816" s="4" t="s">
        <v>7</v>
      </c>
      <c r="B2816" s="4" t="s">
        <v>7</v>
      </c>
      <c r="C2816" s="11" t="s">
        <v>7</v>
      </c>
      <c r="D2816" s="5" t="s">
        <v>2526</v>
      </c>
      <c r="E2816" s="1" t="str">
        <f ca="1">IFERROR(__xludf.DUMMYFUNCTION("GOOGLETRANSLATE(D2816, ""bn"", ""en"")"),"Around 1,800 Muslims of Bengali origin were killed by the Lalung tribe in a village called Nelli. The actions of the Assam movement have been described as the worst genocide since World War II")</f>
        <v>Around 1,800 Muslims of Bengali origin were killed by the Lalung tribe in a village called Nelli. The actions of the Assam movement have been described as the worst genocide since World War II</v>
      </c>
      <c r="F2816" s="1"/>
      <c r="G2816" s="1"/>
      <c r="H2816" s="1"/>
      <c r="I2816" s="1"/>
    </row>
    <row r="2817" spans="1:9" ht="15.6" x14ac:dyDescent="0.3">
      <c r="A2817" s="1" t="s">
        <v>5</v>
      </c>
      <c r="B2817" s="1" t="s">
        <v>7</v>
      </c>
      <c r="C2817" s="10" t="s">
        <v>5</v>
      </c>
      <c r="D2817" s="5" t="s">
        <v>2527</v>
      </c>
      <c r="E2817" s="1" t="str">
        <f ca="1">IFERROR(__xludf.DUMMYFUNCTION("GOOGLETRANSLATE(D2817, ""bn"", ""en"")"),"After reciting Surah Fatiha I felt like I had returned home. I wanted to come here for so long. I accepted Islam. Alhamdulillah! After that, I never turned away from Islam, I never deviated from the belief of monotheism. ")</f>
        <v>After reciting Surah Fatiha I felt like I had returned home. I wanted to come here for so long. I accepted Islam. Alhamdulillah! After that, I never turned away from Islam, I never deviated from the belief of monotheism. </v>
      </c>
      <c r="F2817" s="1"/>
      <c r="G2817" s="1"/>
      <c r="H2817" s="1"/>
      <c r="I2817" s="1"/>
    </row>
    <row r="2818" spans="1:9" ht="15.6" x14ac:dyDescent="0.3">
      <c r="A2818" s="1" t="s">
        <v>9</v>
      </c>
      <c r="B2818" s="1" t="s">
        <v>4</v>
      </c>
      <c r="C2818" s="10" t="s">
        <v>9</v>
      </c>
      <c r="D2818" s="5" t="s">
        <v>2528</v>
      </c>
      <c r="E2818" s="1" t="str">
        <f ca="1">IFERROR(__xludf.DUMMYFUNCTION("GOOGLETRANSLATE(D2818, ""bn"", ""en"")"),"23 February 2014, National English Daily Star; Publishes the summary of the report submitted by the police to the High Court. According to this report, around 160 Hindu families in 21 districts were attacked after the national elections. Where about 40 la"&amp;"kh properties of Hindus were damaged.")</f>
        <v>23 February 2014, National English Daily Star; Publishes the summary of the report submitted by the police to the High Court. According to this report, around 160 Hindu families in 21 districts were attacked after the national elections. Where about 40 lakh properties of Hindus were damaged.</v>
      </c>
      <c r="F2818" s="1"/>
      <c r="G2818" s="1"/>
      <c r="H2818" s="1"/>
      <c r="I2818" s="1"/>
    </row>
    <row r="2819" spans="1:9" ht="15.6" x14ac:dyDescent="0.3">
      <c r="A2819" s="1" t="s">
        <v>4</v>
      </c>
      <c r="B2819" s="1" t="s">
        <v>5</v>
      </c>
      <c r="C2819" s="10" t="s">
        <v>4</v>
      </c>
      <c r="D2819" s="5" t="s">
        <v>2529</v>
      </c>
      <c r="E2819" s="1" t="str">
        <f ca="1">IFERROR(__xludf.DUMMYFUNCTION("GOOGLETRANSLATE(D2819, ""bn"", ""en"")"),"ISKCON has abandoned the book written by you, so how are you an ISKCON man? If you write divisive books among the orthodox, how will other communities respect your ideology?")</f>
        <v>ISKCON has abandoned the book written by you, so how are you an ISKCON man? If you write divisive books among the orthodox, how will other communities respect your ideology?</v>
      </c>
      <c r="F2819" s="1"/>
      <c r="G2819" s="1"/>
      <c r="H2819" s="1"/>
      <c r="I2819" s="1"/>
    </row>
    <row r="2820" spans="1:9" ht="15.6" x14ac:dyDescent="0.3">
      <c r="A2820" s="1" t="s">
        <v>9</v>
      </c>
      <c r="B2820" s="1" t="s">
        <v>9</v>
      </c>
      <c r="C2820" s="10" t="s">
        <v>9</v>
      </c>
      <c r="D2820" s="5" t="s">
        <v>2530</v>
      </c>
      <c r="E2820" s="1" t="str">
        <f ca="1">IFERROR(__xludf.DUMMYFUNCTION("GOOGLETRANSLATE(D2820, ""bn"", ""en"")"),"In the first phase they started a campaign of hatred and persecution against the Buddhists. They then adopted the good aspects of Buddhism in order to win over the ""low"" caste Buddhists. ")</f>
        <v>In the first phase they started a campaign of hatred and persecution against the Buddhists. They then adopted the good aspects of Buddhism in order to win over the "low" caste Buddhists. </v>
      </c>
      <c r="F2820" s="1"/>
      <c r="G2820" s="1"/>
      <c r="H2820" s="1"/>
      <c r="I2820" s="1"/>
    </row>
    <row r="2821" spans="1:9" ht="15.6" x14ac:dyDescent="0.3">
      <c r="A2821" s="1" t="s">
        <v>7</v>
      </c>
      <c r="B2821" s="1" t="s">
        <v>7</v>
      </c>
      <c r="C2821" s="10" t="s">
        <v>7</v>
      </c>
      <c r="D2821" s="5" t="s">
        <v>2531</v>
      </c>
      <c r="E2821" s="1" t="str">
        <f ca="1">IFERROR(__xludf.DUMMYFUNCTION("GOOGLETRANSLATE(D2821, ""bn"", ""en"")"),"A man named Qasim was beaten to death on suspicion of cow smuggling in Uttar Pradesh's Hapur.")</f>
        <v>A man named Qasim was beaten to death on suspicion of cow smuggling in Uttar Pradesh's Hapur.</v>
      </c>
      <c r="F2821" s="1"/>
      <c r="G2821" s="1"/>
      <c r="H2821" s="1"/>
      <c r="I2821" s="1"/>
    </row>
    <row r="2822" spans="1:9" ht="15.6" x14ac:dyDescent="0.3">
      <c r="A2822" s="1" t="s">
        <v>7</v>
      </c>
      <c r="B2822" s="1" t="s">
        <v>7</v>
      </c>
      <c r="C2822" s="10" t="s">
        <v>7</v>
      </c>
      <c r="D2822" s="5" t="s">
        <v>2532</v>
      </c>
      <c r="E2822" s="1" t="str">
        <f ca="1">IFERROR(__xludf.DUMMYFUNCTION("GOOGLETRANSLATE(D2822, ""bn"", ""en"")"),"Press Secretary Mohammad Shafiqul Alam said that the fallen Awami government had always adopted the strategy of consolidating power by creating a culture of fear through the politics of murder. In 2013, the government tried to prove its anti-militancy sta"&amp;"nce to the international community by cracking down on detention. Disappearances and murders were one of the strategies of the fallen government to suppress dissent under the guise of militancy and fundamentalism.")</f>
        <v>Press Secretary Mohammad Shafiqul Alam said that the fallen Awami government had always adopted the strategy of consolidating power by creating a culture of fear through the politics of murder. In 2013, the government tried to prove its anti-militancy stance to the international community by cracking down on detention. Disappearances and murders were one of the strategies of the fallen government to suppress dissent under the guise of militancy and fundamentalism.</v>
      </c>
      <c r="F2822" s="1"/>
      <c r="G2822" s="1"/>
      <c r="H2822" s="1"/>
      <c r="I2822" s="1"/>
    </row>
    <row r="2823" spans="1:9" ht="15.6" x14ac:dyDescent="0.3">
      <c r="A2823" s="1" t="s">
        <v>4</v>
      </c>
      <c r="B2823" s="1" t="s">
        <v>4</v>
      </c>
      <c r="C2823" s="10" t="s">
        <v>4</v>
      </c>
      <c r="D2823" s="5" t="s">
        <v>2533</v>
      </c>
      <c r="E2823" s="1" t="str">
        <f ca="1">IFERROR(__xludf.DUMMYFUNCTION("GOOGLETRANSLATE(D2823, ""bn"", ""en"")"),"All scriptures of the world are objects of great dignity and respect to their respective followers. Therefore desecration of scriptures is a reprehensible act in all religions. Al Quran is the most read holy book in the world. Desecration and desecration "&amp;"of the Qur'an in Islam is a grave crime and a gross transgression. In addition to worldly punishment, its final destination is hell.")</f>
        <v>All scriptures of the world are objects of great dignity and respect to their respective followers. Therefore desecration of scriptures is a reprehensible act in all religions. Al Quran is the most read holy book in the world. Desecration and desecration of the Qur'an in Islam is a grave crime and a gross transgression. In addition to worldly punishment, its final destination is hell.</v>
      </c>
      <c r="F2823" s="1"/>
      <c r="G2823" s="1"/>
      <c r="H2823" s="1"/>
      <c r="I2823" s="1"/>
    </row>
    <row r="2824" spans="1:9" ht="15.6" x14ac:dyDescent="0.3">
      <c r="A2824" s="1" t="s">
        <v>5</v>
      </c>
      <c r="B2824" s="1" t="s">
        <v>5</v>
      </c>
      <c r="C2824" s="10" t="s">
        <v>5</v>
      </c>
      <c r="D2824" s="5" t="s">
        <v>2534</v>
      </c>
      <c r="E2824" s="1" t="str">
        <f ca="1">IFERROR(__xludf.DUMMYFUNCTION("GOOGLETRANSLATE(D2824, ""bn"", ""en"")"),"The Pali lexical meaning of the word prabarana is invitation, call, entreaty, request, prohibition, relinquishment, end, termination, cessation of monastic life, leaving the monastic life, the act or manners of leaving the monastic life, rule, matter of s"&amp;"atisfaction or satisfaction, compensation, atonement, payment of debts, etc.")</f>
        <v>The Pali lexical meaning of the word prabarana is invitation, call, entreaty, request, prohibition, relinquishment, end, termination, cessation of monastic life, leaving the monastic life, the act or manners of leaving the monastic life, rule, matter of satisfaction or satisfaction, compensation, atonement, payment of debts, etc.</v>
      </c>
      <c r="F2824" s="1"/>
      <c r="G2824" s="1"/>
      <c r="H2824" s="1"/>
      <c r="I2824" s="1"/>
    </row>
    <row r="2825" spans="1:9" ht="15.6" x14ac:dyDescent="0.3">
      <c r="A2825" s="1" t="s">
        <v>4</v>
      </c>
      <c r="B2825" s="1" t="s">
        <v>4</v>
      </c>
      <c r="C2825" s="10" t="s">
        <v>4</v>
      </c>
      <c r="D2825" s="5" t="s">
        <v>2535</v>
      </c>
      <c r="E2825" s="1" t="str">
        <f ca="1">IFERROR(__xludf.DUMMYFUNCTION("GOOGLETRANSLATE(D2825, ""bn"", ""en"")"),"It is difficult to get answers to beautiful questions related to space in the pain of so called believers. They make the entire post toxic by coming to the comments box of the post. ")</f>
        <v>It is difficult to get answers to beautiful questions related to space in the pain of so called believers. They make the entire post toxic by coming to the comments box of the post. </v>
      </c>
      <c r="F2825" s="1"/>
      <c r="G2825" s="1"/>
      <c r="H2825" s="1"/>
      <c r="I2825" s="1"/>
    </row>
    <row r="2826" spans="1:9" ht="15.6" x14ac:dyDescent="0.3">
      <c r="A2826" s="1" t="s">
        <v>4</v>
      </c>
      <c r="B2826" s="1" t="s">
        <v>4</v>
      </c>
      <c r="C2826" s="10" t="s">
        <v>4</v>
      </c>
      <c r="D2826" s="5" t="s">
        <v>2536</v>
      </c>
      <c r="E2826" s="1" t="str">
        <f ca="1">IFERROR(__xludf.DUMMYFUNCTION("GOOGLETRANSLATE(D2826, ""bn"", ""en"")"),"And this ferocity is not in any religion except Muslims. Please don't tarnish other religions to save your own back. You do not have this right.")</f>
        <v>And this ferocity is not in any religion except Muslims. Please don't tarnish other religions to save your own back. You do not have this right.</v>
      </c>
      <c r="F2826" s="1"/>
      <c r="G2826" s="1"/>
      <c r="H2826" s="1"/>
      <c r="I2826" s="1"/>
    </row>
    <row r="2827" spans="1:9" ht="15.6" x14ac:dyDescent="0.3">
      <c r="A2827" s="4" t="s">
        <v>7</v>
      </c>
      <c r="B2827" s="4" t="s">
        <v>7</v>
      </c>
      <c r="C2827" s="11" t="s">
        <v>7</v>
      </c>
      <c r="D2827" s="5" t="s">
        <v>2537</v>
      </c>
      <c r="E2827" s="1" t="str">
        <f ca="1">IFERROR(__xludf.DUMMYFUNCTION("GOOGLETRANSLATE(D2827, ""bn"", ""en"")"),"The history of Muslims in Hama, Syria is a painful history. Forty-one years ago today, Syria's notorious dictator Hafiz al-Assad unleashed a hellish massacre of Sunni Muslims.")</f>
        <v>The history of Muslims in Hama, Syria is a painful history. Forty-one years ago today, Syria's notorious dictator Hafiz al-Assad unleashed a hellish massacre of Sunni Muslims.</v>
      </c>
      <c r="F2827" s="1"/>
      <c r="G2827" s="1"/>
      <c r="H2827" s="1"/>
      <c r="I2827" s="1"/>
    </row>
    <row r="2828" spans="1:9" ht="15.6" x14ac:dyDescent="0.3">
      <c r="A2828" s="1" t="s">
        <v>5</v>
      </c>
      <c r="B2828" s="1" t="s">
        <v>4</v>
      </c>
      <c r="C2828" s="10" t="s">
        <v>5</v>
      </c>
      <c r="D2828" s="5" t="s">
        <v>2538</v>
      </c>
      <c r="E2828" s="1" t="str">
        <f ca="1">IFERROR(__xludf.DUMMYFUNCTION("GOOGLETRANSLATE(D2828, ""bn"", ""en"")"),"Every individual is free to adopt whatever religion he thinks best. It is a religious, state and law recognized right. So we can respect everyone's freedom and opinions while maintaining a sense of mutual respect.")</f>
        <v>Every individual is free to adopt whatever religion he thinks best. It is a religious, state and law recognized right. So we can respect everyone's freedom and opinions while maintaining a sense of mutual respect.</v>
      </c>
      <c r="F2828" s="1"/>
      <c r="G2828" s="1"/>
      <c r="H2828" s="1"/>
      <c r="I2828" s="1"/>
    </row>
    <row r="2829" spans="1:9" ht="15.6" x14ac:dyDescent="0.3">
      <c r="A2829" s="1" t="s">
        <v>4</v>
      </c>
      <c r="B2829" s="1" t="s">
        <v>4</v>
      </c>
      <c r="C2829" s="10" t="s">
        <v>4</v>
      </c>
      <c r="D2829" s="5" t="s">
        <v>2539</v>
      </c>
      <c r="E2829" s="1" t="str">
        <f ca="1">IFERROR(__xludf.DUMMYFUNCTION("GOOGLETRANSLATE(D2829, ""bn"", ""en"")"),"Bangladesh became independent in 1971 with the dream of creating a secular state. But after 50 years of independence, we Hindus remain subjugated in our own country, and are hostages to radical fanatics.")</f>
        <v>Bangladesh became independent in 1971 with the dream of creating a secular state. But after 50 years of independence, we Hindus remain subjugated in our own country, and are hostages to radical fanatics.</v>
      </c>
      <c r="F2829" s="1"/>
      <c r="G2829" s="1"/>
      <c r="H2829" s="1"/>
      <c r="I2829" s="1"/>
    </row>
    <row r="2830" spans="1:9" ht="15.6" x14ac:dyDescent="0.3">
      <c r="A2830" s="1" t="s">
        <v>7</v>
      </c>
      <c r="B2830" s="1" t="s">
        <v>7</v>
      </c>
      <c r="C2830" s="10" t="s">
        <v>7</v>
      </c>
      <c r="D2830" s="5" t="s">
        <v>2540</v>
      </c>
      <c r="E2830" s="1" t="str">
        <f ca="1">IFERROR(__xludf.DUMMYFUNCTION("GOOGLETRANSLATE(D2830, ""bn"", ""en"")"),"It is not right that you will go to hell if you commit sins, samsara dharma is a great act of virtue, hell is created when you create a world, if you can do virtuous deeds while living in hell, heaven is created in the air of peace in the world. ")</f>
        <v xml:space="preserve">It is not right that you will go to hell if you commit sins, samsara dharma is a great act of virtue, hell is created when you create a world, if you can do virtuous deeds while living in hell, heaven is created in the air of peace in the world. </v>
      </c>
      <c r="F2830" s="1"/>
      <c r="G2830" s="1"/>
      <c r="H2830" s="1"/>
      <c r="I2830" s="1"/>
    </row>
    <row r="2831" spans="1:9" ht="15.6" x14ac:dyDescent="0.3">
      <c r="A2831" s="1" t="s">
        <v>5</v>
      </c>
      <c r="B2831" s="1" t="s">
        <v>5</v>
      </c>
      <c r="C2831" s="10" t="s">
        <v>5</v>
      </c>
      <c r="D2831" s="5" t="s">
        <v>2541</v>
      </c>
      <c r="E2831" s="1" t="str">
        <f ca="1">IFERROR(__xludf.DUMMYFUNCTION("GOOGLETRANSLATE(D2831, ""bn"", ""en"")"),"They unknowingly saw differently, but if they tried to know, they would understand how much beauty and tranquility there is in this religion of peace. Allah is Almighty, He can do whatever He wills. We pray that Allah guides everyone to the path of truth "&amp;"and goodness.")</f>
        <v>They unknowingly saw differently, but if they tried to know, they would understand how much beauty and tranquility there is in this religion of peace. Allah is Almighty, He can do whatever He wills. We pray that Allah guides everyone to the path of truth and goodness.</v>
      </c>
      <c r="F2831" s="1"/>
      <c r="G2831" s="1"/>
      <c r="H2831" s="1"/>
      <c r="I2831" s="1"/>
    </row>
    <row r="2832" spans="1:9" ht="46.8" x14ac:dyDescent="0.3">
      <c r="A2832" s="1" t="s">
        <v>5</v>
      </c>
      <c r="B2832" s="1" t="s">
        <v>5</v>
      </c>
      <c r="C2832" s="10" t="s">
        <v>5</v>
      </c>
      <c r="D2832" s="6" t="s">
        <v>3734</v>
      </c>
      <c r="E2832" s="1" t="str">
        <f ca="1">IFERROR(__xludf.DUMMYFUNCTION("GOOGLETRANSLATE(D2832, ""bn"", ""en"")"),"Being a citizen of Bangladesh and growing up without knowledge of the history of the liberation war of Bangladesh, the history of India, the constitution of Bangladesh, economy, law, social system, human rights and moral knowledge, it is natural that the "&amp;"darkness of sectarianism and bigotry will accompany that nation. Special education should be imparted to bring them back from radical thinking.")</f>
        <v>Being a citizen of Bangladesh and growing up without knowledge of the history of the liberation war of Bangladesh, the history of India, the constitution of Bangladesh, economy, law, social system, human rights and moral knowledge, it is natural that the darkness of sectarianism and bigotry will accompany that nation. Special education should be imparted to bring them back from radical thinking.</v>
      </c>
      <c r="F2832" s="1"/>
      <c r="G2832" s="1"/>
      <c r="H2832" s="1"/>
      <c r="I2832" s="1"/>
    </row>
    <row r="2833" spans="1:9" ht="15.6" x14ac:dyDescent="0.3">
      <c r="A2833" s="1" t="s">
        <v>9</v>
      </c>
      <c r="B2833" s="1" t="s">
        <v>9</v>
      </c>
      <c r="C2833" s="10" t="s">
        <v>9</v>
      </c>
      <c r="D2833" s="5" t="s">
        <v>2542</v>
      </c>
      <c r="E2833" s="1" t="str">
        <f ca="1">IFERROR(__xludf.DUMMYFUNCTION("GOOGLETRANSLATE(D2833, ""bn"", ""en"")"),"Around 3 am on March 2, unidentified miscreants set fire to the Sarvajan Puja Sangh Temple in New Alidanga Bara Pekurtala area of ​​Shibganj Municipality under Shibganj Upazila of Chapainawabganj District. A part of the temple was burnt down. ")</f>
        <v>Around 3 am on March 2, unidentified miscreants set fire to the Sarvajan Puja Sangh Temple in New Alidanga Bara Pekurtala area of ​​Shibganj Municipality under Shibganj Upazila of Chapainawabganj District. A part of the temple was burnt down. </v>
      </c>
      <c r="F2833" s="1"/>
      <c r="G2833" s="1"/>
      <c r="H2833" s="1"/>
      <c r="I2833" s="1"/>
    </row>
    <row r="2834" spans="1:9" ht="15.6" x14ac:dyDescent="0.3">
      <c r="A2834" s="1" t="s">
        <v>9</v>
      </c>
      <c r="B2834" s="1" t="s">
        <v>9</v>
      </c>
      <c r="C2834" s="10" t="s">
        <v>9</v>
      </c>
      <c r="D2834" s="5" t="s">
        <v>2543</v>
      </c>
      <c r="E2834" s="1" t="str">
        <f ca="1">IFERROR(__xludf.DUMMYFUNCTION("GOOGLETRANSLATE(D2834, ""bn"", ""en"")"),"Shankar Chandra Halder, president of the temple committee, said that the people of the organizing committee went home after staying at the mandap until late on Thursday night. While sweeping in the morning, they found the head and left arm of the Kartik i"&amp;"dol severed. After going to the spot, the police immediately brought the artisans and reattached the broken idol.")</f>
        <v>Shankar Chandra Halder, president of the temple committee, said that the people of the organizing committee went home after staying at the mandap until late on Thursday night. While sweeping in the morning, they found the head and left arm of the Kartik idol severed. After going to the spot, the police immediately brought the artisans and reattached the broken idol.</v>
      </c>
      <c r="F2834" s="1"/>
      <c r="G2834" s="1"/>
      <c r="H2834" s="1"/>
      <c r="I2834" s="1"/>
    </row>
    <row r="2835" spans="1:9" ht="15.6" x14ac:dyDescent="0.3">
      <c r="A2835" s="1" t="s">
        <v>5</v>
      </c>
      <c r="B2835" s="1" t="s">
        <v>5</v>
      </c>
      <c r="C2835" s="10" t="s">
        <v>5</v>
      </c>
      <c r="D2835" s="5" t="s">
        <v>2544</v>
      </c>
      <c r="E2835" s="1" t="str">
        <f ca="1">IFERROR(__xludf.DUMMYFUNCTION("GOOGLETRANSLATE(D2835, ""bn"", ""en"")"),"Worship is beautiful in secret. Otherwise, there would be no mosque for Muslims. We are told to pray in congregation. I will preach the worship of Islam by loving my Allah.")</f>
        <v>Worship is beautiful in secret. Otherwise, there would be no mosque for Muslims. We are told to pray in congregation. I will preach the worship of Islam by loving my Allah.</v>
      </c>
      <c r="F2835" s="1"/>
      <c r="G2835" s="1"/>
      <c r="H2835" s="1"/>
      <c r="I2835" s="1"/>
    </row>
    <row r="2836" spans="1:9" ht="15.6" x14ac:dyDescent="0.3">
      <c r="A2836" s="1" t="s">
        <v>7</v>
      </c>
      <c r="B2836" s="1" t="s">
        <v>7</v>
      </c>
      <c r="C2836" s="10" t="s">
        <v>7</v>
      </c>
      <c r="D2836" s="5" t="s">
        <v>2545</v>
      </c>
      <c r="E2836" s="1" t="str">
        <f ca="1">IFERROR(__xludf.DUMMYFUNCTION("GOOGLETRANSLATE(D2836, ""bn"", ""en"")"),"The Taliban have given verbal assurances of conditional leniency. But does it believable? Everyone is running away. The last flight is leaving. People are trying to hang on the wheel of the plane without getting a place! Aquarian people! Life is hanging! ")</f>
        <v xml:space="preserve">The Taliban have given verbal assurances of conditional leniency. But does it believable? Everyone is running away. The last flight is leaving. People are trying to hang on the wheel of the plane without getting a place! Aquarian people! Life is hanging! </v>
      </c>
      <c r="F2836" s="1"/>
      <c r="G2836" s="1"/>
      <c r="H2836" s="1"/>
      <c r="I2836" s="1"/>
    </row>
    <row r="2837" spans="1:9" ht="15.6" x14ac:dyDescent="0.3">
      <c r="A2837" s="1" t="s">
        <v>9</v>
      </c>
      <c r="B2837" s="1" t="s">
        <v>9</v>
      </c>
      <c r="C2837" s="10" t="s">
        <v>9</v>
      </c>
      <c r="D2837" s="5" t="s">
        <v>2546</v>
      </c>
      <c r="E2837" s="1" t="str">
        <f ca="1">IFERROR(__xludf.DUMMYFUNCTION("GOOGLETRANSLATE(D2837, ""bn"", ""en"")"),"A total of 66 families were affected by the violence in Pirganj. About 25 houses and shops including 7 tin houses, 9 brick houses, 4 mud houses, 2 shops of these families were burnt by the people of the Muslim community. Also temples were vandalized, catt"&amp;"le, gold ornaments, cash looted.")</f>
        <v>A total of 66 families were affected by the violence in Pirganj. About 25 houses and shops including 7 tin houses, 9 brick houses, 4 mud houses, 2 shops of these families were burnt by the people of the Muslim community. Also temples were vandalized, cattle, gold ornaments, cash looted.</v>
      </c>
      <c r="F2837" s="1"/>
      <c r="G2837" s="1"/>
      <c r="H2837" s="1"/>
      <c r="I2837" s="1"/>
    </row>
    <row r="2838" spans="1:9" ht="15.6" x14ac:dyDescent="0.3">
      <c r="A2838" s="1" t="s">
        <v>5</v>
      </c>
      <c r="B2838" s="1" t="s">
        <v>5</v>
      </c>
      <c r="C2838" s="10" t="s">
        <v>5</v>
      </c>
      <c r="D2838" s="5" t="s">
        <v>2547</v>
      </c>
      <c r="E2838" s="1" t="str">
        <f ca="1">IFERROR(__xludf.DUMMYFUNCTION("GOOGLETRANSLATE(D2838, ""bn"", ""en"")"),"I am not a religious person who prays five times a day, but I am Islamic. I believe in the basic philosophy of Islam. And I also believe that it is good religion and discipline.")</f>
        <v>I am not a religious person who prays five times a day, but I am Islamic. I believe in the basic philosophy of Islam. And I also believe that it is good religion and discipline.</v>
      </c>
      <c r="F2838" s="1"/>
      <c r="G2838" s="1"/>
      <c r="H2838" s="1"/>
      <c r="I2838" s="1"/>
    </row>
    <row r="2839" spans="1:9" ht="15.6" x14ac:dyDescent="0.3">
      <c r="A2839" s="1" t="s">
        <v>4</v>
      </c>
      <c r="B2839" s="1" t="s">
        <v>5</v>
      </c>
      <c r="C2839" s="10" t="s">
        <v>4</v>
      </c>
      <c r="D2839" s="5" t="s">
        <v>2548</v>
      </c>
      <c r="E2839" s="1" t="str">
        <f ca="1">IFERROR(__xludf.DUMMYFUNCTION("GOOGLETRANSLATE(D2839, ""bn"", ""en"")"),"Abdus Sabur Khan held three more public meetings at Rampal in Bagerhat. There Muslims started distributing leaflets detailing the horrific Hindu massacres going on in East-Pakistan. They threatened Bengali Hindus to leave Pakistan immediately.")</f>
        <v>Abdus Sabur Khan held three more public meetings at Rampal in Bagerhat. There Muslims started distributing leaflets detailing the horrific Hindu massacres going on in East-Pakistan. They threatened Bengali Hindus to leave Pakistan immediately.</v>
      </c>
      <c r="F2839" s="1"/>
      <c r="G2839" s="1"/>
      <c r="H2839" s="1"/>
      <c r="I2839" s="1"/>
    </row>
    <row r="2840" spans="1:9" ht="15.6" x14ac:dyDescent="0.3">
      <c r="A2840" s="1" t="s">
        <v>9</v>
      </c>
      <c r="B2840" s="1" t="s">
        <v>4</v>
      </c>
      <c r="C2840" s="10" t="s">
        <v>9</v>
      </c>
      <c r="D2840" s="5" t="s">
        <v>2549</v>
      </c>
      <c r="E2840" s="1" t="str">
        <f ca="1">IFERROR(__xludf.DUMMYFUNCTION("GOOGLETRANSLATE(D2840, ""bn"", ""en"")"),"From September onwards, the atrocities of the Pak invaders decreased somewhat. On 16 September, a group of people from Krishnapur village went to Lakhai, they were caught by some boats from Ashtagram.")</f>
        <v>From September onwards, the atrocities of the Pak invaders decreased somewhat. On 16 September, a group of people from Krishnapur village went to Lakhai, they were caught by some boats from Ashtagram.</v>
      </c>
      <c r="F2840" s="1"/>
      <c r="G2840" s="1"/>
      <c r="H2840" s="1"/>
      <c r="I2840" s="1"/>
    </row>
    <row r="2841" spans="1:9" ht="15.6" x14ac:dyDescent="0.3">
      <c r="A2841" s="1" t="s">
        <v>4</v>
      </c>
      <c r="B2841" s="1" t="s">
        <v>4</v>
      </c>
      <c r="C2841" s="10" t="s">
        <v>4</v>
      </c>
      <c r="D2841" s="5" t="s">
        <v>2550</v>
      </c>
      <c r="E2841" s="1" t="str">
        <f ca="1">IFERROR(__xludf.DUMMYFUNCTION("GOOGLETRANSLATE(D2841, ""bn"", ""en"")"),"Every mainstream media is lashing out against the Muslim community and scholars as if there were Hindu Muslim riots. ")</f>
        <v xml:space="preserve">Every mainstream media is lashing out against the Muslim community and scholars as if there were Hindu Muslim riots. </v>
      </c>
      <c r="F2841" s="1"/>
      <c r="G2841" s="1"/>
      <c r="H2841" s="1"/>
      <c r="I2841" s="1"/>
    </row>
    <row r="2842" spans="1:9" ht="15.6" x14ac:dyDescent="0.3">
      <c r="A2842" s="1" t="s">
        <v>7</v>
      </c>
      <c r="B2842" s="1" t="s">
        <v>7</v>
      </c>
      <c r="C2842" s="10" t="s">
        <v>7</v>
      </c>
      <c r="D2842" s="5" t="s">
        <v>2551</v>
      </c>
      <c r="E2842" s="1" t="str">
        <f ca="1">IFERROR(__xludf.DUMMYFUNCTION("GOOGLETRANSLATE(D2842, ""bn"", ""en"")"),"Over 100 beheadings announced in Brahmanbaria in violent clashes between two communities due to religious differences")</f>
        <v>Over 100 beheadings announced in Brahmanbaria in violent clashes between two communities due to religious differences</v>
      </c>
      <c r="F2842" s="1"/>
      <c r="G2842" s="1"/>
      <c r="H2842" s="1"/>
      <c r="I2842" s="1"/>
    </row>
    <row r="2843" spans="1:9" ht="15.6" x14ac:dyDescent="0.3">
      <c r="A2843" s="1" t="s">
        <v>9</v>
      </c>
      <c r="B2843" s="1" t="s">
        <v>9</v>
      </c>
      <c r="C2843" s="10" t="s">
        <v>9</v>
      </c>
      <c r="D2843" s="5" t="s">
        <v>2552</v>
      </c>
      <c r="E2843" s="1" t="str">
        <f ca="1">IFERROR(__xludf.DUMMYFUNCTION("GOOGLETRANSLATE(D2843, ""bn"", ""en"")"),"Jewish temple under mosque in Palestine, temple under mosque in India. Mosque demolition strategy.")</f>
        <v>Jewish temple under mosque in Palestine, temple under mosque in India. Mosque demolition strategy.</v>
      </c>
      <c r="F2843" s="1"/>
      <c r="G2843" s="1"/>
      <c r="H2843" s="1"/>
      <c r="I2843" s="1"/>
    </row>
    <row r="2844" spans="1:9" ht="15.6" x14ac:dyDescent="0.3">
      <c r="A2844" s="1" t="s">
        <v>4</v>
      </c>
      <c r="B2844" s="1" t="s">
        <v>5</v>
      </c>
      <c r="C2844" s="10" t="s">
        <v>4</v>
      </c>
      <c r="D2844" s="5" t="s">
        <v>2553</v>
      </c>
      <c r="E2844" s="1" t="str">
        <f ca="1">IFERROR(__xludf.DUMMYFUNCTION("GOOGLETRANSLATE(D2844, ""bn"", ""en"")"),"In this way, practicing religion by belittling other religions, insulting or creating chaos does not support any religion.")</f>
        <v>In this way, practicing religion by belittling other religions, insulting or creating chaos does not support any religion.</v>
      </c>
      <c r="F2844" s="1"/>
      <c r="G2844" s="1"/>
      <c r="H2844" s="1"/>
      <c r="I2844" s="1"/>
    </row>
    <row r="2845" spans="1:9" ht="15.6" x14ac:dyDescent="0.3">
      <c r="A2845" s="1" t="s">
        <v>4</v>
      </c>
      <c r="B2845" s="1" t="s">
        <v>4</v>
      </c>
      <c r="C2845" s="10" t="s">
        <v>4</v>
      </c>
      <c r="D2845" s="5" t="s">
        <v>2554</v>
      </c>
      <c r="E2845" s="1" t="str">
        <f ca="1">IFERROR(__xludf.DUMMYFUNCTION("GOOGLETRANSLATE(D2845, ""bn"", ""en"")"),"Exaggeration posts about religion! ")</f>
        <v xml:space="preserve">Exaggeration posts about religion! </v>
      </c>
      <c r="F2845" s="1"/>
      <c r="G2845" s="1"/>
      <c r="H2845" s="1"/>
      <c r="I2845" s="1"/>
    </row>
    <row r="2846" spans="1:9" ht="62.4" x14ac:dyDescent="0.3">
      <c r="A2846" s="1" t="s">
        <v>7</v>
      </c>
      <c r="B2846" s="1" t="s">
        <v>7</v>
      </c>
      <c r="C2846" s="10" t="s">
        <v>7</v>
      </c>
      <c r="D2846" s="6" t="s">
        <v>3733</v>
      </c>
      <c r="E2846" s="1" t="str">
        <f ca="1">IFERROR(__xludf.DUMMYFUNCTION("GOOGLETRANSLATE(D2846, ""bn"", ""en"")"),"During the Liberation War of Bangladesh, Urdu-speaking Muslims directly helped the Pakistan Army. For this reason, a large supporter group of Pakistani forces was formed in Syedpur. On April 12, 1971, Pakistani army forces systematically killed the famous"&amp;" Tulsiram Agarwal, Jamunaprasad Keria, Rameshwarlal Agarwal near Rangpur cantonment. This killing caused intense panic among the Marwari community. Urdu speaking Biharis started looting Marwaris houses, shops, business establishments.")</f>
        <v>During the Liberation War of Bangladesh, Urdu-speaking Muslims directly helped the Pakistan Army. For this reason, a large supporter group of Pakistani forces was formed in Syedpur. On April 12, 1971, Pakistani army forces systematically killed the famous Tulsiram Agarwal, Jamunaprasad Keria, Rameshwarlal Agarwal near Rangpur cantonment. This killing caused intense panic among the Marwari community. Urdu speaking Biharis started looting Marwaris houses, shops, business establishments.</v>
      </c>
      <c r="F2846" s="1"/>
      <c r="G2846" s="1"/>
      <c r="H2846" s="1"/>
      <c r="I2846" s="1"/>
    </row>
    <row r="2847" spans="1:9" ht="15.6" x14ac:dyDescent="0.3">
      <c r="A2847" s="1" t="s">
        <v>4</v>
      </c>
      <c r="B2847" s="1" t="s">
        <v>5</v>
      </c>
      <c r="C2847" s="10" t="s">
        <v>4</v>
      </c>
      <c r="D2847" s="5" t="s">
        <v>2555</v>
      </c>
      <c r="E2847" s="1" t="str">
        <f ca="1">IFERROR(__xludf.DUMMYFUNCTION("GOOGLETRANSLATE(D2847, ""bn"", ""en"")"),"He is also making videos about his religion before, he is clenching his teeth after watching them, does he feel hurt when he says about Hinduism? No one could reduce Munawar's guts even in jail.")</f>
        <v>He is also making videos about his religion before, he is clenching his teeth after watching them, does he feel hurt when he says about Hinduism? No one could reduce Munawar's guts even in jail.</v>
      </c>
      <c r="F2847" s="1"/>
      <c r="G2847" s="1"/>
      <c r="H2847" s="1"/>
      <c r="I2847" s="1"/>
    </row>
    <row r="2848" spans="1:9" ht="15.6" x14ac:dyDescent="0.3">
      <c r="A2848" s="1" t="s">
        <v>7</v>
      </c>
      <c r="B2848" s="1" t="s">
        <v>7</v>
      </c>
      <c r="C2848" s="10" t="s">
        <v>7</v>
      </c>
      <c r="D2848" s="5" t="s">
        <v>2556</v>
      </c>
      <c r="E2848" s="1" t="str">
        <f ca="1">IFERROR(__xludf.DUMMYFUNCTION("GOOGLETRANSLATE(D2848, ""bn"", ""en"")"),"Forced conversions, documented massacres, destruction of temples and religious sites, and destruction of educational institutions are noted.")</f>
        <v>Forced conversions, documented massacres, destruction of temples and religious sites, and destruction of educational institutions are noted.</v>
      </c>
      <c r="F2848" s="1"/>
      <c r="G2848" s="1"/>
      <c r="H2848" s="1"/>
      <c r="I2848" s="1"/>
    </row>
    <row r="2849" spans="1:9" ht="15.6" x14ac:dyDescent="0.3">
      <c r="A2849" s="1" t="s">
        <v>9</v>
      </c>
      <c r="B2849" s="1" t="s">
        <v>5</v>
      </c>
      <c r="C2849" s="10" t="s">
        <v>9</v>
      </c>
      <c r="D2849" s="5" t="s">
        <v>2557</v>
      </c>
      <c r="E2849" s="1" t="str">
        <f ca="1">IFERROR(__xludf.DUMMYFUNCTION("GOOGLETRANSLATE(D2849, ""bn"", ""en"")"),"The conflict between religious identity and expression in France is complex. This has to do with wars and conflicts in various Muslim countries, as well as the experience of racism and discrimination among Muslim immigrant groups.")</f>
        <v>The conflict between religious identity and expression in France is complex. This has to do with wars and conflicts in various Muslim countries, as well as the experience of racism and discrimination among Muslim immigrant groups.</v>
      </c>
      <c r="F2849" s="1"/>
      <c r="G2849" s="1"/>
      <c r="H2849" s="1"/>
      <c r="I2849" s="1"/>
    </row>
    <row r="2850" spans="1:9" ht="15.6" x14ac:dyDescent="0.3">
      <c r="A2850" s="1" t="s">
        <v>9</v>
      </c>
      <c r="B2850" s="1" t="s">
        <v>9</v>
      </c>
      <c r="C2850" s="10" t="s">
        <v>9</v>
      </c>
      <c r="D2850" s="5" t="s">
        <v>2558</v>
      </c>
      <c r="E2850" s="1" t="str">
        <f ca="1">IFERROR(__xludf.DUMMYFUNCTION("GOOGLETRANSLATE(D2850, ""bn"", ""en"")"),"As time progressed, 8 to 10 thousand people gathered. They gathered there and started protest by blocking the Rangpur-Dinajpur highway. At this time, hundreds of vehicles were stuck on both sides of the road. The extremists continued to block the road til"&amp;"l evening.")</f>
        <v>As time progressed, 8 to 10 thousand people gathered. They gathered there and started protest by blocking the Rangpur-Dinajpur highway. At this time, hundreds of vehicles were stuck on both sides of the road. The extremists continued to block the road till evening.</v>
      </c>
      <c r="F2850" s="1"/>
      <c r="G2850" s="1"/>
      <c r="H2850" s="1"/>
      <c r="I2850" s="1"/>
    </row>
    <row r="2851" spans="1:9" ht="15.6" x14ac:dyDescent="0.3">
      <c r="A2851" s="1" t="s">
        <v>7</v>
      </c>
      <c r="B2851" s="1" t="s">
        <v>7</v>
      </c>
      <c r="C2851" s="10" t="s">
        <v>7</v>
      </c>
      <c r="D2851" s="5" t="s">
        <v>2559</v>
      </c>
      <c r="E2851" s="1" t="str">
        <f ca="1">IFERROR(__xludf.DUMMYFUNCTION("GOOGLETRANSLATE(D2851, ""bn"", ""en"")"),"The Rajakars killed all nine.[3][4] The Rajakars raped Sunil Kumar Saha's daughter Jhuma Rani Saha[3] and later killed her.[5] They also forced Anil Saha to flee the country.[")</f>
        <v>The Rajakars killed all nine.[3][4] The Rajakars raped Sunil Kumar Saha's daughter Jhuma Rani Saha[3] and later killed her.[5] They also forced Anil Saha to flee the country.[</v>
      </c>
      <c r="F2851" s="1"/>
      <c r="G2851" s="1"/>
      <c r="H2851" s="1"/>
      <c r="I2851" s="1"/>
    </row>
    <row r="2852" spans="1:9" ht="62.4" x14ac:dyDescent="0.3">
      <c r="A2852" s="1" t="s">
        <v>9</v>
      </c>
      <c r="B2852" s="1" t="s">
        <v>9</v>
      </c>
      <c r="C2852" s="10" t="s">
        <v>9</v>
      </c>
      <c r="D2852" s="6" t="s">
        <v>3732</v>
      </c>
      <c r="E2852" s="1" t="str">
        <f ca="1">IFERROR(__xludf.DUMMYFUNCTION("GOOGLETRANSLATE(D2852, ""bn"", ""en"")"),"While fleeing, the attackers ransacked several houses belonging to the Hindu community in the vicinity. [46] The attackers vandalized Durga idols at Kachari Mura Shil Para Pujamandap and local Saraswati temple in Shilkhali Union and vandalized a few Hindu"&amp;" houses in Magnama. [36] Additional members of law and order forces, including police and RAB, were deployed to control the situation. That night, raids were conducted at various places and nine people were arrested on suspicion of involvement in the inci"&amp;"dent.")</f>
        <v>While fleeing, the attackers ransacked several houses belonging to the Hindu community in the vicinity. [46] The attackers vandalized Durga idols at Kachari Mura Shil Para Pujamandap and local Saraswati temple in Shilkhali Union and vandalized a few Hindu houses in Magnama. [36] Additional members of law and order forces, including police and RAB, were deployed to control the situation. That night, raids were conducted at various places and nine people were arrested on suspicion of involvement in the incident.</v>
      </c>
      <c r="F2852" s="1"/>
      <c r="G2852" s="1"/>
      <c r="H2852" s="1"/>
      <c r="I2852" s="1"/>
    </row>
    <row r="2853" spans="1:9" ht="15.6" x14ac:dyDescent="0.3">
      <c r="A2853" s="1" t="s">
        <v>9</v>
      </c>
      <c r="B2853" s="1" t="s">
        <v>9</v>
      </c>
      <c r="C2853" s="10" t="s">
        <v>9</v>
      </c>
      <c r="D2853" s="5" t="s">
        <v>2560</v>
      </c>
      <c r="E2853" s="1" t="str">
        <f ca="1">IFERROR(__xludf.DUMMYFUNCTION("GOOGLETRANSLATE(D2853, ""bn"", ""en"")"),"The Battle of Badr was fought on 17 Ramadan 2 AH (17 March 624 AD) between the Muslims of Medina and the Quraysh of Makkah. This is the first major battle in the history of Islam. As a result of this victory, the power of the Muslims increased more than b"&amp;"efore.")</f>
        <v>The Battle of Badr was fought on 17 Ramadan 2 AH (17 March 624 AD) between the Muslims of Medina and the Quraysh of Makkah. This is the first major battle in the history of Islam. As a result of this victory, the power of the Muslims increased more than before.</v>
      </c>
      <c r="F2853" s="1"/>
      <c r="G2853" s="1"/>
      <c r="H2853" s="1"/>
      <c r="I2853" s="1"/>
    </row>
    <row r="2854" spans="1:9" ht="15.6" x14ac:dyDescent="0.3">
      <c r="A2854" s="1" t="s">
        <v>9</v>
      </c>
      <c r="B2854" s="1" t="s">
        <v>9</v>
      </c>
      <c r="C2854" s="10" t="s">
        <v>9</v>
      </c>
      <c r="D2854" s="5" t="s">
        <v>2561</v>
      </c>
      <c r="E2854" s="1" t="str">
        <f ca="1">IFERROR(__xludf.DUMMYFUNCTION("GOOGLETRANSLATE(D2854, ""bn"", ""en"")"),"On February 28, Muslims brutally attacked the Kolkata-bound Assam Mail train.[35] On the same 28th, they again launched a merciless attack on the Hindus of Rajshahi district. ")</f>
        <v>On February 28, Muslims brutally attacked the Kolkata-bound Assam Mail train.[35] On the same 28th, they again launched a merciless attack on the Hindus of Rajshahi district. </v>
      </c>
      <c r="F2854" s="1"/>
      <c r="G2854" s="1"/>
      <c r="H2854" s="1"/>
      <c r="I2854" s="1"/>
    </row>
    <row r="2855" spans="1:9" ht="15.6" x14ac:dyDescent="0.3">
      <c r="A2855" s="1" t="s">
        <v>7</v>
      </c>
      <c r="B2855" s="1" t="s">
        <v>4</v>
      </c>
      <c r="C2855" s="10" t="s">
        <v>7</v>
      </c>
      <c r="D2855" s="5" t="s">
        <v>2562</v>
      </c>
      <c r="E2855" s="1" t="str">
        <f ca="1">IFERROR(__xludf.DUMMYFUNCTION("GOOGLETRANSLATE(D2855, ""bn"", ""en"")"),"Both the British and the Congress blamed Jinnah for the gruesome assassination, and the Muslim League was blamed for awakening such Muslim nationalist sentiment.")</f>
        <v>Both the British and the Congress blamed Jinnah for the gruesome assassination, and the Muslim League was blamed for awakening such Muslim nationalist sentiment.</v>
      </c>
      <c r="F2855" s="1"/>
      <c r="G2855" s="1"/>
      <c r="H2855" s="1"/>
      <c r="I2855" s="1"/>
    </row>
    <row r="2856" spans="1:9" ht="15.6" x14ac:dyDescent="0.3">
      <c r="A2856" s="1" t="s">
        <v>5</v>
      </c>
      <c r="B2856" s="1" t="s">
        <v>5</v>
      </c>
      <c r="C2856" s="10" t="s">
        <v>5</v>
      </c>
      <c r="D2856" s="5" t="s">
        <v>2563</v>
      </c>
      <c r="E2856" s="1" t="str">
        <f ca="1">IFERROR(__xludf.DUMMYFUNCTION("GOOGLETRANSLATE(D2856, ""bn"", ""en"")"),"Most of the country's Muslims are Sunni, although there is a small Shia community. Most Shias live in cities. ")</f>
        <v>Most of the country's Muslims are Sunni, although there is a small Shia community. Most Shias live in cities. </v>
      </c>
      <c r="F2856" s="1"/>
      <c r="G2856" s="1"/>
      <c r="H2856" s="1"/>
      <c r="I2856" s="1"/>
    </row>
    <row r="2857" spans="1:9" ht="15.6" x14ac:dyDescent="0.3">
      <c r="A2857" s="1" t="s">
        <v>5</v>
      </c>
      <c r="B2857" s="1" t="s">
        <v>5</v>
      </c>
      <c r="C2857" s="10" t="s">
        <v>5</v>
      </c>
      <c r="D2857" s="5" t="s">
        <v>2564</v>
      </c>
      <c r="E2857" s="1" t="str">
        <f ca="1">IFERROR(__xludf.DUMMYFUNCTION("GOOGLETRANSLATE(D2857, ""bn"", ""en"")"),"Those who have some understanding of Islam may know that the basis of the religion is extreme monotheism or strict monotheism. Therefore, any doctrine or practice bordering on anti-monotheism or polytheism is strictly forbidden in this religion.")</f>
        <v>Those who have some understanding of Islam may know that the basis of the religion is extreme monotheism or strict monotheism. Therefore, any doctrine or practice bordering on anti-monotheism or polytheism is strictly forbidden in this religion.</v>
      </c>
      <c r="F2857" s="1"/>
      <c r="G2857" s="1"/>
      <c r="H2857" s="1"/>
      <c r="I2857" s="1"/>
    </row>
    <row r="2858" spans="1:9" ht="15.6" x14ac:dyDescent="0.3">
      <c r="A2858" s="1" t="s">
        <v>7</v>
      </c>
      <c r="B2858" s="1" t="s">
        <v>7</v>
      </c>
      <c r="C2858" s="10" t="s">
        <v>7</v>
      </c>
      <c r="D2858" s="5" t="s">
        <v>2565</v>
      </c>
      <c r="E2858" s="1" t="str">
        <f ca="1">IFERROR(__xludf.DUMMYFUNCTION("GOOGLETRANSLATE(D2858, ""bn"", ""en"")"),"Satidana was carried out by building small huts, in which the widow and her husband were burnt, in other areas, pits were dug, where the corpse of the husband was kept with combustible material, into which the widow jumped after the fire started.")</f>
        <v>Satidana was carried out by building small huts, in which the widow and her husband were burnt, in other areas, pits were dug, where the corpse of the husband was kept with combustible material, into which the widow jumped after the fire started.</v>
      </c>
      <c r="F2858" s="1"/>
      <c r="G2858" s="1"/>
      <c r="H2858" s="1"/>
      <c r="I2858" s="1"/>
    </row>
    <row r="2859" spans="1:9" ht="15.6" x14ac:dyDescent="0.3">
      <c r="A2859" s="1" t="s">
        <v>4</v>
      </c>
      <c r="B2859" s="1" t="s">
        <v>5</v>
      </c>
      <c r="C2859" s="10" t="s">
        <v>4</v>
      </c>
      <c r="D2859" s="5" t="s">
        <v>2566</v>
      </c>
      <c r="E2859" s="1" t="str">
        <f ca="1">IFERROR(__xludf.DUMMYFUNCTION("GOOGLETRANSLATE(D2859, ""bn"", ""en"")"),"Where was it when Islamic scholars like Arif Azad, Mizanur Rahman etc. were given the title of militant, old-fashioned etc. because of their religious writings?!")</f>
        <v>Where was it when Islamic scholars like Arif Azad, Mizanur Rahman etc. were given the title of militant, old-fashioned etc. because of their religious writings?!</v>
      </c>
      <c r="F2859" s="1"/>
      <c r="G2859" s="1"/>
      <c r="H2859" s="1"/>
      <c r="I2859" s="1"/>
    </row>
    <row r="2860" spans="1:9" ht="15.6" x14ac:dyDescent="0.3">
      <c r="A2860" s="1" t="s">
        <v>9</v>
      </c>
      <c r="B2860" s="1" t="s">
        <v>9</v>
      </c>
      <c r="C2860" s="10" t="s">
        <v>9</v>
      </c>
      <c r="D2860" s="5" t="s">
        <v>2567</v>
      </c>
      <c r="E2860" s="1" t="str">
        <f ca="1">IFERROR(__xludf.DUMMYFUNCTION("GOOGLETRANSLATE(D2860, ""bn"", ""en"")"),"In front of the Chitalmari police station, the police clashed with the angry crowd over offensive posts on Facebook. At least 25 people including 12 policemen were injured.")</f>
        <v>In front of the Chitalmari police station, the police clashed with the angry crowd over offensive posts on Facebook. At least 25 people including 12 policemen were injured.</v>
      </c>
      <c r="F2860" s="1"/>
      <c r="G2860" s="1"/>
      <c r="H2860" s="1"/>
      <c r="I2860" s="1"/>
    </row>
    <row r="2861" spans="1:9" ht="15.6" x14ac:dyDescent="0.3">
      <c r="A2861" s="1" t="s">
        <v>7</v>
      </c>
      <c r="B2861" s="1" t="s">
        <v>7</v>
      </c>
      <c r="C2861" s="10" t="s">
        <v>7</v>
      </c>
      <c r="D2861" s="5" t="s">
        <v>2568</v>
      </c>
      <c r="E2861" s="1" t="str">
        <f ca="1">IFERROR(__xludf.DUMMYFUNCTION("GOOGLETRANSLATE(D2861, ""bn"", ""en"")"),"The fear of death can be relieved when your life is saved in religious relations.")</f>
        <v>The fear of death can be relieved when your life is saved in religious relations.</v>
      </c>
      <c r="F2861" s="1"/>
      <c r="G2861" s="1"/>
      <c r="H2861" s="1"/>
      <c r="I2861" s="1"/>
    </row>
    <row r="2862" spans="1:9" ht="15.6" x14ac:dyDescent="0.3">
      <c r="A2862" s="1" t="s">
        <v>9</v>
      </c>
      <c r="B2862" s="1" t="s">
        <v>5</v>
      </c>
      <c r="C2862" s="10" t="s">
        <v>9</v>
      </c>
      <c r="D2862" s="5" t="s">
        <v>2569</v>
      </c>
      <c r="E2862" s="1" t="str">
        <f ca="1">IFERROR(__xludf.DUMMYFUNCTION("GOOGLETRANSLATE(D2862, ""bn"", ""en"")"),"The list of wars under the leadership of Muhammad lists all the wars and campaigns fought by the Muslim community during the lifetime of the Prophet of Islam Muhammad (PBUH).")</f>
        <v>The list of wars under the leadership of Muhammad lists all the wars and campaigns fought by the Muslim community during the lifetime of the Prophet of Islam Muhammad (PBUH).</v>
      </c>
      <c r="F2862" s="1"/>
      <c r="G2862" s="1"/>
      <c r="H2862" s="1"/>
      <c r="I2862" s="1"/>
    </row>
    <row r="2863" spans="1:9" ht="15.6" x14ac:dyDescent="0.3">
      <c r="A2863" s="1" t="s">
        <v>7</v>
      </c>
      <c r="B2863" s="1" t="s">
        <v>4</v>
      </c>
      <c r="C2863" s="10" t="s">
        <v>7</v>
      </c>
      <c r="D2863" s="5" t="s">
        <v>2570</v>
      </c>
      <c r="E2863" s="1" t="str">
        <f ca="1">IFERROR(__xludf.DUMMYFUNCTION("GOOGLETRANSLATE(D2863, ""bn"", ""en"")")," The chairman of the mosque's management committee told BBC Hindi's Dilanwaz Pasha, ""Our Imam Saad was in the mosque, he was killed in the attack. Several others were injured.""")</f>
        <v> The chairman of the mosque's management committee told BBC Hindi's Dilanwaz Pasha, "Our Imam Saad was in the mosque, he was killed in the attack. Several others were injured."</v>
      </c>
      <c r="F2863" s="1"/>
      <c r="G2863" s="1"/>
      <c r="H2863" s="1"/>
      <c r="I2863" s="1"/>
    </row>
    <row r="2864" spans="1:9" ht="15.6" x14ac:dyDescent="0.3">
      <c r="A2864" s="1" t="s">
        <v>9</v>
      </c>
      <c r="B2864" s="1" t="s">
        <v>4</v>
      </c>
      <c r="C2864" s="10" t="s">
        <v>9</v>
      </c>
      <c r="D2864" s="5" t="s">
        <v>2571</v>
      </c>
      <c r="E2864" s="1" t="str">
        <f ca="1">IFERROR(__xludf.DUMMYFUNCTION("GOOGLETRANSLATE(D2864, ""bn"", ""en"")"),"Despite being the country's largest religious-minority, India's Muslim communities have often been subjected to violent attacks and attacks by Hindu nationalists.")</f>
        <v>Despite being the country's largest religious-minority, India's Muslim communities have often been subjected to violent attacks and attacks by Hindu nationalists.</v>
      </c>
      <c r="F2864" s="1"/>
      <c r="G2864" s="1"/>
      <c r="H2864" s="1"/>
      <c r="I2864" s="1"/>
    </row>
    <row r="2865" spans="1:9" ht="15.6" x14ac:dyDescent="0.3">
      <c r="A2865" s="1" t="s">
        <v>7</v>
      </c>
      <c r="B2865" s="1" t="s">
        <v>7</v>
      </c>
      <c r="C2865" s="10" t="s">
        <v>7</v>
      </c>
      <c r="D2865" s="5" t="s">
        <v>2572</v>
      </c>
      <c r="E2865" s="1" t="str">
        <f ca="1">IFERROR(__xludf.DUMMYFUNCTION("GOOGLETRANSLATE(D2865, ""bn"", ""en"")"),"Hundreds of thousands of Hindu scholars were forcibly uprooted from the Kashmir Valley and many were killed, which remains a controversial issue.")</f>
        <v>Hundreds of thousands of Hindu scholars were forcibly uprooted from the Kashmir Valley and many were killed, which remains a controversial issue.</v>
      </c>
      <c r="F2865" s="1"/>
      <c r="G2865" s="1"/>
      <c r="H2865" s="1"/>
      <c r="I2865" s="1"/>
    </row>
    <row r="2866" spans="1:9" ht="15.6" x14ac:dyDescent="0.3">
      <c r="A2866" s="1" t="s">
        <v>9</v>
      </c>
      <c r="B2866" s="1" t="s">
        <v>9</v>
      </c>
      <c r="C2866" s="10" t="s">
        <v>9</v>
      </c>
      <c r="D2866" s="5" t="s">
        <v>2573</v>
      </c>
      <c r="E2866" s="1" t="str">
        <f ca="1">IFERROR(__xludf.DUMMYFUNCTION("GOOGLETRANSLATE(D2866, ""bn"", ""en"")")," Jamaat and BNP rioted against the government as well as attacked minorities and local police. The attack destroyed thousands of Hindu homes and temples. The attacks were sharply criticized by the United States government, as well as by India and other pe"&amp;"ace-seeking countries and organizations.")</f>
        <v> Jamaat and BNP rioted against the government as well as attacked minorities and local police. The attack destroyed thousands of Hindu homes and temples. The attacks were sharply criticized by the United States government, as well as by India and other peace-seeking countries and organizations.</v>
      </c>
      <c r="F2866" s="1"/>
      <c r="G2866" s="1"/>
      <c r="H2866" s="1"/>
      <c r="I2866" s="1"/>
    </row>
    <row r="2867" spans="1:9" ht="15.6" x14ac:dyDescent="0.3">
      <c r="A2867" s="1" t="s">
        <v>5</v>
      </c>
      <c r="B2867" s="1" t="s">
        <v>5</v>
      </c>
      <c r="C2867" s="10" t="s">
        <v>5</v>
      </c>
      <c r="D2867" s="5" t="s">
        <v>2574</v>
      </c>
      <c r="E2867" s="1" t="str">
        <f ca="1">IFERROR(__xludf.DUMMYFUNCTION("GOOGLETRANSLATE(D2867, ""bn"", ""en"")"),"I want you all to practice your religion properly. Once there was discrimination in (government) jobs, but now this discrimination is no more.")</f>
        <v>I want you all to practice your religion properly. Once there was discrimination in (government) jobs, but now this discrimination is no more.</v>
      </c>
      <c r="F2867" s="1"/>
      <c r="G2867" s="1"/>
      <c r="H2867" s="1"/>
      <c r="I2867" s="1"/>
    </row>
    <row r="2868" spans="1:9" ht="46.8" x14ac:dyDescent="0.3">
      <c r="A2868" s="1" t="s">
        <v>9</v>
      </c>
      <c r="B2868" s="1" t="s">
        <v>4</v>
      </c>
      <c r="C2868" s="10" t="s">
        <v>9</v>
      </c>
      <c r="D2868" s="6" t="s">
        <v>3731</v>
      </c>
      <c r="E2868" s="1" t="str">
        <f ca="1">IFERROR(__xludf.DUMMYFUNCTION("GOOGLETRANSLATE(D2868, ""bn"", ""en"")"),"At the Durga Pujamandap of Bimal Das's house in Jatrapur Dakshinpara village of Jatrapur Union of Muradnagar Upazila in the district, the workers went inside to have dinner after completing the electrical lighting of the Pujamandap at 2 am on Monday. At t"&amp;"hat time, the duo attacked the shrine and vandalized various parts of the body including the legs of the Durga idol and threw it on the ground. ")</f>
        <v>At the Durga Pujamandap of Bimal Das's house in Jatrapur Dakshinpara village of Jatrapur Union of Muradnagar Upazila in the district, the workers went inside to have dinner after completing the electrical lighting of the Pujamandap at 2 am on Monday. At that time, the duo attacked the shrine and vandalized various parts of the body including the legs of the Durga idol and threw it on the ground. </v>
      </c>
      <c r="F2868" s="1"/>
      <c r="G2868" s="1"/>
      <c r="H2868" s="1"/>
      <c r="I2868" s="1"/>
    </row>
    <row r="2869" spans="1:9" ht="46.8" x14ac:dyDescent="0.3">
      <c r="A2869" s="1" t="s">
        <v>7</v>
      </c>
      <c r="B2869" s="1" t="s">
        <v>4</v>
      </c>
      <c r="C2869" s="10" t="s">
        <v>7</v>
      </c>
      <c r="D2869" s="6" t="s">
        <v>3730</v>
      </c>
      <c r="E2869" s="1" t="str">
        <f ca="1">IFERROR(__xludf.DUMMYFUNCTION("GOOGLETRANSLATE(D2869, ""bn"", ""en"")"),"On March 9, Muslims held secret meetings at various places and started threatening to kill and rape any Hindus who survived. Meanwhile, on September 23, 1947, Khal Nayak Golam Sarwar, the leader of the riots, called the Muslims for a large public meeting "&amp;"at Sonapur under the control of Ramganj Police Station.")</f>
        <v>On March 9, Muslims held secret meetings at various places and started threatening to kill and rape any Hindus who survived. Meanwhile, on September 23, 1947, Khal Nayak Golam Sarwar, the leader of the riots, called the Muslims for a large public meeting at Sonapur under the control of Ramganj Police Station.</v>
      </c>
      <c r="F2869" s="1"/>
      <c r="G2869" s="1"/>
      <c r="H2869" s="1"/>
      <c r="I2869" s="1"/>
    </row>
    <row r="2870" spans="1:9" ht="15.6" x14ac:dyDescent="0.3">
      <c r="A2870" s="1" t="s">
        <v>7</v>
      </c>
      <c r="B2870" s="1" t="s">
        <v>7</v>
      </c>
      <c r="C2870" s="10" t="s">
        <v>7</v>
      </c>
      <c r="D2870" s="5" t="s">
        <v>2575</v>
      </c>
      <c r="E2870" s="1" t="str">
        <f ca="1">IFERROR(__xludf.DUMMYFUNCTION("GOOGLETRANSLATE(D2870, ""bn"", ""en"")"),"A seventeenth-century world traveler and gem merchant, wrote that women were buried with their dead husbands on the Karamandal coast while people danced during cremation ceremonies.")</f>
        <v>A seventeenth-century world traveler and gem merchant, wrote that women were buried with their dead husbands on the Karamandal coast while people danced during cremation ceremonies.</v>
      </c>
      <c r="F2870" s="1"/>
      <c r="G2870" s="1"/>
      <c r="H2870" s="1"/>
      <c r="I2870" s="1"/>
    </row>
    <row r="2871" spans="1:9" ht="15.6" x14ac:dyDescent="0.3">
      <c r="A2871" s="1" t="s">
        <v>4</v>
      </c>
      <c r="B2871" s="1" t="s">
        <v>5</v>
      </c>
      <c r="C2871" s="10" t="s">
        <v>4</v>
      </c>
      <c r="D2871" s="5" t="s">
        <v>2576</v>
      </c>
      <c r="E2871" s="1" t="str">
        <f ca="1">IFERROR(__xludf.DUMMYFUNCTION("GOOGLETRANSLATE(D2871, ""bn"", ""en"")"),"I sometimes wonder if it is the Muslim majority Bangladesh, or the place of Muslim misery in neighboring countries!")</f>
        <v>I sometimes wonder if it is the Muslim majority Bangladesh, or the place of Muslim misery in neighboring countries!</v>
      </c>
      <c r="F2871" s="1"/>
      <c r="G2871" s="1"/>
      <c r="H2871" s="1"/>
      <c r="I2871" s="1"/>
    </row>
    <row r="2872" spans="1:9" ht="15.6" x14ac:dyDescent="0.3">
      <c r="A2872" s="1" t="s">
        <v>4</v>
      </c>
      <c r="B2872" s="1" t="s">
        <v>4</v>
      </c>
      <c r="C2872" s="10" t="s">
        <v>4</v>
      </c>
      <c r="D2872" s="5" t="s">
        <v>2577</v>
      </c>
      <c r="E2872" s="1" t="str">
        <f ca="1">IFERROR(__xludf.DUMMYFUNCTION("GOOGLETRANSLATE(D2872, ""bn"", ""en"")"),"In Islam, disputing the Prophet and making any objective statement is considered an attack against him. It can destroy religious peaceful environment. It is also informed that the court will take action if any such complaint is received.")</f>
        <v>In Islam, disputing the Prophet and making any objective statement is considered an attack against him. It can destroy religious peaceful environment. It is also informed that the court will take action if any such complaint is received.</v>
      </c>
      <c r="F2872" s="1"/>
      <c r="G2872" s="1"/>
      <c r="H2872" s="1"/>
      <c r="I2872" s="1"/>
    </row>
    <row r="2873" spans="1:9" ht="15.6" x14ac:dyDescent="0.3">
      <c r="A2873" s="1" t="s">
        <v>5</v>
      </c>
      <c r="B2873" s="1" t="s">
        <v>9</v>
      </c>
      <c r="C2873" s="10" t="s">
        <v>5</v>
      </c>
      <c r="D2873" s="5" t="s">
        <v>2578</v>
      </c>
      <c r="E2873" s="1" t="str">
        <f ca="1">IFERROR(__xludf.DUMMYFUNCTION("GOOGLETRANSLATE(D2873, ""bn"", ""en"")"),"Otherwise, the possibility of following the true path of religion in the shell of religion cannot be ruled out in the future.")</f>
        <v>Otherwise, the possibility of following the true path of religion in the shell of religion cannot be ruled out in the future.</v>
      </c>
      <c r="F2873" s="1"/>
      <c r="G2873" s="1"/>
      <c r="H2873" s="1"/>
      <c r="I2873" s="1"/>
    </row>
    <row r="2874" spans="1:9" ht="15.6" x14ac:dyDescent="0.3">
      <c r="A2874" s="1" t="s">
        <v>9</v>
      </c>
      <c r="B2874" s="1" t="s">
        <v>5</v>
      </c>
      <c r="C2874" s="10" t="s">
        <v>9</v>
      </c>
      <c r="D2874" s="5" t="s">
        <v>2579</v>
      </c>
      <c r="E2874" s="1" t="str">
        <f ca="1">IFERROR(__xludf.DUMMYFUNCTION("GOOGLETRANSLATE(D2874, ""bn"", ""en"")"),"""We have come to the conclusion that Nathaniel, Gareth and Stacey Train carried out the terrorist attack with a religious motive,"" Linford said.")</f>
        <v>"We have come to the conclusion that Nathaniel, Gareth and Stacey Train carried out the terrorist attack with a religious motive," Linford said.</v>
      </c>
      <c r="F2874" s="1"/>
      <c r="G2874" s="1"/>
      <c r="H2874" s="1"/>
      <c r="I2874" s="1"/>
    </row>
    <row r="2875" spans="1:9" ht="15.6" x14ac:dyDescent="0.3">
      <c r="A2875" s="1" t="s">
        <v>9</v>
      </c>
      <c r="B2875" s="1" t="s">
        <v>9</v>
      </c>
      <c r="C2875" s="10" t="s">
        <v>9</v>
      </c>
      <c r="D2875" s="5" t="s">
        <v>2580</v>
      </c>
      <c r="E2875" s="1" t="str">
        <f ca="1">IFERROR(__xludf.DUMMYFUNCTION("GOOGLETRANSLATE(D2875, ""bn"", ""en"")"),"Despite the obstruction of the police in old Dhaka, the Muslims tried to set fire to the Hindu temples. The Muslims robbed the cameras in the hands of the journalists outside the temple. In the wake of this incident, the administration issued a curfew in "&amp;"many places of Dhaka.")</f>
        <v>Despite the obstruction of the police in old Dhaka, the Muslims tried to set fire to the Hindu temples. The Muslims robbed the cameras in the hands of the journalists outside the temple. In the wake of this incident, the administration issued a curfew in many places of Dhaka.</v>
      </c>
      <c r="F2875" s="1"/>
      <c r="G2875" s="1"/>
      <c r="H2875" s="1"/>
      <c r="I2875" s="1"/>
    </row>
    <row r="2876" spans="1:9" ht="15.6" x14ac:dyDescent="0.3">
      <c r="A2876" s="1" t="s">
        <v>5</v>
      </c>
      <c r="B2876" s="1" t="s">
        <v>5</v>
      </c>
      <c r="C2876" s="10" t="s">
        <v>5</v>
      </c>
      <c r="D2876" s="5" t="s">
        <v>2581</v>
      </c>
      <c r="E2876" s="1" t="str">
        <f ca="1">IFERROR(__xludf.DUMMYFUNCTION("GOOGLETRANSLATE(D2876, ""bn"", ""en"")"),"Every religion gives guidance for human welfare and helps to lead a beautiful and just life, so following the ideals of religion one should establish non-violence and peace in life, so that harmony and kindness can grow among all.")</f>
        <v>Every religion gives guidance for human welfare and helps to lead a beautiful and just life, so following the ideals of religion one should establish non-violence and peace in life, so that harmony and kindness can grow among all.</v>
      </c>
      <c r="F2876" s="1"/>
      <c r="G2876" s="1"/>
      <c r="H2876" s="1"/>
      <c r="I2876" s="1"/>
    </row>
    <row r="2877" spans="1:9" ht="15.6" x14ac:dyDescent="0.3">
      <c r="A2877" s="1" t="s">
        <v>9</v>
      </c>
      <c r="B2877" s="1" t="s">
        <v>9</v>
      </c>
      <c r="C2877" s="10" t="s">
        <v>9</v>
      </c>
      <c r="D2877" s="5" t="s">
        <v>2582</v>
      </c>
      <c r="E2877" s="1" t="str">
        <f ca="1">IFERROR(__xludf.DUMMYFUNCTION("GOOGLETRANSLATE(D2877, ""bn"", ""en"")"),"Nipen Roy, president of Nefra Sri Sri Durga Temple, said that around 11:00 pm around 5 to 700 people came and vandalized the temple's grill tin, idols and nearby houses. Then he set fire to the pile of hay.")</f>
        <v>Nipen Roy, president of Nefra Sri Sri Durga Temple, said that around 11:00 pm around 5 to 700 people came and vandalized the temple's grill tin, idols and nearby houses. Then he set fire to the pile of hay.</v>
      </c>
      <c r="F2877" s="1"/>
      <c r="G2877" s="1"/>
      <c r="H2877" s="1"/>
      <c r="I2877" s="1"/>
    </row>
    <row r="2878" spans="1:9" ht="15.6" x14ac:dyDescent="0.3">
      <c r="A2878" s="1" t="s">
        <v>5</v>
      </c>
      <c r="B2878" s="1" t="s">
        <v>5</v>
      </c>
      <c r="C2878" s="10" t="s">
        <v>5</v>
      </c>
      <c r="D2878" s="5" t="s">
        <v>2583</v>
      </c>
      <c r="E2878" s="1" t="str">
        <f ca="1">IFERROR(__xludf.DUMMYFUNCTION("GOOGLETRANSLATE(D2878, ""bn"", ""en"")"),"Public meetings are allowed in private places such as madrasas, mosques. [74] Ramganj Police Station Officer-in-Charge Rehan Ali opined that public meetings will be held at Amtali ground adjacent to the mosque.")</f>
        <v>Public meetings are allowed in private places such as madrasas, mosques. [74] Ramganj Police Station Officer-in-Charge Rehan Ali opined that public meetings will be held at Amtali ground adjacent to the mosque.</v>
      </c>
      <c r="F2878" s="1"/>
      <c r="G2878" s="1"/>
      <c r="H2878" s="1"/>
      <c r="I2878" s="1"/>
    </row>
    <row r="2879" spans="1:9" ht="15.6" x14ac:dyDescent="0.3">
      <c r="A2879" s="1" t="s">
        <v>4</v>
      </c>
      <c r="B2879" s="1" t="s">
        <v>4</v>
      </c>
      <c r="C2879" s="10" t="s">
        <v>4</v>
      </c>
      <c r="D2879" s="5" t="s">
        <v>2584</v>
      </c>
      <c r="E2879" s="1" t="str">
        <f ca="1">IFERROR(__xludf.DUMMYFUNCTION("GOOGLETRANSLATE(D2879, ""bn"", ""en"")"),"But will the Khans face a boycott again in the future for becoming a Muslim actor? Does religion have so much influence on the lives of stars? ")</f>
        <v>But will the Khans face a boycott again in the future for becoming a Muslim actor? Does religion have so much influence on the lives of stars? </v>
      </c>
      <c r="F2879" s="1"/>
      <c r="G2879" s="1"/>
      <c r="H2879" s="1"/>
      <c r="I2879" s="1"/>
    </row>
    <row r="2880" spans="1:9" ht="15.6" x14ac:dyDescent="0.3">
      <c r="A2880" s="1" t="s">
        <v>9</v>
      </c>
      <c r="B2880" s="1" t="s">
        <v>9</v>
      </c>
      <c r="C2880" s="10" t="s">
        <v>9</v>
      </c>
      <c r="D2880" s="5" t="s">
        <v>2585</v>
      </c>
      <c r="E2880" s="1" t="str">
        <f ca="1">IFERROR(__xludf.DUMMYFUNCTION("GOOGLETRANSLATE(D2880, ""bn"", ""en"")"),"""The attackers chanted 'Allahu Akbar' and 'Kill the Hindus',"" said beauty queen Mondal.")</f>
        <v>"The attackers chanted 'Allahu Akbar' and 'Kill the Hindus'," said beauty queen Mondal.</v>
      </c>
      <c r="F2880" s="1"/>
      <c r="G2880" s="1"/>
      <c r="H2880" s="1"/>
      <c r="I2880" s="1"/>
    </row>
    <row r="2881" spans="1:9" ht="78" x14ac:dyDescent="0.3">
      <c r="A2881" s="1" t="s">
        <v>7</v>
      </c>
      <c r="B2881" s="1" t="s">
        <v>7</v>
      </c>
      <c r="C2881" s="10" t="s">
        <v>7</v>
      </c>
      <c r="D2881" s="6" t="s">
        <v>3729</v>
      </c>
      <c r="E2881" s="1" t="str">
        <f ca="1">IFERROR(__xludf.DUMMYFUNCTION("GOOGLETRANSLATE(D2881, ""bn"", ""en"")"),"A few Hindu school teachers were killed by his students who made kebabs and danced around the burning fire. [25] Muslims chased and arrested about three hundred Hindus in Madhavpasha village under Babuganj police station. Then they lined them up and behea"&amp;"ded them with rams. [25] 200 Hindus were killed in Madhavpasha zamindar's house and Another 40 were seriously injured.")</f>
        <v>A few Hindu school teachers were killed by his students who made kebabs and danced around the burning fire. [25] Muslims chased and arrested about three hundred Hindus in Madhavpasha village under Babuganj police station. Then they lined them up and beheaded them with rams. [25] 200 Hindus were killed in Madhavpasha zamindar's house and Another 40 were seriously injured.</v>
      </c>
      <c r="F2881" s="1"/>
      <c r="G2881" s="1"/>
      <c r="H2881" s="1"/>
      <c r="I2881" s="1"/>
    </row>
    <row r="2882" spans="1:9" ht="15.6" x14ac:dyDescent="0.3">
      <c r="A2882" s="1" t="s">
        <v>5</v>
      </c>
      <c r="B2882" s="1" t="s">
        <v>5</v>
      </c>
      <c r="C2882" s="10" t="s">
        <v>5</v>
      </c>
      <c r="D2882" s="5" t="s">
        <v>2586</v>
      </c>
      <c r="E2882" s="1" t="str">
        <f ca="1">IFERROR(__xludf.DUMMYFUNCTION("GOOGLETRANSLATE(D2882, ""bn"", ""en"")"),"During the time of Prophet Muhammad of Islam, women participated as warriors in various wars, thus women were not prevented from social participation in any way.")</f>
        <v>During the time of Prophet Muhammad of Islam, women participated as warriors in various wars, thus women were not prevented from social participation in any way.</v>
      </c>
      <c r="F2882" s="1"/>
      <c r="G2882" s="1"/>
      <c r="H2882" s="1"/>
      <c r="I2882" s="1"/>
    </row>
    <row r="2883" spans="1:9" ht="15.6" x14ac:dyDescent="0.3">
      <c r="A2883" s="1" t="s">
        <v>4</v>
      </c>
      <c r="B2883" s="1" t="s">
        <v>4</v>
      </c>
      <c r="C2883" s="10" t="s">
        <v>4</v>
      </c>
      <c r="D2883" s="5" t="s">
        <v>2587</v>
      </c>
      <c r="E2883" s="1" t="str">
        <f ca="1">IFERROR(__xludf.DUMMYFUNCTION("GOOGLETRANSLATE(D2883, ""bn"", ""en"")"),"There are many seculars who look like Muslims, but in reality they are the biggest enemy of Islam and the biggest enemy of Islam in this era is called Secularism.")</f>
        <v>There are many seculars who look like Muslims, but in reality they are the biggest enemy of Islam and the biggest enemy of Islam in this era is called Secularism.</v>
      </c>
      <c r="F2883" s="1"/>
      <c r="G2883" s="1"/>
      <c r="H2883" s="1"/>
      <c r="I2883" s="1"/>
    </row>
    <row r="2884" spans="1:9" ht="15.6" x14ac:dyDescent="0.3">
      <c r="A2884" s="1" t="s">
        <v>4</v>
      </c>
      <c r="B2884" s="1" t="s">
        <v>5</v>
      </c>
      <c r="C2884" s="10" t="s">
        <v>4</v>
      </c>
      <c r="D2884" s="5" t="s">
        <v>2588</v>
      </c>
      <c r="E2884" s="1" t="str">
        <f ca="1">IFERROR(__xludf.DUMMYFUNCTION("GOOGLETRANSLATE(D2884, ""bn"", ""en"")"),"""I think Muslims are basically redefining love or devotion as well as reason by protesting the burning of the Koran. Because we know, burning the Quran is not only a question of freedom of expression, but it is an expression of extreme hatred and absurdi"&amp;"ty.'")</f>
        <v>"I think Muslims are basically redefining love or devotion as well as reason by protesting the burning of the Koran. Because we know, burning the Quran is not only a question of freedom of expression, but it is an expression of extreme hatred and absurdity.'</v>
      </c>
      <c r="F2884" s="1"/>
      <c r="G2884" s="1"/>
      <c r="H2884" s="1"/>
      <c r="I2884" s="1"/>
    </row>
    <row r="2885" spans="1:9" ht="15.6" x14ac:dyDescent="0.3">
      <c r="A2885" s="1" t="s">
        <v>5</v>
      </c>
      <c r="B2885" s="1" t="s">
        <v>5</v>
      </c>
      <c r="C2885" s="10" t="s">
        <v>5</v>
      </c>
      <c r="D2885" s="5" t="s">
        <v>2589</v>
      </c>
      <c r="E2885" s="1" t="str">
        <f ca="1">IFERROR(__xludf.DUMMYFUNCTION("GOOGLETRANSLATE(D2885, ""bn"", ""en"")"),"Some Muslim scholars encourage the use of the original Islamic Arabic word Allah, arguing that since the word Allah is used in the Qur'an, pronouncing the word gives ten good deeds per letter and 4 letters totaling 40 good deeds, which cannot be obtained "&amp;"from pronouncing God or other non-Qur'anic synonyms.")</f>
        <v>Some Muslim scholars encourage the use of the original Islamic Arabic word Allah, arguing that since the word Allah is used in the Qur'an, pronouncing the word gives ten good deeds per letter and 4 letters totaling 40 good deeds, which cannot be obtained from pronouncing God or other non-Qur'anic synonyms.</v>
      </c>
      <c r="F2885" s="1"/>
      <c r="G2885" s="1"/>
      <c r="H2885" s="1"/>
      <c r="I2885" s="1"/>
    </row>
    <row r="2886" spans="1:9" ht="15.6" x14ac:dyDescent="0.3">
      <c r="A2886" s="4" t="s">
        <v>7</v>
      </c>
      <c r="B2886" s="4" t="s">
        <v>7</v>
      </c>
      <c r="C2886" s="11" t="s">
        <v>7</v>
      </c>
      <c r="D2886" s="5" t="s">
        <v>2590</v>
      </c>
      <c r="E2886" s="1" t="str">
        <f ca="1">IFERROR(__xludf.DUMMYFUNCTION("GOOGLETRANSLATE(D2886, ""bn"", ""en"")"),"As a result of the Christmas Day shutdown, activists of Kui Samaj and VHP targeted Christians, Christian institutions and churches.  The situation gradually calmed down until the assassination of Swami Laxmanand, which led to the massacre in August 2008.")</f>
        <v>As a result of the Christmas Day shutdown, activists of Kui Samaj and VHP targeted Christians, Christian institutions and churches.  The situation gradually calmed down until the assassination of Swami Laxmanand, which led to the massacre in August 2008.</v>
      </c>
      <c r="F2886" s="1"/>
      <c r="G2886" s="1"/>
      <c r="H2886" s="1"/>
      <c r="I2886" s="1"/>
    </row>
    <row r="2887" spans="1:9" ht="15.6" x14ac:dyDescent="0.3">
      <c r="A2887" s="1" t="s">
        <v>9</v>
      </c>
      <c r="B2887" s="1" t="s">
        <v>9</v>
      </c>
      <c r="C2887" s="10" t="s">
        <v>9</v>
      </c>
      <c r="D2887" s="5" t="s">
        <v>2591</v>
      </c>
      <c r="E2887" s="1" t="str">
        <f ca="1">IFERROR(__xludf.DUMMYFUNCTION("GOOGLETRANSLATE(D2887, ""bn"", ""en"")"),"All the Hindu houses were looted. Even Biharilal removed the marble stones of the temple.")</f>
        <v>All the Hindu houses were looted. Even Biharilal removed the marble stones of the temple.</v>
      </c>
      <c r="F2887" s="1"/>
      <c r="G2887" s="1"/>
      <c r="H2887" s="1"/>
      <c r="I2887" s="1"/>
    </row>
    <row r="2888" spans="1:9" ht="15.6" x14ac:dyDescent="0.3">
      <c r="A2888" s="1" t="s">
        <v>4</v>
      </c>
      <c r="B2888" s="1" t="s">
        <v>4</v>
      </c>
      <c r="C2888" s="10" t="s">
        <v>4</v>
      </c>
      <c r="D2888" s="5" t="s">
        <v>2592</v>
      </c>
      <c r="E2888" s="1" t="str">
        <f ca="1">IFERROR(__xludf.DUMMYFUNCTION("GOOGLETRANSLATE(D2888, ""bn"", ""en"")"),"Religion teaches people to embrace everyone. There is a government that or those who have punished the real criminals without regard to caste religion. By inciting communalism, the safety of the ballot box should be maintained, while the bully of seculari"&amp;"sm should be removed on the other hand.")</f>
        <v>Religion teaches people to embrace everyone. There is a government that or those who have punished the real criminals without regard to caste religion. By inciting communalism, the safety of the ballot box should be maintained, while the bully of secularism should be removed on the other hand.</v>
      </c>
      <c r="F2888" s="1"/>
      <c r="G2888" s="1"/>
      <c r="H2888" s="1"/>
      <c r="I2888" s="1"/>
    </row>
    <row r="2889" spans="1:9" ht="15.6" x14ac:dyDescent="0.3">
      <c r="A2889" s="1" t="s">
        <v>5</v>
      </c>
      <c r="B2889" s="1" t="s">
        <v>5</v>
      </c>
      <c r="C2889" s="10" t="s">
        <v>5</v>
      </c>
      <c r="D2889" s="5" t="s">
        <v>2593</v>
      </c>
      <c r="E2889" s="1" t="str">
        <f ca="1">IFERROR(__xludf.DUMMYFUNCTION("GOOGLETRANSLATE(D2889, ""bn"", ""en"")"),"What Pakistani leader Maryam Nawaz said about religion is being praised in India too! Viral video")</f>
        <v>What Pakistani leader Maryam Nawaz said about religion is being praised in India too! Viral video</v>
      </c>
      <c r="F2889" s="1"/>
      <c r="G2889" s="1"/>
      <c r="H2889" s="1"/>
      <c r="I2889" s="1"/>
    </row>
    <row r="2890" spans="1:9" ht="15.6" x14ac:dyDescent="0.3">
      <c r="A2890" s="1" t="s">
        <v>5</v>
      </c>
      <c r="B2890" s="1" t="s">
        <v>5</v>
      </c>
      <c r="C2890" s="10" t="s">
        <v>5</v>
      </c>
      <c r="D2890" s="5" t="s">
        <v>2594</v>
      </c>
      <c r="E2890" s="1" t="str">
        <f ca="1">IFERROR(__xludf.DUMMYFUNCTION("GOOGLETRANSLATE(D2890, ""bn"", ""en"")"),"Will give up music for religion! Crazy or not?"" - such a thought among many.")</f>
        <v>Will give up music for religion! Crazy or not?" - such a thought among many.</v>
      </c>
      <c r="F2890" s="1"/>
      <c r="G2890" s="1"/>
      <c r="H2890" s="1"/>
      <c r="I2890" s="1"/>
    </row>
    <row r="2891" spans="1:9" ht="15.6" x14ac:dyDescent="0.3">
      <c r="A2891" s="1" t="s">
        <v>5</v>
      </c>
      <c r="B2891" s="1" t="s">
        <v>5</v>
      </c>
      <c r="C2891" s="10" t="s">
        <v>5</v>
      </c>
      <c r="D2891" s="5" t="s">
        <v>2595</v>
      </c>
      <c r="E2891" s="1" t="str">
        <f ca="1">IFERROR(__xludf.DUMMYFUNCTION("GOOGLETRANSLATE(D2891, ""bn"", ""en"")"),"O Allah, grant us all the grace to worship more and more, grant us the grace to see you in Paradise.")</f>
        <v>O Allah, grant us all the grace to worship more and more, grant us the grace to see you in Paradise.</v>
      </c>
      <c r="F2891" s="1"/>
      <c r="G2891" s="1"/>
      <c r="H2891" s="1"/>
      <c r="I2891" s="1"/>
    </row>
    <row r="2892" spans="1:9" ht="15.6" x14ac:dyDescent="0.3">
      <c r="A2892" s="1" t="s">
        <v>4</v>
      </c>
      <c r="B2892" s="1" t="s">
        <v>4</v>
      </c>
      <c r="C2892" s="10" t="s">
        <v>4</v>
      </c>
      <c r="D2892" s="5" t="s">
        <v>2596</v>
      </c>
      <c r="E2892" s="1" t="str">
        <f ca="1">IFERROR(__xludf.DUMMYFUNCTION("GOOGLETRANSLATE(D2892, ""bn"", ""en"")"),"He was a very pious person. He always wore circumcised clothes and kept a beard. Sir could be found beside the students in any moral work. Maybe that's why he is the victim of this oppression! No student should accept the injustice done to him by disquali"&amp;"fying him.")</f>
        <v>He was a very pious person. He always wore circumcised clothes and kept a beard. Sir could be found beside the students in any moral work. Maybe that's why he is the victim of this oppression! No student should accept the injustice done to him by disqualifying him.</v>
      </c>
      <c r="F2892" s="1"/>
      <c r="G2892" s="1"/>
      <c r="H2892" s="1"/>
      <c r="I2892" s="1"/>
    </row>
    <row r="2893" spans="1:9" ht="15.6" x14ac:dyDescent="0.3">
      <c r="A2893" s="1" t="s">
        <v>7</v>
      </c>
      <c r="B2893" s="1" t="s">
        <v>7</v>
      </c>
      <c r="C2893" s="10" t="s">
        <v>7</v>
      </c>
      <c r="D2893" s="5" t="s">
        <v>2597</v>
      </c>
      <c r="E2893" s="1" t="str">
        <f ca="1">IFERROR(__xludf.DUMMYFUNCTION("GOOGLETRANSLATE(D2893, ""bn"", ""en"")"),"Mahapapa is related to religion, those who practice religion do not commit suicide. Commenting on this post is incorrect. Please excuse me, and delete my comment if you can.")</f>
        <v>Mahapapa is related to religion, those who practice religion do not commit suicide. Commenting on this post is incorrect. Please excuse me, and delete my comment if you can.</v>
      </c>
      <c r="F2893" s="1"/>
      <c r="G2893" s="1"/>
      <c r="H2893" s="1"/>
      <c r="I2893" s="1"/>
    </row>
    <row r="2894" spans="1:9" ht="15.6" x14ac:dyDescent="0.3">
      <c r="A2894" s="1" t="s">
        <v>4</v>
      </c>
      <c r="B2894" s="1" t="s">
        <v>5</v>
      </c>
      <c r="C2894" s="10" t="s">
        <v>4</v>
      </c>
      <c r="D2894" s="5" t="s">
        <v>2598</v>
      </c>
      <c r="E2894" s="1" t="str">
        <f ca="1">IFERROR(__xludf.DUMMYFUNCTION("GOOGLETRANSLATE(D2894, ""bn"", ""en"")"),"French UN Ambassador Jerome Bonafont said on Tuesday that human rights protect people; Not to religion, doctrine, belief or any symbol. Moreover, it is not the job of the UN or any country to decide what is holy and what is not.")</f>
        <v>French UN Ambassador Jerome Bonafont said on Tuesday that human rights protect people; Not to religion, doctrine, belief or any symbol. Moreover, it is not the job of the UN or any country to decide what is holy and what is not.</v>
      </c>
      <c r="F2894" s="1"/>
      <c r="G2894" s="1"/>
      <c r="H2894" s="1"/>
      <c r="I2894" s="1"/>
    </row>
    <row r="2895" spans="1:9" ht="62.4" x14ac:dyDescent="0.3">
      <c r="A2895" s="1" t="s">
        <v>9</v>
      </c>
      <c r="B2895" s="1" t="s">
        <v>9</v>
      </c>
      <c r="C2895" s="10" t="s">
        <v>9</v>
      </c>
      <c r="D2895" s="6" t="s">
        <v>3728</v>
      </c>
      <c r="E2895" s="1" t="str">
        <f ca="1">IFERROR(__xludf.DUMMYFUNCTION("GOOGLETRANSLATE(D2895, ""bn"", ""en"")"),"Religion's salutation and disturbance order is a diverse feature, which produces disobedient and unstable results in people. When religious ideals collide, it can precipitate social and catastrophic instability and create unrest and confusion among people"&amp;". Different sects of religion and their fundamental ideals may create conflicts between their own inconsiderate greetings or established principles.")</f>
        <v>Religion's salutation and disturbance order is a diverse feature, which produces disobedient and unstable results in people. When religious ideals collide, it can precipitate social and catastrophic instability and create unrest and confusion among people. Different sects of religion and their fundamental ideals may create conflicts between their own inconsiderate greetings or established principles.</v>
      </c>
      <c r="F2895" s="1"/>
      <c r="G2895" s="1"/>
      <c r="H2895" s="1"/>
      <c r="I2895" s="1"/>
    </row>
    <row r="2896" spans="1:9" ht="15.6" x14ac:dyDescent="0.3">
      <c r="A2896" s="1" t="s">
        <v>5</v>
      </c>
      <c r="B2896" s="1" t="s">
        <v>5</v>
      </c>
      <c r="C2896" s="10" t="s">
        <v>5</v>
      </c>
      <c r="D2896" s="5" t="s">
        <v>2599</v>
      </c>
      <c r="E2896" s="1" t="str">
        <f ca="1">IFERROR(__xludf.DUMMYFUNCTION("GOOGLETRANSLATE(D2896, ""bn"", ""en"")"),"No Muslim wife is independent from her husband.")</f>
        <v>No Muslim wife is independent from her husband.</v>
      </c>
      <c r="F2896" s="1"/>
      <c r="G2896" s="1"/>
      <c r="H2896" s="1"/>
      <c r="I2896" s="1"/>
    </row>
    <row r="2897" spans="1:9" ht="15.6" x14ac:dyDescent="0.3">
      <c r="A2897" s="1" t="s">
        <v>5</v>
      </c>
      <c r="B2897" s="1" t="s">
        <v>5</v>
      </c>
      <c r="C2897" s="10" t="s">
        <v>5</v>
      </c>
      <c r="D2897" s="5" t="s">
        <v>2600</v>
      </c>
      <c r="E2897" s="1" t="str">
        <f ca="1">IFERROR(__xludf.DUMMYFUNCTION("GOOGLETRANSLATE(D2897, ""bn"", ""en"")"),"Not the darkness of bigotry, but Bengali self-identity has to be sought")</f>
        <v>Not the darkness of bigotry, but Bengali self-identity has to be sought</v>
      </c>
      <c r="F2897" s="1"/>
      <c r="G2897" s="1"/>
      <c r="H2897" s="1"/>
      <c r="I2897" s="1"/>
    </row>
    <row r="2898" spans="1:9" ht="15.6" x14ac:dyDescent="0.3">
      <c r="A2898" s="1" t="s">
        <v>9</v>
      </c>
      <c r="B2898" s="1" t="s">
        <v>9</v>
      </c>
      <c r="C2898" s="10" t="s">
        <v>9</v>
      </c>
      <c r="D2898" s="5" t="s">
        <v>2601</v>
      </c>
      <c r="E2898" s="1" t="str">
        <f ca="1">IFERROR(__xludf.DUMMYFUNCTION("GOOGLETRANSLATE(D2898, ""bn"", ""en"")"),"In Iran, several houses of the Baha'i community were attacked and their religious places of worship were damaged.")</f>
        <v>In Iran, several houses of the Baha'i community were attacked and their religious places of worship were damaged.</v>
      </c>
      <c r="F2898" s="1"/>
      <c r="G2898" s="1"/>
      <c r="H2898" s="1"/>
      <c r="I2898" s="1"/>
    </row>
    <row r="2899" spans="1:9" ht="15.6" x14ac:dyDescent="0.3">
      <c r="A2899" s="4" t="s">
        <v>7</v>
      </c>
      <c r="B2899" s="4" t="s">
        <v>7</v>
      </c>
      <c r="C2899" s="11" t="s">
        <v>7</v>
      </c>
      <c r="D2899" s="5" t="s">
        <v>2602</v>
      </c>
      <c r="E2899" s="1" t="str">
        <f ca="1">IFERROR(__xludf.DUMMYFUNCTION("GOOGLETRANSLATE(D2899, ""bn"", ""en"")"),"1992–1995 Bosnian War: Bosnian Serb forces carried out ethnic cleansing against Muslim and Croat populations, killing an estimated 100,000 people.")</f>
        <v>1992–1995 Bosnian War: Bosnian Serb forces carried out ethnic cleansing against Muslim and Croat populations, killing an estimated 100,000 people.</v>
      </c>
      <c r="F2899" s="1"/>
      <c r="G2899" s="1"/>
      <c r="H2899" s="1"/>
      <c r="I2899" s="1"/>
    </row>
    <row r="2900" spans="1:9" ht="15.6" x14ac:dyDescent="0.3">
      <c r="A2900" s="1" t="s">
        <v>7</v>
      </c>
      <c r="B2900" s="1" t="s">
        <v>7</v>
      </c>
      <c r="C2900" s="10" t="s">
        <v>7</v>
      </c>
      <c r="D2900" s="5" t="s">
        <v>2603</v>
      </c>
      <c r="E2900" s="1" t="str">
        <f ca="1">IFERROR(__xludf.DUMMYFUNCTION("GOOGLETRANSLATE(D2900, ""bn"", ""en"")"),"In an incident in early November, a senior ICS officer and his police force were attacked three times by Muslim armed forces while trying to rescue distressed Hindus in a camp. 7 people were killed and 10 injured when the police started open firing.")</f>
        <v>In an incident in early November, a senior ICS officer and his police force were attacked three times by Muslim armed forces while trying to rescue distressed Hindus in a camp. 7 people were killed and 10 injured when the police started open firing.</v>
      </c>
      <c r="F2900" s="1"/>
      <c r="G2900" s="1"/>
      <c r="H2900" s="1"/>
      <c r="I2900" s="1"/>
    </row>
    <row r="2901" spans="1:9" ht="15.6" x14ac:dyDescent="0.3">
      <c r="A2901" s="1" t="s">
        <v>7</v>
      </c>
      <c r="B2901" s="1" t="s">
        <v>7</v>
      </c>
      <c r="C2901" s="10" t="s">
        <v>7</v>
      </c>
      <c r="D2901" s="5" t="s">
        <v>2604</v>
      </c>
      <c r="E2901" s="1" t="str">
        <f ca="1">IFERROR(__xludf.DUMMYFUNCTION("GOOGLETRANSLATE(D2901, ""bn"", ""en"")"),"The world, its created civilization, the best creatures of creation are killed indiscriminately, brutally in the name of religion, the brutality that is going on to exploit the regime can never be the religion of the Creator.")</f>
        <v>The world, its created civilization, the best creatures of creation are killed indiscriminately, brutally in the name of religion, the brutality that is going on to exploit the regime can never be the religion of the Creator.</v>
      </c>
      <c r="F2901" s="1"/>
      <c r="G2901" s="1"/>
      <c r="H2901" s="1"/>
      <c r="I2901" s="1"/>
    </row>
    <row r="2902" spans="1:9" ht="15.6" x14ac:dyDescent="0.3">
      <c r="A2902" s="1" t="s">
        <v>5</v>
      </c>
      <c r="B2902" s="1" t="s">
        <v>5</v>
      </c>
      <c r="C2902" s="10" t="s">
        <v>5</v>
      </c>
      <c r="D2902" s="5" t="s">
        <v>2605</v>
      </c>
      <c r="E2902" s="1" t="str">
        <f ca="1">IFERROR(__xludf.DUMMYFUNCTION("GOOGLETRANSLATE(D2902, ""bn"", ""en"")"),"O Allah, do not deprive us of the blessings of your Paradise.")</f>
        <v>O Allah, do not deprive us of the blessings of your Paradise.</v>
      </c>
      <c r="F2902" s="1"/>
      <c r="G2902" s="1"/>
      <c r="H2902" s="1"/>
      <c r="I2902" s="1"/>
    </row>
    <row r="2903" spans="1:9" ht="15.6" x14ac:dyDescent="0.3">
      <c r="A2903" s="1" t="s">
        <v>5</v>
      </c>
      <c r="B2903" s="1" t="s">
        <v>5</v>
      </c>
      <c r="C2903" s="10" t="s">
        <v>5</v>
      </c>
      <c r="D2903" s="5" t="s">
        <v>2606</v>
      </c>
      <c r="E2903" s="1" t="str">
        <f ca="1">IFERROR(__xludf.DUMMYFUNCTION("GOOGLETRANSLATE(D2903, ""bn"", ""en"")"),"According to popular Islamic belief, Muhammad descended from Abraham's eldest son, Ismail. His lineage extends back to the Adnani tribe and more specifically to the Hashemite branch of the Quraish dynasty.")</f>
        <v>According to popular Islamic belief, Muhammad descended from Abraham's eldest son, Ismail. His lineage extends back to the Adnani tribe and more specifically to the Hashemite branch of the Quraish dynasty.</v>
      </c>
      <c r="F2903" s="1"/>
      <c r="G2903" s="1"/>
      <c r="H2903" s="1"/>
      <c r="I2903" s="1"/>
    </row>
    <row r="2904" spans="1:9" ht="15.6" x14ac:dyDescent="0.3">
      <c r="A2904" s="1" t="s">
        <v>4</v>
      </c>
      <c r="B2904" s="1" t="s">
        <v>4</v>
      </c>
      <c r="C2904" s="10" t="s">
        <v>4</v>
      </c>
      <c r="D2904" s="5" t="s">
        <v>2607</v>
      </c>
      <c r="E2904" s="1" t="str">
        <f ca="1">IFERROR(__xludf.DUMMYFUNCTION("GOOGLETRANSLATE(D2904, ""bn"", ""en"")"),"Qur'an is the life of our Muslims. I strongly condemn and protest those who have done it. O Allah, protect the Muslims.")</f>
        <v>Qur'an is the life of our Muslims. I strongly condemn and protest those who have done it. O Allah, protect the Muslims.</v>
      </c>
      <c r="F2904" s="1"/>
      <c r="G2904" s="1"/>
      <c r="H2904" s="1"/>
      <c r="I2904" s="1"/>
    </row>
    <row r="2905" spans="1:9" ht="15.6" x14ac:dyDescent="0.3">
      <c r="A2905" s="1" t="s">
        <v>9</v>
      </c>
      <c r="B2905" s="1" t="s">
        <v>9</v>
      </c>
      <c r="C2905" s="10" t="s">
        <v>9</v>
      </c>
      <c r="D2905" s="5" t="s">
        <v>2608</v>
      </c>
      <c r="E2905" s="1" t="str">
        <f ca="1">IFERROR(__xludf.DUMMYFUNCTION("GOOGLETRANSLATE(D2905, ""bn"", ""en"")"),"Around 1,500 Hindu fisherman families of Chawkbazar were forced to flee their homes and flee for their lives due to a fierce attack by Muslims in the middle of the night. About 200 Muslims demolished Hindu temples in Riazuddin Bazar and looted Hindu-owned"&amp;" businesses.")</f>
        <v>Around 1,500 Hindu fisherman families of Chawkbazar were forced to flee their homes and flee for their lives due to a fierce attack by Muslims in the middle of the night. About 200 Muslims demolished Hindu temples in Riazuddin Bazar and looted Hindu-owned businesses.</v>
      </c>
      <c r="F2905" s="1"/>
      <c r="G2905" s="1"/>
      <c r="H2905" s="1"/>
      <c r="I2905" s="1"/>
    </row>
    <row r="2906" spans="1:9" ht="15.6" x14ac:dyDescent="0.3">
      <c r="A2906" s="4" t="s">
        <v>7</v>
      </c>
      <c r="B2906" s="4" t="s">
        <v>7</v>
      </c>
      <c r="C2906" s="11" t="s">
        <v>7</v>
      </c>
      <c r="D2906" s="5" t="s">
        <v>2609</v>
      </c>
      <c r="E2906" s="1" t="str">
        <f ca="1">IFERROR(__xludf.DUMMYFUNCTION("GOOGLETRANSLATE(D2906, ""bn"", ""en"")"),"On the same day, rioters attacked a Christian orphanage in Khuntapalli village of Bargarh district. A 20-year-old local Hindu female employee was gang-raped and burned alive, while the orphanage was set on fire.")</f>
        <v>On the same day, rioters attacked a Christian orphanage in Khuntapalli village of Bargarh district. A 20-year-old local Hindu female employee was gang-raped and burned alive, while the orphanage was set on fire.</v>
      </c>
      <c r="F2906" s="1"/>
      <c r="G2906" s="1"/>
      <c r="H2906" s="1"/>
      <c r="I2906" s="1"/>
    </row>
    <row r="2907" spans="1:9" ht="15.6" x14ac:dyDescent="0.3">
      <c r="A2907" s="1" t="s">
        <v>9</v>
      </c>
      <c r="B2907" s="1" t="s">
        <v>9</v>
      </c>
      <c r="C2907" s="10" t="s">
        <v>9</v>
      </c>
      <c r="D2907" s="5" t="s">
        <v>2610</v>
      </c>
      <c r="E2907" s="1" t="str">
        <f ca="1">IFERROR(__xludf.DUMMYFUNCTION("GOOGLETRANSLATE(D2907, ""bn"", ""en"")"),"East Bengal Sylhet Member of Legislative Assembly (MLA) Suresh Chandra Biswas was also arrested on March 11 when he condemned the massacre and the looting and burning of Hindu houses in a public meeting. ")</f>
        <v>East Bengal Sylhet Member of Legislative Assembly (MLA) Suresh Chandra Biswas was also arrested on March 11 when he condemned the massacre and the looting and burning of Hindu houses in a public meeting. </v>
      </c>
      <c r="F2907" s="1"/>
      <c r="G2907" s="1"/>
      <c r="H2907" s="1"/>
      <c r="I2907" s="1"/>
    </row>
    <row r="2908" spans="1:9" ht="46.8" x14ac:dyDescent="0.3">
      <c r="A2908" s="1" t="s">
        <v>4</v>
      </c>
      <c r="B2908" s="1" t="s">
        <v>4</v>
      </c>
      <c r="C2908" s="10" t="s">
        <v>4</v>
      </c>
      <c r="D2908" s="6" t="s">
        <v>3727</v>
      </c>
      <c r="E2908" s="1" t="str">
        <f ca="1">IFERROR(__xludf.DUMMYFUNCTION("GOOGLETRANSLATE(D2908, ""bn"", ""en"")"),"Just passed the second Ramadan. In these few days, so many big events, conspiracies were realized at the behest of an invisible force. A special consciousness cannot tolerate even a small ceremony of reciting the Qur'an to corner us, openly criticizing it"&amp;". When going to Iftar together on campus, they are tagging Jamaat-Shibir and [Jangi]!")</f>
        <v>Just passed the second Ramadan. In these few days, so many big events, conspiracies were realized at the behest of an invisible force. A special consciousness cannot tolerate even a small ceremony of reciting the Qur'an to corner us, openly criticizing it. When going to Iftar together on campus, they are tagging Jamaat-Shibir and [Jangi]!</v>
      </c>
      <c r="F2908" s="1"/>
      <c r="G2908" s="1"/>
      <c r="H2908" s="1"/>
      <c r="I2908" s="1"/>
    </row>
    <row r="2909" spans="1:9" ht="15.6" x14ac:dyDescent="0.3">
      <c r="A2909" s="1" t="s">
        <v>5</v>
      </c>
      <c r="B2909" s="1" t="s">
        <v>5</v>
      </c>
      <c r="C2909" s="10" t="s">
        <v>5</v>
      </c>
      <c r="D2909" s="5" t="s">
        <v>2611</v>
      </c>
      <c r="E2909" s="1" t="str">
        <f ca="1">IFERROR(__xludf.DUMMYFUNCTION("GOOGLETRANSLATE(D2909, ""bn"", ""en"")"),"No matter what religion we belong to outside, we are all human beings and brothers of each other")</f>
        <v>No matter what religion we belong to outside, we are all human beings and brothers of each other</v>
      </c>
      <c r="F2909" s="1"/>
      <c r="G2909" s="1"/>
      <c r="H2909" s="1"/>
      <c r="I2909" s="1"/>
    </row>
    <row r="2910" spans="1:9" ht="15.6" x14ac:dyDescent="0.3">
      <c r="A2910" s="1" t="s">
        <v>7</v>
      </c>
      <c r="B2910" s="1" t="s">
        <v>7</v>
      </c>
      <c r="C2910" s="10" t="s">
        <v>7</v>
      </c>
      <c r="D2910" s="5" t="s">
        <v>2612</v>
      </c>
      <c r="E2910" s="1" t="str">
        <f ca="1">IFERROR(__xludf.DUMMYFUNCTION("GOOGLETRANSLATE(D2910, ""bn"", ""en"")"),"This killing is going on till 2 pm. After the Pakistani army left, local Razakars looted the remaining houses. Targeted killings continued even after the May 3 massacre.")</f>
        <v>This killing is going on till 2 pm. After the Pakistani army left, local Razakars looted the remaining houses. Targeted killings continued even after the May 3 massacre.</v>
      </c>
      <c r="F2910" s="1"/>
      <c r="G2910" s="1"/>
      <c r="H2910" s="1"/>
      <c r="I2910" s="1"/>
    </row>
    <row r="2911" spans="1:9" ht="15.6" x14ac:dyDescent="0.3">
      <c r="A2911" s="1" t="s">
        <v>4</v>
      </c>
      <c r="B2911" s="1" t="s">
        <v>4</v>
      </c>
      <c r="C2911" s="10" t="s">
        <v>4</v>
      </c>
      <c r="D2911" s="5" t="s">
        <v>2613</v>
      </c>
      <c r="E2911" s="1" t="str">
        <f ca="1">IFERROR(__xludf.DUMMYFUNCTION("GOOGLETRANSLATE(D2911, ""bn"", ""en"")"),"Say the Dada accent like Bengali. Where is the difficulty in saying Kalki? Khali Kalki Kalki is going on.")</f>
        <v>Say the Dada accent like Bengali. Where is the difficulty in saying Kalki? Khali Kalki Kalki is going on.</v>
      </c>
      <c r="F2911" s="1"/>
      <c r="G2911" s="1"/>
      <c r="H2911" s="1"/>
      <c r="I2911" s="1"/>
    </row>
    <row r="2912" spans="1:9" ht="15.6" x14ac:dyDescent="0.3">
      <c r="A2912" s="1" t="s">
        <v>7</v>
      </c>
      <c r="B2912" s="1" t="s">
        <v>7</v>
      </c>
      <c r="C2912" s="10" t="s">
        <v>7</v>
      </c>
      <c r="D2912" s="5" t="s">
        <v>2614</v>
      </c>
      <c r="E2912" s="1" t="str">
        <f ca="1">IFERROR(__xludf.DUMMYFUNCTION("GOOGLETRANSLATE(D2912, ""bn"", ""en"")"),"Minority communities affected again in Pakistan. According to sources, two businessmen of the Sikh community have been shot dead in the city of Peshawar in the province of Khyber Pakhtunkhwa.")</f>
        <v>Minority communities affected again in Pakistan. According to sources, two businessmen of the Sikh community have been shot dead in the city of Peshawar in the province of Khyber Pakhtunkhwa.</v>
      </c>
      <c r="F2912" s="1"/>
      <c r="G2912" s="1"/>
      <c r="H2912" s="1"/>
      <c r="I2912" s="1"/>
    </row>
    <row r="2913" spans="1:9" ht="15.6" x14ac:dyDescent="0.3">
      <c r="A2913" s="1" t="s">
        <v>7</v>
      </c>
      <c r="B2913" s="1" t="s">
        <v>4</v>
      </c>
      <c r="C2913" s="10" t="s">
        <v>7</v>
      </c>
      <c r="D2913" s="5" t="s">
        <v>2615</v>
      </c>
      <c r="E2913" s="1" t="str">
        <f ca="1">IFERROR(__xludf.DUMMYFUNCTION("GOOGLETRANSLATE(D2913, ""bn"", ""en"")"),"Anyone who has a great hatred for the Qur'an or otherwise insults or belittles the Qur'an in any way will go outside the boundaries of Islam and will be called an apostate in the language of Islamic law. There is no disagreement among scholars on this mat"&amp;"ter. According to Islamic law, the punishment for apostates is death.")</f>
        <v>Anyone who has a great hatred for the Qur'an or otherwise insults or belittles the Qur'an in any way will go outside the boundaries of Islam and will be called an apostate in the language of Islamic law. There is no disagreement among scholars on this matter. According to Islamic law, the punishment for apostates is death.</v>
      </c>
      <c r="F2913" s="1"/>
      <c r="G2913" s="1"/>
      <c r="H2913" s="1"/>
      <c r="I2913" s="1"/>
    </row>
    <row r="2914" spans="1:9" ht="15.6" x14ac:dyDescent="0.3">
      <c r="A2914" s="1" t="s">
        <v>5</v>
      </c>
      <c r="B2914" s="1" t="s">
        <v>5</v>
      </c>
      <c r="C2914" s="10" t="s">
        <v>5</v>
      </c>
      <c r="D2914" s="5" t="s">
        <v>2616</v>
      </c>
      <c r="E2914" s="1" t="str">
        <f ca="1">IFERROR(__xludf.DUMMYFUNCTION("GOOGLETRANSLATE(D2914, ""bn"", ""en"")"),"The Catholic Church in Bangladesh includes the areas under the jurisdiction of the Catholic Bishop of Dhaka, including the areas of the Catholic Bishops in Dinajpur, Mymensingh, Sylhet and Rajshahi. On the other hand, the area under the jurisdiction of th"&amp;"e Bishop of Chittagong, including the area of ​​the Catholic Bishops of Barisal and Khulna.")</f>
        <v>The Catholic Church in Bangladesh includes the areas under the jurisdiction of the Catholic Bishop of Dhaka, including the areas of the Catholic Bishops in Dinajpur, Mymensingh, Sylhet and Rajshahi. On the other hand, the area under the jurisdiction of the Bishop of Chittagong, including the area of ​​the Catholic Bishops of Barisal and Khulna.</v>
      </c>
      <c r="F2914" s="1"/>
      <c r="G2914" s="1"/>
      <c r="H2914" s="1"/>
      <c r="I2914" s="1"/>
    </row>
    <row r="2915" spans="1:9" ht="15.6" x14ac:dyDescent="0.3">
      <c r="A2915" s="1" t="s">
        <v>5</v>
      </c>
      <c r="B2915" s="1" t="s">
        <v>5</v>
      </c>
      <c r="C2915" s="10" t="s">
        <v>5</v>
      </c>
      <c r="D2915" s="5" t="s">
        <v>2617</v>
      </c>
      <c r="E2915" s="1" t="str">
        <f ca="1">IFERROR(__xludf.DUMMYFUNCTION("GOOGLETRANSLATE(D2915, ""bn"", ""en"")"),"Paul of Tarsus was essentially like Peter of Galilee, Jesus of Nazareth, and other preachers of Judaism. Together they formed a group of Jewish Christians. The boys of that group were circumcised.")</f>
        <v>Paul of Tarsus was essentially like Peter of Galilee, Jesus of Nazareth, and other preachers of Judaism. Together they formed a group of Jewish Christians. The boys of that group were circumcised.</v>
      </c>
      <c r="F2915" s="1"/>
      <c r="G2915" s="1"/>
      <c r="H2915" s="1"/>
      <c r="I2915" s="1"/>
    </row>
    <row r="2916" spans="1:9" ht="46.8" x14ac:dyDescent="0.3">
      <c r="A2916" s="1" t="s">
        <v>4</v>
      </c>
      <c r="B2916" s="1" t="s">
        <v>5</v>
      </c>
      <c r="C2916" s="10" t="s">
        <v>4</v>
      </c>
      <c r="D2916" s="6" t="s">
        <v>3726</v>
      </c>
      <c r="E2916" s="1" t="str">
        <f ca="1">IFERROR(__xludf.DUMMYFUNCTION("GOOGLETRANSLATE(D2916, ""bn"", ""en"")"),"We have evidence that a group is doing this in concert They have Facebook and YouTube channels They do this by using them Those alleged channels were with the attackers in Dighlia They were spreading excitement on their channel from Dapur We have seen thi"&amp;"s in many other incidents including Comilla They are directed centrally They act accordingly")</f>
        <v>We have evidence that a group is doing this in concert They have Facebook and YouTube channels They do this by using them Those alleged channels were with the attackers in Dighlia They were spreading excitement on their channel from Dapur We have seen this in many other incidents including Comilla They are directed centrally They act accordingly</v>
      </c>
      <c r="F2916" s="1"/>
      <c r="G2916" s="1"/>
      <c r="H2916" s="1"/>
      <c r="I2916" s="1"/>
    </row>
    <row r="2917" spans="1:9" ht="15.6" x14ac:dyDescent="0.3">
      <c r="A2917" s="1" t="s">
        <v>4</v>
      </c>
      <c r="B2917" s="1" t="s">
        <v>5</v>
      </c>
      <c r="C2917" s="10" t="s">
        <v>4</v>
      </c>
      <c r="D2917" s="5" t="s">
        <v>2618</v>
      </c>
      <c r="E2917" s="1" t="str">
        <f ca="1">IFERROR(__xludf.DUMMYFUNCTION("GOOGLETRANSLATE(D2917, ""bn"", ""en"")")," Most of those who tried to harm or harmed Muslims throughout the ages were Muslims with these names and hypocrites.")</f>
        <v> Most of those who tried to harm or harmed Muslims throughout the ages were Muslims with these names and hypocrites.</v>
      </c>
      <c r="F2917" s="1"/>
      <c r="G2917" s="1"/>
      <c r="H2917" s="1"/>
      <c r="I2917" s="1"/>
    </row>
    <row r="2918" spans="1:9" ht="15.6" x14ac:dyDescent="0.3">
      <c r="A2918" s="1" t="s">
        <v>5</v>
      </c>
      <c r="B2918" s="1" t="s">
        <v>4</v>
      </c>
      <c r="C2918" s="10" t="s">
        <v>5</v>
      </c>
      <c r="D2918" s="5" t="s">
        <v>2619</v>
      </c>
      <c r="E2918" s="1" t="str">
        <f ca="1">IFERROR(__xludf.DUMMYFUNCTION("GOOGLETRANSLATE(D2918, ""bn"", ""en"")"),"There are many teachings in your words that everyone needs to understand. May Hare Krishna Govinda bless you and bless all in this universe.")</f>
        <v>There are many teachings in your words that everyone needs to understand. May Hare Krishna Govinda bless you and bless all in this universe.</v>
      </c>
      <c r="F2918" s="1"/>
      <c r="G2918" s="1"/>
      <c r="H2918" s="1"/>
      <c r="I2918" s="1"/>
    </row>
    <row r="2919" spans="1:9" ht="15.6" x14ac:dyDescent="0.3">
      <c r="A2919" s="1" t="s">
        <v>5</v>
      </c>
      <c r="B2919" s="1" t="s">
        <v>5</v>
      </c>
      <c r="C2919" s="10" t="s">
        <v>5</v>
      </c>
      <c r="D2919" s="5" t="s">
        <v>2620</v>
      </c>
      <c r="E2919" s="1" t="str">
        <f ca="1">IFERROR(__xludf.DUMMYFUNCTION("GOOGLETRANSLATE(D2919, ""bn"", ""en"")"),"Originally there were two Hindu temples in Italy, and today about 30,000 Italian and expatriate Hindus live here. There is an opportunity to include more accurate and rich information about Hinduism in Italian school textbooks.")</f>
        <v>Originally there were two Hindu temples in Italy, and today about 30,000 Italian and expatriate Hindus live here. There is an opportunity to include more accurate and rich information about Hinduism in Italian school textbooks.</v>
      </c>
      <c r="F2919" s="1"/>
      <c r="G2919" s="1"/>
      <c r="H2919" s="1"/>
      <c r="I2919" s="1"/>
    </row>
    <row r="2920" spans="1:9" ht="15.6" x14ac:dyDescent="0.3">
      <c r="A2920" s="1" t="s">
        <v>7</v>
      </c>
      <c r="B2920" s="1" t="s">
        <v>7</v>
      </c>
      <c r="C2920" s="10" t="s">
        <v>7</v>
      </c>
      <c r="D2920" s="5" t="s">
        <v>2621</v>
      </c>
      <c r="E2920" s="1" t="str">
        <f ca="1">IFERROR(__xludf.DUMMYFUNCTION("GOOGLETRANSLATE(D2920, ""bn"", ""en"")"),"Estimates by The Statesman ranged from 7,500 to 10,000; 2,000 were said by the Congress; However, Jinnah claimed 30,000. [56] However, the official death toll was 445 on 3 November.")</f>
        <v>Estimates by The Statesman ranged from 7,500 to 10,000; 2,000 were said by the Congress; However, Jinnah claimed 30,000. [56] However, the official death toll was 445 on 3 November.</v>
      </c>
      <c r="F2920" s="1"/>
      <c r="G2920" s="1"/>
      <c r="H2920" s="1"/>
      <c r="I2920" s="1"/>
    </row>
    <row r="2921" spans="1:9" ht="15.6" x14ac:dyDescent="0.3">
      <c r="A2921" s="1" t="s">
        <v>4</v>
      </c>
      <c r="B2921" s="1" t="s">
        <v>4</v>
      </c>
      <c r="C2921" s="10" t="s">
        <v>4</v>
      </c>
      <c r="D2921" s="5" t="s">
        <v>2622</v>
      </c>
      <c r="E2921" s="1" t="str">
        <f ca="1">IFERROR(__xludf.DUMMYFUNCTION("GOOGLETRANSLATE(D2921, ""bn"", ""en"")"),"I strongly condemn this as a Muslim and demand legal action against this from the Swedish government.")</f>
        <v>I strongly condemn this as a Muslim and demand legal action against this from the Swedish government.</v>
      </c>
      <c r="F2921" s="1"/>
      <c r="G2921" s="1"/>
      <c r="H2921" s="1"/>
      <c r="I2921" s="1"/>
    </row>
    <row r="2922" spans="1:9" ht="15.6" x14ac:dyDescent="0.3">
      <c r="A2922" s="1" t="s">
        <v>5</v>
      </c>
      <c r="B2922" s="1" t="s">
        <v>5</v>
      </c>
      <c r="C2922" s="10" t="s">
        <v>5</v>
      </c>
      <c r="D2922" s="5" t="s">
        <v>2623</v>
      </c>
      <c r="E2922" s="1" t="str">
        <f ca="1">IFERROR(__xludf.DUMMYFUNCTION("GOOGLETRANSLATE(D2922, ""bn"", ""en"")"),"We have deep trust and respect for the Honorable Prime Minister, the shaper of Bangladesh's development and progress, the beacon of humanity, the light of hope for the helpless people. We believe that the incident will be dealt with quickly and fairly. As"&amp;" a Buddhist nation we hope that truth and justice will be established.")</f>
        <v>We have deep trust and respect for the Honorable Prime Minister, the shaper of Bangladesh's development and progress, the beacon of humanity, the light of hope for the helpless people. We believe that the incident will be dealt with quickly and fairly. As a Buddhist nation we hope that truth and justice will be established.</v>
      </c>
      <c r="F2922" s="1"/>
      <c r="G2922" s="1"/>
      <c r="H2922" s="1"/>
      <c r="I2922" s="1"/>
    </row>
    <row r="2923" spans="1:9" ht="15.6" x14ac:dyDescent="0.3">
      <c r="A2923" s="1" t="s">
        <v>4</v>
      </c>
      <c r="B2923" s="1" t="s">
        <v>5</v>
      </c>
      <c r="C2923" s="10" t="s">
        <v>4</v>
      </c>
      <c r="D2923" s="5" t="s">
        <v>2624</v>
      </c>
      <c r="E2923" s="1" t="str">
        <f ca="1">IFERROR(__xludf.DUMMYFUNCTION("GOOGLETRANSLATE(D2923, ""bn"", ""en"")"),"The Criminal Code of 1860, which deals with criminal offenses in Bangladesh, has clear laws on religious blasphemy. The Act was amended in 1927 to add a new clause. After the independence of Bangladesh, this law made during the British period was adopted "&amp;"with minor changes.")</f>
        <v>The Criminal Code of 1860, which deals with criminal offenses in Bangladesh, has clear laws on religious blasphemy. The Act was amended in 1927 to add a new clause. After the independence of Bangladesh, this law made during the British period was adopted with minor changes.</v>
      </c>
      <c r="F2923" s="1"/>
      <c r="G2923" s="1"/>
      <c r="H2923" s="1"/>
      <c r="I2923" s="1"/>
    </row>
    <row r="2924" spans="1:9" ht="15.6" x14ac:dyDescent="0.3">
      <c r="A2924" s="1" t="s">
        <v>5</v>
      </c>
      <c r="B2924" s="1" t="s">
        <v>5</v>
      </c>
      <c r="C2924" s="10" t="s">
        <v>5</v>
      </c>
      <c r="D2924" s="5" t="s">
        <v>2625</v>
      </c>
      <c r="E2924" s="1" t="str">
        <f ca="1">IFERROR(__xludf.DUMMYFUNCTION("GOOGLETRANSLATE(D2924, ""bn"", ""en"")"),"Your writing is timely. Thank you very much. Reading your writing, it seems that you hold communal harmony By reading this post of yours, many people of different religions have increased their respect and love for you!")</f>
        <v>Your writing is timely. Thank you very much. Reading your writing, it seems that you hold communal harmony By reading this post of yours, many people of different religions have increased their respect and love for you!</v>
      </c>
      <c r="F2924" s="1"/>
      <c r="G2924" s="1"/>
      <c r="H2924" s="1"/>
      <c r="I2924" s="1"/>
    </row>
    <row r="2925" spans="1:9" ht="15.6" x14ac:dyDescent="0.3">
      <c r="A2925" s="1" t="s">
        <v>5</v>
      </c>
      <c r="B2925" s="1" t="s">
        <v>5</v>
      </c>
      <c r="C2925" s="10" t="s">
        <v>5</v>
      </c>
      <c r="D2925" s="5" t="s">
        <v>2626</v>
      </c>
      <c r="E2925" s="1" t="str">
        <f ca="1">IFERROR(__xludf.DUMMYFUNCTION("GOOGLETRANSLATE(D2925, ""bn"", ""en"")"),"""I think I've always been a Muslim.""")</f>
        <v>"I think I've always been a Muslim."</v>
      </c>
      <c r="F2925" s="1"/>
      <c r="G2925" s="1"/>
      <c r="H2925" s="1"/>
      <c r="I2925" s="1"/>
    </row>
    <row r="2926" spans="1:9" ht="15.6" x14ac:dyDescent="0.3">
      <c r="A2926" s="1" t="s">
        <v>5</v>
      </c>
      <c r="B2926" s="1" t="s">
        <v>5</v>
      </c>
      <c r="C2926" s="10" t="s">
        <v>5</v>
      </c>
      <c r="D2926" s="5" t="s">
        <v>2627</v>
      </c>
      <c r="E2926" s="1" t="str">
        <f ca="1">IFERROR(__xludf.DUMMYFUNCTION("GOOGLETRANSLATE(D2926, ""bn"", ""en"")"),"The people of the country really have no concern about who is the head of Vidyananda! He is neither human nor robot, Hindu nor Muslim, upperborn nor lowerborn (although it is doubtful whether Kishore Kumar Das would have been able to stand up to the press"&amp;"ure of Brakshans in India, especially in Uttar Pradesh or Tamil Nadu).")</f>
        <v>The people of the country really have no concern about who is the head of Vidyananda! He is neither human nor robot, Hindu nor Muslim, upperborn nor lowerborn (although it is doubtful whether Kishore Kumar Das would have been able to stand up to the pressure of Brakshans in India, especially in Uttar Pradesh or Tamil Nadu).</v>
      </c>
      <c r="F2926" s="1"/>
      <c r="G2926" s="1"/>
      <c r="H2926" s="1"/>
      <c r="I2926" s="1"/>
    </row>
    <row r="2927" spans="1:9" ht="15.6" x14ac:dyDescent="0.3">
      <c r="A2927" s="1" t="s">
        <v>5</v>
      </c>
      <c r="B2927" s="1" t="s">
        <v>5</v>
      </c>
      <c r="C2927" s="10" t="s">
        <v>5</v>
      </c>
      <c r="D2927" s="5" t="s">
        <v>2628</v>
      </c>
      <c r="E2927" s="1" t="str">
        <f ca="1">IFERROR(__xludf.DUMMYFUNCTION("GOOGLETRANSLATE(D2927, ""bn"", ""en"")"),"According to the Bible, he gave the greatest encouragement to the disciples of Jesus to spread the message of the Messiah or Savior throughout the world.")</f>
        <v>According to the Bible, he gave the greatest encouragement to the disciples of Jesus to spread the message of the Messiah or Savior throughout the world.</v>
      </c>
      <c r="F2927" s="1"/>
      <c r="G2927" s="1"/>
      <c r="H2927" s="1"/>
      <c r="I2927" s="1"/>
    </row>
    <row r="2928" spans="1:9" ht="15.6" x14ac:dyDescent="0.3">
      <c r="A2928" s="1" t="s">
        <v>4</v>
      </c>
      <c r="B2928" s="1" t="s">
        <v>4</v>
      </c>
      <c r="C2928" s="10" t="s">
        <v>4</v>
      </c>
      <c r="D2928" s="5" t="s">
        <v>2629</v>
      </c>
      <c r="E2928" s="1" t="str">
        <f ca="1">IFERROR(__xludf.DUMMYFUNCTION("GOOGLETRANSLATE(D2928, ""bn"", ""en"")"),"I hate religious extremism very much. Scholars of this country also hate extremism. ")</f>
        <v xml:space="preserve">I hate religious extremism very much. Scholars of this country also hate extremism. </v>
      </c>
      <c r="F2928" s="1"/>
      <c r="G2928" s="1"/>
      <c r="H2928" s="1"/>
      <c r="I2928" s="1"/>
    </row>
    <row r="2929" spans="1:9" ht="15.6" x14ac:dyDescent="0.3">
      <c r="A2929" s="1" t="s">
        <v>9</v>
      </c>
      <c r="B2929" s="1" t="s">
        <v>9</v>
      </c>
      <c r="C2929" s="10" t="s">
        <v>9</v>
      </c>
      <c r="D2929" s="5" t="s">
        <v>2630</v>
      </c>
      <c r="E2929" s="1" t="str">
        <f ca="1">IFERROR(__xludf.DUMMYFUNCTION("GOOGLETRANSLATE(D2929, ""bn"", ""en"")"),"On October 8, miscreants vandalized all the idols of the temporary puja mandap under construction at Sundarganj in Gaibandhar in the early hours of the morning.")</f>
        <v>On October 8, miscreants vandalized all the idols of the temporary puja mandap under construction at Sundarganj in Gaibandhar in the early hours of the morning.</v>
      </c>
      <c r="F2929" s="1"/>
      <c r="G2929" s="1"/>
      <c r="H2929" s="1"/>
      <c r="I2929" s="1"/>
    </row>
    <row r="2930" spans="1:9" ht="15.6" x14ac:dyDescent="0.3">
      <c r="A2930" s="1" t="s">
        <v>7</v>
      </c>
      <c r="B2930" s="1" t="s">
        <v>7</v>
      </c>
      <c r="C2930" s="10" t="s">
        <v>7</v>
      </c>
      <c r="D2930" s="5" t="s">
        <v>2631</v>
      </c>
      <c r="E2930" s="1" t="str">
        <f ca="1">IFERROR(__xludf.DUMMYFUNCTION("GOOGLETRANSLATE(D2930, ""bn"", ""en"")"),"Although the Shari'ah dictates that the funeral of a suicide should be performed casually, Rasulullah (SAW) himself never performed the funeral of a suicide. It was taught by the Companions.")</f>
        <v>Although the Shari'ah dictates that the funeral of a suicide should be performed casually, Rasulullah (SAW) himself never performed the funeral of a suicide. It was taught by the Companions.</v>
      </c>
      <c r="F2930" s="1"/>
      <c r="G2930" s="1"/>
      <c r="H2930" s="1"/>
      <c r="I2930" s="1"/>
    </row>
    <row r="2931" spans="1:9" ht="15.6" x14ac:dyDescent="0.3">
      <c r="A2931" s="1" t="s">
        <v>5</v>
      </c>
      <c r="B2931" s="1" t="s">
        <v>5</v>
      </c>
      <c r="C2931" s="10" t="s">
        <v>5</v>
      </c>
      <c r="D2931" s="5" t="s">
        <v>2632</v>
      </c>
      <c r="E2931" s="1" t="str">
        <f ca="1">IFERROR(__xludf.DUMMYFUNCTION("GOOGLETRANSLATE(D2931, ""bn"", ""en"")"),"I don't know what exactly got over me then. For many years I did not think about Islam. Suddenly a light went on in my mind. I started reading and learning more about Islam.")</f>
        <v>I don't know what exactly got over me then. For many years I did not think about Islam. Suddenly a light went on in my mind. I started reading and learning more about Islam.</v>
      </c>
      <c r="F2931" s="1"/>
      <c r="G2931" s="1"/>
      <c r="H2931" s="1"/>
      <c r="I2931" s="1"/>
    </row>
    <row r="2932" spans="1:9" ht="15.6" x14ac:dyDescent="0.3">
      <c r="A2932" s="1" t="s">
        <v>5</v>
      </c>
      <c r="B2932" s="1" t="s">
        <v>5</v>
      </c>
      <c r="C2932" s="10" t="s">
        <v>5</v>
      </c>
      <c r="D2932" s="5" t="s">
        <v>2633</v>
      </c>
      <c r="E2932" s="1" t="str">
        <f ca="1">IFERROR(__xludf.DUMMYFUNCTION("GOOGLETRANSLATE(D2932, ""bn"", ""en"")"),"28 Samyaksambuddhas have passed since the birth of the world till today. We are now in the age of the 28th Buddha – Gautama Buddha, Gautama Buddha's religion spans a total of 5000 years, after which another Buddha will appear in the future.")</f>
        <v>28 Samyaksambuddhas have passed since the birth of the world till today. We are now in the age of the 28th Buddha – Gautama Buddha, Gautama Buddha's religion spans a total of 5000 years, after which another Buddha will appear in the future.</v>
      </c>
      <c r="F2932" s="1"/>
      <c r="G2932" s="1"/>
      <c r="H2932" s="1"/>
      <c r="I2932" s="1"/>
    </row>
    <row r="2933" spans="1:9" ht="46.8" x14ac:dyDescent="0.3">
      <c r="A2933" s="1" t="s">
        <v>9</v>
      </c>
      <c r="B2933" s="1" t="s">
        <v>9</v>
      </c>
      <c r="C2933" s="10" t="s">
        <v>9</v>
      </c>
      <c r="D2933" s="6" t="s">
        <v>3725</v>
      </c>
      <c r="E2933" s="1" t="str">
        <f ca="1">IFERROR(__xludf.DUMMYFUNCTION("GOOGLETRANSLATE(D2933, ""bn"", ""en"")"),"On March 5, Sri Sri Shamshan Kali Mandir in Raudpar village of Adityamari upazila of Lalmonirhat district was vandalized. On March 7, fanatics set fire to a Hindu temple after destroying an idol of Kali in Hatibandha upazila of Lalmonirhat. Sri Sri Kali t"&amp;"emple in Bejgram village was also set on fire during the night.")</f>
        <v>On March 5, Sri Sri Shamshan Kali Mandir in Raudpar village of Adityamari upazila of Lalmonirhat district was vandalized. On March 7, fanatics set fire to a Hindu temple after destroying an idol of Kali in Hatibandha upazila of Lalmonirhat. Sri Sri Kali temple in Bejgram village was also set on fire during the night.</v>
      </c>
      <c r="F2933" s="1"/>
      <c r="G2933" s="1"/>
      <c r="H2933" s="1"/>
      <c r="I2933" s="1"/>
    </row>
    <row r="2934" spans="1:9" ht="15.6" x14ac:dyDescent="0.3">
      <c r="A2934" s="1" t="s">
        <v>4</v>
      </c>
      <c r="B2934" s="1" t="s">
        <v>4</v>
      </c>
      <c r="C2934" s="10" t="s">
        <v>4</v>
      </c>
      <c r="D2934" s="5" t="s">
        <v>2634</v>
      </c>
      <c r="E2934" s="1" t="str">
        <f ca="1">IFERROR(__xludf.DUMMYFUNCTION("GOOGLETRANSLATE(D2934, ""bn"", ""en"")"),"Will any Hindu in Bangladesh have the courage to take a Quran Sharif and keep it in a temple or near a deity? Those who are well-educated from the minority or Hindu community are not raised to insult other religions.")</f>
        <v>Will any Hindu in Bangladesh have the courage to take a Quran Sharif and keep it in a temple or near a deity? Those who are well-educated from the minority or Hindu community are not raised to insult other religions.</v>
      </c>
      <c r="F2934" s="1"/>
      <c r="G2934" s="1"/>
      <c r="H2934" s="1"/>
      <c r="I2934" s="1"/>
    </row>
    <row r="2935" spans="1:9" ht="15.6" x14ac:dyDescent="0.3">
      <c r="A2935" s="4" t="s">
        <v>7</v>
      </c>
      <c r="B2935" s="4" t="s">
        <v>7</v>
      </c>
      <c r="C2935" s="11" t="s">
        <v>7</v>
      </c>
      <c r="D2935" s="5" t="s">
        <v>2635</v>
      </c>
      <c r="E2935" s="1" t="str">
        <f ca="1">IFERROR(__xludf.DUMMYFUNCTION("GOOGLETRANSLATE(D2935, ""bn"", ""en"")"),"In October 2008, a senior Maoist leader claimed responsibility for Laxmananand's murder, and police officials confirmed that Maoists had trained tribal youths to kill Laxmananand.")</f>
        <v>In October 2008, a senior Maoist leader claimed responsibility for Laxmananand's murder, and police officials confirmed that Maoists had trained tribal youths to kill Laxmananand.</v>
      </c>
      <c r="F2935" s="1"/>
      <c r="G2935" s="1"/>
      <c r="H2935" s="1"/>
      <c r="I2935" s="1"/>
    </row>
    <row r="2936" spans="1:9" ht="15.6" x14ac:dyDescent="0.3">
      <c r="A2936" s="1" t="s">
        <v>4</v>
      </c>
      <c r="B2936" s="1" t="s">
        <v>5</v>
      </c>
      <c r="C2936" s="10" t="s">
        <v>4</v>
      </c>
      <c r="D2936" s="5" t="s">
        <v>2636</v>
      </c>
      <c r="E2936" s="1" t="str">
        <f ca="1">IFERROR(__xludf.DUMMYFUNCTION("GOOGLETRANSLATE(D2936, ""bn"", ""en"")"),"No one makes a sound about their itch about Muslims. The talk will be only around actors/actresses. They are not basically haters of religion, they are haters of Islam.")</f>
        <v>No one makes a sound about their itch about Muslims. The talk will be only around actors/actresses. They are not basically haters of religion, they are haters of Islam.</v>
      </c>
      <c r="F2936" s="1"/>
      <c r="G2936" s="1"/>
      <c r="H2936" s="1"/>
      <c r="I2936" s="1"/>
    </row>
    <row r="2937" spans="1:9" ht="15.6" x14ac:dyDescent="0.3">
      <c r="A2937" s="1" t="s">
        <v>5</v>
      </c>
      <c r="B2937" s="1" t="s">
        <v>5</v>
      </c>
      <c r="C2937" s="10" t="s">
        <v>5</v>
      </c>
      <c r="D2937" s="5" t="s">
        <v>2637</v>
      </c>
      <c r="E2937" s="1" t="str">
        <f ca="1">IFERROR(__xludf.DUMMYFUNCTION("GOOGLETRANSLATE(D2937, ""bn"", ""en"")"),"Jainists lead their lives with purity, honesty, and kindness, and their philosophy of life provides very important lessons for humanity.")</f>
        <v>Jainists lead their lives with purity, honesty, and kindness, and their philosophy of life provides very important lessons for humanity.</v>
      </c>
      <c r="F2937" s="1"/>
      <c r="G2937" s="1"/>
      <c r="H2937" s="1"/>
      <c r="I2937" s="1"/>
    </row>
    <row r="2938" spans="1:9" ht="15.6" x14ac:dyDescent="0.3">
      <c r="A2938" s="1" t="s">
        <v>5</v>
      </c>
      <c r="B2938" s="1" t="s">
        <v>5</v>
      </c>
      <c r="C2938" s="10" t="s">
        <v>5</v>
      </c>
      <c r="D2938" s="5" t="s">
        <v>2638</v>
      </c>
      <c r="E2938" s="1" t="str">
        <f ca="1">IFERROR(__xludf.DUMMYFUNCTION("GOOGLETRANSLATE(D2938, ""bn"", ""en"")"),"According to the teachings of Jesus Christ, every Christian should show love and compassion to his neighbor, and this teaching is very important to make the world a peaceful place where people of all religions will support each other.")</f>
        <v>According to the teachings of Jesus Christ, every Christian should show love and compassion to his neighbor, and this teaching is very important to make the world a peaceful place where people of all religions will support each other.</v>
      </c>
      <c r="F2938" s="1"/>
      <c r="G2938" s="1"/>
      <c r="H2938" s="1"/>
      <c r="I2938" s="1"/>
    </row>
    <row r="2939" spans="1:9" ht="15.6" x14ac:dyDescent="0.3">
      <c r="A2939" s="1" t="s">
        <v>5</v>
      </c>
      <c r="B2939" s="1" t="s">
        <v>5</v>
      </c>
      <c r="C2939" s="10" t="s">
        <v>5</v>
      </c>
      <c r="D2939" s="5" t="s">
        <v>2639</v>
      </c>
      <c r="E2939" s="1" t="str">
        <f ca="1">IFERROR(__xludf.DUMMYFUNCTION("GOOGLETRANSLATE(D2939, ""bn"", ""en"")"),"I want more videos about these fundamentals of Islam, the questions that arise in people's minds or are raised by science and people, brother. thank you")</f>
        <v>I want more videos about these fundamentals of Islam, the questions that arise in people's minds or are raised by science and people, brother. thank you</v>
      </c>
      <c r="F2939" s="1"/>
      <c r="G2939" s="1"/>
      <c r="H2939" s="1"/>
      <c r="I2939" s="1"/>
    </row>
    <row r="2940" spans="1:9" ht="15.6" x14ac:dyDescent="0.3">
      <c r="A2940" s="1" t="s">
        <v>5</v>
      </c>
      <c r="B2940" s="1"/>
      <c r="C2940" s="10" t="s">
        <v>5</v>
      </c>
      <c r="D2940" s="5" t="s">
        <v>2640</v>
      </c>
      <c r="E2940" s="1" t="str">
        <f ca="1">IFERROR(__xludf.DUMMYFUNCTION("GOOGLETRANSLATE(D2940, ""bn"", ""en"")"),"More people can benefit if you do the same. I hope, no one will misunderstand my words, because the subject of religious education should be understandable to all, whether young or old.")</f>
        <v>More people can benefit if you do the same. I hope, no one will misunderstand my words, because the subject of religious education should be understandable to all, whether young or old.</v>
      </c>
      <c r="F2940" s="1"/>
      <c r="G2940" s="1"/>
      <c r="H2940" s="1"/>
      <c r="I2940" s="1"/>
    </row>
    <row r="2941" spans="1:9" ht="46.8" x14ac:dyDescent="0.3">
      <c r="A2941" s="1" t="s">
        <v>9</v>
      </c>
      <c r="B2941" s="1" t="s">
        <v>9</v>
      </c>
      <c r="C2941" s="10" t="s">
        <v>9</v>
      </c>
      <c r="D2941" s="6" t="s">
        <v>3724</v>
      </c>
      <c r="E2941" s="1" t="str">
        <f ca="1">IFERROR(__xludf.DUMMYFUNCTION("GOOGLETRANSLATE(D2941, ""bn"", ""en"")"),"On December 20, 1949, four police constables raided Jaydev Varma's house under Mollahat Police Station in Bagerhat Upazila of Khulna District on the last night, alleging that Communist members were hiding.[6] But failing to find any Communist members in J"&amp;"aydev's house, the policemen tried to rape his wife.")</f>
        <v>On December 20, 1949, four police constables raided Jaydev Varma's house under Mollahat Police Station in Bagerhat Upazila of Khulna District on the last night, alleging that Communist members were hiding.[6] But failing to find any Communist members in Jaydev's house, the policemen tried to rape his wife.</v>
      </c>
      <c r="F2941" s="1"/>
      <c r="G2941" s="1"/>
      <c r="H2941" s="1"/>
      <c r="I2941" s="1"/>
    </row>
    <row r="2942" spans="1:9" ht="15.6" x14ac:dyDescent="0.3">
      <c r="A2942" s="1" t="s">
        <v>9</v>
      </c>
      <c r="B2942" s="1" t="s">
        <v>9</v>
      </c>
      <c r="C2942" s="10" t="s">
        <v>9</v>
      </c>
      <c r="D2942" s="5" t="s">
        <v>2641</v>
      </c>
      <c r="E2942" s="1" t="str">
        <f ca="1">IFERROR(__xludf.DUMMYFUNCTION("GOOGLETRANSLATE(D2942, ""bn"", ""en"")"),"Violence against Muslims is often perpetrated by Hindus in the form of aggressive attacks on Muslims")</f>
        <v>Violence against Muslims is often perpetrated by Hindus in the form of aggressive attacks on Muslims</v>
      </c>
      <c r="F2942" s="1"/>
      <c r="G2942" s="1"/>
      <c r="H2942" s="1"/>
      <c r="I2942" s="1"/>
    </row>
    <row r="2943" spans="1:9" ht="15.6" x14ac:dyDescent="0.3">
      <c r="A2943" s="1" t="s">
        <v>9</v>
      </c>
      <c r="B2943" s="1" t="s">
        <v>9</v>
      </c>
      <c r="C2943" s="10" t="s">
        <v>9</v>
      </c>
      <c r="D2943" s="5" t="s">
        <v>2642</v>
      </c>
      <c r="E2943" s="1" t="str">
        <f ca="1">IFERROR(__xludf.DUMMYFUNCTION("GOOGLETRANSLATE(D2943, ""bn"", ""en"")"),"The idols of Kali and Mahadev were vandalized by breaking the lock of the main gate of the public Sri Sri Kali temple in Bisharkandi area of ​​Banaripara upazila of Barisal on Tuesday night on February 15.")</f>
        <v>The idols of Kali and Mahadev were vandalized by breaking the lock of the main gate of the public Sri Sri Kali temple in Bisharkandi area of ​​Banaripara upazila of Barisal on Tuesday night on February 15.</v>
      </c>
      <c r="F2943" s="1"/>
      <c r="G2943" s="1"/>
      <c r="H2943" s="1"/>
      <c r="I2943" s="1"/>
    </row>
    <row r="2944" spans="1:9" ht="15.6" x14ac:dyDescent="0.3">
      <c r="A2944" s="1" t="s">
        <v>9</v>
      </c>
      <c r="B2944" s="1" t="s">
        <v>9</v>
      </c>
      <c r="C2944" s="10" t="s">
        <v>9</v>
      </c>
      <c r="D2944" s="5" t="s">
        <v>2643</v>
      </c>
      <c r="E2944" s="1" t="str">
        <f ca="1">IFERROR(__xludf.DUMMYFUNCTION("GOOGLETRANSLATE(D2944, ""bn"", ""en"")"),"When unarmed people praying in mosques are attacked, where are you? See only Muslims in your eyes?")</f>
        <v>When unarmed people praying in mosques are attacked, where are you? See only Muslims in your eyes?</v>
      </c>
      <c r="F2944" s="1"/>
      <c r="G2944" s="1"/>
      <c r="H2944" s="1"/>
      <c r="I2944" s="1"/>
    </row>
    <row r="2945" spans="1:9" ht="15.6" x14ac:dyDescent="0.3">
      <c r="A2945" s="1" t="s">
        <v>5</v>
      </c>
      <c r="B2945" s="1" t="s">
        <v>5</v>
      </c>
      <c r="C2945" s="10" t="s">
        <v>5</v>
      </c>
      <c r="D2945" s="5" t="s">
        <v>2644</v>
      </c>
      <c r="E2945" s="1" t="str">
        <f ca="1">IFERROR(__xludf.DUMMYFUNCTION("GOOGLETRANSLATE(D2945, ""bn"", ""en"")"),"Schools with students from minority religious groups are usually allowed to hold religious studies classes outside school hours in local churches or temples.")</f>
        <v>Schools with students from minority religious groups are usually allowed to hold religious studies classes outside school hours in local churches or temples.</v>
      </c>
      <c r="F2945" s="1"/>
      <c r="G2945" s="1"/>
      <c r="H2945" s="1"/>
      <c r="I2945" s="1"/>
    </row>
    <row r="2946" spans="1:9" ht="46.8" x14ac:dyDescent="0.3">
      <c r="A2946" s="4" t="s">
        <v>7</v>
      </c>
      <c r="B2946" s="4" t="s">
        <v>7</v>
      </c>
      <c r="C2946" s="11" t="s">
        <v>7</v>
      </c>
      <c r="D2946" s="6" t="s">
        <v>3723</v>
      </c>
      <c r="E2946" s="1" t="str">
        <f ca="1">IFERROR(__xludf.DUMMYFUNCTION("GOOGLETRANSLATE(D2946, ""bn"", ""en"")")," On the other hand, the Khmer continued to kill Cham Muslims on a daily basis: firstly, attempts were made to kill Cham Muslim leaders and destroy their social structure, including muftis, imams and other influential figures; Second, erasing the Islamic a"&amp;"nd ethnic identity of the Chams by stopping religious prayers and rituals and cultural practices.")</f>
        <v xml:space="preserve"> On the other hand, the Khmer continued to kill Cham Muslims on a daily basis: firstly, attempts were made to kill Cham Muslim leaders and destroy their social structure, including muftis, imams and other influential figures; Second, erasing the Islamic and ethnic identity of the Chams by stopping religious prayers and rituals and cultural practices.</v>
      </c>
      <c r="F2946" s="1"/>
      <c r="G2946" s="1"/>
      <c r="H2946" s="1"/>
      <c r="I2946" s="1"/>
    </row>
    <row r="2947" spans="1:9" ht="15.6" x14ac:dyDescent="0.3">
      <c r="A2947" s="1" t="s">
        <v>7</v>
      </c>
      <c r="B2947" s="1" t="s">
        <v>7</v>
      </c>
      <c r="C2947" s="10" t="s">
        <v>7</v>
      </c>
      <c r="D2947" s="5" t="s">
        <v>2645</v>
      </c>
      <c r="E2947" s="1" t="str">
        <f ca="1">IFERROR(__xludf.DUMMYFUNCTION("GOOGLETRANSLATE(D2947, ""bn"", ""en"")"),"Clashes between Catholics and Protestants in medieval Europe cost many innocent lives, a vivid example of religious division.")</f>
        <v>Clashes between Catholics and Protestants in medieval Europe cost many innocent lives, a vivid example of religious division.</v>
      </c>
      <c r="F2947" s="1"/>
      <c r="G2947" s="1"/>
      <c r="H2947" s="1"/>
      <c r="I2947" s="1"/>
    </row>
    <row r="2948" spans="1:9" ht="15.6" x14ac:dyDescent="0.3">
      <c r="A2948" s="1" t="s">
        <v>7</v>
      </c>
      <c r="B2948" s="1" t="s">
        <v>7</v>
      </c>
      <c r="C2948" s="10" t="s">
        <v>7</v>
      </c>
      <c r="D2948" s="5" t="s">
        <v>2646</v>
      </c>
      <c r="E2948" s="1" t="str">
        <f ca="1">IFERROR(__xludf.DUMMYFUNCTION("GOOGLETRANSLATE(D2948, ""bn"", ""en"")"),"I want criminals to be hanged. Otherwise, I call upon all Muslims to boycott Sweden products.")</f>
        <v>I want criminals to be hanged. Otherwise, I call upon all Muslims to boycott Sweden products.</v>
      </c>
      <c r="F2948" s="1"/>
      <c r="G2948" s="1"/>
      <c r="H2948" s="1"/>
      <c r="I2948" s="1"/>
    </row>
    <row r="2949" spans="1:9" ht="15.6" x14ac:dyDescent="0.3">
      <c r="A2949" s="1" t="s">
        <v>4</v>
      </c>
      <c r="B2949" s="1" t="s">
        <v>4</v>
      </c>
      <c r="C2949" s="10" t="s">
        <v>4</v>
      </c>
      <c r="D2949" s="5" t="s">
        <v>2647</v>
      </c>
      <c r="E2949" s="1" t="str">
        <f ca="1">IFERROR(__xludf.DUMMYFUNCTION("GOOGLETRANSLATE(D2949, ""bn"", ""en"")"),"Shame on some of our nominal Muslims who forgot the importance of religion for the party and attacked religious brothers!")</f>
        <v>Shame on some of our nominal Muslims who forgot the importance of religion for the party and attacked religious brothers!</v>
      </c>
      <c r="F2949" s="1"/>
      <c r="G2949" s="1"/>
      <c r="H2949" s="1"/>
      <c r="I2949" s="1"/>
    </row>
    <row r="2950" spans="1:9" ht="15.6" x14ac:dyDescent="0.3">
      <c r="A2950" s="1" t="s">
        <v>9</v>
      </c>
      <c r="B2950" s="1" t="s">
        <v>5</v>
      </c>
      <c r="C2950" s="10" t="s">
        <v>9</v>
      </c>
      <c r="D2950" s="5" t="s">
        <v>2648</v>
      </c>
      <c r="E2950" s="1" t="str">
        <f ca="1">IFERROR(__xludf.DUMMYFUNCTION("GOOGLETRANSLATE(D2950, ""bn"", ""en"")"),"The US has supported Israel since the beginning of the Israel-Gaza war. The country also provides military support to Israel as part of its pledge to stand by.")</f>
        <v>The US has supported Israel since the beginning of the Israel-Gaza war. The country also provides military support to Israel as part of its pledge to stand by.</v>
      </c>
      <c r="F2950" s="1"/>
      <c r="G2950" s="1"/>
      <c r="H2950" s="1"/>
      <c r="I2950" s="1"/>
    </row>
    <row r="2951" spans="1:9" ht="15.6" x14ac:dyDescent="0.3">
      <c r="A2951" s="4" t="s">
        <v>7</v>
      </c>
      <c r="B2951" s="4" t="s">
        <v>7</v>
      </c>
      <c r="C2951" s="11" t="s">
        <v>7</v>
      </c>
      <c r="D2951" s="5" t="s">
        <v>2649</v>
      </c>
      <c r="E2951" s="1" t="str">
        <f ca="1">IFERROR(__xludf.DUMMYFUNCTION("GOOGLETRANSLATE(D2951, ""bn"", ""en"")"),"In Bhagalpur in 1989, the Ayodhya controversy is believed to have resulted in the death of around a thousand people in violent attacks, [61] and the tension that was caused by VHP activists marching in a show of strength to warn the minority community.")</f>
        <v>In Bhagalpur in 1989, the Ayodhya controversy is believed to have resulted in the death of around a thousand people in violent attacks, [61] and the tension that was caused by VHP activists marching in a show of strength to warn the minority community.</v>
      </c>
      <c r="F2951" s="1"/>
      <c r="G2951" s="1"/>
      <c r="H2951" s="1"/>
      <c r="I2951" s="1"/>
    </row>
    <row r="2952" spans="1:9" ht="15.6" x14ac:dyDescent="0.3">
      <c r="A2952" s="1" t="s">
        <v>7</v>
      </c>
      <c r="B2952" s="1" t="s">
        <v>7</v>
      </c>
      <c r="C2952" s="10" t="s">
        <v>7</v>
      </c>
      <c r="D2952" s="5" t="s">
        <v>2650</v>
      </c>
      <c r="E2952" s="1" t="str">
        <f ca="1">IFERROR(__xludf.DUMMYFUNCTION("GOOGLETRANSLATE(D2952, ""bn"", ""en"")")," All Bhowmik and Pal families in the area between Amishapara and Satgharia were burnt to ashes. Muslims killed 19 members of these two families. Women of the house are dishonoured.")</f>
        <v> All Bhowmik and Pal families in the area between Amishapara and Satgharia were burnt to ashes. Muslims killed 19 members of these two families. Women of the house are dishonoured.</v>
      </c>
      <c r="F2952" s="1"/>
      <c r="G2952" s="1"/>
      <c r="H2952" s="1"/>
      <c r="I2952" s="1"/>
    </row>
    <row r="2953" spans="1:9" ht="15.6" x14ac:dyDescent="0.3">
      <c r="A2953" s="1" t="s">
        <v>7</v>
      </c>
      <c r="B2953" s="1" t="s">
        <v>7</v>
      </c>
      <c r="C2953" s="10" t="s">
        <v>7</v>
      </c>
      <c r="D2953" s="5" t="s">
        <v>2651</v>
      </c>
      <c r="E2953" s="1" t="str">
        <f ca="1">IFERROR(__xludf.DUMMYFUNCTION("GOOGLETRANSLATE(D2953, ""bn"", ""en"")"),"From July 2023 to June 2024, 1 thousand 45 incidents of communal violence-torture-persecution took place in one year. Among the incidents, 45 were homicides.")</f>
        <v>From July 2023 to June 2024, 1 thousand 45 incidents of communal violence-torture-persecution took place in one year. Among the incidents, 45 were homicides.</v>
      </c>
      <c r="F2953" s="1"/>
      <c r="G2953" s="1"/>
      <c r="H2953" s="1"/>
      <c r="I2953" s="1"/>
    </row>
    <row r="2954" spans="1:9" ht="46.8" x14ac:dyDescent="0.3">
      <c r="A2954" s="1" t="s">
        <v>7</v>
      </c>
      <c r="B2954" s="1" t="s">
        <v>7</v>
      </c>
      <c r="C2954" s="10" t="s">
        <v>7</v>
      </c>
      <c r="D2954" s="6" t="s">
        <v>3722</v>
      </c>
      <c r="E2954" s="1" t="str">
        <f ca="1">IFERROR(__xludf.DUMMYFUNCTION("GOOGLETRANSLATE(D2954, ""bn"", ""en"")"),"Many Hindus left Kashmir and took refuge in other states as refugees. In many cases passengers traveling in buses and trains were brutally shot dead. The 1998 Wandhama massacre is one such example. In this incident, 24 Kashmiri Hindus were killed by Musli"&amp;"m militants disguised as Indian soldiers. The attack on Amarnath temple is another example of atrocities on Hindus.")</f>
        <v>Many Hindus left Kashmir and took refuge in other states as refugees. In many cases passengers traveling in buses and trains were brutally shot dead. The 1998 Wandhama massacre is one such example. In this incident, 24 Kashmiri Hindus were killed by Muslim militants disguised as Indian soldiers. The attack on Amarnath temple is another example of atrocities on Hindus.</v>
      </c>
      <c r="F2954" s="1"/>
      <c r="G2954" s="1"/>
      <c r="H2954" s="1"/>
      <c r="I2954" s="1"/>
    </row>
    <row r="2955" spans="1:9" ht="15.6" x14ac:dyDescent="0.3">
      <c r="A2955" s="1" t="s">
        <v>5</v>
      </c>
      <c r="B2955" s="1" t="s">
        <v>5</v>
      </c>
      <c r="C2955" s="10" t="s">
        <v>5</v>
      </c>
      <c r="D2955" s="5" t="s">
        <v>2652</v>
      </c>
      <c r="E2955" s="1" t="str">
        <f ca="1">IFERROR(__xludf.DUMMYFUNCTION("GOOGLETRANSLATE(D2955, ""bn"", ""en"")"),"Allah says that He Himself has created divisions among the human race, but peace and love should be maintained between them, regardless of the difference of religion.")</f>
        <v>Allah says that He Himself has created divisions among the human race, but peace and love should be maintained between them, regardless of the difference of religion.</v>
      </c>
      <c r="F2955" s="1"/>
      <c r="G2955" s="1"/>
      <c r="H2955" s="1"/>
      <c r="I2955" s="1"/>
    </row>
    <row r="2956" spans="1:9" ht="15.6" x14ac:dyDescent="0.3">
      <c r="A2956" s="1" t="s">
        <v>9</v>
      </c>
      <c r="B2956" s="1" t="s">
        <v>4</v>
      </c>
      <c r="C2956" s="10" t="s">
        <v>9</v>
      </c>
      <c r="D2956" s="5" t="s">
        <v>2653</v>
      </c>
      <c r="E2956" s="1" t="str">
        <f ca="1">IFERROR(__xludf.DUMMYFUNCTION("GOOGLETRANSLATE(D2956, ""bn"", ""en"")"),"The attacks were considered communal violence and characterized as communal conflict between the Hindu and Muslim communities. However, with the rise of Hindu-nationalism following the demolition of the Babri Masjid, the attacks became more systematic.")</f>
        <v>The attacks were considered communal violence and characterized as communal conflict between the Hindu and Muslim communities. However, with the rise of Hindu-nationalism following the demolition of the Babri Masjid, the attacks became more systematic.</v>
      </c>
      <c r="F2956" s="1"/>
      <c r="G2956" s="1"/>
      <c r="H2956" s="1"/>
      <c r="I2956" s="1"/>
    </row>
    <row r="2957" spans="1:9" ht="15.6" x14ac:dyDescent="0.3">
      <c r="A2957" s="1" t="s">
        <v>7</v>
      </c>
      <c r="B2957" s="1" t="s">
        <v>7</v>
      </c>
      <c r="C2957" s="10" t="s">
        <v>7</v>
      </c>
      <c r="D2957" s="5" t="s">
        <v>2654</v>
      </c>
      <c r="E2957" s="1" t="str">
        <f ca="1">IFERROR(__xludf.DUMMYFUNCTION("GOOGLETRANSLATE(D2957, ""bn"", ""en"")"),"A curfew was imposed on Monday when the situation turned serious there. But later it was withdrawn for some time. But as soon as the body of a 24-year-old Muslim youth was found, curfew was imposed again.")</f>
        <v>A curfew was imposed on Monday when the situation turned serious there. But later it was withdrawn for some time. But as soon as the body of a 24-year-old Muslim youth was found, curfew was imposed again.</v>
      </c>
      <c r="F2957" s="1"/>
      <c r="G2957" s="1"/>
      <c r="H2957" s="1"/>
      <c r="I2957" s="1"/>
    </row>
    <row r="2958" spans="1:9" ht="15.6" x14ac:dyDescent="0.3">
      <c r="A2958" s="1" t="s">
        <v>4</v>
      </c>
      <c r="B2958" s="1" t="s">
        <v>4</v>
      </c>
      <c r="C2958" s="10" t="s">
        <v>4</v>
      </c>
      <c r="D2958" s="5" t="s">
        <v>2655</v>
      </c>
      <c r="E2958" s="1" t="str">
        <f ca="1">IFERROR(__xludf.DUMMYFUNCTION("GOOGLETRANSLATE(D2958, ""bn"", ""en"")"),"As a Muslim, if you continue to tolerate it silently, then there may be a difficult decision ahead when you can no longer protest even if you want to.")</f>
        <v>As a Muslim, if you continue to tolerate it silently, then there may be a difficult decision ahead when you can no longer protest even if you want to.</v>
      </c>
      <c r="F2958" s="1"/>
      <c r="G2958" s="1"/>
      <c r="H2958" s="1"/>
      <c r="I2958" s="1"/>
    </row>
    <row r="2959" spans="1:9" ht="15.6" x14ac:dyDescent="0.3">
      <c r="A2959" s="1" t="s">
        <v>9</v>
      </c>
      <c r="B2959" s="1" t="s">
        <v>9</v>
      </c>
      <c r="C2959" s="10" t="s">
        <v>9</v>
      </c>
      <c r="D2959" s="5" t="s">
        <v>2656</v>
      </c>
      <c r="E2959" s="1" t="str">
        <f ca="1">IFERROR(__xludf.DUMMYFUNCTION("GOOGLETRANSLATE(D2959, ""bn"", ""en"")"),"Another temple in Ekhlaspur was vandalized and an idol was vandalized.[37] An ISKCON temple in Noakhali district was attacked on Friday, October 15 by a Tawhidi mob. ISKCON member Partha Das was brutally murdered by over 200 people. His body was found in "&amp;"a pond next to the temple.[41][42][43] Muslim fanatics attacked Ram Tagore's Samadhi Ashram in Noakhali and destroyed it.")</f>
        <v>Another temple in Ekhlaspur was vandalized and an idol was vandalized.[37] An ISKCON temple in Noakhali district was attacked on Friday, October 15 by a Tawhidi mob. ISKCON member Partha Das was brutally murdered by over 200 people. His body was found in a pond next to the temple.[41][42][43] Muslim fanatics attacked Ram Tagore's Samadhi Ashram in Noakhali and destroyed it.</v>
      </c>
      <c r="F2959" s="1"/>
      <c r="G2959" s="1"/>
      <c r="H2959" s="1"/>
      <c r="I2959" s="1"/>
    </row>
    <row r="2960" spans="1:9" ht="15.6" x14ac:dyDescent="0.3">
      <c r="A2960" s="1" t="s">
        <v>4</v>
      </c>
      <c r="B2960" s="1" t="s">
        <v>5</v>
      </c>
      <c r="C2960" s="10" t="s">
        <v>4</v>
      </c>
      <c r="D2960" s="5" t="s">
        <v>2657</v>
      </c>
      <c r="E2960" s="1" t="str">
        <f ca="1">IFERROR(__xludf.DUMMYFUNCTION("GOOGLETRANSLATE(D2960, ""bn"", ""en"")"),"Why are we misusing religion? Islam is not such a small religion.")</f>
        <v>Why are we misusing religion? Islam is not such a small religion.</v>
      </c>
      <c r="F2960" s="1"/>
      <c r="G2960" s="1"/>
      <c r="H2960" s="1"/>
      <c r="I2960" s="1"/>
    </row>
    <row r="2961" spans="1:9" ht="46.8" x14ac:dyDescent="0.3">
      <c r="A2961" s="1" t="s">
        <v>7</v>
      </c>
      <c r="B2961" s="1" t="s">
        <v>7</v>
      </c>
      <c r="C2961" s="10" t="s">
        <v>7</v>
      </c>
      <c r="D2961" s="6" t="s">
        <v>3721</v>
      </c>
      <c r="E2961" s="1" t="str">
        <f ca="1">IFERROR(__xludf.DUMMYFUNCTION("GOOGLETRANSLATE(D2961, ""bn"", ""en"")"),"Hundreds of people gathered at Crocus City Hall in the Krasnogorsk region north of Moscow on Friday (March 22) evening, Reuters reported. However, just a few minutes before the start of the song, some armed men entered the theater and started firing indis"&amp;"criminately. It is reported that 133 people have died in this incident. Besides, about 150 people were injured.")</f>
        <v>Hundreds of people gathered at Crocus City Hall in the Krasnogorsk region north of Moscow on Friday (March 22) evening, Reuters reported. However, just a few minutes before the start of the song, some armed men entered the theater and started firing indiscriminately. It is reported that 133 people have died in this incident. Besides, about 150 people were injured.</v>
      </c>
      <c r="F2961" s="1"/>
      <c r="G2961" s="1"/>
      <c r="H2961" s="1"/>
      <c r="I2961" s="1"/>
    </row>
    <row r="2962" spans="1:9" ht="15.6" x14ac:dyDescent="0.3">
      <c r="A2962" s="1" t="s">
        <v>9</v>
      </c>
      <c r="B2962" s="1" t="s">
        <v>9</v>
      </c>
      <c r="C2962" s="10" t="s">
        <v>9</v>
      </c>
      <c r="D2962" s="5" t="s">
        <v>2658</v>
      </c>
      <c r="E2962" s="1" t="str">
        <f ca="1">IFERROR(__xludf.DUMMYFUNCTION("GOOGLETRANSLATE(D2962, ""bn"", ""en"")"),"He will observe his religion or religious ceremony. But attacks on Muslims' iftar party, blocked in Tarabi. What does that mean?")</f>
        <v>He will observe his religion or religious ceremony. But attacks on Muslims' iftar party, blocked in Tarabi. What does that mean?</v>
      </c>
      <c r="F2962" s="1"/>
      <c r="G2962" s="1"/>
      <c r="H2962" s="1"/>
      <c r="I2962" s="1"/>
    </row>
    <row r="2963" spans="1:9" ht="15.6" x14ac:dyDescent="0.3">
      <c r="A2963" s="1" t="s">
        <v>4</v>
      </c>
      <c r="B2963" s="1" t="s">
        <v>4</v>
      </c>
      <c r="C2963" s="10" t="s">
        <v>4</v>
      </c>
      <c r="D2963" s="5" t="s">
        <v>1470</v>
      </c>
      <c r="E2963" s="1" t="str">
        <f ca="1">IFERROR(__xludf.DUMMYFUNCTION("GOOGLETRANSLATE(D2963, ""bn"", ""en"")"),"Let this Kulangar be severely punished, our Prophet is the last Prophet, I am the Ummah of that Prophet, about my beloved Prophet and about Islam, whoever speaks bad things like this Kulangar will be brought under the law and given severe punishment.")</f>
        <v>Let this Kulangar be severely punished, our Prophet is the last Prophet, I am the Ummah of that Prophet, about my beloved Prophet and about Islam, whoever speaks bad things like this Kulangar will be brought under the law and given severe punishment.</v>
      </c>
      <c r="F2963" s="1"/>
      <c r="G2963" s="1"/>
      <c r="H2963" s="1"/>
      <c r="I2963" s="1"/>
    </row>
    <row r="2964" spans="1:9" ht="15.6" x14ac:dyDescent="0.3">
      <c r="A2964" s="1" t="s">
        <v>9</v>
      </c>
      <c r="B2964" s="1" t="s">
        <v>9</v>
      </c>
      <c r="C2964" s="10" t="s">
        <v>9</v>
      </c>
      <c r="D2964" s="5" t="s">
        <v>2659</v>
      </c>
      <c r="E2964" s="1" t="str">
        <f ca="1">IFERROR(__xludf.DUMMYFUNCTION("GOOGLETRANSLATE(D2964, ""bn"", ""en"")"),"As rumors spread across the country, the Quran has been insulted by keeping the Quran in the Jamandap, the Muslim fanatics started attacking the places of worship and the people of the Hindu community, temples, businesses and houses in different parts of "&amp;"the country. ")</f>
        <v>As rumors spread across the country, the Quran has been insulted by keeping the Quran in the Jamandap, the Muslim fanatics started attacking the places of worship and the people of the Hindu community, temples, businesses and houses in different parts of the country. </v>
      </c>
      <c r="F2964" s="1"/>
      <c r="G2964" s="1"/>
      <c r="H2964" s="1"/>
      <c r="I2964" s="1"/>
    </row>
    <row r="2965" spans="1:9" ht="15.6" x14ac:dyDescent="0.3">
      <c r="A2965" s="1" t="s">
        <v>5</v>
      </c>
      <c r="B2965" s="1" t="s">
        <v>5</v>
      </c>
      <c r="C2965" s="10" t="s">
        <v>5</v>
      </c>
      <c r="D2965" s="5" t="s">
        <v>2660</v>
      </c>
      <c r="E2965" s="1" t="str">
        <f ca="1">IFERROR(__xludf.DUMMYFUNCTION("GOOGLETRANSLATE(D2965, ""bn"", ""en"")"),"I can't explain, this video broke my heart. By Allah, nothing can be more beautiful than this.")</f>
        <v>I can't explain, this video broke my heart. By Allah, nothing can be more beautiful than this.</v>
      </c>
      <c r="F2965" s="1"/>
      <c r="G2965" s="1"/>
      <c r="H2965" s="1"/>
      <c r="I2965" s="1"/>
    </row>
    <row r="2966" spans="1:9" ht="15.6" x14ac:dyDescent="0.3">
      <c r="A2966" s="1" t="s">
        <v>9</v>
      </c>
      <c r="B2966" s="1" t="s">
        <v>9</v>
      </c>
      <c r="C2966" s="10" t="s">
        <v>9</v>
      </c>
      <c r="D2966" s="5" t="s">
        <v>2661</v>
      </c>
      <c r="E2966" s="1" t="str">
        <f ca="1">IFERROR(__xludf.DUMMYFUNCTION("GOOGLETRANSLATE(D2966, ""bn"", ""en"")"),"In the name of religion, we insult our subjective human standards by perverting moral and social norms and implementing broken morals.")</f>
        <v>In the name of religion, we insult our subjective human standards by perverting moral and social norms and implementing broken morals.</v>
      </c>
      <c r="F2966" s="1"/>
      <c r="G2966" s="1"/>
      <c r="H2966" s="1"/>
      <c r="I2966" s="1"/>
    </row>
    <row r="2967" spans="1:9" ht="15.6" x14ac:dyDescent="0.3">
      <c r="A2967" s="1" t="s">
        <v>4</v>
      </c>
      <c r="B2967" s="1" t="s">
        <v>4</v>
      </c>
      <c r="C2967" s="10" t="s">
        <v>4</v>
      </c>
      <c r="D2967" s="5" t="s">
        <v>2662</v>
      </c>
      <c r="E2967" s="1" t="str">
        <f ca="1">IFERROR(__xludf.DUMMYFUNCTION("GOOGLETRANSLATE(D2967, ""bn"", ""en"")"),"It is the religious and moral duty of every Bangladeshi to boycott and boycott Indian products, even though our grandparents openly abuse us.")</f>
        <v>It is the religious and moral duty of every Bangladeshi to boycott and boycott Indian products, even though our grandparents openly abuse us.</v>
      </c>
      <c r="F2967" s="1"/>
      <c r="G2967" s="1"/>
      <c r="H2967" s="1"/>
      <c r="I2967" s="1"/>
    </row>
    <row r="2968" spans="1:9" ht="15.6" x14ac:dyDescent="0.3">
      <c r="A2968" s="1" t="s">
        <v>9</v>
      </c>
      <c r="B2968" s="1" t="s">
        <v>9</v>
      </c>
      <c r="C2968" s="10" t="s">
        <v>9</v>
      </c>
      <c r="D2968" s="5" t="s">
        <v>2663</v>
      </c>
      <c r="E2968" s="1" t="str">
        <f ca="1">IFERROR(__xludf.DUMMYFUNCTION("GOOGLETRANSLATE(D2968, ""bn"", ""en"")"),"The wholesale destruction of Buddhist structures by Brahmins hastened the eradication of Buddhism from India.")</f>
        <v>The wholesale destruction of Buddhist structures by Brahmins hastened the eradication of Buddhism from India.</v>
      </c>
      <c r="F2968" s="1"/>
      <c r="G2968" s="1"/>
      <c r="H2968" s="1"/>
      <c r="I2968" s="1"/>
    </row>
    <row r="2969" spans="1:9" ht="15.6" x14ac:dyDescent="0.3">
      <c r="A2969" s="1" t="s">
        <v>7</v>
      </c>
      <c r="B2969" s="1" t="s">
        <v>7</v>
      </c>
      <c r="C2969" s="10" t="s">
        <v>7</v>
      </c>
      <c r="D2969" s="5" t="s">
        <v>2664</v>
      </c>
      <c r="E2969" s="1" t="str">
        <f ca="1">IFERROR(__xludf.DUMMYFUNCTION("GOOGLETRANSLATE(D2969, ""bn"", ""en"")"),"Islamic extremists attacked and killed 12 people after French cartoon magazine 'Charlie Hebdo' published caricatures of the Prophet of Islam, sparking religious tensions in the country.")</f>
        <v>Islamic extremists attacked and killed 12 people after French cartoon magazine 'Charlie Hebdo' published caricatures of the Prophet of Islam, sparking religious tensions in the country.</v>
      </c>
      <c r="F2969" s="1"/>
      <c r="G2969" s="1"/>
      <c r="H2969" s="1"/>
      <c r="I2969" s="1"/>
    </row>
    <row r="2970" spans="1:9" ht="15.6" x14ac:dyDescent="0.3">
      <c r="A2970" s="1" t="s">
        <v>9</v>
      </c>
      <c r="B2970" s="1" t="s">
        <v>5</v>
      </c>
      <c r="C2970" s="10" t="s">
        <v>9</v>
      </c>
      <c r="D2970" s="5" t="s">
        <v>2665</v>
      </c>
      <c r="E2970" s="1" t="str">
        <f ca="1">IFERROR(__xludf.DUMMYFUNCTION("GOOGLETRANSLATE(D2970, ""bn"", ""en"")"),"Threats to bomb and blow up the pujamandap if the drums are played")</f>
        <v>Threats to bomb and blow up the pujamandap if the drums are played</v>
      </c>
      <c r="F2970" s="1"/>
      <c r="G2970" s="1"/>
      <c r="H2970" s="1"/>
      <c r="I2970" s="1"/>
    </row>
    <row r="2971" spans="1:9" ht="15.6" x14ac:dyDescent="0.3">
      <c r="A2971" s="1" t="s">
        <v>9</v>
      </c>
      <c r="B2971" s="1" t="s">
        <v>5</v>
      </c>
      <c r="C2971" s="10" t="s">
        <v>9</v>
      </c>
      <c r="D2971" s="5" t="s">
        <v>2666</v>
      </c>
      <c r="E2971" s="1" t="str">
        <f ca="1">IFERROR(__xludf.DUMMYFUNCTION("GOOGLETRANSLATE(D2971, ""bn"", ""en"")"),"As a result, another wave of Bengali-Hindu refugees hit West Bengal in India. These asylum-seeking persecuted Hindu refugees emerged as India's national problem. The Government of India arranged for the rehabilitation of these oppressed Hindus of East Ben"&amp;"gal in the penitentiary of Madhya Pradesh.")</f>
        <v>As a result, another wave of Bengali-Hindu refugees hit West Bengal in India. These asylum-seeking persecuted Hindu refugees emerged as India's national problem. The Government of India arranged for the rehabilitation of these oppressed Hindus of East Bengal in the penitentiary of Madhya Pradesh.</v>
      </c>
      <c r="F2971" s="1"/>
      <c r="G2971" s="1"/>
      <c r="H2971" s="1"/>
      <c r="I2971" s="1"/>
    </row>
    <row r="2972" spans="1:9" ht="15.6" x14ac:dyDescent="0.3">
      <c r="A2972" s="1" t="s">
        <v>5</v>
      </c>
      <c r="B2972" s="1" t="s">
        <v>5</v>
      </c>
      <c r="C2972" s="10" t="s">
        <v>5</v>
      </c>
      <c r="D2972" s="5" t="s">
        <v>2667</v>
      </c>
      <c r="E2972" s="1" t="str">
        <f ca="1">IFERROR(__xludf.DUMMYFUNCTION("GOOGLETRANSLATE(D2972, ""bn"", ""en"")"),"It is hoped that Ustad Noman Ali's generation will gradually replace our orthodox scholars. Seeing that the youth of Bangladesh like it, listening to his lectures, dubbing them and spreading them to the true lovers of Islam. May Allah accept this effort.")</f>
        <v>It is hoped that Ustad Noman Ali's generation will gradually replace our orthodox scholars. Seeing that the youth of Bangladesh like it, listening to his lectures, dubbing them and spreading them to the true lovers of Islam. May Allah accept this effort.</v>
      </c>
      <c r="F2972" s="1"/>
      <c r="G2972" s="1"/>
      <c r="H2972" s="1"/>
      <c r="I2972" s="1"/>
    </row>
    <row r="2973" spans="1:9" ht="15.6" x14ac:dyDescent="0.3">
      <c r="A2973" s="1" t="s">
        <v>4</v>
      </c>
      <c r="B2973" s="1" t="s">
        <v>4</v>
      </c>
      <c r="C2973" s="10" t="s">
        <v>4</v>
      </c>
      <c r="D2973" s="5" t="s">
        <v>2668</v>
      </c>
      <c r="E2973" s="1" t="str">
        <f ca="1">IFERROR(__xludf.DUMMYFUNCTION("GOOGLETRANSLATE(D2973, ""bn"", ""en"")"),"And whoever, after receiving guidance, disobeys the Messenger and follows a path contrary to the path of the believers, I will turn him back to where he turned and enter him into Hell. And as an abode it is very bad.")</f>
        <v>And whoever, after receiving guidance, disobeys the Messenger and follows a path contrary to the path of the believers, I will turn him back to where he turned and enter him into Hell. And as an abode it is very bad.</v>
      </c>
      <c r="F2973" s="1"/>
      <c r="G2973" s="1"/>
      <c r="H2973" s="1"/>
      <c r="I2973" s="1"/>
    </row>
    <row r="2974" spans="1:9" ht="15.6" x14ac:dyDescent="0.3">
      <c r="A2974" s="1" t="s">
        <v>4</v>
      </c>
      <c r="B2974" s="1" t="s">
        <v>5</v>
      </c>
      <c r="C2974" s="10" t="s">
        <v>4</v>
      </c>
      <c r="D2974" s="5" t="s">
        <v>2669</v>
      </c>
      <c r="E2974" s="1" t="str">
        <f ca="1">IFERROR(__xludf.DUMMYFUNCTION("GOOGLETRANSLATE(D2974, ""bn"", ""en"")"),"Religion is gradually being removed from the education system and replaced by subjects that appeal to the success of materialism.")</f>
        <v>Religion is gradually being removed from the education system and replaced by subjects that appeal to the success of materialism.</v>
      </c>
      <c r="F2974" s="1"/>
      <c r="G2974" s="1"/>
      <c r="H2974" s="1"/>
      <c r="I2974" s="1"/>
    </row>
    <row r="2975" spans="1:9" ht="15.6" x14ac:dyDescent="0.3">
      <c r="A2975" s="1" t="s">
        <v>9</v>
      </c>
      <c r="B2975" s="1" t="s">
        <v>9</v>
      </c>
      <c r="C2975" s="10" t="s">
        <v>9</v>
      </c>
      <c r="D2975" s="5" t="s">
        <v>2670</v>
      </c>
      <c r="E2975" s="1" t="str">
        <f ca="1">IFERROR(__xludf.DUMMYFUNCTION("GOOGLETRANSLATE(D2975, ""bn"", ""en"")"),"The anti-Hindu violence in Bangladesh in the 1990s was a Hindu killing campaign by the Muslim population of Bangladesh fueled by rumors of the demolition of the Babri Masjid.[2] The incident began in 1990 and continued until 1993. In 1990 and 1992, the na"&amp;"tional temple of Bangladesh, Dhakeshwari Temple, was attacked.")</f>
        <v>The anti-Hindu violence in Bangladesh in the 1990s was a Hindu killing campaign by the Muslim population of Bangladesh fueled by rumors of the demolition of the Babri Masjid.[2] The incident began in 1990 and continued until 1993. In 1990 and 1992, the national temple of Bangladesh, Dhakeshwari Temple, was attacked.</v>
      </c>
      <c r="F2975" s="1"/>
      <c r="G2975" s="1"/>
      <c r="H2975" s="1"/>
      <c r="I2975" s="1"/>
    </row>
    <row r="2976" spans="1:9" ht="15.6" x14ac:dyDescent="0.3">
      <c r="A2976" s="1" t="s">
        <v>7</v>
      </c>
      <c r="B2976" s="1" t="s">
        <v>7</v>
      </c>
      <c r="C2976" s="10" t="s">
        <v>7</v>
      </c>
      <c r="D2976" s="5" t="s">
        <v>2671</v>
      </c>
      <c r="E2976" s="1" t="str">
        <f ca="1">IFERROR(__xludf.DUMMYFUNCTION("GOOGLETRANSLATE(D2976, ""bn"", ""en"")"),"Six million Jews were killed by Nazi forces during the Holocaust, one of the most horrific acts of religious hatred in history.")</f>
        <v>Six million Jews were killed by Nazi forces during the Holocaust, one of the most horrific acts of religious hatred in history.</v>
      </c>
      <c r="F2976" s="1"/>
      <c r="G2976" s="1"/>
      <c r="H2976" s="1"/>
      <c r="I2976" s="1"/>
    </row>
    <row r="2977" spans="1:9" ht="15.6" x14ac:dyDescent="0.3">
      <c r="A2977" s="1" t="s">
        <v>5</v>
      </c>
      <c r="B2977" s="1" t="s">
        <v>5</v>
      </c>
      <c r="C2977" s="10" t="s">
        <v>5</v>
      </c>
      <c r="D2977" s="5" t="s">
        <v>2672</v>
      </c>
      <c r="E2977" s="1" t="str">
        <f ca="1">IFERROR(__xludf.DUMMYFUNCTION("GOOGLETRANSLATE(D2977, ""bn"", ""en"")"),"A mosque is not being built anywhere in the temple. Rather, the reconstruction of the mosque is underway on the land of the 75-year-old mosque established in 1949. Which is half a kilometer east of the Kantnagar temple, not only in the village but also in"&amp;" the entire Kantnagar Mauza there is no Hindu citizen.")</f>
        <v>A mosque is not being built anywhere in the temple. Rather, the reconstruction of the mosque is underway on the land of the 75-year-old mosque established in 1949. Which is half a kilometer east of the Kantnagar temple, not only in the village but also in the entire Kantnagar Mauza there is no Hindu citizen.</v>
      </c>
      <c r="F2977" s="1"/>
      <c r="G2977" s="1"/>
      <c r="H2977" s="1"/>
      <c r="I2977" s="1"/>
    </row>
    <row r="2978" spans="1:9" ht="15.6" x14ac:dyDescent="0.3">
      <c r="A2978" s="1" t="s">
        <v>9</v>
      </c>
      <c r="B2978" s="1" t="s">
        <v>7</v>
      </c>
      <c r="C2978" s="10" t="s">
        <v>9</v>
      </c>
      <c r="D2978" s="5" t="s">
        <v>2673</v>
      </c>
      <c r="E2978" s="1" t="str">
        <f ca="1">IFERROR(__xludf.DUMMYFUNCTION("GOOGLETRANSLATE(D2978, ""bn"", ""en"")"),"Chandni Chowk Bazaar on Dharmatala Street looted by Muslims.")</f>
        <v>Chandni Chowk Bazaar on Dharmatala Street looted by Muslims.</v>
      </c>
      <c r="F2978" s="1"/>
      <c r="G2978" s="1"/>
      <c r="H2978" s="1"/>
      <c r="I2978" s="1"/>
    </row>
    <row r="2979" spans="1:9" ht="15" customHeight="1" x14ac:dyDescent="0.3">
      <c r="A2979" s="4" t="s">
        <v>7</v>
      </c>
      <c r="B2979" s="4" t="s">
        <v>7</v>
      </c>
      <c r="C2979" s="11" t="s">
        <v>7</v>
      </c>
      <c r="D2979" s="5" t="s">
        <v>2674</v>
      </c>
      <c r="E2979" s="1" t="str">
        <f ca="1">IFERROR(__xludf.DUMMYFUNCTION("GOOGLETRANSLATE(D2979, ""bn"", ""en"")"),"In 1561, the Huguenots of Toulouse marched through the streets to show their solidarity with Protestant ideas. A few days later, the Catholics found some of the leaders of the procession, beat them and burned them at the stake. ")</f>
        <v xml:space="preserve">In 1561, the Huguenots of Toulouse marched through the streets to show their solidarity with Protestant ideas. A few days later, the Catholics found some of the leaders of the procession, beat them and burned them at the stake. </v>
      </c>
      <c r="F2979" s="1"/>
      <c r="G2979" s="1"/>
      <c r="H2979" s="1"/>
      <c r="I2979" s="1"/>
    </row>
    <row r="2980" spans="1:9" ht="15.6" x14ac:dyDescent="0.3">
      <c r="A2980" s="1" t="s">
        <v>4</v>
      </c>
      <c r="B2980" s="1" t="s">
        <v>5</v>
      </c>
      <c r="C2980" s="10" t="s">
        <v>4</v>
      </c>
      <c r="D2980" s="5" t="s">
        <v>2675</v>
      </c>
      <c r="E2980" s="1" t="str">
        <f ca="1">IFERROR(__xludf.DUMMYFUNCTION("GOOGLETRANSLATE(D2980, ""bn"", ""en"")"),"Local Hindu culture deviates from some fundamental aspects of Hinduism. The environment of Trinidad brought about some changes in the religious practice of the Hindu community and the Hindu religion here became known as ""Trinidad Hinduism"". But despite "&amp;"this compromise, the majority of Christians often disagree on some aspects of Hindu culture.")</f>
        <v>Local Hindu culture deviates from some fundamental aspects of Hinduism. The environment of Trinidad brought about some changes in the religious practice of the Hindu community and the Hindu religion here became known as "Trinidad Hinduism". But despite this compromise, the majority of Christians often disagree on some aspects of Hindu culture.</v>
      </c>
      <c r="F2980" s="1"/>
      <c r="G2980" s="1"/>
      <c r="H2980" s="1"/>
      <c r="I2980" s="1"/>
    </row>
    <row r="2981" spans="1:9" ht="15.6" x14ac:dyDescent="0.3">
      <c r="A2981" s="1" t="s">
        <v>5</v>
      </c>
      <c r="B2981" s="1" t="s">
        <v>5</v>
      </c>
      <c r="C2981" s="10" t="s">
        <v>5</v>
      </c>
      <c r="D2981" s="5" t="s">
        <v>2676</v>
      </c>
      <c r="E2981" s="1" t="str">
        <f ca="1">IFERROR(__xludf.DUMMYFUNCTION("GOOGLETRANSLATE(D2981, ""bn"", ""en"")"),"At that time there was a misconception about Muslims, where they were looked upon with distrust. Many people thought that all Muslims are criminals. In front of us, some Buddhist brothers said, 'That day everyone was together, there was no division, every"&amp;"one became like each other.'")</f>
        <v>At that time there was a misconception about Muslims, where they were looked upon with distrust. Many people thought that all Muslims are criminals. In front of us, some Buddhist brothers said, 'That day everyone was together, there was no division, everyone became like each other.'</v>
      </c>
      <c r="F2981" s="1"/>
      <c r="G2981" s="1"/>
      <c r="H2981" s="1"/>
      <c r="I2981" s="1"/>
    </row>
    <row r="2982" spans="1:9" ht="15.6" x14ac:dyDescent="0.3">
      <c r="A2982" s="1" t="s">
        <v>7</v>
      </c>
      <c r="B2982" s="1" t="s">
        <v>5</v>
      </c>
      <c r="C2982" s="10" t="s">
        <v>7</v>
      </c>
      <c r="D2982" s="5" t="s">
        <v>2677</v>
      </c>
      <c r="E2982" s="1" t="str">
        <f ca="1">IFERROR(__xludf.DUMMYFUNCTION("GOOGLETRANSLATE(D2982, ""bn"", ""en"")"),"Then Allah Ta'ala said, Look at the injuries of those who died in the plague. If they have injuries similar to those of the martyrs, they will receive the status of martyrs. Then it will be seen that the wounds of those who die in epidemics are like the w"&amp;"ounds of martyrs. As a result, they will be given the status of martyrs")</f>
        <v>Then Allah Ta'ala said, Look at the injuries of those who died in the plague. If they have injuries similar to those of the martyrs, they will receive the status of martyrs. Then it will be seen that the wounds of those who die in epidemics are like the wounds of martyrs. As a result, they will be given the status of martyrs</v>
      </c>
      <c r="F2982" s="1"/>
      <c r="G2982" s="1"/>
      <c r="H2982" s="1"/>
      <c r="I2982" s="1"/>
    </row>
    <row r="2983" spans="1:9" ht="15.6" x14ac:dyDescent="0.3">
      <c r="A2983" s="1" t="s">
        <v>5</v>
      </c>
      <c r="B2983" s="1" t="s">
        <v>4</v>
      </c>
      <c r="C2983" s="10" t="s">
        <v>5</v>
      </c>
      <c r="D2983" s="5" t="s">
        <v>2678</v>
      </c>
      <c r="E2983" s="1" t="str">
        <f ca="1">IFERROR(__xludf.DUMMYFUNCTION("GOOGLETRANSLATE(D2983, ""bn"", ""en"")"),"Since the Gupta Empire, Indian religions have gradually developed into a fusion of various spiritual and philosophical trends, reflecting a diversity of spiritual practice and thought, and Buddhism has also been influenced by these trends.")</f>
        <v>Since the Gupta Empire, Indian religions have gradually developed into a fusion of various spiritual and philosophical trends, reflecting a diversity of spiritual practice and thought, and Buddhism has also been influenced by these trends.</v>
      </c>
      <c r="F2983" s="1"/>
      <c r="G2983" s="1"/>
      <c r="H2983" s="1"/>
      <c r="I2983" s="1"/>
    </row>
    <row r="2984" spans="1:9" ht="46.8" x14ac:dyDescent="0.3">
      <c r="A2984" s="4" t="s">
        <v>7</v>
      </c>
      <c r="B2984" s="4" t="s">
        <v>7</v>
      </c>
      <c r="C2984" s="11" t="s">
        <v>7</v>
      </c>
      <c r="D2984" s="6" t="s">
        <v>3720</v>
      </c>
      <c r="E2984" s="1" t="str">
        <f ca="1">IFERROR(__xludf.DUMMYFUNCTION("GOOGLETRANSLATE(D2984, ""bn"", ""en"")"),"Some of the worst riots occurred in Garmukteswar in the United Provinces, where a massacre took place in November 1946, where ""Hindu pilgrims attacked and dispossessed Muslims not only in the festival grounds but also in neighboring towns during the annu"&amp;"al religious fair"", claiming that the police were almost silent; The death toll is estimated to have been between one thousand and two thousand.")</f>
        <v>Some of the worst riots occurred in Garmukteswar in the United Provinces, where a massacre took place in November 1946, where "Hindu pilgrims attacked and dispossessed Muslims not only in the festival grounds but also in neighboring towns during the annual religious fair", claiming that the police were almost silent; The death toll is estimated to have been between one thousand and two thousand.</v>
      </c>
      <c r="F2984" s="1"/>
      <c r="G2984" s="1"/>
      <c r="H2984" s="1"/>
      <c r="I2984" s="1"/>
    </row>
    <row r="2985" spans="1:9" ht="15.6" x14ac:dyDescent="0.3">
      <c r="A2985" s="1" t="s">
        <v>5</v>
      </c>
      <c r="B2985" s="1" t="s">
        <v>5</v>
      </c>
      <c r="C2985" s="10" t="s">
        <v>5</v>
      </c>
      <c r="D2985" s="5" t="s">
        <v>2679</v>
      </c>
      <c r="E2985" s="1" t="str">
        <f ca="1">IFERROR(__xludf.DUMMYFUNCTION("GOOGLETRANSLATE(D2985, ""bn"", ""en"")"),"Guide my father, mother, brother, sister and all the believers. May everyone be a resident of paradise.")</f>
        <v>Guide my father, mother, brother, sister and all the believers. May everyone be a resident of paradise.</v>
      </c>
      <c r="F2985" s="1"/>
      <c r="G2985" s="1"/>
      <c r="H2985" s="1"/>
      <c r="I2985" s="1"/>
    </row>
    <row r="2986" spans="1:9" ht="15.6" x14ac:dyDescent="0.3">
      <c r="A2986" s="1" t="s">
        <v>4</v>
      </c>
      <c r="B2986" s="1" t="s">
        <v>4</v>
      </c>
      <c r="C2986" s="10" t="s">
        <v>4</v>
      </c>
      <c r="D2986" s="5" t="s">
        <v>2680</v>
      </c>
      <c r="E2986" s="1" t="str">
        <f ca="1">IFERROR(__xludf.DUMMYFUNCTION("GOOGLETRANSLATE(D2986, ""bn"", ""en"")"),"What is happening in the country, if these people are innocent, then the guilty should be beaten and burnt in the same way.")</f>
        <v>What is happening in the country, if these people are innocent, then the guilty should be beaten and burnt in the same way.</v>
      </c>
      <c r="F2986" s="1"/>
      <c r="G2986" s="1"/>
      <c r="H2986" s="1"/>
      <c r="I2986" s="1"/>
    </row>
    <row r="2987" spans="1:9" ht="15.6" x14ac:dyDescent="0.3">
      <c r="A2987" s="1" t="s">
        <v>4</v>
      </c>
      <c r="B2987" s="1" t="s">
        <v>5</v>
      </c>
      <c r="C2987" s="10" t="s">
        <v>4</v>
      </c>
      <c r="D2987" s="5" t="s">
        <v>2681</v>
      </c>
      <c r="E2987" s="1" t="str">
        <f ca="1">IFERROR(__xludf.DUMMYFUNCTION("GOOGLETRANSLATE(D2987, ""bn"", ""en"")"),"Hindus were aware of this. It would work in the end. For this reason, those who criticize Hinduism are our friends.")</f>
        <v>Hindus were aware of this. It would work in the end. For this reason, those who criticize Hinduism are our friends.</v>
      </c>
      <c r="F2987" s="1"/>
      <c r="G2987" s="1"/>
      <c r="H2987" s="1"/>
      <c r="I2987" s="1"/>
    </row>
    <row r="2988" spans="1:9" ht="15.6" x14ac:dyDescent="0.3">
      <c r="A2988" s="1" t="s">
        <v>9</v>
      </c>
      <c r="B2988" s="1" t="s">
        <v>9</v>
      </c>
      <c r="C2988" s="10" t="s">
        <v>9</v>
      </c>
      <c r="D2988" s="5" t="s">
        <v>2682</v>
      </c>
      <c r="E2988" s="1" t="str">
        <f ca="1">IFERROR(__xludf.DUMMYFUNCTION("GOOGLETRANSLATE(D2988, ""bn"", ""en"")"),"In 2016, during protests against the construction of a new mosque by the Muslim community in Greece, stones were thrown at the windows of the mosque and some worshipers were injured.")</f>
        <v>In 2016, during protests against the construction of a new mosque by the Muslim community in Greece, stones were thrown at the windows of the mosque and some worshipers were injured.</v>
      </c>
      <c r="F2988" s="1"/>
      <c r="G2988" s="1"/>
      <c r="H2988" s="1"/>
      <c r="I2988" s="1"/>
    </row>
    <row r="2989" spans="1:9" ht="46.8" x14ac:dyDescent="0.3">
      <c r="A2989" s="1" t="s">
        <v>9</v>
      </c>
      <c r="B2989" s="1" t="s">
        <v>9</v>
      </c>
      <c r="C2989" s="10" t="s">
        <v>9</v>
      </c>
      <c r="D2989" s="6" t="s">
        <v>3719</v>
      </c>
      <c r="E2989" s="1" t="str">
        <f ca="1">IFERROR(__xludf.DUMMYFUNCTION("GOOGLETRANSLATE(D2989, ""bn"", ""en"")")," As the police fired blanks to save the victims, the assailants fled, threatening as they left that they would return in droves. At around six in the evening, Jamati Islam and BNP workers with about twenty and fifty workers; Armed with sharp weapons, they"&amp;" attacked the Hindu-dominated village of Malayapara, where they ransacked about one hundred and thirty houses and set ten houses on fire.")</f>
        <v> As the police fired blanks to save the victims, the assailants fled, threatening as they left that they would return in droves. At around six in the evening, Jamati Islam and BNP workers with about twenty and fifty workers; Armed with sharp weapons, they attacked the Hindu-dominated village of Malayapara, where they ransacked about one hundred and thirty houses and set ten houses on fire.</v>
      </c>
      <c r="F2989" s="1"/>
      <c r="G2989" s="1"/>
      <c r="H2989" s="1"/>
      <c r="I2989" s="1"/>
    </row>
    <row r="2990" spans="1:9" ht="62.4" x14ac:dyDescent="0.3">
      <c r="A2990" s="1" t="s">
        <v>9</v>
      </c>
      <c r="B2990" s="1" t="s">
        <v>9</v>
      </c>
      <c r="C2990" s="10" t="s">
        <v>9</v>
      </c>
      <c r="D2990" s="6" t="s">
        <v>3718</v>
      </c>
      <c r="E2990" s="1" t="str">
        <f ca="1">IFERROR(__xludf.DUMMYFUNCTION("GOOGLETRANSLATE(D2990, ""bn"", ""en"")"),"The first attack was attempted. However, they could not enter at the top of the gate. They tried to attack again around 12:30. Goes loose for a while. After that at around 3 o'clock in the afternoon, they attacked with ladders, hammers and petrol and dest"&amp;"royed and burnt everything. The temple authorities said that calls from the police for a long time did not get help.")</f>
        <v>The first attack was attempted. However, they could not enter at the top of the gate. They tried to attack again around 12:30. Goes loose for a while. After that at around 3 o'clock in the afternoon, they attacked with ladders, hammers and petrol and destroyed and burnt everything. The temple authorities said that calls from the police for a long time did not get help.</v>
      </c>
      <c r="F2990" s="1"/>
      <c r="G2990" s="1"/>
      <c r="H2990" s="1"/>
      <c r="I2990" s="1"/>
    </row>
    <row r="2991" spans="1:9" ht="15.6" x14ac:dyDescent="0.3">
      <c r="A2991" s="1" t="s">
        <v>4</v>
      </c>
      <c r="B2991" s="1" t="s">
        <v>4</v>
      </c>
      <c r="C2991" s="10" t="s">
        <v>4</v>
      </c>
      <c r="D2991" s="5" t="s">
        <v>2683</v>
      </c>
      <c r="E2991" s="1" t="str">
        <f ca="1">IFERROR(__xludf.DUMMYFUNCTION("GOOGLETRANSLATE(D2991, ""bn"", ""en"")"),"The vulture flew away and came with a dead cow. The child said, ""Hey, you brought beef, where is the human meat?"" Then the vulture flew away, dropped the pork next to a mosque and the beef next to a temple!!")</f>
        <v>The vulture flew away and came with a dead cow. The child said, "Hey, you brought beef, where is the human meat?" Then the vulture flew away, dropped the pork next to a mosque and the beef next to a temple!!</v>
      </c>
      <c r="F2991" s="1"/>
      <c r="G2991" s="1"/>
      <c r="H2991" s="1"/>
      <c r="I2991" s="1"/>
    </row>
    <row r="2992" spans="1:9" ht="15.6" x14ac:dyDescent="0.3">
      <c r="A2992" s="1" t="s">
        <v>5</v>
      </c>
      <c r="B2992" s="1" t="s">
        <v>7</v>
      </c>
      <c r="C2992" s="10" t="s">
        <v>5</v>
      </c>
      <c r="D2992" s="5" t="s">
        <v>2684</v>
      </c>
      <c r="E2992" s="1" t="str">
        <f ca="1">IFERROR(__xludf.DUMMYFUNCTION("GOOGLETRANSLATE(D2992, ""bn"", ""en"")"),"Are there any other animals other than humans? Do you understand that the color of the blood of animals of different communities is different? Or the name of a new dress of civilization divided by a barbed wire fence like the earth's surface is ``communit"&amp;"y''!")</f>
        <v>Are there any other animals other than humans? Do you understand that the color of the blood of animals of different communities is different? Or the name of a new dress of civilization divided by a barbed wire fence like the earth's surface is ``community''!</v>
      </c>
      <c r="F2992" s="1"/>
      <c r="G2992" s="1"/>
      <c r="H2992" s="1"/>
      <c r="I2992" s="1"/>
    </row>
    <row r="2993" spans="1:9" ht="15.6" x14ac:dyDescent="0.3">
      <c r="A2993" s="1" t="s">
        <v>7</v>
      </c>
      <c r="B2993" s="1" t="s">
        <v>4</v>
      </c>
      <c r="C2993" s="10" t="s">
        <v>7</v>
      </c>
      <c r="D2993" s="5" t="s">
        <v>2685</v>
      </c>
      <c r="E2993" s="1" t="str">
        <f ca="1">IFERROR(__xludf.DUMMYFUNCTION("GOOGLETRANSLATE(D2993, ""bn"", ""en"")"),"The debate still arose about the respective responsibilities of Hindus and Muslims as two major communities, apart from the role of individual leaders in the killings.")</f>
        <v>The debate still arose about the respective responsibilities of Hindus and Muslims as two major communities, apart from the role of individual leaders in the killings.</v>
      </c>
      <c r="F2993" s="1"/>
      <c r="G2993" s="1"/>
      <c r="H2993" s="1"/>
      <c r="I2993" s="1"/>
    </row>
    <row r="2994" spans="1:9" ht="15.6" x14ac:dyDescent="0.3">
      <c r="A2994" s="1" t="s">
        <v>4</v>
      </c>
      <c r="B2994" s="1" t="s">
        <v>4</v>
      </c>
      <c r="C2994" s="10" t="s">
        <v>4</v>
      </c>
      <c r="D2994" s="5" t="s">
        <v>2686</v>
      </c>
      <c r="E2994" s="1" t="str">
        <f ca="1">IFERROR(__xludf.DUMMYFUNCTION("GOOGLETRANSLATE(D2994, ""bn"", ""en"")"),"Following the Hazratbal incident on January 2, 1964, Muslims prevented Hindus from wearing shoes, using umbrellas on their heads or riding in rickshaws.")</f>
        <v>Following the Hazratbal incident on January 2, 1964, Muslims prevented Hindus from wearing shoes, using umbrellas on their heads or riding in rickshaws.</v>
      </c>
      <c r="F2994" s="1"/>
      <c r="G2994" s="1"/>
      <c r="H2994" s="1"/>
      <c r="I2994" s="1"/>
    </row>
    <row r="2995" spans="1:9" ht="15.6" x14ac:dyDescent="0.3">
      <c r="A2995" s="1" t="s">
        <v>5</v>
      </c>
      <c r="B2995" s="1" t="s">
        <v>5</v>
      </c>
      <c r="C2995" s="10" t="s">
        <v>5</v>
      </c>
      <c r="D2995" s="5" t="s">
        <v>2687</v>
      </c>
      <c r="E2995" s="1" t="str">
        <f ca="1">IFERROR(__xludf.DUMMYFUNCTION("GOOGLETRANSLATE(D2995, ""bn"", ""en"")"),"If you are a Muslim, you must practice your religion properly. You can't be humiliated with your faith at the same time I stand beside all the victims of oppression and my sorrow is equal for all.")</f>
        <v>If you are a Muslim, you must practice your religion properly. You can't be humiliated with your faith at the same time I stand beside all the victims of oppression and my sorrow is equal for all.</v>
      </c>
      <c r="F2995" s="1"/>
      <c r="G2995" s="1"/>
      <c r="H2995" s="1"/>
      <c r="I2995" s="1"/>
    </row>
    <row r="2996" spans="1:9" ht="15.6" x14ac:dyDescent="0.3">
      <c r="A2996" s="1" t="s">
        <v>4</v>
      </c>
      <c r="B2996" s="1" t="s">
        <v>4</v>
      </c>
      <c r="C2996" s="10" t="s">
        <v>4</v>
      </c>
      <c r="D2996" s="5" t="s">
        <v>2688</v>
      </c>
      <c r="E2996" s="1" t="str">
        <f ca="1">IFERROR(__xludf.DUMMYFUNCTION("GOOGLETRANSLATE(D2996, ""bn"", ""en"")"),"Rohingya problem is not a problem of Buddhist or Muslim community, it is a state problem, but it is sad, all facebook, whatsapp, twitter, print media, electronic media sincerely request no one to spread any kind of communal poison.")</f>
        <v>Rohingya problem is not a problem of Buddhist or Muslim community, it is a state problem, but it is sad, all facebook, whatsapp, twitter, print media, electronic media sincerely request no one to spread any kind of communal poison.</v>
      </c>
      <c r="F2996" s="1"/>
      <c r="G2996" s="1"/>
      <c r="H2996" s="1"/>
      <c r="I2996" s="1"/>
    </row>
    <row r="2997" spans="1:9" ht="46.8" x14ac:dyDescent="0.3">
      <c r="A2997" s="1" t="s">
        <v>9</v>
      </c>
      <c r="B2997" s="1" t="s">
        <v>9</v>
      </c>
      <c r="C2997" s="10" t="s">
        <v>9</v>
      </c>
      <c r="D2997" s="6" t="s">
        <v>3717</v>
      </c>
      <c r="E2997" s="1" t="str">
        <f ca="1">IFERROR(__xludf.DUMMYFUNCTION("GOOGLETRANSLATE(D2997, ""bn"", ""en"")"),"The once ardent beef-eating Brahmins became vegetarians when they saw the Buddhists. They started Rama and Krishna Vandana anew in the pattern of traditional love for Buddha. The Mahabharata was written during this period, at the height of Buddhist subjug"&amp;"ation – to bring the lower caste Buddhists back to Hinduism as Shudras.")</f>
        <v>The once ardent beef-eating Brahmins became vegetarians when they saw the Buddhists. They started Rama and Krishna Vandana anew in the pattern of traditional love for Buddha. The Mahabharata was written during this period, at the height of Buddhist subjugation – to bring the lower caste Buddhists back to Hinduism as Shudras.</v>
      </c>
      <c r="F2997" s="1"/>
      <c r="G2997" s="1"/>
      <c r="H2997" s="1"/>
      <c r="I2997" s="1"/>
    </row>
    <row r="2998" spans="1:9" ht="46.8" x14ac:dyDescent="0.3">
      <c r="A2998" s="1" t="s">
        <v>7</v>
      </c>
      <c r="B2998" s="1" t="s">
        <v>7</v>
      </c>
      <c r="C2998" s="10" t="s">
        <v>7</v>
      </c>
      <c r="D2998" s="6" t="s">
        <v>3716</v>
      </c>
      <c r="E2998" s="1" t="str">
        <f ca="1">IFERROR(__xludf.DUMMYFUNCTION("GOOGLETRANSLATE(D2998, ""bn"", ""en"")"),"On March 19, 400 Arta Hindu refugees from Jinjira village under Maheshpur police station arrived at Hazarkhal village under the control of Hanskhali police station in Nadia district of West Bengal, India. But as they were crossing the Ichamati River, thre"&amp;"e Pakistani border guards opened fire on them and at least one person was killed.")</f>
        <v>On March 19, 400 Arta Hindu refugees from Jinjira village under Maheshpur police station arrived at Hazarkhal village under the control of Hanskhali police station in Nadia district of West Bengal, India. But as they were crossing the Ichamati River, three Pakistani border guards opened fire on them and at least one person was killed.</v>
      </c>
      <c r="F2998" s="1"/>
      <c r="G2998" s="1"/>
      <c r="H2998" s="1"/>
      <c r="I2998" s="1"/>
    </row>
    <row r="2999" spans="1:9" ht="15.6" x14ac:dyDescent="0.3">
      <c r="A2999" s="1" t="s">
        <v>4</v>
      </c>
      <c r="B2999" s="1" t="s">
        <v>5</v>
      </c>
      <c r="C2999" s="10" t="s">
        <v>4</v>
      </c>
      <c r="D2999" s="5" t="s">
        <v>2689</v>
      </c>
      <c r="E2999" s="1" t="str">
        <f ca="1">IFERROR(__xludf.DUMMYFUNCTION("GOOGLETRANSLATE(D2999, ""bn"", ""en"")"),"There is no point in blaming people of Hindu religion or engaging in arguments with them. Who is allowing these? Whoever is doing this is their fault. The government, leaders and workers of this country are mostly Muslims, yet such activities are taking p"&amp;"lace.")</f>
        <v>There is no point in blaming people of Hindu religion or engaging in arguments with them. Who is allowing these? Whoever is doing this is their fault. The government, leaders and workers of this country are mostly Muslims, yet such activities are taking place.</v>
      </c>
      <c r="F2999" s="1"/>
      <c r="G2999" s="1"/>
      <c r="H2999" s="1"/>
      <c r="I2999" s="1"/>
    </row>
    <row r="3000" spans="1:9" ht="15.6" x14ac:dyDescent="0.3">
      <c r="A3000" s="1" t="s">
        <v>7</v>
      </c>
      <c r="B3000" s="1" t="s">
        <v>7</v>
      </c>
      <c r="C3000" s="10" t="s">
        <v>7</v>
      </c>
      <c r="D3000" s="5" t="s">
        <v>2690</v>
      </c>
      <c r="E3000" s="1" t="str">
        <f ca="1">IFERROR(__xludf.DUMMYFUNCTION("GOOGLETRANSLATE(D3000, ""bn"", ""en"")")," Believed to have been composed around 1000 BC, it describes a funeral rite in which a widow is laid by her dead husband, but is then asked to ascend, to enjoy blessings from children and wealth.")</f>
        <v> Believed to have been composed around 1000 BC, it describes a funeral rite in which a widow is laid by her dead husband, but is then asked to ascend, to enjoy blessings from children and wealth.</v>
      </c>
      <c r="F3000" s="1"/>
      <c r="G3000" s="1"/>
      <c r="H3000" s="1"/>
      <c r="I3000" s="1"/>
    </row>
    <row r="3001" spans="1:9" ht="15.6" x14ac:dyDescent="0.3">
      <c r="A3001" s="1" t="s">
        <v>7</v>
      </c>
      <c r="B3001" s="1" t="s">
        <v>7</v>
      </c>
      <c r="C3001" s="10" t="s">
        <v>7</v>
      </c>
      <c r="D3001" s="5" t="s">
        <v>2691</v>
      </c>
      <c r="E3001" s="1" t="str">
        <f ca="1">IFERROR(__xludf.DUMMYFUNCTION("GOOGLETRANSLATE(D3001, ""bn"", ""en"")"),"Israel must be ousted from here. They are not peaceful. But soon another virus like Corona will come to the world, it will cripple the weapons and make the world more difficult. Many people will die. This is my meditation quote.")</f>
        <v>Israel must be ousted from here. They are not peaceful. But soon another virus like Corona will come to the world, it will cripple the weapons and make the world more difficult. Many people will die. This is my meditation quote.</v>
      </c>
      <c r="F3001" s="1"/>
      <c r="G3001" s="1"/>
      <c r="H3001" s="1"/>
      <c r="I3001" s="1"/>
    </row>
    <row r="3002" spans="1:9" ht="15.6" x14ac:dyDescent="0.3">
      <c r="A3002" s="1" t="s">
        <v>5</v>
      </c>
      <c r="B3002" s="1" t="s">
        <v>5</v>
      </c>
      <c r="C3002" s="10" t="s">
        <v>5</v>
      </c>
      <c r="D3002" s="5" t="s">
        <v>2692</v>
      </c>
      <c r="E3002" s="1" t="str">
        <f ca="1">IFERROR(__xludf.DUMMYFUNCTION("GOOGLETRANSLATE(D3002, ""bn"", ""en"")"),"Religious practices may include various rituals, sermons, remembrance or worship (of gods or saints), sacrifices, festivals, feasts, burials, initiations, marriages and funerals, meditation, prayer, music, art, dance or public service.")</f>
        <v>Religious practices may include various rituals, sermons, remembrance or worship (of gods or saints), sacrifices, festivals, feasts, burials, initiations, marriages and funerals, meditation, prayer, music, art, dance or public service.</v>
      </c>
      <c r="F3002" s="1"/>
      <c r="G3002" s="1"/>
      <c r="H3002" s="1"/>
      <c r="I3002" s="1"/>
    </row>
    <row r="3003" spans="1:9" ht="15.6" x14ac:dyDescent="0.3">
      <c r="A3003" s="1" t="s">
        <v>9</v>
      </c>
      <c r="B3003" s="1" t="s">
        <v>7</v>
      </c>
      <c r="C3003" s="10" t="s">
        <v>9</v>
      </c>
      <c r="D3003" s="5" t="s">
        <v>2693</v>
      </c>
      <c r="E3003" s="1" t="str">
        <f ca="1">IFERROR(__xludf.DUMMYFUNCTION("GOOGLETRANSLATE(D3003, ""bn"", ""en"")"),"The BJP government is pursuing an agenda to destroy the secular spirit of the constitution and impose Hinduism on everyone, first by passing the new citizenship law and making crores of Muslim Indians stateless or second class citizens.")</f>
        <v>The BJP government is pursuing an agenda to destroy the secular spirit of the constitution and impose Hinduism on everyone, first by passing the new citizenship law and making crores of Muslim Indians stateless or second class citizens.</v>
      </c>
      <c r="F3003" s="1"/>
      <c r="G3003" s="1"/>
      <c r="H3003" s="1"/>
      <c r="I3003" s="1"/>
    </row>
    <row r="3004" spans="1:9" ht="31.2" x14ac:dyDescent="0.3">
      <c r="A3004" s="1" t="s">
        <v>7</v>
      </c>
      <c r="B3004" s="1" t="s">
        <v>7</v>
      </c>
      <c r="C3004" s="10" t="s">
        <v>7</v>
      </c>
      <c r="D3004" s="8" t="s">
        <v>2694</v>
      </c>
      <c r="E3004" s="1" t="str">
        <f ca="1">IFERROR(__xludf.DUMMYFUNCTION("GOOGLETRANSLATE(D3004, ""bn"", ""en"")"),"At least 16 soldiers have been killed in an attack by locals while suppressing sectarian violence in the West African country of Nigeria. On Saturday (March 16), the country's army announced this information in a statement. News from Reuters.")</f>
        <v>At least 16 soldiers have been killed in an attack by locals while suppressing sectarian violence in the West African country of Nigeria. On Saturday (March 16), the country's army announced this information in a statement. News from Reuters.</v>
      </c>
      <c r="F3004" s="1"/>
      <c r="G3004" s="1"/>
      <c r="H3004" s="1"/>
      <c r="I3004" s="1"/>
    </row>
    <row r="3005" spans="1:9" ht="15.6" x14ac:dyDescent="0.3">
      <c r="A3005" s="1" t="s">
        <v>9</v>
      </c>
      <c r="B3005" s="1" t="s">
        <v>5</v>
      </c>
      <c r="C3005" s="10" t="s">
        <v>9</v>
      </c>
      <c r="D3005" s="5" t="s">
        <v>2695</v>
      </c>
      <c r="E3005" s="1" t="str">
        <f ca="1">IFERROR(__xludf.DUMMYFUNCTION("GOOGLETRANSLATE(D3005, ""bn"", ""en"")"),"The leader of one of Bangladesh's political parties, her party BNP and its alliance Jamaat-e-Islami, denied allegations of attacks on minority Hindus.")</f>
        <v>The leader of one of Bangladesh's political parties, her party BNP and its alliance Jamaat-e-Islami, denied allegations of attacks on minority Hindus.</v>
      </c>
      <c r="F3005" s="1"/>
      <c r="G3005" s="1"/>
      <c r="H3005" s="1"/>
      <c r="I3005" s="1"/>
    </row>
    <row r="3006" spans="1:9" ht="15.6" x14ac:dyDescent="0.3">
      <c r="A3006" s="1" t="s">
        <v>4</v>
      </c>
      <c r="B3006" s="1" t="s">
        <v>4</v>
      </c>
      <c r="C3006" s="10" t="s">
        <v>4</v>
      </c>
      <c r="D3006" s="5" t="s">
        <v>2696</v>
      </c>
      <c r="E3006" s="1" t="str">
        <f ca="1">IFERROR(__xludf.DUMMYFUNCTION("GOOGLETRANSLATE(D3006, ""bn"", ""en"")"),"There is no need to report baseless news. This mosque has the touch of Adam's hand. There is no question of the rights of anyone other than Muslims.")</f>
        <v>There is no need to report baseless news. This mosque has the touch of Adam's hand. There is no question of the rights of anyone other than Muslims.</v>
      </c>
      <c r="F3006" s="1"/>
      <c r="G3006" s="1"/>
      <c r="H3006" s="1"/>
      <c r="I3006" s="1"/>
    </row>
    <row r="3007" spans="1:9" ht="15.6" x14ac:dyDescent="0.3">
      <c r="A3007" s="1" t="s">
        <v>7</v>
      </c>
      <c r="B3007" s="1" t="s">
        <v>5</v>
      </c>
      <c r="C3007" s="10" t="s">
        <v>7</v>
      </c>
      <c r="D3007" s="5" t="s">
        <v>2697</v>
      </c>
      <c r="E3007" s="1" t="str">
        <f ca="1">IFERROR(__xludf.DUMMYFUNCTION("GOOGLETRANSLATE(D3007, ""bn"", ""en"")"),"Despair has no place in the Islamic creed and its way of life. There is no room for inferiority complex that destroys life. Believers believe that the end of human life is not death.")</f>
        <v>Despair has no place in the Islamic creed and its way of life. There is no room for inferiority complex that destroys life. Believers believe that the end of human life is not death.</v>
      </c>
      <c r="F3007" s="1"/>
      <c r="G3007" s="1"/>
      <c r="H3007" s="1"/>
      <c r="I3007" s="1"/>
    </row>
    <row r="3008" spans="1:9" ht="15.6" x14ac:dyDescent="0.3">
      <c r="A3008" s="1" t="s">
        <v>9</v>
      </c>
      <c r="B3008" s="1" t="s">
        <v>9</v>
      </c>
      <c r="C3008" s="10" t="s">
        <v>9</v>
      </c>
      <c r="D3008" s="5" t="s">
        <v>2698</v>
      </c>
      <c r="E3008" s="1" t="str">
        <f ca="1">IFERROR(__xludf.DUMMYFUNCTION("GOOGLETRANSLATE(D3008, ""bn"", ""en"")"),"Recently, Shyamal Kanti Bhakta, a head teacher of a school in Narayanganj was attacked and assaulted for insulting Islam.")</f>
        <v>Recently, Shyamal Kanti Bhakta, a head teacher of a school in Narayanganj was attacked and assaulted for insulting Islam.</v>
      </c>
      <c r="F3008" s="1"/>
      <c r="G3008" s="1"/>
      <c r="H3008" s="1"/>
      <c r="I3008" s="1"/>
    </row>
    <row r="3009" spans="1:9" ht="15.6" x14ac:dyDescent="0.3">
      <c r="A3009" s="1" t="s">
        <v>7</v>
      </c>
      <c r="B3009" s="1" t="s">
        <v>7</v>
      </c>
      <c r="C3009" s="10" t="s">
        <v>7</v>
      </c>
      <c r="D3009" s="5" t="s">
        <v>2699</v>
      </c>
      <c r="E3009" s="1" t="str">
        <f ca="1">IFERROR(__xludf.DUMMYFUNCTION("GOOGLETRANSLATE(D3009, ""bn"", ""en"")"),"Violent clashes erupted between Sunni and Shia communities in Syria, resulting in the deaths and displacement of millions of people.")</f>
        <v>Violent clashes erupted between Sunni and Shia communities in Syria, resulting in the deaths and displacement of millions of people.</v>
      </c>
      <c r="F3009" s="1"/>
      <c r="G3009" s="1"/>
      <c r="H3009" s="1"/>
      <c r="I3009" s="1"/>
    </row>
    <row r="3010" spans="1:9" ht="15.6" x14ac:dyDescent="0.3">
      <c r="A3010" s="1" t="s">
        <v>4</v>
      </c>
      <c r="B3010" s="1" t="s">
        <v>4</v>
      </c>
      <c r="C3010" s="10" t="s">
        <v>4</v>
      </c>
      <c r="D3010" s="5" t="s">
        <v>2700</v>
      </c>
      <c r="E3010" s="1" t="str">
        <f ca="1">IFERROR(__xludf.DUMMYFUNCTION("GOOGLETRANSLATE(D3010, ""bn"", ""en"")"),"These marijuana killer prophets came to this world as Muslims and brought the word of God, and it belonged to Muslims, then how did you spread such news?")</f>
        <v>These marijuana killer prophets came to this world as Muslims and brought the word of God, and it belonged to Muslims, then how did you spread such news?</v>
      </c>
      <c r="F3010" s="1"/>
      <c r="G3010" s="1"/>
      <c r="H3010" s="1"/>
      <c r="I3010" s="1"/>
    </row>
    <row r="3011" spans="1:9" ht="15.6" x14ac:dyDescent="0.3">
      <c r="A3011" s="4" t="s">
        <v>7</v>
      </c>
      <c r="B3011" s="4" t="s">
        <v>7</v>
      </c>
      <c r="C3011" s="11" t="s">
        <v>7</v>
      </c>
      <c r="D3011" s="5" t="s">
        <v>2701</v>
      </c>
      <c r="E3011" s="1" t="str">
        <f ca="1">IFERROR(__xludf.DUMMYFUNCTION("GOOGLETRANSLATE(D3011, ""bn"", ""en"")"),"The 1992 Bombay riots directly resulted from the destruction of the Babri Masjid by Hindu nationalists. [23] According to an article published by Gorey Winter in The Hindu Frontline magazine, ""Officially, 900 people were killed, 2,036 injured and thousan"&amp;"ds internally displaced in mob rioting and firing by the police.")</f>
        <v>The 1992 Bombay riots directly resulted from the destruction of the Babri Masjid by Hindu nationalists. [23] According to an article published by Gorey Winter in The Hindu Frontline magazine, "Officially, 900 people were killed, 2,036 injured and thousands internally displaced in mob rioting and firing by the police.</v>
      </c>
      <c r="F3011" s="1"/>
      <c r="G3011" s="1"/>
      <c r="H3011" s="1"/>
      <c r="I3011" s="1"/>
    </row>
    <row r="3012" spans="1:9" ht="62.4" x14ac:dyDescent="0.3">
      <c r="A3012" s="1" t="s">
        <v>5</v>
      </c>
      <c r="B3012" s="1" t="s">
        <v>5</v>
      </c>
      <c r="C3012" s="10" t="s">
        <v>5</v>
      </c>
      <c r="D3012" s="6" t="s">
        <v>3715</v>
      </c>
      <c r="E3012" s="1" t="str">
        <f ca="1">IFERROR(__xludf.DUMMYFUNCTION("GOOGLETRANSLATE(D3012, ""bn"", ""en"")"),"The unfortunate, helpless, displaced asylum seekers are provided relief in temporary camps set up in West Bengal, Assam and Tripura, India. Later the refugees were resettled in different parts of India. About 6,000 Chakma people are sheltered in Silchar. "&amp;"[15] 50,000 Garos and other indigenous people are housed in 12 temporary camps set up at Tura in the Garopahari region.")</f>
        <v>The unfortunate, helpless, displaced asylum seekers are provided relief in temporary camps set up in West Bengal, Assam and Tripura, India. Later the refugees were resettled in different parts of India. About 6,000 Chakma people are sheltered in Silchar. [15] 50,000 Garos and other indigenous people are housed in 12 temporary camps set up at Tura in the Garopahari region.</v>
      </c>
      <c r="F3012" s="1"/>
      <c r="G3012" s="1"/>
      <c r="H3012" s="1"/>
      <c r="I3012" s="1"/>
    </row>
    <row r="3013" spans="1:9" ht="15.6" x14ac:dyDescent="0.3">
      <c r="A3013" s="1" t="s">
        <v>7</v>
      </c>
      <c r="B3013" s="1" t="s">
        <v>7</v>
      </c>
      <c r="C3013" s="10" t="s">
        <v>7</v>
      </c>
      <c r="D3013" s="5" t="s">
        <v>2702</v>
      </c>
      <c r="E3013" s="1" t="str">
        <f ca="1">IFERROR(__xludf.DUMMYFUNCTION("GOOGLETRANSLATE(D3013, ""bn"", ""en"")"),"While 23 killings were claimed due to communal violence, the police investigation did not find evidence of a single murder, the Press Wing of the Chief Adviser said. This information was disclosed in a message sent from the Press Wing of the Chief Adviser"&amp;" on Monday (February 3).")</f>
        <v>While 23 killings were claimed due to communal violence, the police investigation did not find evidence of a single murder, the Press Wing of the Chief Adviser said. This information was disclosed in a message sent from the Press Wing of the Chief Adviser on Monday (February 3).</v>
      </c>
      <c r="F3013" s="1"/>
      <c r="G3013" s="1"/>
      <c r="H3013" s="1"/>
      <c r="I3013" s="1"/>
    </row>
    <row r="3014" spans="1:9" ht="15.6" x14ac:dyDescent="0.3">
      <c r="A3014" s="1" t="s">
        <v>9</v>
      </c>
      <c r="B3014" s="1" t="s">
        <v>9</v>
      </c>
      <c r="C3014" s="10" t="s">
        <v>9</v>
      </c>
      <c r="D3014" s="5" t="s">
        <v>2703</v>
      </c>
      <c r="E3014" s="1" t="str">
        <f ca="1">IFERROR(__xludf.DUMMYFUNCTION("GOOGLETRANSLATE(D3014, ""bn"", ""en"")"),"A mosque in Dhaka's Nawabganj was attacked and vandalized. Miscreants attacked Baytus Sujut Mosque in Bardhanpara of Buxnagar Union of the upazila at around 11 o'clock on Wednesday. Locals blamed one person in this incident but he denied this allegation.")</f>
        <v>A mosque in Dhaka's Nawabganj was attacked and vandalized. Miscreants attacked Baytus Sujut Mosque in Bardhanpara of Buxnagar Union of the upazila at around 11 o'clock on Wednesday. Locals blamed one person in this incident but he denied this allegation.</v>
      </c>
      <c r="F3014" s="1"/>
      <c r="G3014" s="1"/>
      <c r="H3014" s="1"/>
      <c r="I3014" s="1"/>
    </row>
    <row r="3015" spans="1:9" ht="15.6" x14ac:dyDescent="0.3">
      <c r="A3015" s="1" t="s">
        <v>5</v>
      </c>
      <c r="B3015" s="1" t="s">
        <v>5</v>
      </c>
      <c r="C3015" s="10" t="s">
        <v>5</v>
      </c>
      <c r="D3015" s="5" t="s">
        <v>2704</v>
      </c>
      <c r="E3015" s="1" t="str">
        <f ca="1">IFERROR(__xludf.DUMMYFUNCTION("GOOGLETRANSLATE(D3015, ""bn"", ""en"")"),"Maybe there will come a time when I will wallow in sin. Maybe then someone will like this comment, and then I will come to listen to such beautiful guidance, and my head will be bowed before Allah. My heart will be filled with the love of the Prophet.")</f>
        <v>Maybe there will come a time when I will wallow in sin. Maybe then someone will like this comment, and then I will come to listen to such beautiful guidance, and my head will be bowed before Allah. My heart will be filled with the love of the Prophet.</v>
      </c>
      <c r="F3015" s="1"/>
      <c r="G3015" s="1"/>
      <c r="H3015" s="1"/>
      <c r="I3015" s="1"/>
    </row>
    <row r="3016" spans="1:9" ht="15.6" x14ac:dyDescent="0.3">
      <c r="A3016" s="1" t="s">
        <v>7</v>
      </c>
      <c r="B3016" s="1" t="s">
        <v>7</v>
      </c>
      <c r="C3016" s="10" t="s">
        <v>7</v>
      </c>
      <c r="D3016" s="5" t="s">
        <v>2705</v>
      </c>
      <c r="E3016" s="1" t="str">
        <f ca="1">IFERROR(__xludf.DUMMYFUNCTION("GOOGLETRANSLATE(D3016, ""bn"", ""en"")"),"Christianity continued to spread through ""merchants, slaves, traders, captives, and contact with the Jewish community"" as well as missionaries who were often killed for their efforts.")</f>
        <v>Christianity continued to spread through "merchants, slaves, traders, captives, and contact with the Jewish community" as well as missionaries who were often killed for their efforts.</v>
      </c>
      <c r="F3016" s="1"/>
      <c r="G3016" s="1"/>
      <c r="H3016" s="1"/>
      <c r="I3016" s="1"/>
    </row>
    <row r="3017" spans="1:9" ht="15.6" x14ac:dyDescent="0.3">
      <c r="A3017" s="1" t="s">
        <v>5</v>
      </c>
      <c r="B3017" s="1" t="s">
        <v>5</v>
      </c>
      <c r="C3017" s="10" t="s">
        <v>5</v>
      </c>
      <c r="D3017" s="5" t="s">
        <v>2706</v>
      </c>
      <c r="E3017" s="1" t="str">
        <f ca="1">IFERROR(__xludf.DUMMYFUNCTION("GOOGLETRANSLATE(D3017, ""bn"", ""en"")"),"From the day I found this channel, every video I watch from this channel, I am amazed. Alhamdulillah.")</f>
        <v>From the day I found this channel, every video I watch from this channel, I am amazed. Alhamdulillah.</v>
      </c>
      <c r="F3017" s="1"/>
      <c r="G3017" s="1"/>
      <c r="H3017" s="1"/>
      <c r="I3017" s="1"/>
    </row>
    <row r="3018" spans="1:9" ht="15.6" x14ac:dyDescent="0.3">
      <c r="A3018" s="1" t="s">
        <v>4</v>
      </c>
      <c r="B3018" s="1" t="s">
        <v>4</v>
      </c>
      <c r="C3018" s="10" t="s">
        <v>4</v>
      </c>
      <c r="D3018" s="5" t="s">
        <v>2707</v>
      </c>
      <c r="E3018" s="1" t="str">
        <f ca="1">IFERROR(__xludf.DUMMYFUNCTION("GOOGLETRANSLATE(D3018, ""bn"", ""en"")"),"Under the leadership of Madrish Ali, Nadia villagers were proposed to convert and marry their daughters to Muslim boys. In this way the village can be protected from the hands of the Pakistani occupation army. When the villagers refused, the king asked th"&amp;"em to hand over their cows, which they again refused.")</f>
        <v>Under the leadership of Madrish Ali, Nadia villagers were proposed to convert and marry their daughters to Muslim boys. In this way the village can be protected from the hands of the Pakistani occupation army. When the villagers refused, the king asked them to hand over their cows, which they again refused.</v>
      </c>
      <c r="F3018" s="1"/>
      <c r="G3018" s="1"/>
      <c r="H3018" s="1"/>
      <c r="I3018" s="1"/>
    </row>
    <row r="3019" spans="1:9" ht="46.8" x14ac:dyDescent="0.3">
      <c r="A3019" s="1" t="s">
        <v>7</v>
      </c>
      <c r="B3019" s="1" t="s">
        <v>7</v>
      </c>
      <c r="C3019" s="10" t="s">
        <v>7</v>
      </c>
      <c r="D3019" s="6" t="s">
        <v>3714</v>
      </c>
      <c r="E3019" s="1" t="str">
        <f ca="1">IFERROR(__xludf.DUMMYFUNCTION("GOOGLETRANSLATE(D3019, ""bn"", ""en"")"),"Opposition to the practice of satidah by missionaries such as William Carey, and by Hindu reformers such as Rammohan Roy eventually led to the British Governor-General of India, Lord William Bentinck, enacting the Bengal Satidah Ordinance, 1829, which mad"&amp;"e the practice of burning Hindu widows alive a crime punishable by the criminal courts.")</f>
        <v>Opposition to the practice of satidah by missionaries such as William Carey, and by Hindu reformers such as Rammohan Roy eventually led to the British Governor-General of India, Lord William Bentinck, enacting the Bengal Satidah Ordinance, 1829, which made the practice of burning Hindu widows alive a crime punishable by the criminal courts.</v>
      </c>
      <c r="F3019" s="1"/>
      <c r="G3019" s="1"/>
      <c r="H3019" s="1"/>
      <c r="I3019" s="1"/>
    </row>
    <row r="3020" spans="1:9" ht="15.6" x14ac:dyDescent="0.3">
      <c r="A3020" s="1" t="s">
        <v>4</v>
      </c>
      <c r="B3020" s="1" t="s">
        <v>4</v>
      </c>
      <c r="C3020" s="10" t="s">
        <v>4</v>
      </c>
      <c r="D3020" s="5" t="s">
        <v>2708</v>
      </c>
      <c r="E3020" s="1" t="str">
        <f ca="1">IFERROR(__xludf.DUMMYFUNCTION("GOOGLETRANSLATE(D3020, ""bn"", ""en"")"),"Since the beginning of the world, the enemies of Islam have been the enemies of the Qur'an and will remain so until the Day of Judgment, but those whose hearts have been touched by the love of the Qur'an, the Muslims will once again unite on the platform "&amp;"of the Qur'an, thwarting all the conspiracies, conspiracies and informational terror of the infidels, inshallah.")</f>
        <v>Since the beginning of the world, the enemies of Islam have been the enemies of the Qur'an and will remain so until the Day of Judgment, but those whose hearts have been touched by the love of the Qur'an, the Muslims will once again unite on the platform of the Qur'an, thwarting all the conspiracies, conspiracies and informational terror of the infidels, inshallah.</v>
      </c>
      <c r="F3020" s="1"/>
      <c r="G3020" s="1"/>
      <c r="H3020" s="1"/>
      <c r="I3020" s="1"/>
    </row>
    <row r="3021" spans="1:9" ht="15.6" x14ac:dyDescent="0.3">
      <c r="A3021" s="1" t="s">
        <v>9</v>
      </c>
      <c r="B3021" s="1" t="s">
        <v>9</v>
      </c>
      <c r="C3021" s="10" t="s">
        <v>9</v>
      </c>
      <c r="D3021" s="5" t="s">
        <v>2709</v>
      </c>
      <c r="E3021" s="1" t="str">
        <f ca="1">IFERROR(__xludf.DUMMYFUNCTION("GOOGLETRANSLATE(D3021, ""bn"", ""en"")"),"On August 27, on Thursday night, the newly constructed idol of Sarvajanin Durga temple in Vadiakhola village of Harirampur sub-district of Manikganj district was vandalized.")</f>
        <v>On August 27, on Thursday night, the newly constructed idol of Sarvajanin Durga temple in Vadiakhola village of Harirampur sub-district of Manikganj district was vandalized.</v>
      </c>
      <c r="F3021" s="1"/>
      <c r="G3021" s="1"/>
      <c r="H3021" s="1"/>
      <c r="I3021" s="1"/>
    </row>
    <row r="3022" spans="1:9" ht="15.6" x14ac:dyDescent="0.3">
      <c r="A3022" s="1" t="s">
        <v>4</v>
      </c>
      <c r="B3022" s="1" t="s">
        <v>4</v>
      </c>
      <c r="C3022" s="10" t="s">
        <v>4</v>
      </c>
      <c r="D3022" s="5" t="s">
        <v>2710</v>
      </c>
      <c r="E3022" s="1" t="str">
        <f ca="1">IFERROR(__xludf.DUMMYFUNCTION("GOOGLETRANSLATE(D3022, ""bn"", ""en"")"),"In the interim, you will dance the demon's dance in the joy of victory, and keep preparing for it, it is impossible to say whether the stage will collapse before the dance is over!")</f>
        <v>In the interim, you will dance the demon's dance in the joy of victory, and keep preparing for it, it is impossible to say whether the stage will collapse before the dance is over!</v>
      </c>
      <c r="F3022" s="1"/>
      <c r="G3022" s="1"/>
      <c r="H3022" s="1"/>
      <c r="I3022" s="1"/>
    </row>
    <row r="3023" spans="1:9" ht="15.6" x14ac:dyDescent="0.3">
      <c r="A3023" s="1" t="s">
        <v>7</v>
      </c>
      <c r="B3023" s="1" t="s">
        <v>7</v>
      </c>
      <c r="C3023" s="10" t="s">
        <v>7</v>
      </c>
      <c r="D3023" s="5" t="s">
        <v>2711</v>
      </c>
      <c r="E3023" s="1" t="str">
        <f ca="1">IFERROR(__xludf.DUMMYFUNCTION("GOOGLETRANSLATE(D3023, ""bn"", ""en"")"),"The Madurai Nayak dynasty (1520–1736 AD) appears to have adopted the practice on a larger scale, observing the burning of 400 women at the death of Muttu Krishnappa, a Jesuit priest in Madurai in 1609.")</f>
        <v>The Madurai Nayak dynasty (1520–1736 AD) appears to have adopted the practice on a larger scale, observing the burning of 400 women at the death of Muttu Krishnappa, a Jesuit priest in Madurai in 1609.</v>
      </c>
      <c r="F3023" s="1"/>
      <c r="G3023" s="1"/>
      <c r="H3023" s="1"/>
      <c r="I3023" s="1"/>
    </row>
    <row r="3024" spans="1:9" ht="15.6" x14ac:dyDescent="0.3">
      <c r="A3024" s="1" t="s">
        <v>4</v>
      </c>
      <c r="B3024" s="1" t="s">
        <v>4</v>
      </c>
      <c r="C3024" s="10" t="s">
        <v>4</v>
      </c>
      <c r="D3024" s="5" t="s">
        <v>2712</v>
      </c>
      <c r="E3024" s="1" t="str">
        <f ca="1">IFERROR(__xludf.DUMMYFUNCTION("GOOGLETRANSLATE(D3024, ""bn"", ""en"")"),"The Islamic parties are also constantly reacting, but the government is silent. People's anger is increasing due to the government's silence. As one of the largest Muslim-majority countries in the world and a member of the Muslim Ummah, the government of "&amp;"Bangladesh must respond appropriately.")</f>
        <v>The Islamic parties are also constantly reacting, but the government is silent. People's anger is increasing due to the government's silence. As one of the largest Muslim-majority countries in the world and a member of the Muslim Ummah, the government of Bangladesh must respond appropriately.</v>
      </c>
      <c r="F3024" s="1"/>
      <c r="G3024" s="1"/>
      <c r="H3024" s="1"/>
      <c r="I3024" s="1"/>
    </row>
    <row r="3025" spans="1:9" ht="15.6" x14ac:dyDescent="0.3">
      <c r="A3025" s="1" t="s">
        <v>4</v>
      </c>
      <c r="B3025" s="1" t="s">
        <v>5</v>
      </c>
      <c r="C3025" s="10" t="s">
        <v>4</v>
      </c>
      <c r="D3025" s="5" t="s">
        <v>2713</v>
      </c>
      <c r="E3025" s="1" t="str">
        <f ca="1">IFERROR(__xludf.DUMMYFUNCTION("GOOGLETRANSLATE(D3025, ""bn"", ""en"")"),"A special prison should be created to hold the barbaric, beast-like people.")</f>
        <v>A special prison should be created to hold the barbaric, beast-like people.</v>
      </c>
      <c r="F3025" s="1"/>
      <c r="G3025" s="1"/>
      <c r="H3025" s="1"/>
      <c r="I3025" s="1"/>
    </row>
    <row r="3026" spans="1:9" ht="15.6" x14ac:dyDescent="0.3">
      <c r="A3026" s="1" t="s">
        <v>7</v>
      </c>
      <c r="B3026" s="1" t="s">
        <v>7</v>
      </c>
      <c r="C3026" s="10" t="s">
        <v>7</v>
      </c>
      <c r="D3026" s="5" t="s">
        <v>2714</v>
      </c>
      <c r="E3026" s="1" t="str">
        <f ca="1">IFERROR(__xludf.DUMMYFUNCTION("GOOGLETRANSLATE(D3026, ""bn"", ""en"")"),"""Bloody Gaza"" Ya Allah, forgive us. Send a state and a Salahuddin Ayubi for the Muslim nation, Ameen.")</f>
        <v>"Bloody Gaza" Ya Allah, forgive us. Send a state and a Salahuddin Ayubi for the Muslim nation, Ameen.</v>
      </c>
      <c r="F3026" s="1"/>
      <c r="G3026" s="1"/>
      <c r="H3026" s="1"/>
      <c r="I3026" s="1"/>
    </row>
    <row r="3027" spans="1:9" ht="15.6" x14ac:dyDescent="0.3">
      <c r="A3027" s="1" t="s">
        <v>9</v>
      </c>
      <c r="B3027" s="1" t="s">
        <v>9</v>
      </c>
      <c r="C3027" s="10" t="s">
        <v>9</v>
      </c>
      <c r="D3027" s="5" t="s">
        <v>2715</v>
      </c>
      <c r="E3027" s="1" t="str">
        <f ca="1">IFERROR(__xludf.DUMMYFUNCTION("GOOGLETRANSLATE(D3027, ""bn"", ""en"")"),"On March 17, sectarian violence broke out at an ISKCON temple named Radhakant Jiu in the Wari area of ​​old Dhaka in Bangladesh. Holi festival of Hindus was going on that day.")</f>
        <v>On March 17, sectarian violence broke out at an ISKCON temple named Radhakant Jiu in the Wari area of ​​old Dhaka in Bangladesh. Holi festival of Hindus was going on that day.</v>
      </c>
      <c r="F3027" s="1"/>
      <c r="G3027" s="1"/>
      <c r="H3027" s="1"/>
      <c r="I3027" s="1"/>
    </row>
    <row r="3028" spans="1:9" ht="15.6" x14ac:dyDescent="0.3">
      <c r="A3028" s="1" t="s">
        <v>5</v>
      </c>
      <c r="B3028" s="1" t="s">
        <v>5</v>
      </c>
      <c r="C3028" s="10" t="s">
        <v>5</v>
      </c>
      <c r="D3028" s="5" t="s">
        <v>2716</v>
      </c>
      <c r="E3028" s="1" t="str">
        <f ca="1">IFERROR(__xludf.DUMMYFUNCTION("GOOGLETRANSLATE(D3028, ""bn"", ""en"")"),"If you want to know about religion, try to know it at home, after all religion is a personal matter.")</f>
        <v>If you want to know about religion, try to know it at home, after all religion is a personal matter.</v>
      </c>
      <c r="F3028" s="1"/>
      <c r="G3028" s="1"/>
      <c r="H3028" s="1"/>
      <c r="I3028" s="1"/>
    </row>
    <row r="3029" spans="1:9" ht="15.6" x14ac:dyDescent="0.3">
      <c r="A3029" s="1" t="s">
        <v>5</v>
      </c>
      <c r="B3029" s="1" t="s">
        <v>5</v>
      </c>
      <c r="C3029" s="10" t="s">
        <v>5</v>
      </c>
      <c r="D3029" s="5" t="s">
        <v>2717</v>
      </c>
      <c r="E3029" s="1" t="str">
        <f ca="1">IFERROR(__xludf.DUMMYFUNCTION("GOOGLETRANSLATE(D3029, ""bn"", ""en"")"),"I want to be an eyewitness of your heavenly judgment on those inhuman mighty rulers in the midst of the earth. ")</f>
        <v>I want to be an eyewitness of your heavenly judgment on those inhuman mighty rulers in the midst of the earth. </v>
      </c>
      <c r="F3029" s="1"/>
      <c r="G3029" s="1"/>
      <c r="H3029" s="1"/>
      <c r="I3029" s="1"/>
    </row>
    <row r="3030" spans="1:9" ht="15.6" x14ac:dyDescent="0.3">
      <c r="A3030" s="1" t="s">
        <v>7</v>
      </c>
      <c r="B3030" s="1" t="s">
        <v>7</v>
      </c>
      <c r="C3030" s="10" t="s">
        <v>7</v>
      </c>
      <c r="D3030" s="5" t="s">
        <v>2718</v>
      </c>
      <c r="E3030" s="1" t="str">
        <f ca="1">IFERROR(__xludf.DUMMYFUNCTION("GOOGLETRANSLATE(D3030, ""bn"", ""en"")"),"Violent clashes between Hindu and Muslim communities in Uttar Pradesh's Muzaffarnagar in 2013 left more than 60 people dead and thousands displaced.")</f>
        <v>Violent clashes between Hindu and Muslim communities in Uttar Pradesh's Muzaffarnagar in 2013 left more than 60 people dead and thousands displaced.</v>
      </c>
      <c r="F3030" s="1"/>
      <c r="G3030" s="1"/>
      <c r="H3030" s="1"/>
      <c r="I3030" s="1"/>
    </row>
    <row r="3031" spans="1:9" ht="15.6" x14ac:dyDescent="0.3">
      <c r="A3031" s="1" t="s">
        <v>7</v>
      </c>
      <c r="B3031" s="1" t="s">
        <v>7</v>
      </c>
      <c r="C3031" s="10" t="s">
        <v>7</v>
      </c>
      <c r="D3031" s="5" t="s">
        <v>2719</v>
      </c>
      <c r="E3031" s="1" t="str">
        <f ca="1">IFERROR(__xludf.DUMMYFUNCTION("GOOGLETRANSLATE(D3031, ""bn"", ""en"")"),"Narrated by Hazrat Anas (RA) in another hadith - he said, Allah's Messenger (PBUH) said, 'If any of you faces any danger, let him not wish for death in any way. ")</f>
        <v>Narrated by Hazrat Anas (RA) in another hadith - he said, Allah's Messenger (PBUH) said, 'If any of you faces any danger, let him not wish for death in any way. </v>
      </c>
      <c r="F3031" s="1"/>
      <c r="G3031" s="1"/>
      <c r="H3031" s="1"/>
      <c r="I3031" s="1"/>
    </row>
    <row r="3032" spans="1:9" ht="15.6" x14ac:dyDescent="0.3">
      <c r="A3032" s="1" t="s">
        <v>5</v>
      </c>
      <c r="B3032" s="1" t="s">
        <v>5</v>
      </c>
      <c r="C3032" s="10" t="s">
        <v>5</v>
      </c>
      <c r="D3032" s="5" t="s">
        <v>2720</v>
      </c>
      <c r="E3032" s="1" t="str">
        <f ca="1">IFERROR(__xludf.DUMMYFUNCTION("GOOGLETRANSLATE(D3032, ""bn"", ""en"")"),"Representing our religion and culture, all should walk unitedly in the path of love and peace, so that no one lives in fear or division.")</f>
        <v>Representing our religion and culture, all should walk unitedly in the path of love and peace, so that no one lives in fear or division.</v>
      </c>
      <c r="F3032" s="1"/>
      <c r="G3032" s="1"/>
      <c r="H3032" s="1"/>
      <c r="I3032" s="1"/>
    </row>
    <row r="3033" spans="1:9" ht="15.6" x14ac:dyDescent="0.3">
      <c r="A3033" s="1" t="s">
        <v>7</v>
      </c>
      <c r="B3033" s="1" t="s">
        <v>7</v>
      </c>
      <c r="C3033" s="10" t="s">
        <v>7</v>
      </c>
      <c r="D3033" s="5" t="s">
        <v>2721</v>
      </c>
      <c r="E3033" s="1" t="str">
        <f ca="1">IFERROR(__xludf.DUMMYFUNCTION("GOOGLETRANSLATE(D3033, ""bn"", ""en"")"),"Hell is the destination of suicide. Therefore, no one has the right to end the life given by Allah, no matter how much trouble comes.")</f>
        <v>Hell is the destination of suicide. Therefore, no one has the right to end the life given by Allah, no matter how much trouble comes.</v>
      </c>
      <c r="F3033" s="1"/>
      <c r="G3033" s="1"/>
      <c r="H3033" s="1"/>
      <c r="I3033" s="1"/>
    </row>
    <row r="3034" spans="1:9" ht="15.6" x14ac:dyDescent="0.3">
      <c r="A3034" s="1" t="s">
        <v>7</v>
      </c>
      <c r="B3034" s="1" t="s">
        <v>7</v>
      </c>
      <c r="C3034" s="10" t="s">
        <v>7</v>
      </c>
      <c r="D3034" s="5" t="s">
        <v>2722</v>
      </c>
      <c r="E3034" s="1" t="str">
        <f ca="1">IFERROR(__xludf.DUMMYFUNCTION("GOOGLETRANSLATE(D3034, ""bn"", ""en"")"),"In Indian society, sati-immolation was introduced late and became regular only after 500 AD.")</f>
        <v>In Indian society, sati-immolation was introduced late and became regular only after 500 AD.</v>
      </c>
      <c r="F3034" s="1"/>
      <c r="G3034" s="1"/>
      <c r="H3034" s="1"/>
      <c r="I3034" s="1"/>
    </row>
    <row r="3035" spans="1:9" ht="15.6" x14ac:dyDescent="0.3">
      <c r="A3035" s="1" t="s">
        <v>4</v>
      </c>
      <c r="B3035" s="1" t="s">
        <v>4</v>
      </c>
      <c r="C3035" s="10" t="s">
        <v>4</v>
      </c>
      <c r="D3035" s="5" t="s">
        <v>2723</v>
      </c>
      <c r="E3035" s="1" t="str">
        <f ca="1">IFERROR(__xludf.DUMMYFUNCTION("GOOGLETRANSLATE(D3035, ""bn"", ""en"")"),"Bangladeshi Prime Minister Sheikh Hasina condemned the anti-Buddhist violence on October 6, saying she believed the incident was premeditated and urged everyone to exercise restraint.")</f>
        <v>Bangladeshi Prime Minister Sheikh Hasina condemned the anti-Buddhist violence on October 6, saying she believed the incident was premeditated and urged everyone to exercise restraint.</v>
      </c>
      <c r="F3035" s="1"/>
      <c r="G3035" s="1"/>
      <c r="H3035" s="1"/>
      <c r="I3035" s="1"/>
    </row>
    <row r="3036" spans="1:9" ht="15.6" x14ac:dyDescent="0.3">
      <c r="A3036" s="1" t="s">
        <v>5</v>
      </c>
      <c r="B3036" s="1" t="s">
        <v>5</v>
      </c>
      <c r="C3036" s="10" t="s">
        <v>5</v>
      </c>
      <c r="D3036" s="5" t="s">
        <v>2724</v>
      </c>
      <c r="E3036" s="1" t="str">
        <f ca="1">IFERROR(__xludf.DUMMYFUNCTION("GOOGLETRANSLATE(D3036, ""bn"", ""en"")"),"The Qur'anic verses revealed after the Hijra permitted Muslims to bear arms. Meanwhile, Muhammad sent a military campaign against the Quraysh. Abwa campaign was one such campaign.")</f>
        <v>The Qur'anic verses revealed after the Hijra permitted Muslims to bear arms. Meanwhile, Muhammad sent a military campaign against the Quraysh. Abwa campaign was one such campaign.</v>
      </c>
      <c r="F3036" s="1"/>
      <c r="G3036" s="1"/>
      <c r="H3036" s="1"/>
      <c r="I3036" s="1"/>
    </row>
    <row r="3037" spans="1:9" ht="15.6" x14ac:dyDescent="0.3">
      <c r="A3037" s="1" t="s">
        <v>9</v>
      </c>
      <c r="B3037" s="1" t="s">
        <v>9</v>
      </c>
      <c r="C3037" s="10" t="s">
        <v>9</v>
      </c>
      <c r="D3037" s="5" t="s">
        <v>2725</v>
      </c>
      <c r="E3037" s="1" t="str">
        <f ca="1">IFERROR(__xludf.DUMMYFUNCTION("GOOGLETRANSLATE(D3037, ""bn"", ""en"")"),"Rana Dasgupta, general secretary of the Hindu Buddhist Christian Unity Council, said that such attacks against minorities are happening from time to time on the grounds of religious insult. Since 2011, several such false rumors have come to their attentio"&amp;"n and they have demanded justice from the government.")</f>
        <v>Rana Dasgupta, general secretary of the Hindu Buddhist Christian Unity Council, said that such attacks against minorities are happening from time to time on the grounds of religious insult. Since 2011, several such false rumors have come to their attention and they have demanded justice from the government.</v>
      </c>
      <c r="F3037" s="1"/>
      <c r="G3037" s="1"/>
      <c r="H3037" s="1"/>
      <c r="I3037" s="1"/>
    </row>
    <row r="3038" spans="1:9" ht="15.6" x14ac:dyDescent="0.3">
      <c r="A3038" s="1" t="s">
        <v>9</v>
      </c>
      <c r="B3038" s="1" t="s">
        <v>9</v>
      </c>
      <c r="C3038" s="10" t="s">
        <v>9</v>
      </c>
      <c r="D3038" s="5" t="s">
        <v>2726</v>
      </c>
      <c r="E3038" s="1" t="str">
        <f ca="1">IFERROR(__xludf.DUMMYFUNCTION("GOOGLETRANSLATE(D3038, ""bn"", ""en"")"),"Meanwhile, the conflict gradually spread to the Gurgaon area near Noah. After midnight, a large mob set fire to a mosque in Gurgaon's Sector 57 area.")</f>
        <v>Meanwhile, the conflict gradually spread to the Gurgaon area near Noah. After midnight, a large mob set fire to a mosque in Gurgaon's Sector 57 area.</v>
      </c>
      <c r="F3038" s="1"/>
      <c r="G3038" s="1"/>
      <c r="H3038" s="1"/>
      <c r="I3038" s="1"/>
    </row>
    <row r="3039" spans="1:9" ht="15.6" x14ac:dyDescent="0.3">
      <c r="A3039" s="1" t="s">
        <v>4</v>
      </c>
      <c r="B3039" s="1" t="s">
        <v>5</v>
      </c>
      <c r="C3039" s="10" t="s">
        <v>4</v>
      </c>
      <c r="D3039" s="5" t="s">
        <v>2727</v>
      </c>
      <c r="E3039" s="1" t="str">
        <f ca="1">IFERROR(__xludf.DUMMYFUNCTION("GOOGLETRANSLATE(D3039, ""bn"", ""en"")"),"Don't show all sympathy for other religions, show some helpless Muslims too. Then they too can live with a little freedom.")</f>
        <v>Don't show all sympathy for other religions, show some helpless Muslims too. Then they too can live with a little freedom.</v>
      </c>
      <c r="F3039" s="1"/>
      <c r="G3039" s="1"/>
      <c r="H3039" s="1"/>
      <c r="I3039" s="1"/>
    </row>
    <row r="3040" spans="1:9" ht="15.6" x14ac:dyDescent="0.3">
      <c r="A3040" s="1" t="s">
        <v>5</v>
      </c>
      <c r="B3040" s="1" t="s">
        <v>5</v>
      </c>
      <c r="C3040" s="10" t="s">
        <v>5</v>
      </c>
      <c r="D3040" s="5" t="s">
        <v>2728</v>
      </c>
      <c r="E3040" s="1" t="str">
        <f ca="1">IFERROR(__xludf.DUMMYFUNCTION("GOOGLETRANSLATE(D3040, ""bn"", ""en"")"),"The Qur'an highlights the greatness and importance of mankind, where God declares man to be the best of all creations. Mankind has carried God-given responsibilities and trusts that no other creation could have. Satan (Iblis) protested against human creat"&amp;"ion, but mankind obeyed God's command to establish peace and justice on earth.")</f>
        <v>The Qur'an highlights the greatness and importance of mankind, where God declares man to be the best of all creations. Mankind has carried God-given responsibilities and trusts that no other creation could have. Satan (Iblis) protested against human creation, but mankind obeyed God's command to establish peace and justice on earth.</v>
      </c>
      <c r="F3040" s="1"/>
      <c r="G3040" s="1"/>
      <c r="H3040" s="1"/>
      <c r="I3040" s="1"/>
    </row>
    <row r="3041" spans="1:9" ht="15.6" x14ac:dyDescent="0.3">
      <c r="A3041" s="1" t="s">
        <v>9</v>
      </c>
      <c r="B3041" s="1" t="s">
        <v>9</v>
      </c>
      <c r="C3041" s="10" t="s">
        <v>9</v>
      </c>
      <c r="D3041" s="5" t="s">
        <v>2729</v>
      </c>
      <c r="E3041" s="1" t="str">
        <f ca="1">IFERROR(__xludf.DUMMYFUNCTION("GOOGLETRANSLATE(D3041, ""bn"", ""en"")"),"If it was not for the brutality of the evil army, we would not have gone to India. You can blame the un-Muslim behavior of the evil army for today's situation.")</f>
        <v>If it was not for the brutality of the evil army, we would not have gone to India. You can blame the un-Muslim behavior of the evil army for today's situation.</v>
      </c>
      <c r="F3041" s="1"/>
      <c r="G3041" s="1"/>
      <c r="H3041" s="1"/>
      <c r="I3041" s="1"/>
    </row>
    <row r="3042" spans="1:9" ht="15.6" x14ac:dyDescent="0.3">
      <c r="A3042" s="1" t="s">
        <v>4</v>
      </c>
      <c r="B3042" s="1" t="s">
        <v>4</v>
      </c>
      <c r="C3042" s="10" t="s">
        <v>4</v>
      </c>
      <c r="D3042" s="5" t="s">
        <v>2730</v>
      </c>
      <c r="E3042" s="1" t="str">
        <f ca="1">IFERROR(__xludf.DUMMYFUNCTION("GOOGLETRANSLATE(D3042, ""bn"", ""en"")"),"How much can a person respect his own religion and make such bad comments about another religion!! At present I am a Sanatan religious person ")</f>
        <v xml:space="preserve">How much can a person respect his own religion and make such bad comments about another religion!! At present I am a Sanatan religious person </v>
      </c>
      <c r="F3042" s="1"/>
      <c r="G3042" s="1"/>
      <c r="H3042" s="1"/>
      <c r="I3042" s="1"/>
    </row>
    <row r="3043" spans="1:9" ht="15.6" x14ac:dyDescent="0.3">
      <c r="A3043" s="1" t="s">
        <v>7</v>
      </c>
      <c r="B3043" s="1" t="s">
        <v>7</v>
      </c>
      <c r="C3043" s="10" t="s">
        <v>7</v>
      </c>
      <c r="D3043" s="5" t="s">
        <v>2731</v>
      </c>
      <c r="E3043" s="1" t="str">
        <f ca="1">IFERROR(__xludf.DUMMYFUNCTION("GOOGLETRANSLATE(D3043, ""bn"", ""en"")"),"After performing the last rites of the deceased, he is approached by two blue-eyed and black-bearded questioning angels named Munkar and Naqir. ")</f>
        <v>After performing the last rites of the deceased, he is approached by two blue-eyed and black-bearded questioning angels named Munkar and Naqir. </v>
      </c>
      <c r="F3043" s="1"/>
      <c r="G3043" s="1"/>
      <c r="H3043" s="1"/>
      <c r="I3043" s="1"/>
    </row>
    <row r="3044" spans="1:9" ht="15.6" x14ac:dyDescent="0.3">
      <c r="A3044" s="1" t="s">
        <v>7</v>
      </c>
      <c r="B3044" s="1" t="s">
        <v>7</v>
      </c>
      <c r="C3044" s="10" t="s">
        <v>7</v>
      </c>
      <c r="D3044" s="5" t="s">
        <v>2732</v>
      </c>
      <c r="E3044" s="1" t="str">
        <f ca="1">IFERROR(__xludf.DUMMYFUNCTION("GOOGLETRANSLATE(D3044, ""bn"", ""en"")"),"About 60 people were killed and thousands displaced in the Hindu-Muslim riots in Uttar Pradesh's Muzaffarnagar.")</f>
        <v>About 60 people were killed and thousands displaced in the Hindu-Muslim riots in Uttar Pradesh's Muzaffarnagar.</v>
      </c>
      <c r="F3044" s="1"/>
      <c r="G3044" s="1"/>
      <c r="H3044" s="1"/>
      <c r="I3044" s="1"/>
    </row>
    <row r="3045" spans="1:9" ht="15.6" x14ac:dyDescent="0.3">
      <c r="A3045" s="1" t="s">
        <v>9</v>
      </c>
      <c r="B3045" s="1" t="s">
        <v>9</v>
      </c>
      <c r="C3045" s="10" t="s">
        <v>9</v>
      </c>
      <c r="D3045" s="5" t="s">
        <v>2733</v>
      </c>
      <c r="E3045" s="1" t="str">
        <f ca="1">IFERROR(__xludf.DUMMYFUNCTION("GOOGLETRANSLATE(D3045, ""bn"", ""en"")"),"Bangladeshi professionals, political and cultural figures living in Australia have responded to the incident of attacks on Hindus in Bangladesh.")</f>
        <v>Bangladeshi professionals, political and cultural figures living in Australia have responded to the incident of attacks on Hindus in Bangladesh.</v>
      </c>
      <c r="F3045" s="1"/>
      <c r="G3045" s="1"/>
      <c r="H3045" s="1"/>
      <c r="I3045" s="1"/>
    </row>
    <row r="3046" spans="1:9" ht="15.6" x14ac:dyDescent="0.3">
      <c r="A3046" s="1" t="s">
        <v>9</v>
      </c>
      <c r="B3046" s="1" t="s">
        <v>9</v>
      </c>
      <c r="C3046" s="10" t="s">
        <v>9</v>
      </c>
      <c r="D3046" s="5" t="s">
        <v>2734</v>
      </c>
      <c r="E3046" s="1" t="str">
        <f ca="1">IFERROR(__xludf.DUMMYFUNCTION("GOOGLETRANSLATE(D3046, ""bn"", ""en"")"),"The houses of the Hindu community were looted, razed and set on fire. Hindu villagers were assaulted and killed. [1] Many Hindu girls were raped by members of the police force.")</f>
        <v>The houses of the Hindu community were looted, razed and set on fire. Hindu villagers were assaulted and killed. [1] Many Hindu girls were raped by members of the police force.</v>
      </c>
      <c r="F3046" s="1"/>
      <c r="G3046" s="1"/>
      <c r="H3046" s="1"/>
      <c r="I3046" s="1"/>
    </row>
    <row r="3047" spans="1:9" ht="15.6" x14ac:dyDescent="0.3">
      <c r="A3047" s="1" t="s">
        <v>7</v>
      </c>
      <c r="B3047" s="1" t="s">
        <v>5</v>
      </c>
      <c r="C3047" s="10" t="s">
        <v>7</v>
      </c>
      <c r="D3047" s="5" t="s">
        <v>2735</v>
      </c>
      <c r="E3047" s="1" t="str">
        <f ca="1">IFERROR(__xludf.DUMMYFUNCTION("GOOGLETRANSLATE(D3047, ""bn"", ""en"")"),"I demand the execution of those devils who burned the Quran, O Allah, protect our Quran, Amen.")</f>
        <v>I demand the execution of those devils who burned the Quran, O Allah, protect our Quran, Amen.</v>
      </c>
      <c r="F3047" s="1"/>
      <c r="G3047" s="1"/>
      <c r="H3047" s="1"/>
      <c r="I3047" s="1"/>
    </row>
    <row r="3048" spans="1:9" ht="15.6" x14ac:dyDescent="0.3">
      <c r="A3048" s="1" t="s">
        <v>7</v>
      </c>
      <c r="B3048" s="1" t="s">
        <v>7</v>
      </c>
      <c r="C3048" s="10" t="s">
        <v>7</v>
      </c>
      <c r="D3048" s="5" t="s">
        <v>2736</v>
      </c>
      <c r="E3048" s="1" t="str">
        <f ca="1">IFERROR(__xludf.DUMMYFUNCTION("GOOGLETRANSLATE(D3048, ""bn"", ""en"")"),"Although the girl's parents are Chakma and Buddhist by ethnicity, the girl's husband's family claims that the girl converted to Islam during the marriage. After that, both parties applied to the court claiming ownership of the girl's body.")</f>
        <v>Although the girl's parents are Chakma and Buddhist by ethnicity, the girl's husband's family claims that the girl converted to Islam during the marriage. After that, both parties applied to the court claiming ownership of the girl's body.</v>
      </c>
      <c r="F3048" s="1"/>
      <c r="G3048" s="1"/>
      <c r="H3048" s="1"/>
      <c r="I3048" s="1"/>
    </row>
    <row r="3049" spans="1:9" ht="15.6" x14ac:dyDescent="0.3">
      <c r="A3049" s="1" t="s">
        <v>9</v>
      </c>
      <c r="B3049" s="1" t="s">
        <v>9</v>
      </c>
      <c r="C3049" s="10" t="s">
        <v>9</v>
      </c>
      <c r="D3049" s="5" t="s">
        <v>2737</v>
      </c>
      <c r="E3049" s="1" t="str">
        <f ca="1">IFERROR(__xludf.DUMMYFUNCTION("GOOGLETRANSLATE(D3049, ""bn"", ""en"")"),"In 2016, a Christian church in Indonesia was attacked and windows and doors were broken and some religious people were injured.")</f>
        <v>In 2016, a Christian church in Indonesia was attacked and windows and doors were broken and some religious people were injured.</v>
      </c>
      <c r="F3049" s="1"/>
      <c r="G3049" s="1"/>
      <c r="H3049" s="1"/>
      <c r="I3049" s="1"/>
    </row>
    <row r="3050" spans="1:9" ht="15.6" x14ac:dyDescent="0.3">
      <c r="A3050" s="1" t="s">
        <v>5</v>
      </c>
      <c r="B3050" s="1" t="s">
        <v>5</v>
      </c>
      <c r="C3050" s="10" t="s">
        <v>5</v>
      </c>
      <c r="D3050" s="5" t="s">
        <v>2738</v>
      </c>
      <c r="E3050" s="1" t="str">
        <f ca="1">IFERROR(__xludf.DUMMYFUNCTION("GOOGLETRANSLATE(D3050, ""bn"", ""en"")"),"In the Qur'an Allah praises animals and birds because they proclaim His glory and are as important a part of His creation as humans.")</f>
        <v>In the Qur'an Allah praises animals and birds because they proclaim His glory and are as important a part of His creation as humans.</v>
      </c>
      <c r="F3050" s="1"/>
      <c r="G3050" s="1"/>
      <c r="H3050" s="1"/>
      <c r="I3050" s="1"/>
    </row>
    <row r="3051" spans="1:9" ht="15.6" x14ac:dyDescent="0.3">
      <c r="A3051" s="1" t="s">
        <v>7</v>
      </c>
      <c r="B3051" s="1" t="s">
        <v>7</v>
      </c>
      <c r="C3051" s="10" t="s">
        <v>7</v>
      </c>
      <c r="D3051" s="5" t="s">
        <v>2739</v>
      </c>
      <c r="E3051" s="1" t="str">
        <f ca="1">IFERROR(__xludf.DUMMYFUNCTION("GOOGLETRANSLATE(D3051, ""bn"", ""en"")"),"Women who participated in sati daha wore extravagant clothes. Banabhatta says of Jashomati that, after being destined for the pyre, she sent away her relatives and servants. She then adorns herself with jewels which she then distributes to others.")</f>
        <v>Women who participated in sati daha wore extravagant clothes. Banabhatta says of Jashomati that, after being destined for the pyre, she sent away her relatives and servants. She then adorns herself with jewels which she then distributes to others.</v>
      </c>
      <c r="F3051" s="1"/>
      <c r="G3051" s="1"/>
      <c r="H3051" s="1"/>
      <c r="I3051" s="1"/>
    </row>
    <row r="3052" spans="1:9" ht="15.6" x14ac:dyDescent="0.3">
      <c r="A3052" s="1" t="s">
        <v>4</v>
      </c>
      <c r="B3052" s="1" t="s">
        <v>4</v>
      </c>
      <c r="C3052" s="10" t="s">
        <v>4</v>
      </c>
      <c r="D3052" s="5" t="s">
        <v>2740</v>
      </c>
      <c r="E3052" s="1" t="str">
        <f ca="1">IFERROR(__xludf.DUMMYFUNCTION("GOOGLETRANSLATE(D3052, ""bn"", ""en"")"),"From this point of view, a Muslim is a greater Christian than a Christian, a Hindu is greater than a Hindu, a Persian is greater than a Persian.")</f>
        <v>From this point of view, a Muslim is a greater Christian than a Christian, a Hindu is greater than a Hindu, a Persian is greater than a Persian.</v>
      </c>
      <c r="F3052" s="1"/>
      <c r="G3052" s="1"/>
      <c r="H3052" s="1"/>
      <c r="I3052" s="1"/>
    </row>
    <row r="3053" spans="1:9" ht="46.8" x14ac:dyDescent="0.3">
      <c r="A3053" s="1" t="s">
        <v>9</v>
      </c>
      <c r="B3053" s="1" t="s">
        <v>5</v>
      </c>
      <c r="C3053" s="10" t="s">
        <v>9</v>
      </c>
      <c r="D3053" s="6" t="s">
        <v>3713</v>
      </c>
      <c r="E3053" s="1" t="str">
        <f ca="1">IFERROR(__xludf.DUMMYFUNCTION("GOOGLETRANSLATE(D3053, ""bn"", ""en"")"),"Law enforcement agencies are kept inactive. Thousands of Hindus took shelter in Brahmandia village of Agarpur union in Barisal district. Vice President of Barisal District Muslim League and President of Agarpur Union Altafuddin Mohammad stood against this"&amp;" riot in Barisal. He sheltered the Hindus of his area in his own house and well-wishers.")</f>
        <v>Law enforcement agencies are kept inactive. Thousands of Hindus took shelter in Brahmandia village of Agarpur union in Barisal district. Vice President of Barisal District Muslim League and President of Agarpur Union Altafuddin Mohammad stood against this riot in Barisal. He sheltered the Hindus of his area in his own house and well-wishers.</v>
      </c>
      <c r="F3053" s="1"/>
      <c r="G3053" s="1"/>
      <c r="H3053" s="1"/>
      <c r="I3053" s="1"/>
    </row>
    <row r="3054" spans="1:9" ht="15.6" x14ac:dyDescent="0.3">
      <c r="A3054" s="1" t="s">
        <v>4</v>
      </c>
      <c r="B3054" s="1" t="s">
        <v>4</v>
      </c>
      <c r="C3054" s="10" t="s">
        <v>4</v>
      </c>
      <c r="D3054" s="5" t="s">
        <v>2741</v>
      </c>
      <c r="E3054" s="1" t="str">
        <f ca="1">IFERROR(__xludf.DUMMYFUNCTION("GOOGLETRANSLATE(D3054, ""bn"", ""en"")"),"Are they Muslims at all??? Is there not a single Muslim among them!???")</f>
        <v>Are they Muslims at all??? Is there not a single Muslim among them!???</v>
      </c>
      <c r="F3054" s="1"/>
      <c r="G3054" s="1"/>
      <c r="H3054" s="1"/>
      <c r="I3054" s="1"/>
    </row>
    <row r="3055" spans="1:9" ht="15.6" x14ac:dyDescent="0.3">
      <c r="A3055" s="1" t="s">
        <v>7</v>
      </c>
      <c r="B3055" s="1" t="s">
        <v>7</v>
      </c>
      <c r="C3055" s="10" t="s">
        <v>7</v>
      </c>
      <c r="D3055" s="5" t="s">
        <v>2742</v>
      </c>
      <c r="E3055" s="1" t="str">
        <f ca="1">IFERROR(__xludf.DUMMYFUNCTION("GOOGLETRANSLATE(D3055, ""bn"", ""en"")"),"Since 2003, religious and ethnic conflicts between Arab and African ethnic groups have killed and displaced millions of people.")</f>
        <v>Since 2003, religious and ethnic conflicts between Arab and African ethnic groups have killed and displaced millions of people.</v>
      </c>
      <c r="F3055" s="1"/>
      <c r="G3055" s="1"/>
      <c r="H3055" s="1"/>
      <c r="I3055" s="1"/>
    </row>
    <row r="3056" spans="1:9" ht="15.6" x14ac:dyDescent="0.3">
      <c r="A3056" s="1" t="s">
        <v>4</v>
      </c>
      <c r="B3056" s="1" t="s">
        <v>4</v>
      </c>
      <c r="C3056" s="10" t="s">
        <v>4</v>
      </c>
      <c r="D3056" s="5" t="s">
        <v>2743</v>
      </c>
      <c r="E3056" s="1" t="str">
        <f ca="1">IFERROR(__xludf.DUMMYFUNCTION("GOOGLETRANSLATE(D3056, ""bn"", ""en"")"),"I know that religion means peace, why is there such a comment? Why such difficulty? Why such demonic activities?")</f>
        <v>I know that religion means peace, why is there such a comment? Why such difficulty? Why such demonic activities?</v>
      </c>
      <c r="F3056" s="1"/>
      <c r="G3056" s="1"/>
      <c r="H3056" s="1"/>
      <c r="I3056" s="1"/>
    </row>
    <row r="3057" spans="1:9" ht="15.6" x14ac:dyDescent="0.3">
      <c r="A3057" s="1" t="s">
        <v>4</v>
      </c>
      <c r="B3057" s="1" t="s">
        <v>4</v>
      </c>
      <c r="C3057" s="10" t="s">
        <v>4</v>
      </c>
      <c r="D3057" s="5" t="s">
        <v>2744</v>
      </c>
      <c r="E3057" s="1" t="str">
        <f ca="1">IFERROR(__xludf.DUMMYFUNCTION("GOOGLETRANSLATE(D3057, ""bn"", ""en"")"),"According to the law of Bangladesh, insulting religion and hurting religious sentiments will be considered as punishable offences.")</f>
        <v>According to the law of Bangladesh, insulting religion and hurting religious sentiments will be considered as punishable offences.</v>
      </c>
      <c r="F3057" s="1"/>
      <c r="G3057" s="1"/>
      <c r="H3057" s="1"/>
      <c r="I3057" s="1"/>
    </row>
    <row r="3058" spans="1:9" ht="15.6" x14ac:dyDescent="0.3">
      <c r="A3058" s="1" t="s">
        <v>5</v>
      </c>
      <c r="B3058" s="1" t="s">
        <v>4</v>
      </c>
      <c r="C3058" s="10" t="s">
        <v>5</v>
      </c>
      <c r="D3058" s="5" t="s">
        <v>2745</v>
      </c>
      <c r="E3058" s="1" t="str">
        <f ca="1">IFERROR(__xludf.DUMMYFUNCTION("GOOGLETRANSLATE(D3058, ""bn"", ""en"")"),"All the Hindus in the area know that the mosque has been there for about 75 years, which is a settled issue. Then in 2015 the then Member of Parliament Manoranjan Sheel Gopal made a donation to the mosque which has provenance. ")</f>
        <v xml:space="preserve">All the Hindus in the area know that the mosque has been there for about 75 years, which is a settled issue. Then in 2015 the then Member of Parliament Manoranjan Sheel Gopal made a donation to the mosque which has provenance. </v>
      </c>
      <c r="F3058" s="1"/>
      <c r="G3058" s="1"/>
      <c r="H3058" s="1"/>
      <c r="I3058" s="1"/>
    </row>
    <row r="3059" spans="1:9" ht="15.6" x14ac:dyDescent="0.3">
      <c r="A3059" s="1" t="s">
        <v>5</v>
      </c>
      <c r="B3059" s="1" t="s">
        <v>5</v>
      </c>
      <c r="C3059" s="10" t="s">
        <v>5</v>
      </c>
      <c r="D3059" s="5" t="s">
        <v>2746</v>
      </c>
      <c r="E3059" s="1" t="str">
        <f ca="1">IFERROR(__xludf.DUMMYFUNCTION("GOOGLETRANSLATE(D3059, ""bn"", ""en"")"),"Mahashivratri festival is celebrated every year on the Chaturdashi tithi of the Krishna side of the month of Falgun. This year the festival will be celebrated on Wednesday, February 26. ")</f>
        <v>Mahashivratri festival is celebrated every year on the Chaturdashi tithi of the Krishna side of the month of Falgun. This year the festival will be celebrated on Wednesday, February 26. </v>
      </c>
      <c r="F3059" s="1"/>
      <c r="G3059" s="1"/>
      <c r="H3059" s="1"/>
      <c r="I3059" s="1"/>
    </row>
    <row r="3060" spans="1:9" ht="15.6" x14ac:dyDescent="0.3">
      <c r="A3060" s="1" t="s">
        <v>4</v>
      </c>
      <c r="B3060" s="1" t="s">
        <v>4</v>
      </c>
      <c r="C3060" s="10" t="s">
        <v>4</v>
      </c>
      <c r="D3060" s="5" t="s">
        <v>2747</v>
      </c>
      <c r="E3060" s="1" t="str">
        <f ca="1">IFERROR(__xludf.DUMMYFUNCTION("GOOGLETRANSLATE(D3060, ""bn"", ""en"")"),"The BJP leadership has started taking a hard look at this incident. However, in the overall situation, the Congress is also uncomfortable hearing this from the leader of the alliance partner.")</f>
        <v>The BJP leadership has started taking a hard look at this incident. However, in the overall situation, the Congress is also uncomfortable hearing this from the leader of the alliance partner.</v>
      </c>
      <c r="F3060" s="1"/>
      <c r="G3060" s="1"/>
      <c r="H3060" s="1"/>
      <c r="I3060" s="1"/>
    </row>
    <row r="3061" spans="1:9" ht="15.6" x14ac:dyDescent="0.3">
      <c r="A3061" s="1" t="s">
        <v>4</v>
      </c>
      <c r="B3061" s="1" t="s">
        <v>5</v>
      </c>
      <c r="C3061" s="10" t="s">
        <v>4</v>
      </c>
      <c r="D3061" s="5" t="s">
        <v>2748</v>
      </c>
      <c r="E3061" s="1" t="str">
        <f ca="1">IFERROR(__xludf.DUMMYFUNCTION("GOOGLETRANSLATE(D3061, ""bn"", ""en"")"),"Due to posting a picture with her mother on Facebook, those who had the wrong idea that she is a Muslim after seeing her mother's head sidhur are now making some reverse comments after realizing that their idea was wrong! ")</f>
        <v>Due to posting a picture with her mother on Facebook, those who had the wrong idea that she is a Muslim after seeing her mother's head sidhur are now making some reverse comments after realizing that their idea was wrong! </v>
      </c>
      <c r="F3061" s="1"/>
      <c r="G3061" s="1"/>
      <c r="H3061" s="1"/>
      <c r="I3061" s="1"/>
    </row>
    <row r="3062" spans="1:9" ht="15.6" x14ac:dyDescent="0.3">
      <c r="A3062" s="1" t="s">
        <v>9</v>
      </c>
      <c r="B3062" s="1" t="s">
        <v>9</v>
      </c>
      <c r="C3062" s="10" t="s">
        <v>9</v>
      </c>
      <c r="D3062" s="5" t="s">
        <v>2749</v>
      </c>
      <c r="E3062" s="1" t="str">
        <f ca="1">IFERROR(__xludf.DUMMYFUNCTION("GOOGLETRANSLATE(D3062, ""bn"", ""en"")"),"The young man entered a shop located next to the temple saying to exchange a 1000 taka note. After breaking the lock of the temple and entering inside, he tried to break the face of the Kali idol with bricks and stones.")</f>
        <v>The young man entered a shop located next to the temple saying to exchange a 1000 taka note. After breaking the lock of the temple and entering inside, he tried to break the face of the Kali idol with bricks and stones.</v>
      </c>
      <c r="F3062" s="1"/>
      <c r="G3062" s="1"/>
      <c r="H3062" s="1"/>
      <c r="I3062" s="1"/>
    </row>
    <row r="3063" spans="1:9" ht="15.6" x14ac:dyDescent="0.3">
      <c r="A3063" s="1" t="s">
        <v>5</v>
      </c>
      <c r="B3063" s="1" t="s">
        <v>5</v>
      </c>
      <c r="C3063" s="10" t="s">
        <v>5</v>
      </c>
      <c r="D3063" s="5" t="s">
        <v>2750</v>
      </c>
      <c r="E3063" s="1" t="str">
        <f ca="1">IFERROR(__xludf.DUMMYFUNCTION("GOOGLETRANSLATE(D3063, ""bn"", ""en"")"),"ISKCON members spread their ideology in various ways outside of worship in their own temples. They spread the doctrine of ISKCON all over the world by chanting the mantra 'Hare Krishna Hare Ram' with khol-kartal in the streets, dancing or holding seminars"&amp;".")</f>
        <v>ISKCON members spread their ideology in various ways outside of worship in their own temples. They spread the doctrine of ISKCON all over the world by chanting the mantra 'Hare Krishna Hare Ram' with khol-kartal in the streets, dancing or holding seminars.</v>
      </c>
      <c r="F3063" s="1"/>
      <c r="G3063" s="1"/>
      <c r="H3063" s="1"/>
      <c r="I3063" s="1"/>
    </row>
    <row r="3064" spans="1:9" ht="15.6" x14ac:dyDescent="0.3">
      <c r="A3064" s="1" t="s">
        <v>7</v>
      </c>
      <c r="B3064" s="1" t="s">
        <v>7</v>
      </c>
      <c r="C3064" s="10" t="s">
        <v>7</v>
      </c>
      <c r="D3064" s="5" t="s">
        <v>2751</v>
      </c>
      <c r="E3064" s="1" t="str">
        <f ca="1">IFERROR(__xludf.DUMMYFUNCTION("GOOGLETRANSLATE(D3064, ""bn"", ""en"")"),"It is commonly called the Janazah prayer, which literally means the funeral prayer or colloquially the prayer for the dead body. For Muslims i.e. followers of Islam, it is Faraj Kefaya or an obligatory duty for the society, i.e. when a Muslim dies, the Mu"&amp;"slim community must perform the funeral prayer. ")</f>
        <v>It is commonly called the Janazah prayer, which literally means the funeral prayer or colloquially the prayer for the dead body. For Muslims i.e. followers of Islam, it is Faraj Kefaya or an obligatory duty for the society, i.e. when a Muslim dies, the Muslim community must perform the funeral prayer. </v>
      </c>
      <c r="F3064" s="1"/>
      <c r="G3064" s="1"/>
      <c r="H3064" s="1"/>
      <c r="I3064" s="1"/>
    </row>
    <row r="3065" spans="1:9" ht="15.6" x14ac:dyDescent="0.3">
      <c r="A3065" s="1" t="s">
        <v>4</v>
      </c>
      <c r="B3065" s="1" t="s">
        <v>4</v>
      </c>
      <c r="C3065" s="10" t="s">
        <v>4</v>
      </c>
      <c r="D3065" s="5" t="s">
        <v>2752</v>
      </c>
      <c r="E3065" s="1" t="str">
        <f ca="1">IFERROR(__xludf.DUMMYFUNCTION("GOOGLETRANSLATE(D3065, ""bn"", ""en"")"),"Tarek Ahmed is not responsible if any kind of anti-state or anti-religious post is made from ID, and if anyone asks for money, please don't give it to anyone, please report it to ID.")</f>
        <v>Tarek Ahmed is not responsible if any kind of anti-state or anti-religious post is made from ID, and if anyone asks for money, please don't give it to anyone, please report it to ID.</v>
      </c>
      <c r="F3065" s="1"/>
      <c r="G3065" s="1"/>
      <c r="H3065" s="1"/>
      <c r="I3065" s="1"/>
    </row>
    <row r="3066" spans="1:9" ht="15.6" x14ac:dyDescent="0.3">
      <c r="A3066" s="4" t="s">
        <v>7</v>
      </c>
      <c r="B3066" s="4" t="s">
        <v>7</v>
      </c>
      <c r="C3066" s="11" t="s">
        <v>7</v>
      </c>
      <c r="D3066" s="5" t="s">
        <v>2753</v>
      </c>
      <c r="E3066" s="1" t="str">
        <f ca="1">IFERROR(__xludf.DUMMYFUNCTION("GOOGLETRANSLATE(D3066, ""bn"", ""en"")"),"All religions were banned in Cambodia. During the Khmer Rouge regime, followers of Islam, Christianity and Buddhism were widely persecuted. According to one estimate, the Khmer Rouge regime killed 50,000 Buddhist monks.")</f>
        <v>All religions were banned in Cambodia. During the Khmer Rouge regime, followers of Islam, Christianity and Buddhism were widely persecuted. According to one estimate, the Khmer Rouge regime killed 50,000 Buddhist monks.</v>
      </c>
      <c r="F3066" s="1"/>
      <c r="G3066" s="1"/>
      <c r="H3066" s="1"/>
      <c r="I3066" s="1"/>
    </row>
    <row r="3067" spans="1:9" ht="15.6" x14ac:dyDescent="0.3">
      <c r="A3067" s="1" t="s">
        <v>4</v>
      </c>
      <c r="B3067" s="1" t="s">
        <v>4</v>
      </c>
      <c r="C3067" s="10" t="s">
        <v>4</v>
      </c>
      <c r="D3067" s="5" t="s">
        <v>2754</v>
      </c>
      <c r="E3067" s="1" t="str">
        <f ca="1">IFERROR(__xludf.DUMMYFUNCTION("GOOGLETRANSLATE(D3067, ""bn"", ""en"")"),"Currently, Muslims face religious restrictions in 142 countries, according to a PEW report on growing religious restrictions around the world. According to the US State Department's 2019 Freedom of Religion Report, the Central African Republic is divided "&amp;"between the anti-Christian Balaka and the predominantly Muslim ex-Seleka militia forces, with many Muslim communities displaced and not allowed to practice their religion freely.")</f>
        <v>Currently, Muslims face religious restrictions in 142 countries, according to a PEW report on growing religious restrictions around the world. According to the US State Department's 2019 Freedom of Religion Report, the Central African Republic is divided between the anti-Christian Balaka and the predominantly Muslim ex-Seleka militia forces, with many Muslim communities displaced and not allowed to practice their religion freely.</v>
      </c>
      <c r="F3067" s="1"/>
      <c r="G3067" s="1"/>
      <c r="H3067" s="1"/>
      <c r="I3067" s="1"/>
    </row>
    <row r="3068" spans="1:9" ht="15.6" x14ac:dyDescent="0.3">
      <c r="A3068" s="1" t="s">
        <v>5</v>
      </c>
      <c r="B3068" s="1" t="s">
        <v>5</v>
      </c>
      <c r="C3068" s="10" t="s">
        <v>5</v>
      </c>
      <c r="D3068" s="5" t="s">
        <v>2755</v>
      </c>
      <c r="E3068" s="1" t="str">
        <f ca="1">IFERROR(__xludf.DUMMYFUNCTION("GOOGLETRANSLATE(D3068, ""bn"", ""en"")"),"Feminism has no conflict with Islam. Islam does not limit women's duties and responsibilities within the home, but instead allows for her social participation.""")</f>
        <v>Feminism has no conflict with Islam. Islam does not limit women's duties and responsibilities within the home, but instead allows for her social participation."</v>
      </c>
      <c r="F3068" s="1"/>
      <c r="G3068" s="1"/>
      <c r="H3068" s="1"/>
      <c r="I3068" s="1"/>
    </row>
    <row r="3069" spans="1:9" ht="15.6" x14ac:dyDescent="0.3">
      <c r="A3069" s="1" t="s">
        <v>5</v>
      </c>
      <c r="B3069" s="1" t="s">
        <v>5</v>
      </c>
      <c r="C3069" s="10" t="s">
        <v>5</v>
      </c>
      <c r="D3069" s="5" t="s">
        <v>2756</v>
      </c>
      <c r="E3069" s="1" t="str">
        <f ca="1">IFERROR(__xludf.DUMMYFUNCTION("GOOGLETRANSLATE(D3069, ""bn"", ""en"")"),"The basic teaching of Jainism is to achieve spiritual liberation through self-sacrifice and non-violence, which contributes to the welfare of humanity.")</f>
        <v>The basic teaching of Jainism is to achieve spiritual liberation through self-sacrifice and non-violence, which contributes to the welfare of humanity.</v>
      </c>
      <c r="F3069" s="1"/>
      <c r="G3069" s="1"/>
      <c r="H3069" s="1"/>
      <c r="I3069" s="1"/>
    </row>
    <row r="3070" spans="1:9" ht="15.6" x14ac:dyDescent="0.3">
      <c r="A3070" s="1" t="s">
        <v>7</v>
      </c>
      <c r="B3070" s="1" t="s">
        <v>7</v>
      </c>
      <c r="C3070" s="10" t="s">
        <v>7</v>
      </c>
      <c r="D3070" s="5" t="s">
        <v>2757</v>
      </c>
      <c r="E3070" s="1" t="str">
        <f ca="1">IFERROR(__xludf.DUMMYFUNCTION("GOOGLETRANSLATE(D3070, ""bn"", ""en"")"),"After they left the position, Khalid bin Walid, one of the commanders of the Meccan forces, got an opportunity to attack the Muslims, causing chaos among the Muslims. During this time many Muslims were killed. ")</f>
        <v>After they left the position, Khalid bin Walid, one of the commanders of the Meccan forces, got an opportunity to attack the Muslims, causing chaos among the Muslims. During this time many Muslims were killed. </v>
      </c>
      <c r="F3070" s="1"/>
      <c r="G3070" s="1"/>
      <c r="H3070" s="1"/>
      <c r="I3070" s="1"/>
    </row>
    <row r="3071" spans="1:9" ht="15.6" x14ac:dyDescent="0.3">
      <c r="A3071" s="1" t="s">
        <v>9</v>
      </c>
      <c r="B3071" s="1" t="s">
        <v>9</v>
      </c>
      <c r="C3071" s="10" t="s">
        <v>9</v>
      </c>
      <c r="D3071" s="5" t="s">
        <v>2758</v>
      </c>
      <c r="E3071" s="1" t="str">
        <f ca="1">IFERROR(__xludf.DUMMYFUNCTION("GOOGLETRANSLATE(D3071, ""bn"", ""en"")"),"Many Hindu women were raped and thousands of Hindu men and women were forcibly converted to Islam.")</f>
        <v>Many Hindu women were raped and thousands of Hindu men and women were forcibly converted to Islam.</v>
      </c>
      <c r="F3071" s="1"/>
      <c r="G3071" s="1"/>
      <c r="H3071" s="1"/>
      <c r="I3071" s="1"/>
    </row>
    <row r="3072" spans="1:9" ht="15.6" x14ac:dyDescent="0.3">
      <c r="A3072" s="1" t="s">
        <v>9</v>
      </c>
      <c r="B3072" s="1" t="s">
        <v>9</v>
      </c>
      <c r="C3072" s="10" t="s">
        <v>9</v>
      </c>
      <c r="D3072" s="5" t="s">
        <v>2759</v>
      </c>
      <c r="E3072" s="1" t="str">
        <f ca="1">IFERROR(__xludf.DUMMYFUNCTION("GOOGLETRANSLATE(D3072, ""bn"", ""en"")"),"There, anti-Hindu slogans were raised and houses belonging to the Hindu community were set on fire. Many Hindus took refuge in the nearby jungles for their lives and those who could not escape were converted. And those who refused to convert were brutally"&amp;" killed.")</f>
        <v>There, anti-Hindu slogans were raised and houses belonging to the Hindu community were set on fire. Many Hindus took refuge in the nearby jungles for their lives and those who could not escape were converted. And those who refused to convert were brutally killed.</v>
      </c>
      <c r="F3072" s="1"/>
      <c r="G3072" s="1"/>
      <c r="H3072" s="1"/>
      <c r="I3072" s="1"/>
    </row>
    <row r="3073" spans="1:9" ht="15.6" x14ac:dyDescent="0.3">
      <c r="A3073" s="1" t="s">
        <v>4</v>
      </c>
      <c r="B3073" s="1" t="s">
        <v>5</v>
      </c>
      <c r="C3073" s="10" t="s">
        <v>4</v>
      </c>
      <c r="D3073" s="5" t="s">
        <v>1099</v>
      </c>
      <c r="E3073" s="1" t="str">
        <f ca="1">IFERROR(__xludf.DUMMYFUNCTION("GOOGLETRANSLATE(D3073, ""bn"", ""en"")"),"I understand that Jagannath is for Sanatan religious people, Puja is done there. But no one wants to go to Jagannath Hall for Iftar party. It does not mean that Muslims can't do it anywhere else in Dubai.")</f>
        <v>I understand that Jagannath is for Sanatan religious people, Puja is done there. But no one wants to go to Jagannath Hall for Iftar party. It does not mean that Muslims can't do it anywhere else in Dubai.</v>
      </c>
      <c r="F3073" s="1"/>
      <c r="G3073" s="1"/>
      <c r="H3073" s="1"/>
      <c r="I3073" s="1"/>
    </row>
    <row r="3074" spans="1:9" ht="15.6" x14ac:dyDescent="0.3">
      <c r="A3074" s="1" t="s">
        <v>7</v>
      </c>
      <c r="B3074" s="1" t="s">
        <v>7</v>
      </c>
      <c r="C3074" s="10" t="s">
        <v>7</v>
      </c>
      <c r="D3074" s="5" t="s">
        <v>2760</v>
      </c>
      <c r="E3074" s="1" t="str">
        <f ca="1">IFERROR(__xludf.DUMMYFUNCTION("GOOGLETRANSLATE(D3074, ""bn"", ""en"")"),"One Israeli was killed, at least 15 were injured. ")</f>
        <v xml:space="preserve">One Israeli was killed, at least 15 were injured. </v>
      </c>
      <c r="F3074" s="1"/>
      <c r="G3074" s="1"/>
      <c r="H3074" s="1"/>
      <c r="I3074" s="1"/>
    </row>
    <row r="3075" spans="1:9" ht="15.6" x14ac:dyDescent="0.3">
      <c r="A3075" s="4" t="s">
        <v>7</v>
      </c>
      <c r="B3075" s="4" t="s">
        <v>7</v>
      </c>
      <c r="C3075" s="11" t="s">
        <v>7</v>
      </c>
      <c r="D3075" s="5" t="s">
        <v>2761</v>
      </c>
      <c r="E3075" s="1" t="str">
        <f ca="1">IFERROR(__xludf.DUMMYFUNCTION("GOOGLETRANSLATE(D3075, ""bn"", ""en"")"),"The Nellie Massacre or Nellie Massacre or Nellie Massacre was a six-hour massacre on 18 February 1983 in Assam, India. ")</f>
        <v xml:space="preserve">The Nellie Massacre or Nellie Massacre or Nellie Massacre was a six-hour massacre on 18 February 1983 in Assam, India. </v>
      </c>
      <c r="F3075" s="1"/>
      <c r="G3075" s="1"/>
      <c r="H3075" s="1"/>
      <c r="I3075" s="1"/>
    </row>
    <row r="3076" spans="1:9" ht="15.6" x14ac:dyDescent="0.3">
      <c r="A3076" s="1" t="s">
        <v>5</v>
      </c>
      <c r="B3076" s="1" t="s">
        <v>5</v>
      </c>
      <c r="C3076" s="10" t="s">
        <v>5</v>
      </c>
      <c r="D3076" s="5" t="s">
        <v>2762</v>
      </c>
      <c r="E3076" s="1" t="str">
        <f ca="1">IFERROR(__xludf.DUMMYFUNCTION("GOOGLETRANSLATE(D3076, ""bn"", ""en"")"),"It is very nice to see or hear some of Putin's work, I pray that Allah may grant him shelter under the shadow of peace as a means of showing respect to the Quran.")</f>
        <v>It is very nice to see or hear some of Putin's work, I pray that Allah may grant him shelter under the shadow of peace as a means of showing respect to the Quran.</v>
      </c>
      <c r="F3076" s="1"/>
      <c r="G3076" s="1"/>
      <c r="H3076" s="1"/>
      <c r="I3076" s="1"/>
    </row>
    <row r="3077" spans="1:9" ht="15.6" x14ac:dyDescent="0.3">
      <c r="A3077" s="1" t="s">
        <v>5</v>
      </c>
      <c r="B3077" s="1" t="s">
        <v>5</v>
      </c>
      <c r="C3077" s="10" t="s">
        <v>5</v>
      </c>
      <c r="D3077" s="5" t="s">
        <v>2763</v>
      </c>
      <c r="E3077" s="1" t="str">
        <f ca="1">IFERROR(__xludf.DUMMYFUNCTION("GOOGLETRANSLATE(D3077, ""bn"", ""en"")"),"A Muslim is a 24-hour da'i, his every behavior should be such that seeing the beauty of his behavior, people are attracted to Islam, seeing the ugliness of his behavior, people do not raise a finger against Islam.")</f>
        <v>A Muslim is a 24-hour da'i, his every behavior should be such that seeing the beauty of his behavior, people are attracted to Islam, seeing the ugliness of his behavior, people do not raise a finger against Islam.</v>
      </c>
      <c r="F3077" s="1"/>
      <c r="G3077" s="1"/>
      <c r="H3077" s="1"/>
      <c r="I3077" s="1"/>
    </row>
    <row r="3078" spans="1:9" ht="15.6" x14ac:dyDescent="0.3">
      <c r="A3078" s="1" t="s">
        <v>9</v>
      </c>
      <c r="B3078" s="1" t="s">
        <v>9</v>
      </c>
      <c r="C3078" s="10" t="s">
        <v>9</v>
      </c>
      <c r="D3078" s="5" t="s">
        <v>2764</v>
      </c>
      <c r="E3078" s="1" t="str">
        <f ca="1">IFERROR(__xludf.DUMMYFUNCTION("GOOGLETRANSLATE(D3078, ""bn"", ""en"")"),"This communal attack is not an isolated incident. According to the statistics of human rights organization Law and Arbitration Centre, there have been about 3,679 attacks on the Hindu community in Bangladesh in the last nine years. But not a single incide"&amp;"nt was done justice.")</f>
        <v>This communal attack is not an isolated incident. According to the statistics of human rights organization Law and Arbitration Centre, there have been about 3,679 attacks on the Hindu community in Bangladesh in the last nine years. But not a single incident was done justice.</v>
      </c>
      <c r="F3078" s="1"/>
      <c r="G3078" s="1"/>
      <c r="H3078" s="1"/>
      <c r="I3078" s="1"/>
    </row>
    <row r="3079" spans="1:9" ht="15.6" x14ac:dyDescent="0.3">
      <c r="A3079" s="1" t="s">
        <v>4</v>
      </c>
      <c r="B3079" s="1" t="s">
        <v>5</v>
      </c>
      <c r="C3079" s="10" t="s">
        <v>4</v>
      </c>
      <c r="D3079" s="5" t="s">
        <v>2765</v>
      </c>
      <c r="E3079" s="1" t="str">
        <f ca="1">IFERROR(__xludf.DUMMYFUNCTION("GOOGLETRANSLATE(D3079, ""bn"", ""en"")"),"Did the custom of saying goodbye by singing Rabindra Sangeet start? He was Muslim and fasted. No one in his family stopped him from singing this song? surprising. ")</f>
        <v xml:space="preserve">Did the custom of saying goodbye by singing Rabindra Sangeet start? He was Muslim and fasted. No one in his family stopped him from singing this song? surprising. </v>
      </c>
      <c r="F3079" s="1"/>
      <c r="G3079" s="1"/>
      <c r="H3079" s="1"/>
      <c r="I3079" s="1"/>
    </row>
    <row r="3080" spans="1:9" ht="46.8" x14ac:dyDescent="0.3">
      <c r="A3080" s="1" t="s">
        <v>4</v>
      </c>
      <c r="B3080" s="1" t="s">
        <v>4</v>
      </c>
      <c r="C3080" s="10" t="s">
        <v>4</v>
      </c>
      <c r="D3080" s="6" t="s">
        <v>3712</v>
      </c>
      <c r="E3080" s="1" t="str">
        <f ca="1">IFERROR(__xludf.DUMMYFUNCTION("GOOGLETRANSLATE(D3080, ""bn"", ""en"")")," The relationship between Hindus and Muslims in Bengal was very fragile due to many reasons, including the campaign of Hindu teachers who advanced in the English education culture to give low marks in the records of Muslim students, complaints of various "&amp;"attempts to prevent them from entering the job, the bad condition of Muslims in the Hindu majority provinces, the cancellation of the partition of Bengal, the strong opposition of Hindus to the establishment of Dhaka University, a university established i"&amp;"n the predominantly Muslim region of Bengal. ")</f>
        <v> The relationship between Hindus and Muslims in Bengal was very fragile due to many reasons, including the campaign of Hindu teachers who advanced in the English education culture to give low marks in the records of Muslim students, complaints of various attempts to prevent them from entering the job, the bad condition of Muslims in the Hindu majority provinces, the cancellation of the partition of Bengal, the strong opposition of Hindus to the establishment of Dhaka University, a university established in the predominantly Muslim region of Bengal. </v>
      </c>
      <c r="F3080" s="1"/>
      <c r="G3080" s="1"/>
      <c r="H3080" s="1"/>
      <c r="I3080" s="1"/>
    </row>
    <row r="3081" spans="1:9" ht="15.6" x14ac:dyDescent="0.3">
      <c r="A3081" s="1" t="s">
        <v>4</v>
      </c>
      <c r="B3081" s="1" t="s">
        <v>4</v>
      </c>
      <c r="C3081" s="10" t="s">
        <v>4</v>
      </c>
      <c r="D3081" s="5" t="s">
        <v>2766</v>
      </c>
      <c r="E3081" s="1" t="str">
        <f ca="1">IFERROR(__xludf.DUMMYFUNCTION("GOOGLETRANSLATE(D3081, ""bn"", ""en"")"),"He has to be a victim of radical sectarianism. Many also criticize Hinduism and Durga idols.")</f>
        <v>He has to be a victim of radical sectarianism. Many also criticize Hinduism and Durga idols.</v>
      </c>
      <c r="F3081" s="1"/>
      <c r="G3081" s="1"/>
      <c r="H3081" s="1"/>
      <c r="I3081" s="1"/>
    </row>
    <row r="3082" spans="1:9" ht="15.6" x14ac:dyDescent="0.3">
      <c r="A3082" s="1" t="s">
        <v>4</v>
      </c>
      <c r="B3082" s="1" t="s">
        <v>4</v>
      </c>
      <c r="C3082" s="10" t="s">
        <v>4</v>
      </c>
      <c r="D3082" s="5" t="s">
        <v>2767</v>
      </c>
      <c r="E3082" s="1" t="str">
        <f ca="1">IFERROR(__xludf.DUMMYFUNCTION("GOOGLETRANSLATE(D3082, ""bn"", ""en"")"),"A few (4-5 probably) fake ID comments in the entire Saku community! Although I don't even support the comments of only a couple of religion related questions among thousands of positive comments and this time I didn't like it either. However, Sakud's beha"&amp;"vior was strange. ")</f>
        <v xml:space="preserve">A few (4-5 probably) fake ID comments in the entire Saku community! Although I don't even support the comments of only a couple of religion related questions among thousands of positive comments and this time I didn't like it either. However, Sakud's behavior was strange. </v>
      </c>
      <c r="F3082" s="1"/>
      <c r="G3082" s="1"/>
      <c r="H3082" s="1"/>
      <c r="I3082" s="1"/>
    </row>
    <row r="3083" spans="1:9" ht="15.6" x14ac:dyDescent="0.3">
      <c r="A3083" s="1" t="s">
        <v>9</v>
      </c>
      <c r="B3083" s="1" t="s">
        <v>9</v>
      </c>
      <c r="C3083" s="10" t="s">
        <v>9</v>
      </c>
      <c r="D3083" s="5" t="s">
        <v>2768</v>
      </c>
      <c r="E3083" s="1" t="str">
        <f ca="1">IFERROR(__xludf.DUMMYFUNCTION("GOOGLETRANSLATE(D3083, ""bn"", ""en"")"),"Madrasa who is throwing stones? Who are breaking the temple, what religion were they? Those who harm religion are those who do business with our religion.")</f>
        <v>Madrasa who is throwing stones? Who are breaking the temple, what religion were they? Those who harm religion are those who do business with our religion.</v>
      </c>
      <c r="F3083" s="1"/>
      <c r="G3083" s="1"/>
      <c r="H3083" s="1"/>
      <c r="I3083" s="1"/>
    </row>
    <row r="3084" spans="1:9" ht="15.6" x14ac:dyDescent="0.3">
      <c r="A3084" s="1" t="s">
        <v>5</v>
      </c>
      <c r="B3084" s="1" t="s">
        <v>5</v>
      </c>
      <c r="C3084" s="10" t="s">
        <v>5</v>
      </c>
      <c r="D3084" s="5" t="s">
        <v>2769</v>
      </c>
      <c r="E3084" s="1" t="str">
        <f ca="1">IFERROR(__xludf.DUMMYFUNCTION("GOOGLETRANSLATE(D3084, ""bn"", ""en"")"),"We have many more respected teachers from other religions, from whom we have never heard any bad comments.")</f>
        <v>We have many more respected teachers from other religions, from whom we have never heard any bad comments.</v>
      </c>
      <c r="F3084" s="1"/>
      <c r="G3084" s="1"/>
      <c r="H3084" s="1"/>
      <c r="I3084" s="1"/>
    </row>
    <row r="3085" spans="1:9" ht="15.6" x14ac:dyDescent="0.3">
      <c r="A3085" s="1" t="s">
        <v>5</v>
      </c>
      <c r="B3085" s="1" t="s">
        <v>5</v>
      </c>
      <c r="C3085" s="10" t="s">
        <v>5</v>
      </c>
      <c r="D3085" s="5" t="s">
        <v>2770</v>
      </c>
      <c r="E3085" s="1" t="str">
        <f ca="1">IFERROR(__xludf.DUMMYFUNCTION("GOOGLETRANSLATE(D3085, ""bn"", ""en"")"),"The one who is truly initiated into religion never hurts the religion of others, does not belittle it or takes any unfair advantage. For them, the religion of humanity is the greatest. ")</f>
        <v xml:space="preserve">The one who is truly initiated into religion never hurts the religion of others, does not belittle it or takes any unfair advantage. For them, the religion of humanity is the greatest. </v>
      </c>
      <c r="F3085" s="1"/>
      <c r="G3085" s="1"/>
      <c r="H3085" s="1"/>
      <c r="I3085" s="1"/>
    </row>
    <row r="3086" spans="1:9" ht="15.6" x14ac:dyDescent="0.3">
      <c r="A3086" s="1" t="s">
        <v>5</v>
      </c>
      <c r="B3086" s="1" t="s">
        <v>5</v>
      </c>
      <c r="C3086" s="10" t="s">
        <v>5</v>
      </c>
      <c r="D3086" s="5" t="s">
        <v>2771</v>
      </c>
      <c r="E3086" s="1" t="str">
        <f ca="1">IFERROR(__xludf.DUMMYFUNCTION("GOOGLETRANSLATE(D3086, ""bn"", ""en"")"),"World Prophet Hazrat Muhammad SAW was the greatest warrior and warrior of all time. To sow the seeds of monotheism in the whole world, to embellish Islam ")</f>
        <v xml:space="preserve">World Prophet Hazrat Muhammad SAW was the greatest warrior and warrior of all time. To sow the seeds of monotheism in the whole world, to embellish Islam </v>
      </c>
      <c r="F3086" s="1"/>
      <c r="G3086" s="1"/>
      <c r="H3086" s="1"/>
      <c r="I3086" s="1"/>
    </row>
    <row r="3087" spans="1:9" ht="15.6" x14ac:dyDescent="0.3">
      <c r="A3087" s="4" t="s">
        <v>7</v>
      </c>
      <c r="B3087" s="4" t="s">
        <v>7</v>
      </c>
      <c r="C3087" s="11" t="s">
        <v>7</v>
      </c>
      <c r="D3087" s="5" t="s">
        <v>2772</v>
      </c>
      <c r="E3087" s="1" t="str">
        <f ca="1">IFERROR(__xludf.DUMMYFUNCTION("GOOGLETRANSLATE(D3087, ""bn"", ""en"")")," 'On August 16, 1946, Muslims unilaterally killed thousands of innocent Hindus and wanted to establish Pakistan' - this is the main theme of Hindu solidarity. ")</f>
        <v xml:space="preserve"> 'On August 16, 1946, Muslims unilaterally killed thousands of innocent Hindus and wanted to establish Pakistan' - this is the main theme of Hindu solidarity. </v>
      </c>
      <c r="F3087" s="1"/>
      <c r="G3087" s="1"/>
      <c r="H3087" s="1"/>
      <c r="I3087" s="1"/>
    </row>
    <row r="3088" spans="1:9" ht="15.6" x14ac:dyDescent="0.3">
      <c r="A3088" s="1" t="s">
        <v>5</v>
      </c>
      <c r="B3088" s="1" t="s">
        <v>5</v>
      </c>
      <c r="C3088" s="10" t="s">
        <v>5</v>
      </c>
      <c r="D3088" s="5" t="s">
        <v>2773</v>
      </c>
      <c r="E3088" s="1" t="str">
        <f ca="1">IFERROR(__xludf.DUMMYFUNCTION("GOOGLETRANSLATE(D3088, ""bn"", ""en"")"),"Islam Religion: How Eid Festival Started Among Muslims")</f>
        <v>Islam Religion: How Eid Festival Started Among Muslims</v>
      </c>
      <c r="F3088" s="1"/>
      <c r="G3088" s="1"/>
      <c r="H3088" s="1"/>
      <c r="I3088" s="1"/>
    </row>
    <row r="3089" spans="1:9" ht="15.6" x14ac:dyDescent="0.3">
      <c r="A3089" s="1" t="s">
        <v>4</v>
      </c>
      <c r="B3089" s="1" t="s">
        <v>4</v>
      </c>
      <c r="C3089" s="10" t="s">
        <v>4</v>
      </c>
      <c r="D3089" s="5" t="s">
        <v>2774</v>
      </c>
      <c r="E3089" s="1" t="str">
        <f ca="1">IFERROR(__xludf.DUMMYFUNCTION("GOOGLETRANSLATE(D3089, ""bn"", ""en"")"),"The children of a Rakhine village in the area have not been going to school for two weeks after accusing an Islamic teacher of a school in the southern district of Patuakhali of Bangladesh for making comments that hurt Buddhism.")</f>
        <v>The children of a Rakhine village in the area have not been going to school for two weeks after accusing an Islamic teacher of a school in the southern district of Patuakhali of Bangladesh for making comments that hurt Buddhism.</v>
      </c>
      <c r="F3089" s="1"/>
      <c r="G3089" s="1"/>
      <c r="H3089" s="1"/>
      <c r="I3089" s="1"/>
    </row>
    <row r="3090" spans="1:9" ht="15.6" x14ac:dyDescent="0.3">
      <c r="A3090" s="1" t="s">
        <v>9</v>
      </c>
      <c r="B3090" s="1" t="s">
        <v>9</v>
      </c>
      <c r="C3090" s="10" t="s">
        <v>9</v>
      </c>
      <c r="D3090" s="5" t="s">
        <v>2775</v>
      </c>
      <c r="E3090" s="1" t="str">
        <f ca="1">IFERROR(__xludf.DUMMYFUNCTION("GOOGLETRANSLATE(D3090, ""bn"", ""en"")"),"A petrol bomb was thrown at a synagogue in Moscow, Russia in 2021, injuring several worshippers.")</f>
        <v>A petrol bomb was thrown at a synagogue in Moscow, Russia in 2021, injuring several worshippers.</v>
      </c>
      <c r="F3090" s="1"/>
      <c r="G3090" s="1"/>
      <c r="H3090" s="1"/>
      <c r="I3090" s="1"/>
    </row>
    <row r="3091" spans="1:9" ht="15.6" x14ac:dyDescent="0.3">
      <c r="A3091" s="1" t="s">
        <v>4</v>
      </c>
      <c r="B3091" s="1" t="s">
        <v>5</v>
      </c>
      <c r="C3091" s="10" t="s">
        <v>4</v>
      </c>
      <c r="D3091" s="5" t="s">
        <v>2776</v>
      </c>
      <c r="E3091" s="1" t="str">
        <f ca="1">IFERROR(__xludf.DUMMYFUNCTION("GOOGLETRANSLATE(D3091, ""bn"", ""en"")"),"Sabur Khan and other members of his party including the chairman of Chamkuri Union Parishad blamed the Hindus for this defeat and started threatening and intimidating the Hindus. It was in this delicate situation that rumors of the Hazratbal incident were"&amp;" spread. Sabur Khan quickly seized this opportunity for Hindu Nikesh in Khulna.")</f>
        <v>Sabur Khan and other members of his party including the chairman of Chamkuri Union Parishad blamed the Hindus for this defeat and started threatening and intimidating the Hindus. It was in this delicate situation that rumors of the Hazratbal incident were spread. Sabur Khan quickly seized this opportunity for Hindu Nikesh in Khulna.</v>
      </c>
      <c r="F3091" s="1"/>
      <c r="G3091" s="1"/>
      <c r="H3091" s="1"/>
      <c r="I3091" s="1"/>
    </row>
    <row r="3092" spans="1:9" ht="15.6" x14ac:dyDescent="0.3">
      <c r="A3092" s="1" t="s">
        <v>7</v>
      </c>
      <c r="B3092" s="1" t="s">
        <v>7</v>
      </c>
      <c r="C3092" s="10" t="s">
        <v>7</v>
      </c>
      <c r="D3092" s="5" t="s">
        <v>2777</v>
      </c>
      <c r="E3092" s="1" t="str">
        <f ca="1">IFERROR(__xludf.DUMMYFUNCTION("GOOGLETRANSLATE(D3092, ""bn"", ""en"")"),"The Ishangopalpur massacre was a massacre of Bengali Hindus in the remote village of Ishangopalpur in Faridpur district on 2 May 1971. [1][2] The Pakistani army shot and bayoneted 28 Bengali Hindus to death.")</f>
        <v>The Ishangopalpur massacre was a massacre of Bengali Hindus in the remote village of Ishangopalpur in Faridpur district on 2 May 1971. [1][2] The Pakistani army shot and bayoneted 28 Bengali Hindus to death.</v>
      </c>
      <c r="F3092" s="1"/>
      <c r="G3092" s="1"/>
      <c r="H3092" s="1"/>
      <c r="I3092" s="1"/>
    </row>
    <row r="3093" spans="1:9" ht="15.6" x14ac:dyDescent="0.3">
      <c r="A3093" s="1" t="s">
        <v>9</v>
      </c>
      <c r="B3093" s="1" t="s">
        <v>9</v>
      </c>
      <c r="C3093" s="10" t="s">
        <v>9</v>
      </c>
      <c r="D3093" s="5" t="s">
        <v>2778</v>
      </c>
      <c r="E3093" s="1" t="str">
        <f ca="1">IFERROR(__xludf.DUMMYFUNCTION("GOOGLETRANSLATE(D3093, ""bn"", ""en"")"),"On 6 December 1992, Hindu activists of the Vishwa Hindu Parishad and its affiliates destroyed the 16th century Babri Masjid in Ayodhya, Uttar Pradesh. The vandalism took place after people attending a political rally organized by Hindu nationalist organiz"&amp;"ations at the place turned violent.")</f>
        <v>On 6 December 1992, Hindu activists of the Vishwa Hindu Parishad and its affiliates destroyed the 16th century Babri Masjid in Ayodhya, Uttar Pradesh. The vandalism took place after people attending a political rally organized by Hindu nationalist organizations at the place turned violent.</v>
      </c>
      <c r="F3093" s="1"/>
      <c r="G3093" s="1"/>
      <c r="H3093" s="1"/>
      <c r="I3093" s="1"/>
    </row>
    <row r="3094" spans="1:9" ht="15.6" x14ac:dyDescent="0.3">
      <c r="A3094" s="1" t="s">
        <v>4</v>
      </c>
      <c r="B3094" s="1" t="s">
        <v>5</v>
      </c>
      <c r="C3094" s="10" t="s">
        <v>4</v>
      </c>
      <c r="D3094" s="5" t="s">
        <v>2779</v>
      </c>
      <c r="E3094" s="1" t="str">
        <f ca="1">IFERROR(__xludf.DUMMYFUNCTION("GOOGLETRANSLATE(D3094, ""bn"", ""en"")"),"To the traditional people, if you respect your religion, stop supporting all the doctrines that speak against idol worship. ")</f>
        <v xml:space="preserve">To the traditional people, if you respect your religion, stop supporting all the doctrines that speak against idol worship. </v>
      </c>
      <c r="F3094" s="1"/>
      <c r="G3094" s="1"/>
      <c r="H3094" s="1"/>
      <c r="I3094" s="1"/>
    </row>
    <row r="3095" spans="1:9" ht="15.6" x14ac:dyDescent="0.3">
      <c r="A3095" s="1" t="s">
        <v>7</v>
      </c>
      <c r="B3095" s="1" t="s">
        <v>7</v>
      </c>
      <c r="C3095" s="10" t="s">
        <v>7</v>
      </c>
      <c r="D3095" s="5" t="s">
        <v>2780</v>
      </c>
      <c r="E3095" s="1" t="str">
        <f ca="1">IFERROR(__xludf.DUMMYFUNCTION("GOOGLETRANSLATE(D3095, ""bn"", ""en"")"),"Innocent people have been killed because of their religious identity, which shows the extreme degradation of morality.")</f>
        <v>Innocent people have been killed because of their religious identity, which shows the extreme degradation of morality.</v>
      </c>
      <c r="F3095" s="1"/>
      <c r="G3095" s="1"/>
      <c r="H3095" s="1"/>
      <c r="I3095" s="1"/>
    </row>
    <row r="3096" spans="1:9" ht="15.6" x14ac:dyDescent="0.3">
      <c r="A3096" s="1" t="s">
        <v>7</v>
      </c>
      <c r="B3096" s="1" t="s">
        <v>7</v>
      </c>
      <c r="C3096" s="10" t="s">
        <v>7</v>
      </c>
      <c r="D3096" s="5" t="s">
        <v>2781</v>
      </c>
      <c r="E3096" s="1" t="str">
        <f ca="1">IFERROR(__xludf.DUMMYFUNCTION("GOOGLETRANSLATE(D3096, ""bn"", ""en"")"),"Riots between Hindus and Muslims left over a hundred dead, with 438 injured.")</f>
        <v>Riots between Hindus and Muslims left over a hundred dead, with 438 injured.</v>
      </c>
      <c r="F3096" s="1"/>
      <c r="G3096" s="1"/>
      <c r="H3096" s="1"/>
      <c r="I3096" s="1"/>
    </row>
    <row r="3097" spans="1:9" ht="15.6" x14ac:dyDescent="0.3">
      <c r="A3097" s="1" t="s">
        <v>5</v>
      </c>
      <c r="B3097" s="1" t="s">
        <v>5</v>
      </c>
      <c r="C3097" s="10" t="s">
        <v>5</v>
      </c>
      <c r="D3097" s="5" t="s">
        <v>2782</v>
      </c>
      <c r="E3097" s="1" t="str">
        <f ca="1">IFERROR(__xludf.DUMMYFUNCTION("GOOGLETRANSLATE(D3097, ""bn"", ""en"")"),"""It is a matter of decision of the university authorities. And there is no need to come here with the subject of our puja. Everyone can celebrate the festival according to their own way, it will maintain respect for each other.""")</f>
        <v>"It is a matter of decision of the university authorities. And there is no need to come here with the subject of our puja. Everyone can celebrate the festival according to their own way, it will maintain respect for each other."</v>
      </c>
      <c r="F3097" s="1"/>
      <c r="G3097" s="1"/>
      <c r="H3097" s="1"/>
      <c r="I3097" s="1"/>
    </row>
    <row r="3098" spans="1:9" ht="62.4" x14ac:dyDescent="0.3">
      <c r="A3098" s="1" t="s">
        <v>4</v>
      </c>
      <c r="B3098" s="1" t="s">
        <v>4</v>
      </c>
      <c r="C3098" s="10" t="s">
        <v>4</v>
      </c>
      <c r="D3098" s="6" t="s">
        <v>3711</v>
      </c>
      <c r="E3098" s="1" t="str">
        <f ca="1">IFERROR(__xludf.DUMMYFUNCTION("GOOGLETRANSLATE(D3098, ""bn"", ""en"")"),"Those who are inciting in the name of hurting religious sentiments, harassing in various ways, and indulging in misguided attempts to develop religion-based politics and communalism remain untouchable, even protected and condoned in various ways.  Such be"&amp;"havior towards a teacher is so sad and uncalled for, it is an ominous illustration of a deeper conspiracy to spread bigotry and communalism in the country.")</f>
        <v>Those who are inciting in the name of hurting religious sentiments, harassing in various ways, and indulging in misguided attempts to develop religion-based politics and communalism remain untouchable, even protected and condoned in various ways.  Such behavior towards a teacher is so sad and uncalled for, it is an ominous illustration of a deeper conspiracy to spread bigotry and communalism in the country.</v>
      </c>
      <c r="F3098" s="1"/>
      <c r="G3098" s="1"/>
      <c r="H3098" s="1"/>
      <c r="I3098" s="1"/>
    </row>
    <row r="3099" spans="1:9" ht="15.6" x14ac:dyDescent="0.3">
      <c r="A3099" s="1" t="s">
        <v>5</v>
      </c>
      <c r="B3099" s="1" t="s">
        <v>5</v>
      </c>
      <c r="C3099" s="10" t="s">
        <v>5</v>
      </c>
      <c r="D3099" s="5" t="s">
        <v>2783</v>
      </c>
      <c r="E3099" s="1" t="str">
        <f ca="1">IFERROR(__xludf.DUMMYFUNCTION("GOOGLETRANSLATE(D3099, ""bn"", ""en"")"),"Even if the person has committed a crime, no one has the right to kill him in this way. It's sad as hell")</f>
        <v>Even if the person has committed a crime, no one has the right to kill him in this way. It's sad as hell</v>
      </c>
      <c r="F3099" s="1"/>
      <c r="G3099" s="1"/>
      <c r="H3099" s="1"/>
      <c r="I3099" s="1"/>
    </row>
    <row r="3100" spans="1:9" ht="15.6" x14ac:dyDescent="0.3">
      <c r="A3100" s="1" t="s">
        <v>5</v>
      </c>
      <c r="B3100" s="1" t="s">
        <v>5</v>
      </c>
      <c r="C3100" s="10" t="s">
        <v>5</v>
      </c>
      <c r="D3100" s="5" t="s">
        <v>2784</v>
      </c>
      <c r="E3100" s="1" t="str">
        <f ca="1">IFERROR(__xludf.DUMMYFUNCTION("GOOGLETRANSLATE(D3100, ""bn"", ""en"")"),"Mosques are places of worship for Muslims and are also considered the holiest places. Any insult or disrespect to the mosque is very offensive to Muslims. As seen in other religions and their holy figures or shrines.")</f>
        <v>Mosques are places of worship for Muslims and are also considered the holiest places. Any insult or disrespect to the mosque is very offensive to Muslims. As seen in other religions and their holy figures or shrines.</v>
      </c>
      <c r="F3100" s="1"/>
      <c r="G3100" s="1"/>
      <c r="H3100" s="1"/>
      <c r="I3100" s="1"/>
    </row>
    <row r="3101" spans="1:9" ht="15.6" x14ac:dyDescent="0.3">
      <c r="A3101" s="1" t="s">
        <v>5</v>
      </c>
      <c r="B3101" s="1" t="s">
        <v>5</v>
      </c>
      <c r="C3101" s="10" t="s">
        <v>5</v>
      </c>
      <c r="D3101" s="5" t="s">
        <v>2785</v>
      </c>
      <c r="E3101" s="1" t="str">
        <f ca="1">IFERROR(__xludf.DUMMYFUNCTION("GOOGLETRANSLATE(D3101, ""bn"", ""en"")"),"During the Golden Age of the British Empire, a number of British Christians converted to Islam. The story follows three Britons who defy social norms and convert to Islam during the Victorian era, when Christian values ​​were at the core of British identi"&amp;"ty.")</f>
        <v>During the Golden Age of the British Empire, a number of British Christians converted to Islam. The story follows three Britons who defy social norms and convert to Islam during the Victorian era, when Christian values ​​were at the core of British identity.</v>
      </c>
      <c r="F3101" s="1"/>
      <c r="G3101" s="1"/>
      <c r="H3101" s="1"/>
      <c r="I3101" s="1"/>
    </row>
    <row r="3102" spans="1:9" ht="15.6" x14ac:dyDescent="0.3">
      <c r="A3102" s="1" t="s">
        <v>5</v>
      </c>
      <c r="B3102" s="1" t="s">
        <v>5</v>
      </c>
      <c r="C3102" s="10" t="s">
        <v>5</v>
      </c>
      <c r="D3102" s="5" t="s">
        <v>2786</v>
      </c>
      <c r="E3102" s="1" t="str">
        <f ca="1">IFERROR(__xludf.DUMMYFUNCTION("GOOGLETRANSLATE(D3102, ""bn"", ""en"")"),"We accept nature as God. If you read Gita, you will understand. Man acts according to his nature, and is punished by nature. Now if we consider the invisible power of nature as God, what is the problem?")</f>
        <v>We accept nature as God. If you read Gita, you will understand. Man acts according to his nature, and is punished by nature. Now if we consider the invisible power of nature as God, what is the problem?</v>
      </c>
      <c r="F3102" s="1"/>
      <c r="G3102" s="1"/>
      <c r="H3102" s="1"/>
      <c r="I3102" s="1"/>
    </row>
    <row r="3103" spans="1:9" ht="15.6" x14ac:dyDescent="0.3">
      <c r="A3103" s="1" t="s">
        <v>4</v>
      </c>
      <c r="B3103" s="1" t="s">
        <v>4</v>
      </c>
      <c r="C3103" s="10" t="s">
        <v>4</v>
      </c>
      <c r="D3103" s="5" t="s">
        <v>2787</v>
      </c>
      <c r="E3103" s="1" t="str">
        <f ca="1">IFERROR(__xludf.DUMMYFUNCTION("GOOGLETRANSLATE(D3103, ""bn"", ""en"")"),"I think the time has come that Muslims should unite and protect the Holy Book and not sit back and give a proper answer to these dogs.")</f>
        <v>I think the time has come that Muslims should unite and protect the Holy Book and not sit back and give a proper answer to these dogs.</v>
      </c>
      <c r="F3103" s="1"/>
      <c r="G3103" s="1"/>
      <c r="H3103" s="1"/>
      <c r="I3103" s="1"/>
    </row>
    <row r="3104" spans="1:9" ht="15.6" x14ac:dyDescent="0.3">
      <c r="A3104" s="1" t="s">
        <v>9</v>
      </c>
      <c r="B3104" s="1" t="s">
        <v>9</v>
      </c>
      <c r="C3104" s="10" t="s">
        <v>9</v>
      </c>
      <c r="D3104" s="5" t="s">
        <v>2788</v>
      </c>
      <c r="E3104" s="1" t="str">
        <f ca="1">IFERROR(__xludf.DUMMYFUNCTION("GOOGLETRANSLATE(D3104, ""bn"", ""en"")"),"The worshipers of Tudun Biri village organized a festival on the occasion of Eid-Miladun Nabi (PBUH). Many worshipers were injured when an army drone launched targeting militants and armed robbers arrived at the event.")</f>
        <v>The worshipers of Tudun Biri village organized a festival on the occasion of Eid-Miladun Nabi (PBUH). Many worshipers were injured when an army drone launched targeting militants and armed robbers arrived at the event.</v>
      </c>
      <c r="F3104" s="1"/>
      <c r="G3104" s="1"/>
      <c r="H3104" s="1"/>
      <c r="I3104" s="1"/>
    </row>
    <row r="3105" spans="1:9" ht="15.6" x14ac:dyDescent="0.3">
      <c r="A3105" s="1" t="s">
        <v>7</v>
      </c>
      <c r="B3105" s="1" t="s">
        <v>7</v>
      </c>
      <c r="C3105" s="10" t="s">
        <v>7</v>
      </c>
      <c r="D3105" s="5" t="s">
        <v>2789</v>
      </c>
      <c r="E3105" s="1" t="str">
        <f ca="1">IFERROR(__xludf.DUMMYFUNCTION("GOOGLETRANSLATE(D3105, ""bn"", ""en"")"),"About religion, culture and culture! Keep track of what your son and daughter are doing in Dhaka city! After death, you will not understand even if the body is not there")</f>
        <v>About religion, culture and culture! Keep track of what your son and daughter are doing in Dhaka city! After death, you will not understand even if the body is not there</v>
      </c>
      <c r="F3105" s="1"/>
      <c r="G3105" s="1"/>
      <c r="H3105" s="1"/>
      <c r="I3105" s="1"/>
    </row>
    <row r="3106" spans="1:9" ht="15.6" x14ac:dyDescent="0.3">
      <c r="A3106" s="1" t="s">
        <v>5</v>
      </c>
      <c r="B3106" s="1" t="s">
        <v>5</v>
      </c>
      <c r="C3106" s="10" t="s">
        <v>5</v>
      </c>
      <c r="D3106" s="5" t="s">
        <v>2790</v>
      </c>
      <c r="E3106" s="1" t="str">
        <f ca="1">IFERROR(__xludf.DUMMYFUNCTION("GOOGLETRANSLATE(D3106, ""bn"", ""en"")"),"In the world today, there has been a strange rise of extreme reactionaries. There is such a situation, the value of religious materials is more than religion.")</f>
        <v>In the world today, there has been a strange rise of extreme reactionaries. There is such a situation, the value of religious materials is more than religion.</v>
      </c>
      <c r="F3106" s="1"/>
      <c r="G3106" s="1"/>
      <c r="H3106" s="1"/>
      <c r="I3106" s="1"/>
    </row>
    <row r="3107" spans="1:9" ht="15.6" x14ac:dyDescent="0.3">
      <c r="A3107" s="1" t="s">
        <v>5</v>
      </c>
      <c r="B3107" s="1" t="s">
        <v>5</v>
      </c>
      <c r="C3107" s="10" t="s">
        <v>5</v>
      </c>
      <c r="D3107" s="5" t="s">
        <v>2791</v>
      </c>
      <c r="E3107" s="1" t="str">
        <f ca="1">IFERROR(__xludf.DUMMYFUNCTION("GOOGLETRANSLATE(D3107, ""bn"", ""en"")")," During Asadhi Purnima, due to rain and overcast skies, there is often no environment and opportunity to fly lanterns. So lanterns are lit on Prabarana Purnima or Ashwini Purnima.")</f>
        <v> During Asadhi Purnima, due to rain and overcast skies, there is often no environment and opportunity to fly lanterns. So lanterns are lit on Prabarana Purnima or Ashwini Purnima.</v>
      </c>
      <c r="F3107" s="1"/>
      <c r="G3107" s="1"/>
      <c r="H3107" s="1"/>
      <c r="I3107" s="1"/>
    </row>
    <row r="3108" spans="1:9" ht="15.6" x14ac:dyDescent="0.3">
      <c r="A3108" s="1" t="s">
        <v>5</v>
      </c>
      <c r="B3108" s="1" t="s">
        <v>5</v>
      </c>
      <c r="C3108" s="10" t="s">
        <v>5</v>
      </c>
      <c r="D3108" s="5" t="s">
        <v>2792</v>
      </c>
      <c r="E3108" s="1" t="str">
        <f ca="1">IFERROR(__xludf.DUMMYFUNCTION("GOOGLETRANSLATE(D3108, ""bn"", ""en"")"),"The real purpose of religion is to establish peace, love and goodwill in human life, so that all people can respect each other and harmony in society is established through sympathy.")</f>
        <v>The real purpose of religion is to establish peace, love and goodwill in human life, so that all people can respect each other and harmony in society is established through sympathy.</v>
      </c>
      <c r="F3108" s="1"/>
      <c r="G3108" s="1"/>
      <c r="H3108" s="1"/>
      <c r="I3108" s="1"/>
    </row>
    <row r="3109" spans="1:9" ht="15.6" x14ac:dyDescent="0.3">
      <c r="A3109" s="1" t="s">
        <v>9</v>
      </c>
      <c r="B3109" s="9" t="s">
        <v>4</v>
      </c>
      <c r="C3109" s="10" t="s">
        <v>9</v>
      </c>
      <c r="D3109" s="5" t="s">
        <v>2793</v>
      </c>
      <c r="E3109" s="1" t="str">
        <f ca="1">IFERROR(__xludf.DUMMYFUNCTION("GOOGLETRANSLATE(D3109, ""bn"", ""en"")"),"Since that day, the fear in the minds of the people of Noakhali was getting stronger and stronger. A rumor was deliberately spread that the Hindu and Sikh communities were joining arms.")</f>
        <v>Since that day, the fear in the minds of the people of Noakhali was getting stronger and stronger. A rumor was deliberately spread that the Hindu and Sikh communities were joining arms.</v>
      </c>
      <c r="F3109" s="1"/>
      <c r="G3109" s="1"/>
      <c r="H3109" s="1"/>
      <c r="I3109" s="1"/>
    </row>
    <row r="3110" spans="1:9" ht="78" x14ac:dyDescent="0.3">
      <c r="A3110" s="1" t="s">
        <v>9</v>
      </c>
      <c r="B3110" s="1" t="s">
        <v>9</v>
      </c>
      <c r="C3110" s="10" t="s">
        <v>9</v>
      </c>
      <c r="D3110" s="6" t="s">
        <v>3710</v>
      </c>
      <c r="E3110" s="1" t="str">
        <f ca="1">IFERROR(__xludf.DUMMYFUNCTION("GOOGLETRANSLATE(D3110, ""bn"", ""en"")"),"State atheism was first practiced for a brief period in revolutionary France [citation needed] and was later practiced in revolutionary Mexico and communist states. The Soviet Union had a long history of state atheism, [64] where social success essentiall"&amp;"y required individuals to profess atheism, stay away from churches, and even vandalize them; This attitude was particularly militant during the mid-Stalinist period from 1929 to 1939. [65] [66] [67] The Soviet Union attempted to suppress religion in its w"&amp;"ider area of ​​influence, including Central Asia, [68] and post. - Eastern Bloc in World War II.")</f>
        <v>State atheism was first practiced for a brief period in revolutionary France [citation needed] and was later practiced in revolutionary Mexico and communist states. The Soviet Union had a long history of state atheism, [64] where social success essentially required individuals to profess atheism, stay away from churches, and even vandalize them; This attitude was particularly militant during the mid-Stalinist period from 1929 to 1939. [65] [66] [67] The Soviet Union attempted to suppress religion in its wider area of ​​influence, including Central Asia, [68] and post. - Eastern Bloc in World War II.</v>
      </c>
      <c r="F3110" s="1"/>
      <c r="G3110" s="1"/>
      <c r="H3110" s="1"/>
      <c r="I3110" s="1"/>
    </row>
    <row r="3111" spans="1:9" ht="15.6" x14ac:dyDescent="0.3">
      <c r="A3111" s="1" t="s">
        <v>7</v>
      </c>
      <c r="B3111" s="1" t="s">
        <v>7</v>
      </c>
      <c r="C3111" s="10" t="s">
        <v>7</v>
      </c>
      <c r="D3111" s="5" t="s">
        <v>2794</v>
      </c>
      <c r="E3111" s="1" t="str">
        <f ca="1">IFERROR(__xludf.DUMMYFUNCTION("GOOGLETRANSLATE(D3111, ""bn"", ""en"")"),"In Norway, a right-wing Christian militant killed 77 people in a bombing and shooting at a youth camp in Oslo.")</f>
        <v>In Norway, a right-wing Christian militant killed 77 people in a bombing and shooting at a youth camp in Oslo.</v>
      </c>
      <c r="F3111" s="1"/>
      <c r="G3111" s="1"/>
      <c r="H3111" s="1"/>
      <c r="I3111" s="1"/>
    </row>
    <row r="3112" spans="1:9" ht="15.6" x14ac:dyDescent="0.3">
      <c r="A3112" s="1" t="s">
        <v>9</v>
      </c>
      <c r="B3112" s="1" t="s">
        <v>9</v>
      </c>
      <c r="C3112" s="10" t="s">
        <v>9</v>
      </c>
      <c r="D3112" s="5" t="s">
        <v>2795</v>
      </c>
      <c r="E3112" s="1" t="str">
        <f ca="1">IFERROR(__xludf.DUMMYFUNCTION("GOOGLETRANSLATE(D3112, ""bn"", ""en"")"),"People of the Hindu community have repeatedly been subjected to inhumane torture and repression after Ziour Rahman illegally seized state power.")</f>
        <v>People of the Hindu community have repeatedly been subjected to inhumane torture and repression after Ziour Rahman illegally seized state power.</v>
      </c>
      <c r="F3112" s="1"/>
      <c r="G3112" s="1"/>
      <c r="H3112" s="1"/>
      <c r="I3112" s="1"/>
    </row>
    <row r="3113" spans="1:9" ht="15.6" x14ac:dyDescent="0.3">
      <c r="A3113" s="1" t="s">
        <v>9</v>
      </c>
      <c r="B3113" s="1" t="s">
        <v>9</v>
      </c>
      <c r="C3113" s="10" t="s">
        <v>9</v>
      </c>
      <c r="D3113" s="5" t="s">
        <v>2796</v>
      </c>
      <c r="E3113" s="1" t="str">
        <f ca="1">IFERROR(__xludf.DUMMYFUNCTION("GOOGLETRANSLATE(D3113, ""bn"", ""en"")"),"From August 1949, the local Muslim community started brutalizing the non-Muslim population throughout East Bengal; Which continued for about three months.")</f>
        <v>From August 1949, the local Muslim community started brutalizing the non-Muslim population throughout East Bengal; Which continued for about three months.</v>
      </c>
      <c r="F3113" s="1"/>
      <c r="G3113" s="1"/>
      <c r="H3113" s="1"/>
      <c r="I3113" s="1"/>
    </row>
    <row r="3114" spans="1:9" ht="15.6" x14ac:dyDescent="0.3">
      <c r="A3114" s="1" t="s">
        <v>4</v>
      </c>
      <c r="B3114" s="1" t="s">
        <v>4</v>
      </c>
      <c r="C3114" s="10" t="s">
        <v>4</v>
      </c>
      <c r="D3114" s="5" t="s">
        <v>2797</v>
      </c>
      <c r="E3114" s="1" t="str">
        <f ca="1">IFERROR(__xludf.DUMMYFUNCTION("GOOGLETRANSLATE(D3114, ""bn"", ""en"")"),"Well done, it is better for them to leave the religion of Islam altogether than to belittle Islam by singing and playing in the name of Muslim.")</f>
        <v>Well done, it is better for them to leave the religion of Islam altogether than to belittle Islam by singing and playing in the name of Muslim.</v>
      </c>
      <c r="F3114" s="1"/>
      <c r="G3114" s="1"/>
      <c r="H3114" s="1"/>
      <c r="I3114" s="1"/>
    </row>
    <row r="3115" spans="1:9" ht="15.6" x14ac:dyDescent="0.3">
      <c r="A3115" s="1" t="s">
        <v>5</v>
      </c>
      <c r="B3115" s="1" t="s">
        <v>5</v>
      </c>
      <c r="C3115" s="10" t="s">
        <v>5</v>
      </c>
      <c r="D3115" s="5" t="s">
        <v>2798</v>
      </c>
      <c r="E3115" s="1" t="str">
        <f ca="1">IFERROR(__xludf.DUMMYFUNCTION("GOOGLETRANSLATE(D3115, ""bn"", ""en"")"),"6 things to seek from Allah: physical health, halal sustenance, safe abode, virtuous wife/husband, righteous children and death with faith.")</f>
        <v>6 things to seek from Allah: physical health, halal sustenance, safe abode, virtuous wife/husband, righteous children and death with faith.</v>
      </c>
      <c r="F3115" s="1"/>
      <c r="G3115" s="1"/>
      <c r="H3115" s="1"/>
      <c r="I3115" s="1"/>
    </row>
    <row r="3116" spans="1:9" ht="15.6" x14ac:dyDescent="0.3">
      <c r="A3116" s="1" t="s">
        <v>9</v>
      </c>
      <c r="B3116" s="1" t="s">
        <v>5</v>
      </c>
      <c r="C3116" s="10" t="s">
        <v>9</v>
      </c>
      <c r="D3116" s="5" t="s">
        <v>2799</v>
      </c>
      <c r="E3116" s="1" t="str">
        <f ca="1">IFERROR(__xludf.DUMMYFUNCTION("GOOGLETRANSLATE(D3116, ""bn"", ""en"")"),"He who is the owner of creation is not angry and destroying, we are drunk on destroying God's creation to establish our ism.")</f>
        <v>He who is the owner of creation is not angry and destroying, we are drunk on destroying God's creation to establish our ism.</v>
      </c>
      <c r="F3116" s="1"/>
      <c r="G3116" s="1"/>
      <c r="H3116" s="1"/>
      <c r="I3116" s="1"/>
    </row>
    <row r="3117" spans="1:9" ht="15.6" x14ac:dyDescent="0.3">
      <c r="A3117" s="1" t="s">
        <v>4</v>
      </c>
      <c r="B3117" s="1" t="s">
        <v>4</v>
      </c>
      <c r="C3117" s="10" t="s">
        <v>4</v>
      </c>
      <c r="D3117" s="5" t="s">
        <v>2800</v>
      </c>
      <c r="E3117" s="1" t="str">
        <f ca="1">IFERROR(__xludf.DUMMYFUNCTION("GOOGLETRANSLATE(D3117, ""bn"", ""en"")"),"And let all the blame fall on the Hindus, everyone misunderstands us. But we are not behind before, do not know what is happening! They want to create differences between two communities in the country.")</f>
        <v>And let all the blame fall on the Hindus, everyone misunderstands us. But we are not behind before, do not know what is happening! They want to create differences between two communities in the country.</v>
      </c>
      <c r="F3117" s="1"/>
      <c r="G3117" s="1"/>
      <c r="H3117" s="1"/>
      <c r="I3117" s="1"/>
    </row>
    <row r="3118" spans="1:9" ht="15.6" x14ac:dyDescent="0.3">
      <c r="A3118" s="1" t="s">
        <v>5</v>
      </c>
      <c r="B3118" s="1" t="s">
        <v>5</v>
      </c>
      <c r="C3118" s="10" t="s">
        <v>5</v>
      </c>
      <c r="D3118" s="5" t="s">
        <v>2801</v>
      </c>
      <c r="E3118" s="1" t="str">
        <f ca="1">IFERROR(__xludf.DUMMYFUNCTION("GOOGLETRANSLATE(D3118, ""bn"", ""en"")"),"Religion instills confidence and fortitude in man, which makes him hardworking and courageous in difficult situations.")</f>
        <v>Religion instills confidence and fortitude in man, which makes him hardworking and courageous in difficult situations.</v>
      </c>
      <c r="F3118" s="1"/>
      <c r="G3118" s="1"/>
      <c r="H3118" s="1"/>
      <c r="I3118" s="1"/>
    </row>
    <row r="3119" spans="1:9" ht="15.6" x14ac:dyDescent="0.3">
      <c r="A3119" s="1" t="s">
        <v>5</v>
      </c>
      <c r="B3119" s="1" t="s">
        <v>5</v>
      </c>
      <c r="C3119" s="10" t="s">
        <v>5</v>
      </c>
      <c r="D3119" s="5" t="s">
        <v>2802</v>
      </c>
      <c r="E3119" s="1" t="str">
        <f ca="1">IFERROR(__xludf.DUMMYFUNCTION("GOOGLETRANSLATE(D3119, ""bn"", ""en"")"),"If I misbehave with a Muslim who does not know much about Islam, a non-Muslim who knows mostly negative things about Islam, then he will think bad about my ❝Islam❞, my ❝Muslim nation❞ because of me.")</f>
        <v>If I misbehave with a Muslim who does not know much about Islam, a non-Muslim who knows mostly negative things about Islam, then he will think bad about my ❝Islam❞, my ❝Muslim nation❞ because of me.</v>
      </c>
      <c r="F3119" s="1"/>
      <c r="G3119" s="1"/>
      <c r="H3119" s="1"/>
      <c r="I3119" s="1"/>
    </row>
    <row r="3120" spans="1:9" ht="15.6" x14ac:dyDescent="0.3">
      <c r="A3120" s="1" t="s">
        <v>4</v>
      </c>
      <c r="B3120" s="1" t="s">
        <v>4</v>
      </c>
      <c r="C3120" s="10" t="s">
        <v>4</v>
      </c>
      <c r="D3120" s="5" t="s">
        <v>2803</v>
      </c>
      <c r="E3120" s="1" t="str">
        <f ca="1">IFERROR(__xludf.DUMMYFUNCTION("GOOGLETRANSLATE(D3120, ""bn"", ""en"")"),"Question your decency, you throw religion in the dustbin. ")</f>
        <v xml:space="preserve">Question your decency, you throw religion in the dustbin. </v>
      </c>
      <c r="F3120" s="1"/>
      <c r="G3120" s="1"/>
      <c r="H3120" s="1"/>
      <c r="I3120" s="1"/>
    </row>
    <row r="3121" spans="1:9" ht="15.6" x14ac:dyDescent="0.3">
      <c r="A3121" s="1" t="s">
        <v>7</v>
      </c>
      <c r="B3121" s="1" t="s">
        <v>7</v>
      </c>
      <c r="C3121" s="10" t="s">
        <v>7</v>
      </c>
      <c r="D3121" s="5" t="s">
        <v>2804</v>
      </c>
      <c r="E3121" s="1" t="str">
        <f ca="1">IFERROR(__xludf.DUMMYFUNCTION("GOOGLETRANSLATE(D3121, ""bn"", ""en"")"),"However, in many countries, fake news spread on Facebook or other social media is responsible for communal attacks, riots, and murders.")</f>
        <v>However, in many countries, fake news spread on Facebook or other social media is responsible for communal attacks, riots, and murders.</v>
      </c>
      <c r="F3121" s="1"/>
      <c r="G3121" s="1"/>
      <c r="H3121" s="1"/>
      <c r="I3121" s="1"/>
    </row>
    <row r="3122" spans="1:9" ht="15.6" x14ac:dyDescent="0.3">
      <c r="A3122" s="1" t="s">
        <v>5</v>
      </c>
      <c r="B3122" s="1" t="s">
        <v>5</v>
      </c>
      <c r="C3122" s="10" t="s">
        <v>5</v>
      </c>
      <c r="D3122" s="5" t="s">
        <v>2805</v>
      </c>
      <c r="E3122" s="1" t="str">
        <f ca="1">IFERROR(__xludf.DUMMYFUNCTION("GOOGLETRANSLATE(D3122, ""bn"", ""en"")")," One should seek Allah's pleasure through worship. It is not desirable for a believer to ever suffer from depression or despair. Because, depression takes people away from the joy and taste of life.")</f>
        <v> One should seek Allah's pleasure through worship. It is not desirable for a believer to ever suffer from depression or despair. Because, depression takes people away from the joy and taste of life.</v>
      </c>
      <c r="F3122" s="1"/>
      <c r="G3122" s="1"/>
      <c r="H3122" s="1"/>
      <c r="I3122" s="1"/>
    </row>
    <row r="3123" spans="1:9" ht="15.6" x14ac:dyDescent="0.3">
      <c r="A3123" s="1" t="s">
        <v>5</v>
      </c>
      <c r="B3123" s="1" t="s">
        <v>5</v>
      </c>
      <c r="C3123" s="10" t="s">
        <v>5</v>
      </c>
      <c r="D3123" s="5" t="s">
        <v>2806</v>
      </c>
      <c r="E3123" s="1" t="str">
        <f ca="1">IFERROR(__xludf.DUMMYFUNCTION("GOOGLETRANSLATE(D3123, ""bn"", ""en"")"),"According to Hindu beliefs, truth, dharma and self-sacrifice are important for achieving peace and happiness in life.")</f>
        <v>According to Hindu beliefs, truth, dharma and self-sacrifice are important for achieving peace and happiness in life.</v>
      </c>
      <c r="F3123" s="1"/>
      <c r="G3123" s="1"/>
      <c r="H3123" s="1"/>
      <c r="I3123" s="1"/>
    </row>
    <row r="3124" spans="1:9" ht="15.6" x14ac:dyDescent="0.3">
      <c r="A3124" s="1" t="s">
        <v>5</v>
      </c>
      <c r="B3124" s="1" t="s">
        <v>5</v>
      </c>
      <c r="C3124" s="10" t="s">
        <v>5</v>
      </c>
      <c r="D3124" s="5" t="s">
        <v>2807</v>
      </c>
      <c r="E3124" s="1" t="str">
        <f ca="1">IFERROR(__xludf.DUMMYFUNCTION("GOOGLETRANSLATE(D3124, ""bn"", ""en"")"),"As much as Alhamdulillah iftaar, Alhamdulillah sehri, before going to mosque and praying, we post pictures on Facebook, if we post that from today we will not take any more interest or bribe, or engage in any evil deeds, then it would have a more positive"&amp;" impact on the society.")</f>
        <v>As much as Alhamdulillah iftaar, Alhamdulillah sehri, before going to mosque and praying, we post pictures on Facebook, if we post that from today we will not take any more interest or bribe, or engage in any evil deeds, then it would have a more positive impact on the society.</v>
      </c>
      <c r="F3124" s="1"/>
      <c r="G3124" s="1"/>
      <c r="H3124" s="1"/>
      <c r="I3124" s="1"/>
    </row>
    <row r="3125" spans="1:9" ht="15.6" x14ac:dyDescent="0.3">
      <c r="A3125" s="1" t="s">
        <v>5</v>
      </c>
      <c r="B3125" s="1" t="s">
        <v>5</v>
      </c>
      <c r="C3125" s="10" t="s">
        <v>5</v>
      </c>
      <c r="D3125" s="5" t="s">
        <v>2808</v>
      </c>
      <c r="E3125" s="1" t="str">
        <f ca="1">IFERROR(__xludf.DUMMYFUNCTION("GOOGLETRANSLATE(D3125, ""bn"", ""en"")"),"To those who are coming to speak about the Comilla incident, know—all must be peaceful and sensitive to ensure proper respect for the Qur'an, so that harmony remains intact.")</f>
        <v>To those who are coming to speak about the Comilla incident, know—all must be peaceful and sensitive to ensure proper respect for the Qur'an, so that harmony remains intact.</v>
      </c>
      <c r="F3125" s="1"/>
      <c r="G3125" s="1"/>
      <c r="H3125" s="1"/>
      <c r="I3125" s="1"/>
    </row>
    <row r="3126" spans="1:9" ht="15.6" x14ac:dyDescent="0.3">
      <c r="A3126" s="1" t="s">
        <v>9</v>
      </c>
      <c r="B3126" s="1" t="s">
        <v>9</v>
      </c>
      <c r="C3126" s="10" t="s">
        <v>9</v>
      </c>
      <c r="D3126" s="5" t="s">
        <v>2809</v>
      </c>
      <c r="E3126" s="1" t="str">
        <f ca="1">IFERROR(__xludf.DUMMYFUNCTION("GOOGLETRANSLATE(D3126, ""bn"", ""en"")"),"With the aim of spreading Hindu hatred, the Muslims of the village have created various rhymes, palas, jarigans, rhyming slogans which are being propagated by singing and reciting in different markets.[17] Also, various anti-racist rhymes and proverbs hav"&amp;"e been created and propagated in mosques. Apart from this, Golam Sarwar and his followers started preparing the stage for the massacre by spreading provocations in various speeches and gatherings.")</f>
        <v>With the aim of spreading Hindu hatred, the Muslims of the village have created various rhymes, palas, jarigans, rhyming slogans which are being propagated by singing and reciting in different markets.[17] Also, various anti-racist rhymes and proverbs have been created and propagated in mosques. Apart from this, Golam Sarwar and his followers started preparing the stage for the massacre by spreading provocations in various speeches and gatherings.</v>
      </c>
      <c r="F3126" s="1"/>
      <c r="G3126" s="1"/>
      <c r="H3126" s="1"/>
      <c r="I3126" s="1"/>
    </row>
    <row r="3127" spans="1:9" ht="15.6" x14ac:dyDescent="0.3">
      <c r="A3127" s="1" t="s">
        <v>4</v>
      </c>
      <c r="B3127" s="1" t="s">
        <v>4</v>
      </c>
      <c r="C3127" s="10" t="s">
        <v>4</v>
      </c>
      <c r="D3127" s="5" t="s">
        <v>2810</v>
      </c>
      <c r="E3127" s="1" t="str">
        <f ca="1">IFERROR(__xludf.DUMMYFUNCTION("GOOGLETRANSLATE(D3127, ""bn"", ""en"")"),"Just for the sake of argument We are bad, so we are with Jamaat Awami League is Sahih, Awami League is Sadhu, Awami League is the only non-sectarian party in Bangladesh Then why Awami League does not ban Jamaat This is politics Does that mean that religio"&amp;"n does not do politics? ")</f>
        <v>Just for the sake of argument We are bad, so we are with Jamaat Awami League is Sahih, Awami League is Sadhu, Awami League is the only non-sectarian party in Bangladesh Then why Awami League does not ban Jamaat This is politics Does that mean that religion does not do politics? </v>
      </c>
      <c r="F3127" s="1"/>
      <c r="G3127" s="1"/>
      <c r="H3127" s="1"/>
      <c r="I3127" s="1"/>
    </row>
    <row r="3128" spans="1:9" ht="15.6" x14ac:dyDescent="0.3">
      <c r="A3128" s="4" t="s">
        <v>7</v>
      </c>
      <c r="B3128" s="4" t="s">
        <v>7</v>
      </c>
      <c r="C3128" s="11" t="s">
        <v>7</v>
      </c>
      <c r="D3128" s="5" t="s">
        <v>2811</v>
      </c>
      <c r="E3128" s="1" t="str">
        <f ca="1">IFERROR(__xludf.DUMMYFUNCTION("GOOGLETRANSLATE(D3128, ""bn"", ""en"")"),"On 7 September 2008, VHP leader Praveen Togadia announced that an all-India agitation would be launched if Saraswati's killers were not arrested. [56] Churches and Christian groups in turn demanded the dismissal of the state government.")</f>
        <v>On 7 September 2008, VHP leader Praveen Togadia announced that an all-India agitation would be launched if Saraswati's killers were not arrested. [56] Churches and Christian groups in turn demanded the dismissal of the state government.</v>
      </c>
      <c r="F3128" s="1"/>
      <c r="G3128" s="1"/>
      <c r="H3128" s="1"/>
      <c r="I3128" s="1"/>
    </row>
    <row r="3129" spans="1:9" ht="15.6" x14ac:dyDescent="0.3">
      <c r="A3129" s="1" t="s">
        <v>4</v>
      </c>
      <c r="B3129" s="1" t="s">
        <v>4</v>
      </c>
      <c r="C3129" s="10" t="s">
        <v>4</v>
      </c>
      <c r="D3129" s="5" t="s">
        <v>2812</v>
      </c>
      <c r="E3129" s="1" t="str">
        <f ca="1">IFERROR(__xludf.DUMMYFUNCTION("GOOGLETRANSLATE(D3129, ""bn"", ""en"")"),"O Allah, give glory to the Israelites")</f>
        <v>O Allah, give glory to the Israelites</v>
      </c>
      <c r="F3129" s="1"/>
      <c r="G3129" s="1"/>
      <c r="H3129" s="1"/>
      <c r="I3129" s="1"/>
    </row>
    <row r="3130" spans="1:9" ht="15.6" x14ac:dyDescent="0.3">
      <c r="A3130" s="1" t="s">
        <v>5</v>
      </c>
      <c r="B3130" s="1" t="s">
        <v>5</v>
      </c>
      <c r="C3130" s="10" t="s">
        <v>5</v>
      </c>
      <c r="D3130" s="5" t="s">
        <v>2813</v>
      </c>
      <c r="E3130" s="1" t="str">
        <f ca="1">IFERROR(__xludf.DUMMYFUNCTION("GOOGLETRANSLATE(D3130, ""bn"", ""en"")"),"Well, the land of Dhaka University was donated by a Muslim and he played a leading role in the establishment of Dhaka University.")</f>
        <v>Well, the land of Dhaka University was donated by a Muslim and he played a leading role in the establishment of Dhaka University.</v>
      </c>
      <c r="F3130" s="1"/>
      <c r="G3130" s="1"/>
      <c r="H3130" s="1"/>
      <c r="I3130" s="1"/>
    </row>
    <row r="3131" spans="1:9" ht="15.6" x14ac:dyDescent="0.3">
      <c r="A3131" s="1" t="s">
        <v>4</v>
      </c>
      <c r="B3131" s="1" t="s">
        <v>4</v>
      </c>
      <c r="C3131" s="10" t="s">
        <v>4</v>
      </c>
      <c r="D3131" s="5" t="s">
        <v>2814</v>
      </c>
      <c r="E3131" s="1" t="str">
        <f ca="1">IFERROR(__xludf.DUMMYFUNCTION("GOOGLETRANSLATE(D3131, ""bn"", ""en"")"),"Nowadays, I see some people who like to insult Islam. He enjoys a kind of demonic pleasure in belittling Islam. ")</f>
        <v xml:space="preserve">Nowadays, I see some people who like to insult Islam. He enjoys a kind of demonic pleasure in belittling Islam. </v>
      </c>
      <c r="F3131" s="1"/>
      <c r="G3131" s="1"/>
      <c r="H3131" s="1"/>
      <c r="I3131" s="1"/>
    </row>
    <row r="3132" spans="1:9" ht="15.6" x14ac:dyDescent="0.3">
      <c r="A3132" s="1" t="s">
        <v>9</v>
      </c>
      <c r="B3132" s="1" t="s">
        <v>5</v>
      </c>
      <c r="C3132" s="10" t="s">
        <v>9</v>
      </c>
      <c r="D3132" s="5" t="s">
        <v>2815</v>
      </c>
      <c r="E3132" s="1" t="str">
        <f ca="1">IFERROR(__xludf.DUMMYFUNCTION("GOOGLETRANSLATE(D3132, ""bn"", ""en"")"),"At least 500 Hindu families took refuge and saved their lives. In Sadhu Singh's house of Nalgora village in Charpata union of Bhola district's Daulatkhan upazila, there were six families who escaped communal terror and fled to India to save their lives an"&amp;"d honour. ")</f>
        <v>At least 500 Hindu families took refuge and saved their lives. In Sadhu Singh's house of Nalgora village in Charpata union of Bhola district's Daulatkhan upazila, there were six families who escaped communal terror and fled to India to save their lives and honour. </v>
      </c>
      <c r="F3132" s="1"/>
      <c r="G3132" s="1"/>
      <c r="H3132" s="1"/>
      <c r="I3132" s="1"/>
    </row>
    <row r="3133" spans="1:9" ht="15.6" x14ac:dyDescent="0.3">
      <c r="A3133" s="1" t="s">
        <v>5</v>
      </c>
      <c r="B3133" s="1" t="s">
        <v>5</v>
      </c>
      <c r="C3133" s="10" t="s">
        <v>5</v>
      </c>
      <c r="D3133" s="5" t="s">
        <v>2816</v>
      </c>
      <c r="E3133" s="1" t="str">
        <f ca="1">IFERROR(__xludf.DUMMYFUNCTION("GOOGLETRANSLATE(D3133, ""bn"", ""en"")"),"By obeying Allah's guidance, our faith is strengthened, and we can succeed in every test of life.")</f>
        <v>By obeying Allah's guidance, our faith is strengthened, and we can succeed in every test of life.</v>
      </c>
      <c r="F3133" s="1"/>
      <c r="G3133" s="1"/>
      <c r="H3133" s="1"/>
      <c r="I3133" s="1"/>
    </row>
    <row r="3134" spans="1:9" ht="15.6" x14ac:dyDescent="0.3">
      <c r="A3134" s="1" t="s">
        <v>7</v>
      </c>
      <c r="B3134" s="1" t="s">
        <v>7</v>
      </c>
      <c r="C3134" s="10" t="s">
        <v>7</v>
      </c>
      <c r="D3134" s="5" t="s">
        <v>2817</v>
      </c>
      <c r="E3134" s="1" t="str">
        <f ca="1">IFERROR(__xludf.DUMMYFUNCTION("GOOGLETRANSLATE(D3134, ""bn"", ""en"")")," In the case of suicide, the slave ignores natural death and kills himself by taking death into his own hands. Hence it is a sinful act, kabirah gonah.")</f>
        <v> In the case of suicide, the slave ignores natural death and kills himself by taking death into his own hands. Hence it is a sinful act, kabirah gonah.</v>
      </c>
      <c r="F3134" s="1"/>
      <c r="G3134" s="1"/>
      <c r="H3134" s="1"/>
      <c r="I3134" s="1"/>
    </row>
    <row r="3135" spans="1:9" ht="15.6" x14ac:dyDescent="0.3">
      <c r="A3135" s="1" t="s">
        <v>7</v>
      </c>
      <c r="B3135" s="1" t="s">
        <v>7</v>
      </c>
      <c r="C3135" s="10" t="s">
        <v>7</v>
      </c>
      <c r="D3135" s="5" t="s">
        <v>2818</v>
      </c>
      <c r="E3135" s="1" t="str">
        <f ca="1">IFERROR(__xludf.DUMMYFUNCTION("GOOGLETRANSLATE(D3135, ""bn"", ""en"")"),"In most Islamic countries, including Qatar, anti-blasphemy laws deal only with insults to Islam. Anti-blasphemy laws are still in force in almost every major religion, albeit in different forms. Almost all Islamic or Muslim-dominated countries have these "&amp;"laws, including the death penalty in some countries such as Pakistan. ")</f>
        <v>In most Islamic countries, including Qatar, anti-blasphemy laws deal only with insults to Islam. Anti-blasphemy laws are still in force in almost every major religion, albeit in different forms. Almost all Islamic or Muslim-dominated countries have these laws, including the death penalty in some countries such as Pakistan. </v>
      </c>
      <c r="F3135" s="1"/>
      <c r="G3135" s="1"/>
      <c r="H3135" s="1"/>
      <c r="I3135" s="1"/>
    </row>
    <row r="3136" spans="1:9" ht="15.6" x14ac:dyDescent="0.3">
      <c r="A3136" s="1" t="s">
        <v>9</v>
      </c>
      <c r="B3136" s="1" t="s">
        <v>9</v>
      </c>
      <c r="C3136" s="10" t="s">
        <v>9</v>
      </c>
      <c r="D3136" s="5" t="s">
        <v>2819</v>
      </c>
      <c r="E3136" s="1" t="str">
        <f ca="1">IFERROR(__xludf.DUMMYFUNCTION("GOOGLETRANSLATE(D3136, ""bn"", ""en"")"),"Again it can be seen that the Prophet (PBUH) made a treaty with Quraysh in Hudaybiyah without fighting. It was against Muslims though. But the result of this maneuver was a clear victory.")</f>
        <v>Again it can be seen that the Prophet (PBUH) made a treaty with Quraysh in Hudaybiyah without fighting. It was against Muslims though. But the result of this maneuver was a clear victory.</v>
      </c>
      <c r="F3136" s="1"/>
      <c r="G3136" s="1"/>
      <c r="H3136" s="1"/>
      <c r="I3136" s="1"/>
    </row>
    <row r="3137" spans="1:9" ht="15.6" x14ac:dyDescent="0.3">
      <c r="A3137" s="1" t="s">
        <v>5</v>
      </c>
      <c r="B3137" s="1" t="s">
        <v>5</v>
      </c>
      <c r="C3137" s="10" t="s">
        <v>5</v>
      </c>
      <c r="D3137" s="5" t="s">
        <v>2820</v>
      </c>
      <c r="E3137" s="1" t="str">
        <f ca="1">IFERROR(__xludf.DUMMYFUNCTION("GOOGLETRANSLATE(D3137, ""bn"", ""en"")")," He was speaking about haram and halal according to the rules of Islam in the religious education class of the school.")</f>
        <v> He was speaking about haram and halal according to the rules of Islam in the religious education class of the school.</v>
      </c>
      <c r="F3137" s="1"/>
      <c r="G3137" s="1"/>
      <c r="H3137" s="1"/>
      <c r="I3137" s="1"/>
    </row>
    <row r="3138" spans="1:9" ht="15.6" x14ac:dyDescent="0.3">
      <c r="A3138" s="1" t="s">
        <v>5</v>
      </c>
      <c r="B3138" s="1" t="s">
        <v>5</v>
      </c>
      <c r="C3138" s="10" t="s">
        <v>5</v>
      </c>
      <c r="D3138" s="5" t="s">
        <v>2821</v>
      </c>
      <c r="E3138" s="1" t="str">
        <f ca="1">IFERROR(__xludf.DUMMYFUNCTION("GOOGLETRANSLATE(D3138, ""bn"", ""en"")"),"Basically Buddhist monks are given a special garment called tri-cheebra. [1] Religious people also donate cheebra and other accessories to the monks every year in the hope of merit.")</f>
        <v>Basically Buddhist monks are given a special garment called tri-cheebra. [1] Religious people also donate cheebra and other accessories to the monks every year in the hope of merit.</v>
      </c>
      <c r="F3138" s="1"/>
      <c r="G3138" s="1"/>
      <c r="H3138" s="1"/>
      <c r="I3138" s="1"/>
    </row>
    <row r="3139" spans="1:9" ht="15.6" x14ac:dyDescent="0.3">
      <c r="A3139" s="1" t="s">
        <v>4</v>
      </c>
      <c r="B3139" s="1" t="s">
        <v>5</v>
      </c>
      <c r="C3139" s="10" t="s">
        <v>4</v>
      </c>
      <c r="D3139" s="5" t="s">
        <v>2822</v>
      </c>
      <c r="E3139" s="1" t="str">
        <f ca="1">IFERROR(__xludf.DUMMYFUNCTION("GOOGLETRANSLATE(D3139, ""bn"", ""en"")"),"Whether it is a girl or a boy,,,,is smoking a cigarette,,or is eating khurma biryani,that is her personal matter,,,gender equality should be accepted by us,,,, ")</f>
        <v>Whether it is a girl or a boy,,,,is smoking a cigarette,,or is eating khurma biryani,that is her personal matter,,,gender equality should be accepted by us,,,, </v>
      </c>
      <c r="F3139" s="1"/>
      <c r="G3139" s="1"/>
      <c r="H3139" s="1"/>
      <c r="I3139" s="1"/>
    </row>
    <row r="3140" spans="1:9" ht="15.6" x14ac:dyDescent="0.3">
      <c r="A3140" s="1" t="s">
        <v>9</v>
      </c>
      <c r="B3140" s="1" t="s">
        <v>9</v>
      </c>
      <c r="C3140" s="10" t="s">
        <v>9</v>
      </c>
      <c r="D3140" s="5" t="s">
        <v>2823</v>
      </c>
      <c r="E3140" s="1" t="str">
        <f ca="1">IFERROR(__xludf.DUMMYFUNCTION("GOOGLETRANSLATE(D3140, ""bn"", ""en"")"),"That day was Monday. The previous day, the Babri Masjid in Ayodhya, India was demolished by the Hindutva there. All Bengali and English dailies published from Dhaka had the main headlines about this issue.")</f>
        <v>That day was Monday. The previous day, the Babri Masjid in Ayodhya, India was demolished by the Hindutva there. All Bengali and English dailies published from Dhaka had the main headlines about this issue.</v>
      </c>
      <c r="F3140" s="1"/>
      <c r="G3140" s="1"/>
      <c r="H3140" s="1"/>
      <c r="I3140" s="1"/>
    </row>
    <row r="3141" spans="1:9" ht="15.6" x14ac:dyDescent="0.3">
      <c r="A3141" s="1" t="s">
        <v>7</v>
      </c>
      <c r="B3141" s="1" t="s">
        <v>7</v>
      </c>
      <c r="C3141" s="10" t="s">
        <v>7</v>
      </c>
      <c r="D3141" s="5" t="s">
        <v>2824</v>
      </c>
      <c r="E3141" s="1" t="str">
        <f ca="1">IFERROR(__xludf.DUMMYFUNCTION("GOOGLETRANSLATE(D3141, ""bn"", ""en"")"),"Not only in Islam, but also in Christianity or traditional religion, suicide is considered a great sin. The religious gurus say that life is given by God. He alone has the right to take away that life. People have no right to kill themselves.")</f>
        <v>Not only in Islam, but also in Christianity or traditional religion, suicide is considered a great sin. The religious gurus say that life is given by God. He alone has the right to take away that life. People have no right to kill themselves.</v>
      </c>
      <c r="F3141" s="1"/>
      <c r="G3141" s="1"/>
      <c r="H3141" s="1"/>
      <c r="I3141" s="1"/>
    </row>
    <row r="3142" spans="1:9" ht="15.6" x14ac:dyDescent="0.3">
      <c r="A3142" s="1" t="s">
        <v>7</v>
      </c>
      <c r="B3142" s="1" t="s">
        <v>7</v>
      </c>
      <c r="C3142" s="10" t="s">
        <v>7</v>
      </c>
      <c r="D3142" s="5" t="s">
        <v>2825</v>
      </c>
      <c r="E3142" s="1" t="str">
        <f ca="1">IFERROR(__xludf.DUMMYFUNCTION("GOOGLETRANSLATE(D3142, ""bn"", ""en"")"),"The hearts of Muslims from all walks of life were already wounded due to the mass killing of Muslims in Myanmar, the helpless Muslim men and women fleeing to the border of Bangladesh and returning to the midst of blood and fire, the insulting of the Messe"&amp;"nger of Allah in the film called Innocence of Muslims, the endless incitement in blogs, etc. ")</f>
        <v>The hearts of Muslims from all walks of life were already wounded due to the mass killing of Muslims in Myanmar, the helpless Muslim men and women fleeing to the border of Bangladesh and returning to the midst of blood and fire, the insulting of the Messenger of Allah in the film called Innocence of Muslims, the endless incitement in blogs, etc. </v>
      </c>
      <c r="F3142" s="1"/>
      <c r="G3142" s="1"/>
      <c r="H3142" s="1"/>
      <c r="I3142" s="1"/>
    </row>
    <row r="3143" spans="1:9" ht="15.6" x14ac:dyDescent="0.3">
      <c r="A3143" s="1" t="s">
        <v>5</v>
      </c>
      <c r="B3143" s="1" t="s">
        <v>5</v>
      </c>
      <c r="C3143" s="10" t="s">
        <v>5</v>
      </c>
      <c r="D3143" s="5" t="s">
        <v>2826</v>
      </c>
      <c r="E3143" s="1" t="str">
        <f ca="1">IFERROR(__xludf.DUMMYFUNCTION("GOOGLETRANSLATE(D3143, ""bn"", ""en"")"),"Religion is a concept that developed in the early ages of human civilization. And it became a 'truth' because it was passed down from generation to generation. I am not talking about any particular religion here.")</f>
        <v>Religion is a concept that developed in the early ages of human civilization. And it became a 'truth' because it was passed down from generation to generation. I am not talking about any particular religion here.</v>
      </c>
      <c r="F3143" s="1"/>
      <c r="G3143" s="1"/>
      <c r="H3143" s="1"/>
      <c r="I3143" s="1"/>
    </row>
    <row r="3144" spans="1:9" ht="15.6" x14ac:dyDescent="0.3">
      <c r="A3144" s="1" t="s">
        <v>4</v>
      </c>
      <c r="B3144" s="1" t="s">
        <v>4</v>
      </c>
      <c r="C3144" s="10" t="s">
        <v>4</v>
      </c>
      <c r="D3144" s="5" t="s">
        <v>2827</v>
      </c>
      <c r="E3144" s="1" t="str">
        <f ca="1">IFERROR(__xludf.DUMMYFUNCTION("GOOGLETRANSLATE(D3144, ""bn"", ""en"")"),"Certainly not, and it is true that whatever the pagans claim ownership of Al Aqsa, it is just like my example!")</f>
        <v>Certainly not, and it is true that whatever the pagans claim ownership of Al Aqsa, it is just like my example!</v>
      </c>
      <c r="F3144" s="1"/>
      <c r="G3144" s="1"/>
      <c r="H3144" s="1"/>
      <c r="I3144" s="1"/>
    </row>
    <row r="3145" spans="1:9" ht="15.6" x14ac:dyDescent="0.3">
      <c r="A3145" s="1" t="s">
        <v>7</v>
      </c>
      <c r="B3145" s="1" t="s">
        <v>7</v>
      </c>
      <c r="C3145" s="10" t="s">
        <v>7</v>
      </c>
      <c r="D3145" s="5" t="s">
        <v>2828</v>
      </c>
      <c r="E3145" s="1" t="str">
        <f ca="1">IFERROR(__xludf.DUMMYFUNCTION("GOOGLETRANSLATE(D3145, ""bn"", ""en"")"),"There is no need for millions of hadiths. Only the ten commandments of Jesus Christ are the hadith of the whole book of Christians. If you don't know, take it")</f>
        <v>There is no need for millions of hadiths. Only the ten commandments of Jesus Christ are the hadith of the whole book of Christians. If you don't know, take it</v>
      </c>
      <c r="F3145" s="1"/>
      <c r="G3145" s="1"/>
      <c r="H3145" s="1"/>
      <c r="I3145" s="1"/>
    </row>
    <row r="3146" spans="1:9" ht="15.6" x14ac:dyDescent="0.3">
      <c r="A3146" s="1" t="s">
        <v>7</v>
      </c>
      <c r="B3146" s="1" t="s">
        <v>7</v>
      </c>
      <c r="C3146" s="10" t="s">
        <v>7</v>
      </c>
      <c r="D3146" s="5" t="s">
        <v>2829</v>
      </c>
      <c r="E3146" s="1" t="str">
        <f ca="1">IFERROR(__xludf.DUMMYFUNCTION("GOOGLETRANSLATE(D3146, ""bn"", ""en"")"),"In the city of Andijan, there was a massive crackdown on anti-government Muslims, where many people were killed.")</f>
        <v>In the city of Andijan, there was a massive crackdown on anti-government Muslims, where many people were killed.</v>
      </c>
      <c r="F3146" s="1"/>
      <c r="G3146" s="1"/>
      <c r="H3146" s="1"/>
      <c r="I3146" s="1"/>
    </row>
    <row r="3147" spans="1:9" ht="15.6" x14ac:dyDescent="0.3">
      <c r="A3147" s="1" t="s">
        <v>4</v>
      </c>
      <c r="B3147" s="1" t="s">
        <v>5</v>
      </c>
      <c r="C3147" s="10" t="s">
        <v>4</v>
      </c>
      <c r="D3147" s="5" t="s">
        <v>2830</v>
      </c>
      <c r="E3147" s="1" t="str">
        <f ca="1">IFERROR(__xludf.DUMMYFUNCTION("GOOGLETRANSLATE(D3147, ""bn"", ""en"")"),"Pandit Sir, you are saying that non-vegetarian food can be eaten. Why can't you eat meat? I want proper documents and proof of this")</f>
        <v>Pandit Sir, you are saying that non-vegetarian food can be eaten. Why can't you eat meat? I want proper documents and proof of this</v>
      </c>
      <c r="F3147" s="1"/>
      <c r="G3147" s="1"/>
      <c r="H3147" s="1"/>
      <c r="I3147" s="1"/>
    </row>
    <row r="3148" spans="1:9" ht="15.6" x14ac:dyDescent="0.3">
      <c r="A3148" s="1" t="s">
        <v>7</v>
      </c>
      <c r="B3148" s="1" t="s">
        <v>7</v>
      </c>
      <c r="C3148" s="10" t="s">
        <v>7</v>
      </c>
      <c r="D3148" s="5" t="s">
        <v>2831</v>
      </c>
      <c r="E3148" s="1" t="str">
        <f ca="1">IFERROR(__xludf.DUMMYFUNCTION("GOOGLETRANSLATE(D3148, ""bn"", ""en"")"),"Violent clashes between Hindu and Muslim communities in Uttar Pradesh's Muzaffarnagar left over 60 people dead and thousands displaced.")</f>
        <v>Violent clashes between Hindu and Muslim communities in Uttar Pradesh's Muzaffarnagar left over 60 people dead and thousands displaced.</v>
      </c>
      <c r="F3148" s="1"/>
      <c r="G3148" s="1"/>
      <c r="H3148" s="1"/>
      <c r="I3148" s="1"/>
    </row>
    <row r="3149" spans="1:9" ht="15.6" x14ac:dyDescent="0.3">
      <c r="A3149" s="4" t="s">
        <v>7</v>
      </c>
      <c r="B3149" s="4" t="s">
        <v>7</v>
      </c>
      <c r="C3149" s="11" t="s">
        <v>7</v>
      </c>
      <c r="D3149" s="5" t="s">
        <v>2832</v>
      </c>
      <c r="E3149" s="1" t="str">
        <f ca="1">IFERROR(__xludf.DUMMYFUNCTION("GOOGLETRANSLATE(D3149, ""bn"", ""en"")"),"Gauri Lankesh was an outspoken critic of the Hindu Right through her writings. ""Just as Gauri was opening the door of the house, two direct shots were fired in the chest and one in the head,"" said a police official on condition of anonymity.")</f>
        <v>Gauri Lankesh was an outspoken critic of the Hindu Right through her writings. "Just as Gauri was opening the door of the house, two direct shots were fired in the chest and one in the head," said a police official on condition of anonymity.</v>
      </c>
      <c r="F3149" s="1"/>
      <c r="G3149" s="1"/>
      <c r="H3149" s="1"/>
      <c r="I3149" s="1"/>
    </row>
    <row r="3150" spans="1:9" ht="62.4" x14ac:dyDescent="0.3">
      <c r="A3150" s="1" t="s">
        <v>4</v>
      </c>
      <c r="B3150" s="1" t="s">
        <v>9</v>
      </c>
      <c r="C3150" s="10" t="s">
        <v>4</v>
      </c>
      <c r="D3150" s="6" t="s">
        <v>3709</v>
      </c>
      <c r="E3150" s="1" t="str">
        <f ca="1">IFERROR(__xludf.DUMMYFUNCTION("GOOGLETRANSLATE(D3150, ""bn"", ""en"")"),"""There is a good reason why we are the ones playing on the field and some spineless people on social media (attacking religion) are not playing,"" said the most low-minded of religion scofflaws. They don't really have the courage to stand up and speak in"&amp;" front of any person. They hide (anonymously) and stalk others through social media. They make fun of people which has become the medium of entertainment in today's world. It is very unfortunate and sad to see.")</f>
        <v>"There is a good reason why we are the ones playing on the field and some spineless people on social media (attacking religion) are not playing," said the most low-minded of religion scofflaws. They don't really have the courage to stand up and speak in front of any person. They hide (anonymously) and stalk others through social media. They make fun of people which has become the medium of entertainment in today's world. It is very unfortunate and sad to see.</v>
      </c>
      <c r="F3150" s="1"/>
      <c r="G3150" s="1"/>
      <c r="H3150" s="1"/>
      <c r="I3150" s="1"/>
    </row>
    <row r="3151" spans="1:9" ht="15.6" x14ac:dyDescent="0.3">
      <c r="A3151" s="1" t="s">
        <v>9</v>
      </c>
      <c r="B3151" s="1" t="s">
        <v>5</v>
      </c>
      <c r="C3151" s="10" t="s">
        <v>9</v>
      </c>
      <c r="D3151" s="5" t="s">
        <v>2833</v>
      </c>
      <c r="E3151" s="1" t="str">
        <f ca="1">IFERROR(__xludf.DUMMYFUNCTION("GOOGLETRANSLATE(D3151, ""bn"", ""en"")"),"Central intervention in Noakhali was demanded with immediate suspension of the Muslim League cabinet, which failed to quell the riots. [55] On 26 October, GOC Eastern Military Forces Lt. Gen. F.R.R. Butcher told a press conference that it was impossible t"&amp;"o say when the confidence of the Hindu community, shaken by the horrific riots, would return.")</f>
        <v>Central intervention in Noakhali was demanded with immediate suspension of the Muslim League cabinet, which failed to quell the riots. [55] On 26 October, GOC Eastern Military Forces Lt. Gen. F.R.R. Butcher told a press conference that it was impossible to say when the confidence of the Hindu community, shaken by the horrific riots, would return.</v>
      </c>
      <c r="F3151" s="1"/>
      <c r="G3151" s="1"/>
      <c r="H3151" s="1"/>
      <c r="I3151" s="1"/>
    </row>
    <row r="3152" spans="1:9" ht="15.6" x14ac:dyDescent="0.3">
      <c r="A3152" s="1" t="s">
        <v>9</v>
      </c>
      <c r="B3152" s="1" t="s">
        <v>9</v>
      </c>
      <c r="C3152" s="10" t="s">
        <v>9</v>
      </c>
      <c r="D3152" s="5" t="s">
        <v>2834</v>
      </c>
      <c r="E3152" s="1" t="str">
        <f ca="1">IFERROR(__xludf.DUMMYFUNCTION("GOOGLETRANSLATE(D3152, ""bn"", ""en"")"),"Peace is the destination of all communal religions of the world. So what are we seeing at the end of this century? There is so much politics, differences of opinion, bloodshed, torture, humiliation and unrest about the religion that is for the welfare of "&amp;"people.")</f>
        <v>Peace is the destination of all communal religions of the world. So what are we seeing at the end of this century? There is so much politics, differences of opinion, bloodshed, torture, humiliation and unrest about the religion that is for the welfare of people.</v>
      </c>
      <c r="F3152" s="1"/>
      <c r="G3152" s="1"/>
      <c r="H3152" s="1"/>
      <c r="I3152" s="1"/>
    </row>
    <row r="3153" spans="1:9" ht="15.6" x14ac:dyDescent="0.3">
      <c r="A3153" s="1" t="s">
        <v>5</v>
      </c>
      <c r="B3153" s="1" t="s">
        <v>5</v>
      </c>
      <c r="C3153" s="10" t="s">
        <v>5</v>
      </c>
      <c r="D3153" s="5" t="s">
        <v>2835</v>
      </c>
      <c r="E3153" s="1" t="str">
        <f ca="1">IFERROR(__xludf.DUMMYFUNCTION("GOOGLETRANSLATE(D3153, ""bn"", ""en"")"),"When the love of the Prophet (Awwal) and the end (Akheri) reaches the other side, then that love has to be maintained with difficulty through worship. If there is true love, then you will know where your abode in Jannah is by performing Ibadah as well as "&amp;"being responsible to your parents.")</f>
        <v>When the love of the Prophet (Awwal) and the end (Akheri) reaches the other side, then that love has to be maintained with difficulty through worship. If there is true love, then you will know where your abode in Jannah is by performing Ibadah as well as being responsible to your parents.</v>
      </c>
      <c r="F3153" s="1"/>
      <c r="G3153" s="1"/>
      <c r="H3153" s="1"/>
      <c r="I3153" s="1"/>
    </row>
    <row r="3154" spans="1:9" ht="15.6" x14ac:dyDescent="0.3">
      <c r="A3154" s="1" t="s">
        <v>4</v>
      </c>
      <c r="B3154" s="1" t="s">
        <v>5</v>
      </c>
      <c r="C3154" s="10" t="s">
        <v>4</v>
      </c>
      <c r="D3154" s="5" t="s">
        <v>2836</v>
      </c>
      <c r="E3154" s="1" t="str">
        <f ca="1">IFERROR(__xludf.DUMMYFUNCTION("GOOGLETRANSLATE(D3154, ""bn"", ""en"")"),"A shoe company is talking about traditional religion in Bangladesh. As a Sanatani you will share the post and protest.")</f>
        <v>A shoe company is talking about traditional religion in Bangladesh. As a Sanatani you will share the post and protest.</v>
      </c>
      <c r="F3154" s="1"/>
      <c r="G3154" s="1"/>
      <c r="H3154" s="1"/>
      <c r="I3154" s="1"/>
    </row>
    <row r="3155" spans="1:9" ht="46.8" x14ac:dyDescent="0.3">
      <c r="A3155" s="1" t="s">
        <v>9</v>
      </c>
      <c r="B3155" s="1" t="s">
        <v>9</v>
      </c>
      <c r="C3155" s="10" t="s">
        <v>9</v>
      </c>
      <c r="D3155" s="6" t="s">
        <v>3708</v>
      </c>
      <c r="E3155" s="1" t="str">
        <f ca="1">IFERROR(__xludf.DUMMYFUNCTION("GOOGLETRANSLATE(D3155, ""bn"", ""en"")"),"In the midst of anti-religious conflict, when the basic greetings of religion are expressed, great contradictions and upheavals are created among people. It is not the treacherous violent activism that can create confusion and turmoil in people by creatin"&amp;"g against their self-confidence and anti-religious ideals. Therefore, this kind of violence and destruction should be prohibited and religion should be given a successor role to violence.")</f>
        <v>In the midst of anti-religious conflict, when the basic greetings of religion are expressed, great contradictions and upheavals are created among people. It is not the treacherous violent activism that can create confusion and turmoil in people by creating against their self-confidence and anti-religious ideals. Therefore, this kind of violence and destruction should be prohibited and religion should be given a successor role to violence.</v>
      </c>
      <c r="F3155" s="1"/>
      <c r="G3155" s="1"/>
      <c r="H3155" s="1"/>
      <c r="I3155" s="1"/>
    </row>
    <row r="3156" spans="1:9" ht="15.6" x14ac:dyDescent="0.3">
      <c r="A3156" s="1" t="s">
        <v>9</v>
      </c>
      <c r="B3156" s="1" t="s">
        <v>9</v>
      </c>
      <c r="C3156" s="10" t="s">
        <v>9</v>
      </c>
      <c r="D3156" s="5" t="s">
        <v>2837</v>
      </c>
      <c r="E3156" s="1" t="str">
        <f ca="1">IFERROR(__xludf.DUMMYFUNCTION("GOOGLETRANSLATE(D3156, ""bn"", ""en"")"),"Another day, Israel, these restless eyes, the people of the Muslim world must see, the call to war, hell Kabir.")</f>
        <v>Another day, Israel, these restless eyes, the people of the Muslim world must see, the call to war, hell Kabir.</v>
      </c>
      <c r="F3156" s="1"/>
      <c r="G3156" s="1"/>
      <c r="H3156" s="1"/>
      <c r="I3156" s="1"/>
    </row>
    <row r="3157" spans="1:9" ht="15.6" x14ac:dyDescent="0.3">
      <c r="A3157" s="1" t="s">
        <v>4</v>
      </c>
      <c r="B3157" s="1" t="s">
        <v>4</v>
      </c>
      <c r="C3157" s="10" t="s">
        <v>4</v>
      </c>
      <c r="D3157" s="5" t="s">
        <v>2838</v>
      </c>
      <c r="E3157" s="1" t="str">
        <f ca="1">IFERROR(__xludf.DUMMYFUNCTION("GOOGLETRANSLATE(D3157, ""bn"", ""en"")"),"What has Bangladesh done, Kuwait, Jordan, Iraq, Iran, Turkey, all the countries have protested, what has Bangladesh done in Bangladesh?")</f>
        <v>What has Bangladesh done, Kuwait, Jordan, Iraq, Iran, Turkey, all the countries have protested, what has Bangladesh done in Bangladesh?</v>
      </c>
      <c r="F3157" s="1"/>
      <c r="G3157" s="1"/>
      <c r="H3157" s="1"/>
      <c r="I3157" s="1"/>
    </row>
    <row r="3158" spans="1:9" ht="15.6" x14ac:dyDescent="0.3">
      <c r="A3158" s="1" t="s">
        <v>5</v>
      </c>
      <c r="B3158" s="1" t="s">
        <v>5</v>
      </c>
      <c r="C3158" s="10" t="s">
        <v>5</v>
      </c>
      <c r="D3158" s="5" t="s">
        <v>2839</v>
      </c>
      <c r="E3158" s="1" t="str">
        <f ca="1">IFERROR(__xludf.DUMMYFUNCTION("GOOGLETRANSLATE(D3158, ""bn"", ""en"")"),"Allah has asked us to ask him for supplication in all matters. So we will always pray to Allah with complete trust in all matters and in-sha-Allah Allah Ta'ala will surely accept that prayer.")</f>
        <v>Allah has asked us to ask him for supplication in all matters. So we will always pray to Allah with complete trust in all matters and in-sha-Allah Allah Ta'ala will surely accept that prayer.</v>
      </c>
      <c r="F3158" s="1"/>
      <c r="G3158" s="1"/>
      <c r="H3158" s="1"/>
      <c r="I3158" s="1"/>
    </row>
    <row r="3159" spans="1:9" ht="15.6" x14ac:dyDescent="0.3">
      <c r="A3159" s="1" t="s">
        <v>5</v>
      </c>
      <c r="B3159" s="1" t="s">
        <v>5</v>
      </c>
      <c r="C3159" s="10" t="s">
        <v>5</v>
      </c>
      <c r="D3159" s="5" t="s">
        <v>2840</v>
      </c>
      <c r="E3159" s="1" t="str">
        <f ca="1">IFERROR(__xludf.DUMMYFUNCTION("GOOGLETRANSLATE(D3159, ""bn"", ""en"")"),"The basic teaching of Jainism is non-violence, i.e. benevolence towards animals, plants and all living beings, which makes the whole world peaceful and prosperous.")</f>
        <v>The basic teaching of Jainism is non-violence, i.e. benevolence towards animals, plants and all living beings, which makes the whole world peaceful and prosperous.</v>
      </c>
      <c r="F3159" s="1"/>
      <c r="G3159" s="1"/>
      <c r="H3159" s="1"/>
      <c r="I3159" s="1"/>
    </row>
    <row r="3160" spans="1:9" ht="15.6" x14ac:dyDescent="0.3">
      <c r="A3160" s="1" t="s">
        <v>9</v>
      </c>
      <c r="B3160" s="1" t="s">
        <v>9</v>
      </c>
      <c r="C3160" s="10" t="s">
        <v>9</v>
      </c>
      <c r="D3160" s="5" t="s">
        <v>2841</v>
      </c>
      <c r="E3160" s="1" t="str">
        <f ca="1">IFERROR(__xludf.DUMMYFUNCTION("GOOGLETRANSLATE(D3160, ""bn"", ""en"")"),"If the individuals and organizations of the world who take appropriate roles can stop Israel's brutal massacre of the Palestinian people, if they adopt silence today and turn their eyes away, then one day they will be held accountable in the court of God "&amp;"for this heinous injustice.")</f>
        <v>If the individuals and organizations of the world who take appropriate roles can stop Israel's brutal massacre of the Palestinian people, if they adopt silence today and turn their eyes away, then one day they will be held accountable in the court of God for this heinous injustice.</v>
      </c>
      <c r="F3160" s="1"/>
      <c r="G3160" s="1"/>
      <c r="H3160" s="1"/>
      <c r="I3160" s="1"/>
    </row>
    <row r="3161" spans="1:9" ht="15.6" x14ac:dyDescent="0.3">
      <c r="A3161" s="1" t="s">
        <v>5</v>
      </c>
      <c r="B3161" s="1" t="s">
        <v>5</v>
      </c>
      <c r="C3161" s="10" t="s">
        <v>5</v>
      </c>
      <c r="D3161" s="5" t="s">
        <v>2842</v>
      </c>
      <c r="E3161" s="1" t="str">
        <f ca="1">IFERROR(__xludf.DUMMYFUNCTION("GOOGLETRANSLATE(D3161, ""bn"", ""en"")"),"Eid is the biggest religious festival of Muslims all over the world. One is Eid-ul-Fitr, and the other is Eid-ul-Azha, also known as the Eid of Sacrifice.")</f>
        <v>Eid is the biggest religious festival of Muslims all over the world. One is Eid-ul-Fitr, and the other is Eid-ul-Azha, also known as the Eid of Sacrifice.</v>
      </c>
      <c r="F3161" s="1"/>
      <c r="G3161" s="1"/>
      <c r="H3161" s="1"/>
      <c r="I3161" s="1"/>
    </row>
    <row r="3162" spans="1:9" ht="15.6" x14ac:dyDescent="0.3">
      <c r="A3162" s="1" t="s">
        <v>9</v>
      </c>
      <c r="B3162" s="1" t="s">
        <v>5</v>
      </c>
      <c r="C3162" s="10" t="s">
        <v>9</v>
      </c>
      <c r="D3162" s="5" t="s">
        <v>2843</v>
      </c>
      <c r="E3162" s="1" t="str">
        <f ca="1">IFERROR(__xludf.DUMMYFUNCTION("GOOGLETRANSLATE(D3162, ""bn"", ""en"")"),"In late January 2019, an attack on the Swaminarayan Temple in Louisville, Kentucky resulted in damage to the temple and anti-Hindu slogans written on the temple walls.")</f>
        <v>In late January 2019, an attack on the Swaminarayan Temple in Louisville, Kentucky resulted in damage to the temple and anti-Hindu slogans written on the temple walls.</v>
      </c>
      <c r="F3162" s="1"/>
      <c r="G3162" s="1"/>
      <c r="H3162" s="1"/>
      <c r="I3162" s="1"/>
    </row>
    <row r="3163" spans="1:9" ht="15.6" x14ac:dyDescent="0.3">
      <c r="A3163" s="1" t="s">
        <v>9</v>
      </c>
      <c r="B3163" s="1" t="s">
        <v>9</v>
      </c>
      <c r="C3163" s="10" t="s">
        <v>9</v>
      </c>
      <c r="D3163" s="5" t="s">
        <v>2844</v>
      </c>
      <c r="E3163" s="1" t="str">
        <f ca="1">IFERROR(__xludf.DUMMYFUNCTION("GOOGLETRANSLATE(D3163, ""bn"", ""en"")"),"France has been hit by terrorist attacks in the last five years. More than two hundred people died. As a result, Mr. is under pressure from hard right-wing parties. Macron.")</f>
        <v>France has been hit by terrorist attacks in the last five years. More than two hundred people died. As a result, Mr. is under pressure from hard right-wing parties. Macron.</v>
      </c>
      <c r="F3163" s="1"/>
      <c r="G3163" s="1"/>
      <c r="H3163" s="1"/>
      <c r="I3163" s="1"/>
    </row>
    <row r="3164" spans="1:9" ht="15.6" x14ac:dyDescent="0.3">
      <c r="A3164" s="1" t="s">
        <v>4</v>
      </c>
      <c r="B3164" s="1" t="s">
        <v>4</v>
      </c>
      <c r="C3164" s="10" t="s">
        <v>4</v>
      </c>
      <c r="D3164" s="5" t="s">
        <v>2845</v>
      </c>
      <c r="E3164" s="1" t="str">
        <f ca="1">IFERROR(__xludf.DUMMYFUNCTION("GOOGLETRANSLATE(D3164, ""bn"", ""en"")"),"Educationally and economically they were also ahead. As a result the Hindus did not take well to the rise of the new Muslim polity. The educationally and financially advanced Hindus became increasingly non-cooperative with the new Muslim government. One o"&amp;"f which is manifested in many places including Noakhali. Just as the Hindus were concerned about the political rise of the Muslims, a section of the Muslims were looking for an opportunity to vent their old grudges against the Hindu landlords. And they go"&amp;"t that opportunity at the end of the British rule in India.[13]")</f>
        <v>Educationally and economically they were also ahead. As a result the Hindus did not take well to the rise of the new Muslim polity. The educationally and financially advanced Hindus became increasingly non-cooperative with the new Muslim government. One of which is manifested in many places including Noakhali. Just as the Hindus were concerned about the political rise of the Muslims, a section of the Muslims were looking for an opportunity to vent their old grudges against the Hindu landlords. And they got that opportunity at the end of the British rule in India.[13]</v>
      </c>
      <c r="F3164" s="1"/>
      <c r="G3164" s="1"/>
      <c r="H3164" s="1"/>
      <c r="I3164" s="1"/>
    </row>
    <row r="3165" spans="1:9" ht="15.6" x14ac:dyDescent="0.3">
      <c r="A3165" s="1" t="s">
        <v>5</v>
      </c>
      <c r="B3165" s="1" t="s">
        <v>5</v>
      </c>
      <c r="C3165" s="10" t="s">
        <v>5</v>
      </c>
      <c r="D3165" s="5" t="s">
        <v>2846</v>
      </c>
      <c r="E3165" s="1" t="str">
        <f ca="1">IFERROR(__xludf.DUMMYFUNCTION("GOOGLETRANSLATE(D3165, ""bn"", ""en"")"),"It is the home of monotheism. Since then, Abraham, Jesus, Muhammad created their religious ideas. He spread it around the world. So the place is of special importance to the monotheists.")</f>
        <v>It is the home of monotheism. Since then, Abraham, Jesus, Muhammad created their religious ideas. He spread it around the world. So the place is of special importance to the monotheists.</v>
      </c>
      <c r="F3165" s="1"/>
      <c r="G3165" s="1"/>
      <c r="H3165" s="1"/>
      <c r="I3165" s="1"/>
    </row>
    <row r="3166" spans="1:9" ht="15.6" x14ac:dyDescent="0.3">
      <c r="A3166" s="1" t="s">
        <v>5</v>
      </c>
      <c r="B3166" s="1" t="s">
        <v>5</v>
      </c>
      <c r="C3166" s="10" t="s">
        <v>5</v>
      </c>
      <c r="D3166" s="5" t="s">
        <v>2847</v>
      </c>
      <c r="E3166" s="1" t="str">
        <f ca="1">IFERROR(__xludf.DUMMYFUNCTION("GOOGLETRANSLATE(D3166, ""bn"", ""en"")"),"Allah forgives but does not give up. Surely, this injustice will be judged in the court of Allah, what will they answer on that day. Anyway, may Allah guide those who did this wrong.")</f>
        <v>Allah forgives but does not give up. Surely, this injustice will be judged in the court of Allah, what will they answer on that day. Anyway, may Allah guide those who did this wrong.</v>
      </c>
      <c r="F3166" s="1"/>
      <c r="G3166" s="1"/>
      <c r="H3166" s="1"/>
      <c r="I3166" s="1"/>
    </row>
    <row r="3167" spans="1:9" ht="15.6" x14ac:dyDescent="0.3">
      <c r="A3167" s="1" t="s">
        <v>5</v>
      </c>
      <c r="B3167" s="1" t="s">
        <v>5</v>
      </c>
      <c r="C3167" s="10" t="s">
        <v>5</v>
      </c>
      <c r="D3167" s="5" t="s">
        <v>2848</v>
      </c>
      <c r="E3167" s="1" t="str">
        <f ca="1">IFERROR(__xludf.DUMMYFUNCTION("GOOGLETRANSLATE(D3167, ""bn"", ""en"")"),"""I wholeheartedly believe that Hindus have no enmity with the larger population of Bangladesh, rather harmony between them.")</f>
        <v>"I wholeheartedly believe that Hindus have no enmity with the larger population of Bangladesh, rather harmony between them.</v>
      </c>
      <c r="F3167" s="1"/>
      <c r="G3167" s="1"/>
      <c r="H3167" s="1"/>
      <c r="I3167" s="1"/>
    </row>
    <row r="3168" spans="1:9" ht="15.6" x14ac:dyDescent="0.3">
      <c r="A3168" s="1" t="s">
        <v>7</v>
      </c>
      <c r="B3168" s="1" t="s">
        <v>7</v>
      </c>
      <c r="C3168" s="10" t="s">
        <v>7</v>
      </c>
      <c r="D3168" s="5" t="s">
        <v>2849</v>
      </c>
      <c r="E3168" s="1" t="str">
        <f ca="1">IFERROR(__xludf.DUMMYFUNCTION("GOOGLETRANSLATE(D3168, ""bn"", ""en"")"),"The second cause of suicide is false expectations. Because of this, many commit suicide. As one thought, if he commits suicide in this way or for this purpose, he will get relief from grief and suffering.")</f>
        <v>The second cause of suicide is false expectations. Because of this, many commit suicide. As one thought, if he commits suicide in this way or for this purpose, he will get relief from grief and suffering.</v>
      </c>
      <c r="F3168" s="1"/>
      <c r="G3168" s="1"/>
      <c r="H3168" s="1"/>
      <c r="I3168" s="1"/>
    </row>
    <row r="3169" spans="1:9" ht="15.6" x14ac:dyDescent="0.3">
      <c r="A3169" s="1" t="s">
        <v>5</v>
      </c>
      <c r="B3169" s="1" t="s">
        <v>5</v>
      </c>
      <c r="C3169" s="10" t="s">
        <v>5</v>
      </c>
      <c r="D3169" s="5" t="s">
        <v>2850</v>
      </c>
      <c r="E3169" s="1" t="str">
        <f ca="1">IFERROR(__xludf.DUMMYFUNCTION("GOOGLETRANSLATE(D3169, ""bn"", ""en"")"),"Religion is the guide for the spiritual development of man, which calls all towards humanity ")</f>
        <v xml:space="preserve">Religion is the guide for the spiritual development of man, which calls all towards humanity </v>
      </c>
      <c r="F3169" s="1"/>
      <c r="G3169" s="1"/>
      <c r="H3169" s="1"/>
      <c r="I3169" s="1"/>
    </row>
    <row r="3170" spans="1:9" ht="15.6" x14ac:dyDescent="0.3">
      <c r="A3170" s="1" t="s">
        <v>5</v>
      </c>
      <c r="B3170" s="1" t="s">
        <v>9</v>
      </c>
      <c r="C3170" s="10" t="s">
        <v>5</v>
      </c>
      <c r="D3170" s="5" t="s">
        <v>2851</v>
      </c>
      <c r="E3170" s="1" t="str">
        <f ca="1">IFERROR(__xludf.DUMMYFUNCTION("GOOGLETRANSLATE(D3170, ""bn"", ""en"")"),"No true Hindu or Muslim can do such a thing or support such a thing. No religion allows such an act. The minority Hindu brothers are our neighbors.")</f>
        <v>No true Hindu or Muslim can do such a thing or support such a thing. No religion allows such an act. The minority Hindu brothers are our neighbors.</v>
      </c>
      <c r="F3170" s="1"/>
      <c r="G3170" s="1"/>
      <c r="H3170" s="1"/>
      <c r="I3170" s="1"/>
    </row>
    <row r="3171" spans="1:9" ht="15.6" x14ac:dyDescent="0.3">
      <c r="A3171" s="1" t="s">
        <v>4</v>
      </c>
      <c r="B3171" s="1" t="s">
        <v>4</v>
      </c>
      <c r="C3171" s="10" t="s">
        <v>4</v>
      </c>
      <c r="D3171" s="5" t="s">
        <v>2852</v>
      </c>
      <c r="E3171" s="1" t="str">
        <f ca="1">IFERROR(__xludf.DUMMYFUNCTION("GOOGLETRANSLATE(D3171, ""bn"", ""en"")"),"Someone is pouring water on the mother's head with a pipe, someone is pouring water on her head with a bucket, someone is coming and applying paint. And accepting the situation, 3 Muslims are trying to react unsuccessfully. ")</f>
        <v xml:space="preserve">Someone is pouring water on the mother's head with a pipe, someone is pouring water on her head with a bucket, someone is coming and applying paint. And accepting the situation, 3 Muslims are trying to react unsuccessfully. </v>
      </c>
      <c r="F3171" s="1"/>
      <c r="G3171" s="1"/>
      <c r="H3171" s="1"/>
      <c r="I3171" s="1"/>
    </row>
    <row r="3172" spans="1:9" ht="15.6" x14ac:dyDescent="0.3">
      <c r="A3172" s="1" t="s">
        <v>7</v>
      </c>
      <c r="B3172" s="1" t="s">
        <v>7</v>
      </c>
      <c r="C3172" s="10" t="s">
        <v>7</v>
      </c>
      <c r="D3172" s="5" t="s">
        <v>2853</v>
      </c>
      <c r="E3172" s="1" t="str">
        <f ca="1">IFERROR(__xludf.DUMMYFUNCTION("GOOGLETRANSLATE(D3172, ""bn"", ""en"")"),"Al Badr, Razakar and East Pakistan Central Peace Committee members set fire and looted numerous residences. Pakistan army rapes women. The day after the massacre, the survivors dumped the dead bodies in the wells of the erstwhile zamindars of Bagbati and "&amp;"Dhaldab.")</f>
        <v>Al Badr, Razakar and East Pakistan Central Peace Committee members set fire and looted numerous residences. Pakistan army rapes women. The day after the massacre, the survivors dumped the dead bodies in the wells of the erstwhile zamindars of Bagbati and Dhaldab.</v>
      </c>
      <c r="F3172" s="1"/>
      <c r="G3172" s="1"/>
      <c r="H3172" s="1"/>
      <c r="I3172" s="1"/>
    </row>
    <row r="3173" spans="1:9" ht="15.6" x14ac:dyDescent="0.3">
      <c r="A3173" s="1" t="s">
        <v>7</v>
      </c>
      <c r="B3173" s="1" t="s">
        <v>7</v>
      </c>
      <c r="C3173" s="10" t="s">
        <v>7</v>
      </c>
      <c r="D3173" s="5" t="s">
        <v>2854</v>
      </c>
      <c r="E3173" s="1" t="str">
        <f ca="1">IFERROR(__xludf.DUMMYFUNCTION("GOOGLETRANSLATE(D3173, ""bn"", ""en"")"),"About 200 Bengali Hindus from Baria and nearby Kamaria were killed in the massacre, and hundreds more were injured.")</f>
        <v>About 200 Bengali Hindus from Baria and nearby Kamaria were killed in the massacre, and hundreds more were injured.</v>
      </c>
      <c r="F3173" s="1"/>
      <c r="G3173" s="1"/>
      <c r="H3173" s="1"/>
      <c r="I3173" s="1"/>
    </row>
    <row r="3174" spans="1:9" ht="15.6" x14ac:dyDescent="0.3">
      <c r="A3174" s="1" t="s">
        <v>7</v>
      </c>
      <c r="B3174" s="1" t="s">
        <v>7</v>
      </c>
      <c r="C3174" s="10" t="s">
        <v>7</v>
      </c>
      <c r="D3174" s="5" t="s">
        <v>2855</v>
      </c>
      <c r="E3174" s="1" t="str">
        <f ca="1">IFERROR(__xludf.DUMMYFUNCTION("GOOGLETRANSLATE(D3174, ""bn"", ""en"")"),"1987 – Hashimpura massacre: Muslim youths are captured and killed by police and paramilitary forces in Meerut, killing around 42.")</f>
        <v>1987 – Hashimpura massacre: Muslim youths are captured and killed by police and paramilitary forces in Meerut, killing around 42.</v>
      </c>
      <c r="F3174" s="1"/>
      <c r="G3174" s="1"/>
      <c r="H3174" s="1"/>
      <c r="I3174" s="1"/>
    </row>
    <row r="3175" spans="1:9" ht="15.6" x14ac:dyDescent="0.3">
      <c r="A3175" s="1" t="s">
        <v>4</v>
      </c>
      <c r="B3175" s="1" t="s">
        <v>5</v>
      </c>
      <c r="C3175" s="10" t="s">
        <v>4</v>
      </c>
      <c r="D3175" s="5" t="s">
        <v>2856</v>
      </c>
      <c r="E3175" s="1" t="str">
        <f ca="1">IFERROR(__xludf.DUMMYFUNCTION("GOOGLETRANSLATE(D3175, ""bn"", ""en"")"),"First, after Aamir's Lal Singh Chadha, Hindutva called for a boycott of Shah Rukh Khan's 'Pathan' a few days ago. Sadhu Debnath, the Gurubhai of Uttar Pradesh Chief Minister Yogi Adityanath, banned traditional Hindus from watching this movie.")</f>
        <v>First, after Aamir's Lal Singh Chadha, Hindutva called for a boycott of Shah Rukh Khan's 'Pathan' a few days ago. Sadhu Debnath, the Gurubhai of Uttar Pradesh Chief Minister Yogi Adityanath, banned traditional Hindus from watching this movie.</v>
      </c>
      <c r="F3175" s="1"/>
      <c r="G3175" s="1"/>
      <c r="H3175" s="1"/>
      <c r="I3175" s="1"/>
    </row>
    <row r="3176" spans="1:9" ht="15.6" x14ac:dyDescent="0.3">
      <c r="A3176" s="1" t="s">
        <v>5</v>
      </c>
      <c r="B3176" s="1" t="s">
        <v>5</v>
      </c>
      <c r="C3176" s="10" t="s">
        <v>5</v>
      </c>
      <c r="D3176" s="5" t="s">
        <v>2857</v>
      </c>
      <c r="E3176" s="1" t="str">
        <f ca="1">IFERROR(__xludf.DUMMYFUNCTION("GOOGLETRANSLATE(D3176, ""bn"", ""en"")"),"The Digital Security Act enacted in Bangladesh in 2018 has increased the penalties for using technology to hurt religious sentiments or hurt religious beliefs.")</f>
        <v>The Digital Security Act enacted in Bangladesh in 2018 has increased the penalties for using technology to hurt religious sentiments or hurt religious beliefs.</v>
      </c>
      <c r="F3176" s="1"/>
      <c r="G3176" s="1"/>
      <c r="H3176" s="1"/>
      <c r="I3176" s="1"/>
    </row>
    <row r="3177" spans="1:9" ht="15.6" x14ac:dyDescent="0.3">
      <c r="A3177" s="1" t="s">
        <v>4</v>
      </c>
      <c r="B3177" s="1" t="s">
        <v>4</v>
      </c>
      <c r="C3177" s="10" t="s">
        <v>4</v>
      </c>
      <c r="D3177" s="5" t="s">
        <v>2858</v>
      </c>
      <c r="E3177" s="1" t="str">
        <f ca="1">IFERROR(__xludf.DUMMYFUNCTION("GOOGLETRANSLATE(D3177, ""bn"", ""en"")"),"The name of deranged people should not be hidden, if they are not beaten with bricks, they will not regain their sanity.")</f>
        <v>The name of deranged people should not be hidden, if they are not beaten with bricks, they will not regain their sanity.</v>
      </c>
      <c r="F3177" s="1"/>
      <c r="G3177" s="1"/>
      <c r="H3177" s="1"/>
      <c r="I3177" s="1"/>
    </row>
    <row r="3178" spans="1:9" ht="15.6" x14ac:dyDescent="0.3">
      <c r="A3178" s="1" t="s">
        <v>9</v>
      </c>
      <c r="B3178" s="1" t="s">
        <v>9</v>
      </c>
      <c r="C3178" s="10" t="s">
        <v>9</v>
      </c>
      <c r="D3178" s="5" t="s">
        <v>2859</v>
      </c>
      <c r="E3178" s="1" t="str">
        <f ca="1">IFERROR(__xludf.DUMMYFUNCTION("GOOGLETRANSLATE(D3178, ""bn"", ""en"")"),"In 2008, an explosion outside a mosque in Maharashtra's Malegaon town was found to have been carried out by members of a Hindutva organisation.")</f>
        <v>In 2008, an explosion outside a mosque in Maharashtra's Malegaon town was found to have been carried out by members of a Hindutva organisation.</v>
      </c>
      <c r="F3178" s="1"/>
      <c r="G3178" s="1"/>
      <c r="H3178" s="1"/>
      <c r="I3178" s="1"/>
    </row>
    <row r="3179" spans="1:9" ht="15.6" x14ac:dyDescent="0.3">
      <c r="A3179" s="4" t="s">
        <v>7</v>
      </c>
      <c r="B3179" s="4" t="s">
        <v>7</v>
      </c>
      <c r="C3179" s="11" t="s">
        <v>7</v>
      </c>
      <c r="D3179" s="5" t="s">
        <v>3490</v>
      </c>
      <c r="E3179" s="1" t="str">
        <f ca="1">IFERROR(__xludf.DUMMYFUNCTION("GOOGLETRANSLATE(D3179, ""bn"", ""en"")"),"A painting by Francois Dubois depicting communal violence in France during the St. Bartholomew's Day Massacre. Over two months in 1572, Catholics massacred thousands of Huguenots in France.")</f>
        <v>A painting by Francois Dubois depicting communal violence in France during the St. Bartholomew's Day Massacre. Over two months in 1572, Catholics massacred thousands of Huguenots in France.</v>
      </c>
      <c r="F3179" s="1"/>
      <c r="G3179" s="1"/>
      <c r="H3179" s="1"/>
      <c r="I3179" s="1"/>
    </row>
    <row r="3180" spans="1:9" ht="15.6" x14ac:dyDescent="0.3">
      <c r="A3180" s="1" t="s">
        <v>7</v>
      </c>
      <c r="B3180" s="1" t="s">
        <v>7</v>
      </c>
      <c r="C3180" s="10" t="s">
        <v>7</v>
      </c>
      <c r="D3180" s="5" t="s">
        <v>2860</v>
      </c>
      <c r="E3180" s="1" t="str">
        <f ca="1">IFERROR(__xludf.DUMMYFUNCTION("GOOGLETRANSLATE(D3180, ""bn"", ""en"")"),"The Prophet feared this excess of religion but the opium addict of religion did not remember it. Opium dealers are very active.")</f>
        <v>The Prophet feared this excess of religion but the opium addict of religion did not remember it. Opium dealers are very active.</v>
      </c>
      <c r="F3180" s="1"/>
      <c r="G3180" s="1"/>
      <c r="H3180" s="1"/>
      <c r="I3180" s="1"/>
    </row>
    <row r="3181" spans="1:9" ht="15.6" x14ac:dyDescent="0.3">
      <c r="A3181" s="1" t="s">
        <v>5</v>
      </c>
      <c r="B3181" s="1" t="s">
        <v>4</v>
      </c>
      <c r="C3181" s="10" t="s">
        <v>5</v>
      </c>
      <c r="D3181" s="5" t="s">
        <v>2861</v>
      </c>
      <c r="E3181" s="1" t="str">
        <f ca="1">IFERROR(__xludf.DUMMYFUNCTION("GOOGLETRANSLATE(D3181, ""bn"", ""en"")"),"""We want peace. If you want peace, we are always ready to follow the path of peace. The only option for us is a peaceful India.""")</f>
        <v>"We want peace. If you want peace, we are always ready to follow the path of peace. The only option for us is a peaceful India."</v>
      </c>
      <c r="F3181" s="1"/>
      <c r="G3181" s="1"/>
      <c r="H3181" s="1"/>
      <c r="I3181" s="1"/>
    </row>
    <row r="3182" spans="1:9" ht="46.8" x14ac:dyDescent="0.3">
      <c r="A3182" s="1" t="s">
        <v>7</v>
      </c>
      <c r="B3182" s="1" t="s">
        <v>7</v>
      </c>
      <c r="C3182" s="10" t="s">
        <v>7</v>
      </c>
      <c r="D3182" s="6" t="s">
        <v>3707</v>
      </c>
      <c r="E3182" s="1" t="str">
        <f ca="1">IFERROR(__xludf.DUMMYFUNCTION("GOOGLETRANSLATE(D3182, ""bn"", ""en"")"),"In this country, clerical society never exaggerates religion. No one beats anyone because of religious beliefs. I have many examples of neighboring countries where Muslims have been killed due to religious beliefs. I will not deny that a couple of inciden"&amp;"ts did not happen in our country. ")</f>
        <v xml:space="preserve">In this country, clerical society never exaggerates religion. No one beats anyone because of religious beliefs. I have many examples of neighboring countries where Muslims have been killed due to religious beliefs. I will not deny that a couple of incidents did not happen in our country. </v>
      </c>
      <c r="F3182" s="1"/>
      <c r="G3182" s="1"/>
      <c r="H3182" s="1"/>
      <c r="I3182" s="1"/>
    </row>
    <row r="3183" spans="1:9" ht="15.6" x14ac:dyDescent="0.3">
      <c r="A3183" s="1" t="s">
        <v>9</v>
      </c>
      <c r="B3183" s="1" t="s">
        <v>9</v>
      </c>
      <c r="C3183" s="10" t="s">
        <v>9</v>
      </c>
      <c r="D3183" s="5" t="s">
        <v>2862</v>
      </c>
      <c r="E3183" s="1" t="str">
        <f ca="1">IFERROR(__xludf.DUMMYFUNCTION("GOOGLETRANSLATE(D3183, ""bn"", ""en"")"),"As a result of the clashes in Chaumuhani, the protesters attacked some shops and houses of the Hindu community, including Sri Krishna Sweets Store, Ramakrishna Sweets Store. [38] The police arrested three persons (October 15) for their involvement in the "&amp;"attack. [37] According to the police, one person, Yatan Kumar Saha, died as a result of the attack.")</f>
        <v>As a result of the clashes in Chaumuhani, the protesters attacked some shops and houses of the Hindu community, including Sri Krishna Sweets Store, Ramakrishna Sweets Store. [38] The police arrested three persons (October 15) for their involvement in the attack. [37] According to the police, one person, Yatan Kumar Saha, died as a result of the attack.</v>
      </c>
      <c r="F3183" s="1"/>
      <c r="G3183" s="1"/>
      <c r="H3183" s="1"/>
      <c r="I3183" s="1"/>
    </row>
    <row r="3184" spans="1:9" ht="15.6" x14ac:dyDescent="0.3">
      <c r="A3184" s="1" t="s">
        <v>4</v>
      </c>
      <c r="B3184" s="1" t="s">
        <v>5</v>
      </c>
      <c r="C3184" s="10" t="s">
        <v>4</v>
      </c>
      <c r="D3184" s="5" t="s">
        <v>2863</v>
      </c>
      <c r="E3184" s="1" t="str">
        <f ca="1">IFERROR(__xludf.DUMMYFUNCTION("GOOGLETRANSLATE(D3184, ""bn"", ""en"")"),"Before the partition of the country a class deliberately planned to create dissensions to start riots and fulfill their nefarious purposes. I don't know who is moving the stick here, but the future has been foretold.")</f>
        <v>Before the partition of the country a class deliberately planned to create dissensions to start riots and fulfill their nefarious purposes. I don't know who is moving the stick here, but the future has been foretold.</v>
      </c>
      <c r="F3184" s="1"/>
      <c r="G3184" s="1"/>
      <c r="H3184" s="1"/>
      <c r="I3184" s="1"/>
    </row>
    <row r="3185" spans="1:9" ht="15.6" x14ac:dyDescent="0.3">
      <c r="A3185" s="1" t="s">
        <v>5</v>
      </c>
      <c r="B3185" s="1" t="s">
        <v>5</v>
      </c>
      <c r="C3185" s="10" t="s">
        <v>5</v>
      </c>
      <c r="D3185" s="5" t="s">
        <v>2864</v>
      </c>
      <c r="E3185" s="1" t="str">
        <f ca="1">IFERROR(__xludf.DUMMYFUNCTION("GOOGLETRANSLATE(D3185, ""bn"", ""en"")"),"Hinduism teaches us to surrender various aspects of the religion for right living and spiritual growth.")</f>
        <v>Hinduism teaches us to surrender various aspects of the religion for right living and spiritual growth.</v>
      </c>
      <c r="F3185" s="1"/>
      <c r="G3185" s="1"/>
      <c r="H3185" s="1"/>
      <c r="I3185" s="1"/>
    </row>
    <row r="3186" spans="1:9" ht="15.6" x14ac:dyDescent="0.3">
      <c r="A3186" s="1" t="s">
        <v>5</v>
      </c>
      <c r="B3186" s="1" t="s">
        <v>5</v>
      </c>
      <c r="C3186" s="10" t="s">
        <v>5</v>
      </c>
      <c r="D3186" s="5" t="s">
        <v>2865</v>
      </c>
      <c r="E3186" s="1" t="str">
        <f ca="1">IFERROR(__xludf.DUMMYFUNCTION("GOOGLETRANSLATE(D3186, ""bn"", ""en"")"),"The appointment of cardinals is proof that Pope Francis is giving importance to countries like Bangladesh. Catholic Christians believe that the Pope is the direct representative of Jesus Christ. The Pope's decisions are infallible for Catholic Christians.")</f>
        <v>The appointment of cardinals is proof that Pope Francis is giving importance to countries like Bangladesh. Catholic Christians believe that the Pope is the direct representative of Jesus Christ. The Pope's decisions are infallible for Catholic Christians.</v>
      </c>
      <c r="F3186" s="1"/>
      <c r="G3186" s="1"/>
      <c r="H3186" s="1"/>
      <c r="I3186" s="1"/>
    </row>
    <row r="3187" spans="1:9" ht="15.6" x14ac:dyDescent="0.3">
      <c r="A3187" s="1" t="s">
        <v>5</v>
      </c>
      <c r="B3187" s="1" t="s">
        <v>5</v>
      </c>
      <c r="C3187" s="10" t="s">
        <v>5</v>
      </c>
      <c r="D3187" s="5" t="s">
        <v>2866</v>
      </c>
      <c r="E3187" s="1" t="str">
        <f ca="1">IFERROR(__xludf.DUMMYFUNCTION("GOOGLETRANSLATE(D3187, ""bn"", ""en"")"),"Excellent discussion. If everyone thought in this way, practicing Islam would be much easier. If big media personalities like you start giving such importance to the practice of Islam, then it is very beneficial for the religion.")</f>
        <v>Excellent discussion. If everyone thought in this way, practicing Islam would be much easier. If big media personalities like you start giving such importance to the practice of Islam, then it is very beneficial for the religion.</v>
      </c>
      <c r="F3187" s="1"/>
      <c r="G3187" s="1"/>
      <c r="H3187" s="1"/>
      <c r="I3187" s="1"/>
    </row>
    <row r="3188" spans="1:9" ht="15.6" x14ac:dyDescent="0.3">
      <c r="A3188" s="1" t="s">
        <v>4</v>
      </c>
      <c r="B3188" s="1" t="s">
        <v>4</v>
      </c>
      <c r="C3188" s="10" t="s">
        <v>4</v>
      </c>
      <c r="D3188" s="5" t="s">
        <v>2867</v>
      </c>
      <c r="E3188" s="1" t="str">
        <f ca="1">IFERROR(__xludf.DUMMYFUNCTION("GOOGLETRANSLATE(D3188, ""bn"", ""en"")"),"No one like that?? Who will organize Quran recitation competition and mahfil every year in all universities, colleges and schools of Bangladesh. There is no Muslim leader??")</f>
        <v>No one like that?? Who will organize Quran recitation competition and mahfil every year in all universities, colleges and schools of Bangladesh. There is no Muslim leader??</v>
      </c>
      <c r="F3188" s="1"/>
      <c r="G3188" s="1"/>
      <c r="H3188" s="1"/>
      <c r="I3188" s="1"/>
    </row>
    <row r="3189" spans="1:9" ht="15.6" x14ac:dyDescent="0.3">
      <c r="A3189" s="1" t="s">
        <v>5</v>
      </c>
      <c r="B3189" s="1" t="s">
        <v>5</v>
      </c>
      <c r="C3189" s="10" t="s">
        <v>5</v>
      </c>
      <c r="D3189" s="5" t="s">
        <v>2868</v>
      </c>
      <c r="E3189" s="1" t="str">
        <f ca="1">IFERROR(__xludf.DUMMYFUNCTION("GOOGLETRANSLATE(D3189, ""bn"", ""en"")"),"The Bengali name Muhammad means ""praiseworthy"" and this name appears a total of four times in the Holy Quran.")</f>
        <v>The Bengali name Muhammad means "praiseworthy" and this name appears a total of four times in the Holy Quran.</v>
      </c>
      <c r="F3189" s="1"/>
      <c r="G3189" s="1"/>
      <c r="H3189" s="1"/>
      <c r="I3189" s="1"/>
    </row>
    <row r="3190" spans="1:9" ht="15.6" x14ac:dyDescent="0.3">
      <c r="A3190" s="1" t="s">
        <v>4</v>
      </c>
      <c r="B3190" s="1" t="s">
        <v>4</v>
      </c>
      <c r="C3190" s="10" t="s">
        <v>4</v>
      </c>
      <c r="D3190" s="5" t="s">
        <v>2869</v>
      </c>
      <c r="E3190" s="1" t="str">
        <f ca="1">IFERROR(__xludf.DUMMYFUNCTION("GOOGLETRANSLATE(D3190, ""bn"", ""en"")"),"It is wrong for a girl to eat like this. However, the intentions and mentality of those who made the video are extremely disgusting. They are a group.")</f>
        <v>It is wrong for a girl to eat like this. However, the intentions and mentality of those who made the video are extremely disgusting. They are a group.</v>
      </c>
      <c r="F3190" s="1"/>
      <c r="G3190" s="1"/>
      <c r="H3190" s="1"/>
      <c r="I3190" s="1"/>
    </row>
    <row r="3191" spans="1:9" ht="15.6" x14ac:dyDescent="0.3">
      <c r="A3191" s="1" t="s">
        <v>5</v>
      </c>
      <c r="B3191" s="1" t="s">
        <v>5</v>
      </c>
      <c r="C3191" s="10" t="s">
        <v>5</v>
      </c>
      <c r="D3191" s="5" t="s">
        <v>2870</v>
      </c>
      <c r="E3191" s="1" t="str">
        <f ca="1">IFERROR(__xludf.DUMMYFUNCTION("GOOGLETRANSLATE(D3191, ""bn"", ""en"")"),"Islam has never fully empowered women. Father, husband, elder brother have given responsibility to someone. ")</f>
        <v xml:space="preserve">Islam has never fully empowered women. Father, husband, elder brother have given responsibility to someone. </v>
      </c>
      <c r="F3191" s="1"/>
      <c r="G3191" s="1"/>
      <c r="H3191" s="1"/>
      <c r="I3191" s="1"/>
    </row>
    <row r="3192" spans="1:9" ht="62.4" x14ac:dyDescent="0.3">
      <c r="A3192" s="1" t="s">
        <v>9</v>
      </c>
      <c r="B3192" s="1" t="s">
        <v>9</v>
      </c>
      <c r="C3192" s="10" t="s">
        <v>9</v>
      </c>
      <c r="D3192" s="6" t="s">
        <v>3706</v>
      </c>
      <c r="E3192" s="1" t="str">
        <f ca="1">IFERROR(__xludf.DUMMYFUNCTION("GOOGLETRANSLATE(D3192, ""bn"", ""en"")"),"Other minorities such as Hindus and Christians have been attacked and forced to convert. [200] [201] [202] According to Tetsuya Nakatani, a Japanese scholar of cultural anthropology specializing in South Asian refugee history, after the mass exodus of Hin"&amp;"dus, Sikhs and other non-Muslim refugees during the British Partition of India in 1947, several waves of Hindu refugees from neighboring countries arrived in India.")</f>
        <v>Other minorities such as Hindus and Christians have been attacked and forced to convert. [200] [201] [202] According to Tetsuya Nakatani, a Japanese scholar of cultural anthropology specializing in South Asian refugee history, after the mass exodus of Hindus, Sikhs and other non-Muslim refugees during the British Partition of India in 1947, several waves of Hindu refugees from neighboring countries arrived in India.</v>
      </c>
      <c r="F3192" s="1"/>
      <c r="G3192" s="1"/>
      <c r="H3192" s="1"/>
      <c r="I3192" s="1"/>
    </row>
    <row r="3193" spans="1:9" ht="15.6" x14ac:dyDescent="0.3">
      <c r="A3193" s="1" t="s">
        <v>7</v>
      </c>
      <c r="B3193" s="1" t="s">
        <v>4</v>
      </c>
      <c r="C3193" s="10" t="s">
        <v>7</v>
      </c>
      <c r="D3193" s="5" t="s">
        <v>2871</v>
      </c>
      <c r="E3193" s="1" t="str">
        <f ca="1">IFERROR(__xludf.DUMMYFUNCTION("GOOGLETRANSLATE(D3193, ""bn"", ""en"")")," A concerted attack by Hindus against Muslims in Hindu-majority Calcutta, surrounding a political event in which thousands of Muslims were killed, added fuel to the fire of previously fueled anger. ")</f>
        <v> A concerted attack by Hindus against Muslims in Hindu-majority Calcutta, surrounding a political event in which thousands of Muslims were killed, added fuel to the fire of previously fueled anger. </v>
      </c>
      <c r="F3193" s="1"/>
      <c r="G3193" s="1"/>
      <c r="H3193" s="1"/>
      <c r="I3193" s="1"/>
    </row>
    <row r="3194" spans="1:9" ht="15.6" x14ac:dyDescent="0.3">
      <c r="A3194" s="1" t="s">
        <v>7</v>
      </c>
      <c r="B3194" s="1" t="s">
        <v>7</v>
      </c>
      <c r="C3194" s="10" t="s">
        <v>7</v>
      </c>
      <c r="D3194" s="5" t="s">
        <v>2872</v>
      </c>
      <c r="E3194" s="1" t="str">
        <f ca="1">IFERROR(__xludf.DUMMYFUNCTION("GOOGLETRANSLATE(D3194, ""bn"", ""en"")"),"Demra Massacre On 13 May 1971, the occupying Pakistan Army carried out a brutal massacre of unarmed Hindu residents of a village under Demra union of the present Faridpur upazila of Pabna district. It is estimated that 800-900 people died in a single day."&amp;" [1][2] Rapes and looting were also carried out and mosques, temples, schools and houses were burnt.")</f>
        <v>Demra Massacre On 13 May 1971, the occupying Pakistan Army carried out a brutal massacre of unarmed Hindu residents of a village under Demra union of the present Faridpur upazila of Pabna district. It is estimated that 800-900 people died in a single day. [1][2] Rapes and looting were also carried out and mosques, temples, schools and houses were burnt.</v>
      </c>
      <c r="F3194" s="1"/>
      <c r="G3194" s="1"/>
      <c r="H3194" s="1"/>
      <c r="I3194" s="1"/>
    </row>
    <row r="3195" spans="1:9" ht="15.6" x14ac:dyDescent="0.3">
      <c r="A3195" s="1" t="s">
        <v>5</v>
      </c>
      <c r="B3195" s="1" t="s">
        <v>5</v>
      </c>
      <c r="C3195" s="10" t="s">
        <v>5</v>
      </c>
      <c r="D3195" s="5" t="s">
        <v>2873</v>
      </c>
      <c r="E3195" s="1" t="str">
        <f ca="1">IFERROR(__xludf.DUMMYFUNCTION("GOOGLETRANSLATE(D3195, ""bn"", ""en"")"),"SubhanAllah I can't hold back the tears after hearing this blessing of Allah Ta'ala 🥹 Surely Allah Ta'ala is great.")</f>
        <v>SubhanAllah I can't hold back the tears after hearing this blessing of Allah Ta'ala 🥹 Surely Allah Ta'ala is great.</v>
      </c>
      <c r="F3195" s="1"/>
      <c r="G3195" s="1"/>
      <c r="H3195" s="1"/>
      <c r="I3195" s="1"/>
    </row>
    <row r="3196" spans="1:9" ht="15.6" x14ac:dyDescent="0.3">
      <c r="A3196" s="1" t="s">
        <v>4</v>
      </c>
      <c r="B3196" s="1" t="s">
        <v>4</v>
      </c>
      <c r="C3196" s="10" t="s">
        <v>4</v>
      </c>
      <c r="D3196" s="5" t="s">
        <v>2874</v>
      </c>
      <c r="E3196" s="1" t="str">
        <f ca="1">IFERROR(__xludf.DUMMYFUNCTION("GOOGLETRANSLATE(D3196, ""bn"", ""en"")"),"As a devout Muslim, I strongly condemn this incident and hope for exemplary punishment of the culprits through proper investigation.")</f>
        <v>As a devout Muslim, I strongly condemn this incident and hope for exemplary punishment of the culprits through proper investigation.</v>
      </c>
      <c r="F3196" s="1"/>
      <c r="G3196" s="1"/>
      <c r="H3196" s="1"/>
      <c r="I3196" s="1"/>
    </row>
    <row r="3197" spans="1:9" ht="15.6" x14ac:dyDescent="0.3">
      <c r="A3197" s="1" t="s">
        <v>5</v>
      </c>
      <c r="B3197" s="1" t="s">
        <v>5</v>
      </c>
      <c r="C3197" s="10" t="s">
        <v>5</v>
      </c>
      <c r="D3197" s="5" t="s">
        <v>2875</v>
      </c>
      <c r="E3197" s="1" t="str">
        <f ca="1">IFERROR(__xludf.DUMMYFUNCTION("GOOGLETRANSLATE(D3197, ""bn"", ""en"")"),"My heart felt very happy for those who do religion business and comment on Islam religion in any channel or video. ")</f>
        <v xml:space="preserve">My heart felt very happy for those who do religion business and comment on Islam religion in any channel or video. </v>
      </c>
      <c r="F3197" s="1"/>
      <c r="G3197" s="1"/>
      <c r="H3197" s="1"/>
      <c r="I3197" s="1"/>
    </row>
    <row r="3198" spans="1:9" ht="15.6" x14ac:dyDescent="0.3">
      <c r="A3198" s="1" t="s">
        <v>5</v>
      </c>
      <c r="B3198" s="1" t="s">
        <v>5</v>
      </c>
      <c r="C3198" s="10" t="s">
        <v>5</v>
      </c>
      <c r="D3198" s="5" t="s">
        <v>2876</v>
      </c>
      <c r="E3198" s="1" t="str">
        <f ca="1">IFERROR(__xludf.DUMMYFUNCTION("GOOGLETRANSLATE(D3198, ""bn"", ""en"")"),"Roman Catholicism predominates among Bengali Christians, while the rest are mostly Baptists and others. Some indigenous communities such as Garo, Santal, Orao, Chakma, Khasi, Lushei, Baum etc. have a small number of followers of Christianity.")</f>
        <v>Roman Catholicism predominates among Bengali Christians, while the rest are mostly Baptists and others. Some indigenous communities such as Garo, Santal, Orao, Chakma, Khasi, Lushei, Baum etc. have a small number of followers of Christianity.</v>
      </c>
      <c r="F3198" s="1"/>
      <c r="G3198" s="1"/>
      <c r="H3198" s="1"/>
      <c r="I3198" s="1"/>
    </row>
    <row r="3199" spans="1:9" ht="46.8" x14ac:dyDescent="0.3">
      <c r="A3199" s="1" t="s">
        <v>7</v>
      </c>
      <c r="B3199" s="1" t="s">
        <v>7</v>
      </c>
      <c r="C3199" s="10" t="s">
        <v>7</v>
      </c>
      <c r="D3199" s="6" t="s">
        <v>3705</v>
      </c>
      <c r="E3199" s="1" t="str">
        <f ca="1">IFERROR(__xludf.DUMMYFUNCTION("GOOGLETRANSLATE(D3199, ""bn"", ""en"")"),"On February 15, 1950, on the day of Shivaratri, pilgrims naturally set off for the Chandranath temple at Sitakunda. On the other hand, the Hindu genocide started in the whole of East Bengal from 10th and which started in Chittagong on 12th February.")</f>
        <v>On February 15, 1950, on the day of Shivaratri, pilgrims naturally set off for the Chandranath temple at Sitakunda. On the other hand, the Hindu genocide started in the whole of East Bengal from 10th and which started in Chittagong on 12th February.</v>
      </c>
      <c r="F3199" s="1"/>
      <c r="G3199" s="1"/>
      <c r="H3199" s="1"/>
      <c r="I3199" s="1"/>
    </row>
    <row r="3200" spans="1:9" ht="15.6" x14ac:dyDescent="0.3">
      <c r="A3200" s="1" t="s">
        <v>9</v>
      </c>
      <c r="B3200" s="1" t="s">
        <v>9</v>
      </c>
      <c r="C3200" s="10" t="s">
        <v>9</v>
      </c>
      <c r="D3200" s="5" t="s">
        <v>2877</v>
      </c>
      <c r="E3200" s="1" t="str">
        <f ca="1">IFERROR(__xludf.DUMMYFUNCTION("GOOGLETRANSLATE(D3200, ""bn"", ""en"")"),"The nature of communal terrorism was the same then, but now a new element has been added to it - militancy.")</f>
        <v>The nature of communal terrorism was the same then, but now a new element has been added to it - militancy.</v>
      </c>
      <c r="F3200" s="1"/>
      <c r="G3200" s="1"/>
      <c r="H3200" s="1"/>
      <c r="I3200" s="1"/>
    </row>
    <row r="3201" spans="1:9" ht="15.6" x14ac:dyDescent="0.3">
      <c r="A3201" s="1" t="s">
        <v>4</v>
      </c>
      <c r="B3201" s="1" t="s">
        <v>5</v>
      </c>
      <c r="C3201" s="10" t="s">
        <v>4</v>
      </c>
      <c r="D3201" s="5" t="s">
        <v>2878</v>
      </c>
      <c r="E3201" s="1" t="str">
        <f ca="1">IFERROR(__xludf.DUMMYFUNCTION("GOOGLETRANSLATE(D3201, ""bn"", ""en"")"),"Their procession ended at the then Victoria Park (now Bahadur Shah Park). Speakers, many of whom were Secretariat officials, delivered violent anti-Hindu speeches from the procession that came to the park around 12 noon. ")</f>
        <v>Their procession ended at the then Victoria Park (now Bahadur Shah Park). Speakers, many of whom were Secretariat officials, delivered violent anti-Hindu speeches from the procession that came to the park around 12 noon. </v>
      </c>
      <c r="F3201" s="1"/>
      <c r="G3201" s="1"/>
      <c r="H3201" s="1"/>
      <c r="I3201" s="1"/>
    </row>
    <row r="3202" spans="1:9" ht="15.6" x14ac:dyDescent="0.3">
      <c r="A3202" s="1" t="s">
        <v>4</v>
      </c>
      <c r="B3202" s="1" t="s">
        <v>4</v>
      </c>
      <c r="C3202" s="10" t="s">
        <v>4</v>
      </c>
      <c r="D3202" s="5" t="s">
        <v>2879</v>
      </c>
      <c r="E3202" s="1" t="str">
        <f ca="1">IFERROR(__xludf.DUMMYFUNCTION("GOOGLETRANSLATE(D3202, ""bn"", ""en"")"),"It feels very bad ABP Anand, Yes, in 24 hours in the comment section men will lose the freedom of women, after hearing this news, they are singing the victory song of Taliban. Especially Muslim guys, Bangladeshi guys are making comments about Afghan girls"&amp;". They are worse than the kit of hell.")</f>
        <v>It feels very bad ABP Anand, Yes, in 24 hours in the comment section men will lose the freedom of women, after hearing this news, they are singing the victory song of Taliban. Especially Muslim guys, Bangladeshi guys are making comments about Afghan girls. They are worse than the kit of hell.</v>
      </c>
      <c r="F3202" s="1"/>
      <c r="G3202" s="1"/>
      <c r="H3202" s="1"/>
      <c r="I3202" s="1"/>
    </row>
    <row r="3203" spans="1:9" ht="15.6" x14ac:dyDescent="0.3">
      <c r="A3203" s="1" t="s">
        <v>4</v>
      </c>
      <c r="B3203" s="1" t="s">
        <v>4</v>
      </c>
      <c r="C3203" s="10" t="s">
        <v>4</v>
      </c>
      <c r="D3203" s="5" t="s">
        <v>2880</v>
      </c>
      <c r="E3203" s="1" t="str">
        <f ca="1">IFERROR(__xludf.DUMMYFUNCTION("GOOGLETRANSLATE(D3203, ""bn"", ""en"")"),"Mood imbalance and chest tightness. Not being influenced by the verses of the Quran. Being careless about the dhikr and dua of Allah. Do not feel bad even if you see haram work.")</f>
        <v>Mood imbalance and chest tightness. Not being influenced by the verses of the Quran. Being careless about the dhikr and dua of Allah. Do not feel bad even if you see haram work.</v>
      </c>
      <c r="F3203" s="1"/>
      <c r="G3203" s="1"/>
      <c r="H3203" s="1"/>
      <c r="I3203" s="1"/>
    </row>
    <row r="3204" spans="1:9" ht="15.6" x14ac:dyDescent="0.3">
      <c r="A3204" s="1" t="s">
        <v>9</v>
      </c>
      <c r="B3204" s="1" t="s">
        <v>5</v>
      </c>
      <c r="C3204" s="10" t="s">
        <v>9</v>
      </c>
      <c r="D3204" s="5" t="s">
        <v>2881</v>
      </c>
      <c r="E3204" s="1" t="str">
        <f ca="1">IFERROR(__xludf.DUMMYFUNCTION("GOOGLETRANSLATE(D3204, ""bn"", ""en"")"),"On 3 March, the Bangladesh High Court ordered the government to ensure the safety of Hindus in Noakhali district and to repair temples and houses of Hindus damaged in the attack. It issued a suo motu notice to Noakhali District Police, District Administra"&amp;"tion and Inspector General of Police to take action against those involved in the attack.")</f>
        <v>On 3 March, the Bangladesh High Court ordered the government to ensure the safety of Hindus in Noakhali district and to repair temples and houses of Hindus damaged in the attack. It issued a suo motu notice to Noakhali District Police, District Administration and Inspector General of Police to take action against those involved in the attack.</v>
      </c>
      <c r="F3204" s="1"/>
      <c r="G3204" s="1"/>
      <c r="H3204" s="1"/>
      <c r="I3204" s="1"/>
    </row>
    <row r="3205" spans="1:9" ht="15.6" x14ac:dyDescent="0.3">
      <c r="A3205" s="1" t="s">
        <v>7</v>
      </c>
      <c r="B3205" s="1" t="s">
        <v>7</v>
      </c>
      <c r="C3205" s="10" t="s">
        <v>7</v>
      </c>
      <c r="D3205" s="5" t="s">
        <v>2882</v>
      </c>
      <c r="E3205" s="1" t="str">
        <f ca="1">IFERROR(__xludf.DUMMYFUNCTION("GOOGLETRANSLATE(D3205, ""bn"", ""en"")"),"Amnesty International reported that around 99 Bengali Hindus were killed that day.[48][49] They identified themselves as Chatgai Hindus.[50] Bengali Hindus (especially women) in Myanmar and Bangladeshi refugee camps were abducted and forcibly converted by"&amp;" the Rohingya.")</f>
        <v>Amnesty International reported that around 99 Bengali Hindus were killed that day.[48][49] They identified themselves as Chatgai Hindus.[50] Bengali Hindus (especially women) in Myanmar and Bangladeshi refugee camps were abducted and forcibly converted by the Rohingya.</v>
      </c>
      <c r="F3205" s="1"/>
      <c r="G3205" s="1"/>
      <c r="H3205" s="1"/>
      <c r="I3205" s="1"/>
    </row>
    <row r="3206" spans="1:9" ht="15.6" x14ac:dyDescent="0.3">
      <c r="A3206" s="1" t="s">
        <v>7</v>
      </c>
      <c r="B3206" s="1" t="s">
        <v>5</v>
      </c>
      <c r="C3206" s="10" t="s">
        <v>7</v>
      </c>
      <c r="D3206" s="5" t="s">
        <v>2883</v>
      </c>
      <c r="E3206" s="1" t="str">
        <f ca="1">IFERROR(__xludf.DUMMYFUNCTION("GOOGLETRANSLATE(D3206, ""bn"", ""en"")"),"After the genocide most Hindus fled to India. Their property was taken over by the Rajakars and their supporters. Hindus gradually became a minority in the region. Later Vaidyadangi village was lost due to river erosion.")</f>
        <v>After the genocide most Hindus fled to India. Their property was taken over by the Rajakars and their supporters. Hindus gradually became a minority in the region. Later Vaidyadangi village was lost due to river erosion.</v>
      </c>
      <c r="F3206" s="1"/>
      <c r="G3206" s="1"/>
      <c r="H3206" s="1"/>
      <c r="I3206" s="1"/>
    </row>
    <row r="3207" spans="1:9" ht="15.6" x14ac:dyDescent="0.3">
      <c r="A3207" s="1" t="s">
        <v>4</v>
      </c>
      <c r="B3207" s="1" t="s">
        <v>5</v>
      </c>
      <c r="C3207" s="10" t="s">
        <v>4</v>
      </c>
      <c r="D3207" s="5" t="s">
        <v>2884</v>
      </c>
      <c r="E3207" s="1" t="str">
        <f ca="1">IFERROR(__xludf.DUMMYFUNCTION("GOOGLETRANSLATE(D3207, ""bn"", ""en"")"),"Apologetics is Islam's biggest problem. If you are ashamed of religion, why don't you leave this religion?")</f>
        <v>Apologetics is Islam's biggest problem. If you are ashamed of religion, why don't you leave this religion?</v>
      </c>
      <c r="F3207" s="1"/>
      <c r="G3207" s="1"/>
      <c r="H3207" s="1"/>
      <c r="I3207" s="1"/>
    </row>
    <row r="3208" spans="1:9" ht="46.8" x14ac:dyDescent="0.3">
      <c r="A3208" s="4" t="s">
        <v>7</v>
      </c>
      <c r="B3208" s="4" t="s">
        <v>7</v>
      </c>
      <c r="C3208" s="11" t="s">
        <v>7</v>
      </c>
      <c r="D3208" s="6" t="s">
        <v>3704</v>
      </c>
      <c r="E3208" s="1" t="str">
        <f ca="1">IFERROR(__xludf.DUMMYFUNCTION("GOOGLETRANSLATE(D3208, ""bn"", ""en"")"),"More than 10,000 people have died in Hindu-Muslim communal violence since 1950. [17] According to official statistics, there were 6,933 incidents of communal violence between 1954 and 1982 and between 1968 and 1980, [17] 530 of whom were Hindus and 1,598 "&amp;"were Muslims, for a total of 3,999 deaths.")</f>
        <v>More than 10,000 people have died in Hindu-Muslim communal violence since 1950. [17] According to official statistics, there were 6,933 incidents of communal violence between 1954 and 1982 and between 1968 and 1980, [17] 530 of whom were Hindus and 1,598 were Muslims, for a total of 3,999 deaths.</v>
      </c>
      <c r="F3208" s="1"/>
      <c r="G3208" s="1"/>
      <c r="H3208" s="1"/>
      <c r="I3208" s="1"/>
    </row>
    <row r="3209" spans="1:9" ht="15.6" x14ac:dyDescent="0.3">
      <c r="A3209" s="1" t="s">
        <v>7</v>
      </c>
      <c r="B3209" s="1" t="s">
        <v>7</v>
      </c>
      <c r="C3209" s="10" t="s">
        <v>7</v>
      </c>
      <c r="D3209" s="5" t="s">
        <v>2885</v>
      </c>
      <c r="E3209" s="1" t="str">
        <f ca="1">IFERROR(__xludf.DUMMYFUNCTION("GOOGLETRANSLATE(D3209, ""bn"", ""en"")"),"High bamboo lofts were built in front of the fire and, when the flames were at their strongest, the widow climbed the loft and plunged into the fire.")</f>
        <v>High bamboo lofts were built in front of the fire and, when the flames were at their strongest, the widow climbed the loft and plunged into the fire.</v>
      </c>
      <c r="F3209" s="1"/>
      <c r="G3209" s="1"/>
      <c r="H3209" s="1"/>
      <c r="I3209" s="1"/>
    </row>
    <row r="3210" spans="1:9" ht="15.6" x14ac:dyDescent="0.3">
      <c r="A3210" s="1" t="s">
        <v>5</v>
      </c>
      <c r="B3210" s="1" t="s">
        <v>5</v>
      </c>
      <c r="C3210" s="10" t="s">
        <v>5</v>
      </c>
      <c r="D3210" s="5" t="s">
        <v>2886</v>
      </c>
      <c r="E3210" s="1" t="str">
        <f ca="1">IFERROR(__xludf.DUMMYFUNCTION("GOOGLETRANSLATE(D3210, ""bn"", ""en"")"),"A priest offers the wine and bread, which represent the blood and body of Jesus, respectively.")</f>
        <v>A priest offers the wine and bread, which represent the blood and body of Jesus, respectively.</v>
      </c>
      <c r="F3210" s="1"/>
      <c r="G3210" s="1"/>
      <c r="H3210" s="1"/>
      <c r="I3210" s="1"/>
    </row>
    <row r="3211" spans="1:9" ht="15.6" x14ac:dyDescent="0.3">
      <c r="A3211" s="1" t="s">
        <v>4</v>
      </c>
      <c r="B3211" s="1" t="s">
        <v>4</v>
      </c>
      <c r="C3211" s="10" t="s">
        <v>4</v>
      </c>
      <c r="D3211" s="5" t="s">
        <v>2887</v>
      </c>
      <c r="E3211" s="1" t="str">
        <f ca="1">IFERROR(__xludf.DUMMYFUNCTION("GOOGLETRANSLATE(D3211, ""bn"", ""en"")"),"Now, even if Taskin's wife wears a western dress, these sekyus would be on fire. That's their nature!")</f>
        <v>Now, even if Taskin's wife wears a western dress, these sekyus would be on fire. That's their nature!</v>
      </c>
      <c r="F3211" s="1"/>
      <c r="G3211" s="1"/>
      <c r="H3211" s="1"/>
      <c r="I3211" s="1"/>
    </row>
    <row r="3212" spans="1:9" ht="15.6" x14ac:dyDescent="0.3">
      <c r="A3212" s="1" t="s">
        <v>9</v>
      </c>
      <c r="B3212" s="1" t="s">
        <v>9</v>
      </c>
      <c r="C3212" s="10" t="s">
        <v>9</v>
      </c>
      <c r="D3212" s="5" t="s">
        <v>2888</v>
      </c>
      <c r="E3212" s="1" t="str">
        <f ca="1">IFERROR(__xludf.DUMMYFUNCTION("GOOGLETRANSLATE(D3212, ""bn"", ""en"")"),"With all due respect to people of different faiths, we all sympathize when worship is attacked unintentionally.")</f>
        <v>With all due respect to people of different faiths, we all sympathize when worship is attacked unintentionally.</v>
      </c>
      <c r="F3212" s="1"/>
      <c r="G3212" s="1"/>
      <c r="H3212" s="1"/>
      <c r="I3212" s="1"/>
    </row>
    <row r="3213" spans="1:9" ht="15.6" x14ac:dyDescent="0.3">
      <c r="A3213" s="1" t="s">
        <v>7</v>
      </c>
      <c r="B3213" s="1" t="s">
        <v>7</v>
      </c>
      <c r="C3213" s="10" t="s">
        <v>7</v>
      </c>
      <c r="D3213" s="5" t="s">
        <v>2889</v>
      </c>
      <c r="E3213" s="1" t="str">
        <f ca="1">IFERROR(__xludf.DUMMYFUNCTION("GOOGLETRANSLATE(D3213, ""bn"", ""en"")"),"On March 16, a seven-member private investigation team, including five Hindu members, who were investigating the Kalshira massacre, were arrested. They were able to produce an investigative report including the cause and extent of the Kalshira massacre, w"&amp;"hich was published in the Indian media.")</f>
        <v>On March 16, a seven-member private investigation team, including five Hindu members, who were investigating the Kalshira massacre, were arrested. They were able to produce an investigative report including the cause and extent of the Kalshira massacre, which was published in the Indian media.</v>
      </c>
      <c r="F3213" s="1"/>
      <c r="G3213" s="1"/>
      <c r="H3213" s="1"/>
      <c r="I3213" s="1"/>
    </row>
    <row r="3214" spans="1:9" ht="15.6" x14ac:dyDescent="0.3">
      <c r="A3214" s="1" t="s">
        <v>7</v>
      </c>
      <c r="B3214" s="1" t="s">
        <v>7</v>
      </c>
      <c r="C3214" s="10" t="s">
        <v>7</v>
      </c>
      <c r="D3214" s="5" t="s">
        <v>2890</v>
      </c>
      <c r="E3214" s="1" t="str">
        <f ca="1">IFERROR(__xludf.DUMMYFUNCTION("GOOGLETRANSLATE(D3214, ""bn"", ""en"")"),"Unable to bear the horrors of torture, hundreds of Hindus came and took shelter at the Muladi police station in the naval port area of ​​Barisal. But the unfortunate Hindus who took refuge from their own area to save their lives were brutally killed by th"&amp;"e surrounding Muslims inside the police station compound.")</f>
        <v>Unable to bear the horrors of torture, hundreds of Hindus came and took shelter at the Muladi police station in the naval port area of ​​Barisal. But the unfortunate Hindus who took refuge from their own area to save their lives were brutally killed by the surrounding Muslims inside the police station compound.</v>
      </c>
      <c r="F3214" s="1"/>
      <c r="G3214" s="1"/>
      <c r="H3214" s="1"/>
      <c r="I3214" s="1"/>
    </row>
    <row r="3215" spans="1:9" ht="15.6" x14ac:dyDescent="0.3">
      <c r="A3215" s="1" t="s">
        <v>7</v>
      </c>
      <c r="B3215" s="1" t="s">
        <v>7</v>
      </c>
      <c r="C3215" s="10" t="s">
        <v>7</v>
      </c>
      <c r="D3215" s="5" t="s">
        <v>2891</v>
      </c>
      <c r="E3215" s="1" t="str">
        <f ca="1">IFERROR(__xludf.DUMMYFUNCTION("GOOGLETRANSLATE(D3215, ""bn"", ""en"")"),"If the consequence of insulting Islam is death, no infidel could have survived during the Prophet's time, we need to be more tolerant.")</f>
        <v>If the consequence of insulting Islam is death, no infidel could have survived during the Prophet's time, we need to be more tolerant.</v>
      </c>
      <c r="F3215" s="1"/>
      <c r="G3215" s="1"/>
      <c r="H3215" s="1"/>
      <c r="I3215" s="1"/>
    </row>
    <row r="3216" spans="1:9" ht="15.6" x14ac:dyDescent="0.3">
      <c r="A3216" s="1" t="s">
        <v>7</v>
      </c>
      <c r="B3216" s="1" t="s">
        <v>7</v>
      </c>
      <c r="C3216" s="10" t="s">
        <v>7</v>
      </c>
      <c r="D3216" s="5" t="s">
        <v>2892</v>
      </c>
      <c r="E3216" s="1" t="str">
        <f ca="1">IFERROR(__xludf.DUMMYFUNCTION("GOOGLETRANSLATE(D3216, ""bn"", ""en"")")," In May 2000, 16 of the 19 accused surrendered and were later released on bail, although 3 had already died. ")</f>
        <v> In May 2000, 16 of the 19 accused surrendered and were later released on bail, although 3 had already died. </v>
      </c>
      <c r="F3216" s="1"/>
      <c r="G3216" s="1"/>
      <c r="H3216" s="1"/>
      <c r="I3216" s="1"/>
    </row>
    <row r="3217" spans="1:9" ht="46.8" x14ac:dyDescent="0.3">
      <c r="A3217" s="1" t="s">
        <v>4</v>
      </c>
      <c r="B3217" s="1" t="s">
        <v>4</v>
      </c>
      <c r="C3217" s="10" t="s">
        <v>4</v>
      </c>
      <c r="D3217" s="6" t="s">
        <v>3703</v>
      </c>
      <c r="E3217" s="1" t="str">
        <f ca="1">IFERROR(__xludf.DUMMYFUNCTION("GOOGLETRANSLATE(D3217, ""bn"", ""en"")"),"A case was filed against Titu Roy on November 5 for insulting religion. He was arrested in Nilphamari on 14th November after giving the chargesheet. [28][29] However, he got bail. [30][31] SI Maqbul Hossain issued the chargesheet in Gangachara police stat"&amp;"ion case, incriminating 225 people. Of these, 44 were sent to prison on January 5, 2021.")</f>
        <v>A case was filed against Titu Roy on November 5 for insulting religion. He was arrested in Nilphamari on 14th November after giving the chargesheet. [28][29] However, he got bail. [30][31] SI Maqbul Hossain issued the chargesheet in Gangachara police station case, incriminating 225 people. Of these, 44 were sent to prison on January 5, 2021.</v>
      </c>
      <c r="F3217" s="1"/>
      <c r="G3217" s="1"/>
      <c r="H3217" s="1"/>
      <c r="I3217" s="1"/>
    </row>
    <row r="3218" spans="1:9" ht="15.6" x14ac:dyDescent="0.3">
      <c r="A3218" s="1" t="s">
        <v>4</v>
      </c>
      <c r="B3218" s="1" t="s">
        <v>4</v>
      </c>
      <c r="C3218" s="10" t="s">
        <v>4</v>
      </c>
      <c r="D3218" s="5" t="s">
        <v>2893</v>
      </c>
      <c r="E3218" s="1" t="str">
        <f ca="1">IFERROR(__xludf.DUMMYFUNCTION("GOOGLETRANSLATE(D3218, ""bn"", ""en"")"),"How can the burning of scriptures be the freedom of expression of any religion? All Muslim countries should wake up. As a Muslim, I strongly condemn, anger and protest. ")</f>
        <v xml:space="preserve">How can the burning of scriptures be the freedom of expression of any religion? All Muslim countries should wake up. As a Muslim, I strongly condemn, anger and protest. </v>
      </c>
      <c r="F3218" s="1"/>
      <c r="G3218" s="1"/>
      <c r="H3218" s="1"/>
      <c r="I3218" s="1"/>
    </row>
    <row r="3219" spans="1:9" ht="15.6" x14ac:dyDescent="0.3">
      <c r="A3219" s="4" t="s">
        <v>7</v>
      </c>
      <c r="B3219" s="4" t="s">
        <v>7</v>
      </c>
      <c r="C3219" s="11" t="s">
        <v>7</v>
      </c>
      <c r="D3219" s="5" t="s">
        <v>2894</v>
      </c>
      <c r="E3219" s="1" t="str">
        <f ca="1">IFERROR(__xludf.DUMMYFUNCTION("GOOGLETRANSLATE(D3219, ""bn"", ""en"")")," The main victims of the riots were the city's Muslim community; About 100 people were killed, hundreds were seriously injured, 2,500 houses were destroyed and 12,000 Muslim people were left homeless.")</f>
        <v xml:space="preserve"> The main victims of the riots were the city's Muslim community; About 100 people were killed, hundreds were seriously injured, 2,500 houses were destroyed and 12,000 Muslim people were left homeless.</v>
      </c>
      <c r="F3219" s="1"/>
      <c r="G3219" s="1"/>
      <c r="H3219" s="1"/>
      <c r="I3219" s="1"/>
    </row>
    <row r="3220" spans="1:9" ht="15.6" x14ac:dyDescent="0.3">
      <c r="A3220" s="1" t="s">
        <v>4</v>
      </c>
      <c r="B3220" s="1" t="s">
        <v>4</v>
      </c>
      <c r="C3220" s="10" t="s">
        <v>4</v>
      </c>
      <c r="D3220" s="5" t="s">
        <v>2895</v>
      </c>
      <c r="E3220" s="1" t="str">
        <f ca="1">IFERROR(__xludf.DUMMYFUNCTION("GOOGLETRANSLATE(D3220, ""bn"", ""en"")"),"Legal action should be taken against Meherpur Sadar Upazila Gaharpur Sujan! For contradictory statements about Islam. ")</f>
        <v xml:space="preserve">Legal action should be taken against Meherpur Sadar Upazila Gaharpur Sujan! For contradictory statements about Islam. </v>
      </c>
      <c r="F3220" s="1"/>
      <c r="G3220" s="1"/>
      <c r="H3220" s="1"/>
      <c r="I3220" s="1"/>
    </row>
    <row r="3221" spans="1:9" ht="15.6" x14ac:dyDescent="0.3">
      <c r="A3221" s="1" t="s">
        <v>5</v>
      </c>
      <c r="B3221" s="1" t="s">
        <v>5</v>
      </c>
      <c r="C3221" s="10" t="s">
        <v>5</v>
      </c>
      <c r="D3221" s="5" t="s">
        <v>2896</v>
      </c>
      <c r="E3221" s="1" t="str">
        <f ca="1">IFERROR(__xludf.DUMMYFUNCTION("GOOGLETRANSLATE(D3221, ""bn"", ""en"")"),"Victory is possible through patience and perseverance. In Khand we find the Prophet (PBUH) taking advice from the Companions to dig a trench. Samar Pardashi Salman Farsi RA was the chief consultant. ")</f>
        <v>Victory is possible through patience and perseverance. In Khand we find the Prophet (PBUH) taking advice from the Companions to dig a trench. Samar Pardashi Salman Farsi RA was the chief consultant. </v>
      </c>
      <c r="F3221" s="1"/>
      <c r="G3221" s="1"/>
      <c r="H3221" s="1"/>
      <c r="I3221" s="1"/>
    </row>
    <row r="3222" spans="1:9" ht="62.4" x14ac:dyDescent="0.3">
      <c r="A3222" s="1" t="s">
        <v>7</v>
      </c>
      <c r="B3222" s="1" t="s">
        <v>7</v>
      </c>
      <c r="C3222" s="10" t="s">
        <v>7</v>
      </c>
      <c r="D3222" s="6" t="s">
        <v>3702</v>
      </c>
      <c r="E3222" s="1" t="str">
        <f ca="1">IFERROR(__xludf.DUMMYFUNCTION("GOOGLETRANSLATE(D3222, ""bn"", ""en"")"),"29 occupants of the house were arrested and taken to a small local reservoir. [3] After the detainees were beaten and tortured with bayonets, the male members were shot dead in front of their wives and children. [1] Before leaving the site, the Pakistan A"&amp;"rmy threatened in Urdu that no freedom fighters or Hindus would be spared. [2] Only one man survived with a bullet wound. was buried.[")</f>
        <v>29 occupants of the house were arrested and taken to a small local reservoir. [3] After the detainees were beaten and tortured with bayonets, the male members were shot dead in front of their wives and children. [1] Before leaving the site, the Pakistan Army threatened in Urdu that no freedom fighters or Hindus would be spared. [2] Only one man survived with a bullet wound. was buried.[</v>
      </c>
      <c r="F3222" s="1"/>
      <c r="G3222" s="1"/>
      <c r="H3222" s="1"/>
      <c r="I3222" s="1"/>
    </row>
    <row r="3223" spans="1:9" ht="15.6" x14ac:dyDescent="0.3">
      <c r="A3223" s="1" t="s">
        <v>7</v>
      </c>
      <c r="B3223" s="1" t="s">
        <v>7</v>
      </c>
      <c r="C3223" s="10" t="s">
        <v>7</v>
      </c>
      <c r="D3223" s="5" t="s">
        <v>2897</v>
      </c>
      <c r="E3223" s="1" t="str">
        <f ca="1">IFERROR(__xludf.DUMMYFUNCTION("GOOGLETRANSLATE(D3223, ""bn"", ""en"")"),"At that time, a troop of Pakistan Army arrived in Kaliganj market in four armored vehicles. Before you know it, the army starts firing. According to survivor Amarkrishna Adhikari, a Pakistani major divided the refugees into two groups. ")</f>
        <v xml:space="preserve">At that time, a troop of Pakistan Army arrived in Kaliganj market in four armored vehicles. Before you know it, the army starts firing. According to survivor Amarkrishna Adhikari, a Pakistani major divided the refugees into two groups. </v>
      </c>
      <c r="F3223" s="1"/>
      <c r="G3223" s="1"/>
      <c r="H3223" s="1"/>
      <c r="I3223" s="1"/>
    </row>
    <row r="3224" spans="1:9" ht="15.6" x14ac:dyDescent="0.3">
      <c r="A3224" s="1" t="s">
        <v>5</v>
      </c>
      <c r="B3224" s="1" t="s">
        <v>5</v>
      </c>
      <c r="C3224" s="10" t="s">
        <v>5</v>
      </c>
      <c r="D3224" s="5" t="s">
        <v>2898</v>
      </c>
      <c r="E3224" s="1" t="str">
        <f ca="1">IFERROR(__xludf.DUMMYFUNCTION("GOOGLETRANSLATE(D3224, ""bn"", ""en"")"),"Khawaja Nazimuddin initially preached peacefulness and restraint in his speech, but later lost control and spread tension by saying that till 11 am all the injured were Muslims and the Muslim community had retaliated only in self-defence.")</f>
        <v>Khawaja Nazimuddin initially preached peacefulness and restraint in his speech, but later lost control and spread tension by saying that till 11 am all the injured were Muslims and the Muslim community had retaliated only in self-defence.</v>
      </c>
      <c r="F3224" s="1"/>
      <c r="G3224" s="1"/>
      <c r="H3224" s="1"/>
      <c r="I3224" s="1"/>
    </row>
    <row r="3225" spans="1:9" ht="15.6" x14ac:dyDescent="0.3">
      <c r="A3225" s="1" t="s">
        <v>9</v>
      </c>
      <c r="B3225" s="1" t="s">
        <v>9</v>
      </c>
      <c r="C3225" s="10" t="s">
        <v>9</v>
      </c>
      <c r="D3225" s="5" t="s">
        <v>2899</v>
      </c>
      <c r="E3225" s="1" t="str">
        <f ca="1">IFERROR(__xludf.DUMMYFUNCTION("GOOGLETRANSLATE(D3225, ""bn"", ""en"")"),"A total area of ​​about 2000 square kilometers under Ramganj, Begumganj, Raipur, Lakshmipur, Chagalnaya and Sandwip police stations of Noikhali district and Hajiganj, Faridganj, Chandpur, Laksam and Chauddagram police stations of Tripura district was affe"&amp;"cted due to religious riots.")</f>
        <v>A total area of ​​about 2000 square kilometers under Ramganj, Begumganj, Raipur, Lakshmipur, Chagalnaya and Sandwip police stations of Noikhali district and Hajiganj, Faridganj, Chandpur, Laksam and Chauddagram police stations of Tripura district was affected due to religious riots.</v>
      </c>
      <c r="F3225" s="1"/>
      <c r="G3225" s="1"/>
      <c r="H3225" s="1"/>
      <c r="I3225" s="1"/>
    </row>
    <row r="3226" spans="1:9" ht="15.6" x14ac:dyDescent="0.3">
      <c r="A3226" s="1" t="s">
        <v>4</v>
      </c>
      <c r="B3226" s="1" t="s">
        <v>5</v>
      </c>
      <c r="C3226" s="10" t="s">
        <v>4</v>
      </c>
      <c r="D3226" s="5" t="s">
        <v>2900</v>
      </c>
      <c r="E3226" s="1" t="str">
        <f ca="1">IFERROR(__xludf.DUMMYFUNCTION("GOOGLETRANSLATE(D3226, ""bn"", ""en"")"),"Religious, pious and pious are not the same thing. In our country, the evils of religionists and religious traders are visible, the number of religious people will be negligible.")</f>
        <v>Religious, pious and pious are not the same thing. In our country, the evils of religionists and religious traders are visible, the number of religious people will be negligible.</v>
      </c>
      <c r="F3226" s="1"/>
      <c r="G3226" s="1"/>
      <c r="H3226" s="1"/>
      <c r="I3226" s="1"/>
    </row>
    <row r="3227" spans="1:9" ht="46.8" x14ac:dyDescent="0.3">
      <c r="A3227" s="1" t="s">
        <v>7</v>
      </c>
      <c r="B3227" s="1" t="s">
        <v>7</v>
      </c>
      <c r="C3227" s="10" t="s">
        <v>7</v>
      </c>
      <c r="D3227" s="6" t="s">
        <v>3701</v>
      </c>
      <c r="E3227" s="1" t="str">
        <f ca="1">IFERROR(__xludf.DUMMYFUNCTION("GOOGLETRANSLATE(D3227, ""bn"", ""en"")"),"Hindu men are assembled in Jathivanga field. Pakistan Army personnel arrived on the spot in two military trucks and lined up the Hindus and killed them with machine gun brushfire. The massacre started in the morning and continued till the afternoon. After"&amp;" the army's departure, local allies brought the bodies to the nearby Patraj River and buried them.")</f>
        <v>Hindu men are assembled in Jathivanga field. Pakistan Army personnel arrived on the spot in two military trucks and lined up the Hindus and killed them with machine gun brushfire. The massacre started in the morning and continued till the afternoon. After the army's departure, local allies brought the bodies to the nearby Patraj River and buried them.</v>
      </c>
      <c r="F3227" s="1"/>
      <c r="G3227" s="1"/>
      <c r="H3227" s="1"/>
      <c r="I3227" s="1"/>
    </row>
    <row r="3228" spans="1:9" ht="15.6" x14ac:dyDescent="0.3">
      <c r="A3228" s="1" t="s">
        <v>9</v>
      </c>
      <c r="B3228" s="1" t="s">
        <v>9</v>
      </c>
      <c r="C3228" s="10" t="s">
        <v>9</v>
      </c>
      <c r="D3228" s="5" t="s">
        <v>2901</v>
      </c>
      <c r="E3228" s="1" t="str">
        <f ca="1">IFERROR(__xludf.DUMMYFUNCTION("GOOGLETRANSLATE(D3228, ""bn"", ""en"")"),"Attacks on Hindus began on 30 October and continued non-stop till 2 November.")</f>
        <v>Attacks on Hindus began on 30 October and continued non-stop till 2 November.</v>
      </c>
      <c r="F3228" s="1"/>
      <c r="G3228" s="1"/>
      <c r="H3228" s="1"/>
      <c r="I3228" s="1"/>
    </row>
    <row r="3229" spans="1:9" ht="15.6" x14ac:dyDescent="0.3">
      <c r="A3229" s="1" t="s">
        <v>4</v>
      </c>
      <c r="B3229" s="1" t="s">
        <v>4</v>
      </c>
      <c r="C3229" s="10" t="s">
        <v>4</v>
      </c>
      <c r="D3229" s="5" t="s">
        <v>2902</v>
      </c>
      <c r="E3229" s="1" t="str">
        <f ca="1">IFERROR(__xludf.DUMMYFUNCTION("GOOGLETRANSLATE(D3229, ""bn"", ""en"")"),"Broken religious principles with humanity regularly combined with money institutions. It is a sign of moral and social contempt.")</f>
        <v>Broken religious principles with humanity regularly combined with money institutions. It is a sign of moral and social contempt.</v>
      </c>
      <c r="F3229" s="1"/>
      <c r="G3229" s="1"/>
      <c r="H3229" s="1"/>
      <c r="I3229" s="1"/>
    </row>
    <row r="3230" spans="1:9" ht="15.6" x14ac:dyDescent="0.3">
      <c r="A3230" s="1" t="s">
        <v>9</v>
      </c>
      <c r="B3230" s="1" t="s">
        <v>9</v>
      </c>
      <c r="C3230" s="10" t="s">
        <v>9</v>
      </c>
      <c r="D3230" s="5" t="s">
        <v>2903</v>
      </c>
      <c r="E3230" s="1" t="str">
        <f ca="1">IFERROR(__xludf.DUMMYFUNCTION("GOOGLETRANSLATE(D3230, ""bn"", ""en"")"),"In 2020, an attack on a Jewish religious institution in Argentina injured several religious leaders.")</f>
        <v>In 2020, an attack on a Jewish religious institution in Argentina injured several religious leaders.</v>
      </c>
      <c r="F3230" s="1"/>
      <c r="G3230" s="1"/>
      <c r="H3230" s="1"/>
      <c r="I3230" s="1"/>
    </row>
    <row r="3231" spans="1:9" ht="15.6" x14ac:dyDescent="0.3">
      <c r="A3231" s="1" t="s">
        <v>4</v>
      </c>
      <c r="B3231" s="1" t="s">
        <v>4</v>
      </c>
      <c r="C3231" s="10" t="s">
        <v>4</v>
      </c>
      <c r="D3231" s="5" t="s">
        <v>2904</v>
      </c>
      <c r="E3231" s="1" t="str">
        <f ca="1">IFERROR(__xludf.DUMMYFUNCTION("GOOGLETRANSLATE(D3231, ""bn"", ""en"")"),"In every election rally he has been criticizing BJP's Hindutva politics in his own speech style.")</f>
        <v>In every election rally he has been criticizing BJP's Hindutva politics in his own speech style.</v>
      </c>
      <c r="F3231" s="1"/>
      <c r="G3231" s="1"/>
      <c r="H3231" s="1"/>
      <c r="I3231" s="1"/>
    </row>
    <row r="3232" spans="1:9" ht="46.8" x14ac:dyDescent="0.3">
      <c r="A3232" s="1" t="s">
        <v>9</v>
      </c>
      <c r="B3232" s="1" t="s">
        <v>7</v>
      </c>
      <c r="C3232" s="10" t="s">
        <v>9</v>
      </c>
      <c r="D3232" s="6" t="s">
        <v>3700</v>
      </c>
      <c r="E3232" s="1" t="str">
        <f ca="1">IFERROR(__xludf.DUMMYFUNCTION("GOOGLETRANSLATE(D3232, ""bn"", ""en"")"),"Recently, during Durga Puja, the biggest religious festival of Hindus in Bangladesh, there have been incidents of attacks and vandalism on worship halls, attacks on houses and businesses of Hindu community, and deaths in a pandal centered on finding the Q"&amp;"uran Sharif in a pandal, the Bangladeshi community in Australia has reacted to this.")</f>
        <v>Recently, during Durga Puja, the biggest religious festival of Hindus in Bangladesh, there have been incidents of attacks and vandalism on worship halls, attacks on houses and businesses of Hindu community, and deaths in a pandal centered on finding the Quran Sharif in a pandal, the Bangladeshi community in Australia has reacted to this.</v>
      </c>
      <c r="F3232" s="1"/>
      <c r="G3232" s="1"/>
      <c r="H3232" s="1"/>
      <c r="I3232" s="1"/>
    </row>
    <row r="3233" spans="1:9" ht="15.6" x14ac:dyDescent="0.3">
      <c r="A3233" s="1" t="s">
        <v>9</v>
      </c>
      <c r="B3233" s="1" t="s">
        <v>9</v>
      </c>
      <c r="C3233" s="10" t="s">
        <v>9</v>
      </c>
      <c r="D3233" s="5" t="s">
        <v>2905</v>
      </c>
      <c r="E3233" s="1" t="str">
        <f ca="1">IFERROR(__xludf.DUMMYFUNCTION("GOOGLETRANSLATE(D3233, ""bn"", ""en"")"),"Emergency in Sri Lanka after attacks on Muslims")</f>
        <v>Emergency in Sri Lanka after attacks on Muslims</v>
      </c>
      <c r="F3233" s="1"/>
      <c r="G3233" s="1"/>
      <c r="H3233" s="1"/>
      <c r="I3233" s="1"/>
    </row>
    <row r="3234" spans="1:9" ht="15.6" x14ac:dyDescent="0.3">
      <c r="A3234" s="1" t="s">
        <v>4</v>
      </c>
      <c r="B3234" s="1" t="s">
        <v>4</v>
      </c>
      <c r="C3234" s="10" t="s">
        <v>4</v>
      </c>
      <c r="D3234" s="5" t="s">
        <v>2906</v>
      </c>
      <c r="E3234" s="1" t="str">
        <f ca="1">IFERROR(__xludf.DUMMYFUNCTION("GOOGLETRANSLATE(D3234, ""bn"", ""en"")"),"I strongly condemn and protest the incident of placing the holy book Quran on the feet of idols and demand that those who have committed such a shameful incident to destroy the religious recently be brought under the law and prosecuted.")</f>
        <v>I strongly condemn and protest the incident of placing the holy book Quran on the feet of idols and demand that those who have committed such a shameful incident to destroy the religious recently be brought under the law and prosecuted.</v>
      </c>
      <c r="F3234" s="1"/>
      <c r="G3234" s="1"/>
      <c r="H3234" s="1"/>
      <c r="I3234" s="1"/>
    </row>
    <row r="3235" spans="1:9" ht="15.6" x14ac:dyDescent="0.3">
      <c r="A3235" s="1" t="s">
        <v>4</v>
      </c>
      <c r="B3235" s="1" t="s">
        <v>5</v>
      </c>
      <c r="C3235" s="10" t="s">
        <v>4</v>
      </c>
      <c r="D3235" s="5" t="s">
        <v>2907</v>
      </c>
      <c r="E3235" s="1" t="str">
        <f ca="1">IFERROR(__xludf.DUMMYFUNCTION("GOOGLETRANSLATE(D3235, ""bn"", ""en"")"),"O you who believe, if any wrongdoer brings you news, investigate it Lest you harm a group unknowingly and later be ashamed of what you have done.")</f>
        <v>O you who believe, if any wrongdoer brings you news, investigate it Lest you harm a group unknowingly and later be ashamed of what you have done.</v>
      </c>
      <c r="F3235" s="1"/>
      <c r="G3235" s="1"/>
      <c r="H3235" s="1"/>
      <c r="I3235" s="1"/>
    </row>
    <row r="3236" spans="1:9" ht="15.6" x14ac:dyDescent="0.3">
      <c r="A3236" s="1" t="s">
        <v>9</v>
      </c>
      <c r="B3236" s="1" t="s">
        <v>5</v>
      </c>
      <c r="C3236" s="10" t="s">
        <v>9</v>
      </c>
      <c r="D3236" s="5" t="s">
        <v>2908</v>
      </c>
      <c r="E3236" s="1" t="str">
        <f ca="1">IFERROR(__xludf.DUMMYFUNCTION("GOOGLETRANSLATE(D3236, ""bn"", ""en"")"),"Evangelicals and Pentecostal Christians in particular encourage such activities. As a result, sometimes the Christian Afro-Trinidadians oppress the Hindu Indo-Trinidadians in various ways.")</f>
        <v>Evangelicals and Pentecostal Christians in particular encourage such activities. As a result, sometimes the Christian Afro-Trinidadians oppress the Hindu Indo-Trinidadians in various ways.</v>
      </c>
      <c r="F3236" s="1"/>
      <c r="G3236" s="1"/>
      <c r="H3236" s="1"/>
      <c r="I3236" s="1"/>
    </row>
    <row r="3237" spans="1:9" ht="15.6" x14ac:dyDescent="0.3">
      <c r="A3237" s="1" t="s">
        <v>4</v>
      </c>
      <c r="B3237" s="1" t="s">
        <v>4</v>
      </c>
      <c r="C3237" s="10" t="s">
        <v>4</v>
      </c>
      <c r="D3237" s="5" t="s">
        <v>2909</v>
      </c>
      <c r="E3237" s="1" t="str">
        <f ca="1">IFERROR(__xludf.DUMMYFUNCTION("GOOGLETRANSLATE(D3237, ""bn"", ""en"")"),"In this country, the biggest enemies of Islam are the secular ones dressed in the name of Islam. Rabish, Khabish.")</f>
        <v>In this country, the biggest enemies of Islam are the secular ones dressed in the name of Islam. Rabish, Khabish.</v>
      </c>
      <c r="F3237" s="1"/>
      <c r="G3237" s="1"/>
      <c r="H3237" s="1"/>
      <c r="I3237" s="1"/>
    </row>
    <row r="3238" spans="1:9" ht="15.6" x14ac:dyDescent="0.3">
      <c r="A3238" s="1" t="s">
        <v>4</v>
      </c>
      <c r="B3238" s="1" t="s">
        <v>4</v>
      </c>
      <c r="C3238" s="10" t="s">
        <v>4</v>
      </c>
      <c r="D3238" s="5" t="s">
        <v>2910</v>
      </c>
      <c r="E3238" s="1" t="str">
        <f ca="1">IFERROR(__xludf.DUMMYFUNCTION("GOOGLETRANSLATE(D3238, ""bn"", ""en"")"),"Blasphemy: What constitutes religious blasphemy? What is in the law? What is the punishment?")</f>
        <v>Blasphemy: What constitutes religious blasphemy? What is in the law? What is the punishment?</v>
      </c>
      <c r="F3238" s="1"/>
      <c r="G3238" s="1"/>
      <c r="H3238" s="1"/>
      <c r="I3238" s="1"/>
    </row>
    <row r="3239" spans="1:9" ht="46.8" x14ac:dyDescent="0.3">
      <c r="A3239" s="1" t="s">
        <v>7</v>
      </c>
      <c r="B3239" s="1" t="s">
        <v>7</v>
      </c>
      <c r="C3239" s="10" t="s">
        <v>7</v>
      </c>
      <c r="D3239" s="6" t="s">
        <v>3699</v>
      </c>
      <c r="E3239" s="1" t="str">
        <f ca="1">IFERROR(__xludf.DUMMYFUNCTION("GOOGLETRANSLATE(D3239, ""bn"", ""en"")"),"The militant also said in the video message that he was motivated by the killing of a 6-year-old Muslim Palestinian-American child in America due to the attack by Hamas in Israel.  The slain gunman is believed to be of Tunisian origin. He was living illeg"&amp;"ally in Belgium after his asylum application was rejected.")</f>
        <v>The militant also said in the video message that he was motivated by the killing of a 6-year-old Muslim Palestinian-American child in America due to the attack by Hamas in Israel.  The slain gunman is believed to be of Tunisian origin. He was living illegally in Belgium after his asylum application was rejected.</v>
      </c>
      <c r="F3239" s="1"/>
      <c r="G3239" s="1"/>
      <c r="H3239" s="1"/>
      <c r="I3239" s="1"/>
    </row>
    <row r="3240" spans="1:9" ht="15.6" x14ac:dyDescent="0.3">
      <c r="A3240" s="1" t="s">
        <v>9</v>
      </c>
      <c r="B3240" s="1" t="s">
        <v>9</v>
      </c>
      <c r="C3240" s="10" t="s">
        <v>9</v>
      </c>
      <c r="D3240" s="5" t="s">
        <v>2911</v>
      </c>
      <c r="E3240" s="1" t="str">
        <f ca="1">IFERROR(__xludf.DUMMYFUNCTION("GOOGLETRANSLATE(D3240, ""bn"", ""en"")"),"In Norway, anti-Islamic groups attempted to publicly burn Qurans when Muslims resisted and the two sides clashed, injuring several. The incident happened in 2019.")</f>
        <v>In Norway, anti-Islamic groups attempted to publicly burn Qurans when Muslims resisted and the two sides clashed, injuring several. The incident happened in 2019.</v>
      </c>
      <c r="F3240" s="1"/>
      <c r="G3240" s="1"/>
      <c r="H3240" s="1"/>
      <c r="I3240" s="1"/>
    </row>
    <row r="3241" spans="1:9" ht="15.6" x14ac:dyDescent="0.3">
      <c r="A3241" s="1" t="s">
        <v>4</v>
      </c>
      <c r="B3241" s="1" t="s">
        <v>4</v>
      </c>
      <c r="C3241" s="10" t="s">
        <v>4</v>
      </c>
      <c r="D3241" s="5" t="s">
        <v>2912</v>
      </c>
      <c r="E3241" s="1" t="str">
        <f ca="1">IFERROR(__xludf.DUMMYFUNCTION("GOOGLETRANSLATE(D3241, ""bn"", ""en"")"),"One. To gain international legitimacy by showing Bangladesh as a communal state for the ruling unelected ruling group to stay in power illegally for a longer period of time. Two. Across the border is Bangladesh and the Muslim-hating riotous terrorist BJP")</f>
        <v>One. To gain international legitimacy by showing Bangladesh as a communal state for the ruling unelected ruling group to stay in power illegally for a longer period of time. Two. Across the border is Bangladesh and the Muslim-hating riotous terrorist BJP</v>
      </c>
      <c r="F3241" s="1"/>
      <c r="G3241" s="1"/>
      <c r="H3241" s="1"/>
      <c r="I3241" s="1"/>
    </row>
    <row r="3242" spans="1:9" ht="15.6" x14ac:dyDescent="0.3">
      <c r="A3242" s="1" t="s">
        <v>4</v>
      </c>
      <c r="B3242" s="1" t="s">
        <v>5</v>
      </c>
      <c r="C3242" s="10" t="s">
        <v>4</v>
      </c>
      <c r="D3242" s="5" t="s">
        <v>2913</v>
      </c>
      <c r="E3242" s="1" t="str">
        <f ca="1">IFERROR(__xludf.DUMMYFUNCTION("GOOGLETRANSLATE(D3242, ""bn"", ""en"")"),"Last year, the auditorium was not allowed as the venue for the awarding ceremony of the ""Qur'an Translation Reading Competition"".")</f>
        <v>Last year, the auditorium was not allowed as the venue for the awarding ceremony of the "Qur'an Translation Reading Competition".</v>
      </c>
      <c r="F3242" s="1"/>
      <c r="G3242" s="1"/>
      <c r="H3242" s="1"/>
      <c r="I3242" s="1"/>
    </row>
    <row r="3243" spans="1:9" ht="15.6" x14ac:dyDescent="0.3">
      <c r="A3243" s="1" t="s">
        <v>7</v>
      </c>
      <c r="B3243" s="1" t="s">
        <v>7</v>
      </c>
      <c r="C3243" s="10" t="s">
        <v>7</v>
      </c>
      <c r="D3243" s="5" t="s">
        <v>2914</v>
      </c>
      <c r="E3243" s="1" t="str">
        <f ca="1">IFERROR(__xludf.DUMMYFUNCTION("GOOGLETRANSLATE(D3243, ""bn"", ""en"")"),"A suicidal person not only harms himself but also harms his family, close relatives and friends. So the punishment for suicide is terrible.")</f>
        <v>A suicidal person not only harms himself but also harms his family, close relatives and friends. So the punishment for suicide is terrible.</v>
      </c>
      <c r="F3243" s="1"/>
      <c r="G3243" s="1"/>
      <c r="H3243" s="1"/>
      <c r="I3243" s="1"/>
    </row>
    <row r="3244" spans="1:9" ht="15.6" x14ac:dyDescent="0.3">
      <c r="A3244" s="1" t="s">
        <v>4</v>
      </c>
      <c r="B3244" s="1" t="s">
        <v>4</v>
      </c>
      <c r="C3244" s="10" t="s">
        <v>4</v>
      </c>
      <c r="D3244" s="5" t="s">
        <v>2915</v>
      </c>
      <c r="E3244" s="1" t="str">
        <f ca="1">IFERROR(__xludf.DUMMYFUNCTION("GOOGLETRANSLATE(D3244, ""bn"", ""en"")"),"I strongly condemn and condemn them, I demand exemplary punishment as soon as possible so that no one dares to commit such a horrible act in the future.")</f>
        <v>I strongly condemn and condemn them, I demand exemplary punishment as soon as possible so that no one dares to commit such a horrible act in the future.</v>
      </c>
      <c r="F3244" s="1"/>
      <c r="G3244" s="1"/>
      <c r="H3244" s="1"/>
      <c r="I3244" s="1"/>
    </row>
    <row r="3245" spans="1:9" ht="15.6" x14ac:dyDescent="0.3">
      <c r="A3245" s="1" t="s">
        <v>7</v>
      </c>
      <c r="B3245" s="1" t="s">
        <v>7</v>
      </c>
      <c r="C3245" s="10" t="s">
        <v>7</v>
      </c>
      <c r="D3245" s="5" t="s">
        <v>2916</v>
      </c>
      <c r="E3245" s="1" t="str">
        <f ca="1">IFERROR(__xludf.DUMMYFUNCTION("GOOGLETRANSLATE(D3245, ""bn"", ""en"")"),"Forced or not, there have been several cases of female members of the Bhosle family being raped. One was Shivaji's eldest childless widow, Putlabai, who committed sati immolation after her husband's death.")</f>
        <v>Forced or not, there have been several cases of female members of the Bhosle family being raped. One was Shivaji's eldest childless widow, Putlabai, who committed sati immolation after her husband's death.</v>
      </c>
      <c r="F3245" s="1"/>
      <c r="G3245" s="1"/>
      <c r="H3245" s="1"/>
      <c r="I3245" s="1"/>
    </row>
    <row r="3246" spans="1:9" ht="62.4" x14ac:dyDescent="0.3">
      <c r="A3246" s="1" t="s">
        <v>7</v>
      </c>
      <c r="B3246" s="1" t="s">
        <v>7</v>
      </c>
      <c r="C3246" s="10" t="s">
        <v>7</v>
      </c>
      <c r="D3246" s="6" t="s">
        <v>3698</v>
      </c>
      <c r="E3246" s="1" t="str">
        <f ca="1">IFERROR(__xludf.DUMMYFUNCTION("GOOGLETRANSLATE(D3246, ""bn"", ""en"")"),"Dhapdhup Genocide refers to the massacre of Bengali Hindus in the nearby villages of Islampur and Shukanpukuri in Panchpir Union of Boda Upazila of Panchgarh, Bangladesh by the Pakistani occupation army with the help of local identified Rajakars during th"&amp;"e Bangladesh War of Independence. Bengali Hindus were killed by brushfire and machetes.[")</f>
        <v>Dhapdhup Genocide refers to the massacre of Bengali Hindus in the nearby villages of Islampur and Shukanpukuri in Panchpir Union of Boda Upazila of Panchgarh, Bangladesh by the Pakistani occupation army with the help of local identified Rajakars during the Bangladesh War of Independence. Bengali Hindus were killed by brushfire and machetes.[</v>
      </c>
      <c r="F3246" s="1"/>
      <c r="G3246" s="1"/>
      <c r="H3246" s="1"/>
      <c r="I3246" s="1"/>
    </row>
    <row r="3247" spans="1:9" ht="15.6" x14ac:dyDescent="0.3">
      <c r="A3247" s="1" t="s">
        <v>9</v>
      </c>
      <c r="B3247" s="1" t="s">
        <v>9</v>
      </c>
      <c r="C3247" s="10" t="s">
        <v>9</v>
      </c>
      <c r="D3247" s="5" t="s">
        <v>2917</v>
      </c>
      <c r="E3247" s="1" t="str">
        <f ca="1">IFERROR(__xludf.DUMMYFUNCTION("GOOGLETRANSLATE(D3247, ""bn"", ""en"")"),"The hands and feet of the idols, the heads were broken and crushed. Some idols were broken and left in the water of the pond.")</f>
        <v>The hands and feet of the idols, the heads were broken and crushed. Some idols were broken and left in the water of the pond.</v>
      </c>
      <c r="F3247" s="1"/>
      <c r="G3247" s="1"/>
      <c r="H3247" s="1"/>
      <c r="I3247" s="1"/>
    </row>
    <row r="3248" spans="1:9" ht="15.6" x14ac:dyDescent="0.3">
      <c r="A3248" s="1" t="s">
        <v>5</v>
      </c>
      <c r="B3248" s="1" t="s">
        <v>5</v>
      </c>
      <c r="C3248" s="10" t="s">
        <v>5</v>
      </c>
      <c r="D3248" s="5" t="s">
        <v>2918</v>
      </c>
      <c r="E3248" s="1" t="str">
        <f ca="1">IFERROR(__xludf.DUMMYFUNCTION("GOOGLETRANSLATE(D3248, ""bn"", ""en"")"),"Even then they were an expression of immediate anger. This did not mean that relations with Denmark were bad or that Denmark's image was permanently damaged.")</f>
        <v>Even then they were an expression of immediate anger. This did not mean that relations with Denmark were bad or that Denmark's image was permanently damaged.</v>
      </c>
      <c r="F3248" s="1"/>
      <c r="G3248" s="1"/>
      <c r="H3248" s="1"/>
      <c r="I3248" s="1"/>
    </row>
    <row r="3249" spans="1:9" ht="15.6" x14ac:dyDescent="0.3">
      <c r="A3249" s="1" t="s">
        <v>7</v>
      </c>
      <c r="B3249" s="1" t="s">
        <v>7</v>
      </c>
      <c r="C3249" s="10" t="s">
        <v>7</v>
      </c>
      <c r="D3249" s="5" t="s">
        <v>2919</v>
      </c>
      <c r="E3249" s="1" t="str">
        <f ca="1">IFERROR(__xludf.DUMMYFUNCTION("GOOGLETRANSLATE(D3249, ""bn"", ""en"")"),"Janazah is a special prayer organized before burying a dead Muslim. ")</f>
        <v>Janazah is a special prayer organized before burying a dead Muslim. </v>
      </c>
      <c r="F3249" s="1"/>
      <c r="G3249" s="1"/>
      <c r="H3249" s="1"/>
      <c r="I3249" s="1"/>
    </row>
    <row r="3250" spans="1:9" ht="15.6" x14ac:dyDescent="0.3">
      <c r="A3250" s="4" t="s">
        <v>7</v>
      </c>
      <c r="B3250" s="4" t="s">
        <v>7</v>
      </c>
      <c r="C3250" s="11" t="s">
        <v>7</v>
      </c>
      <c r="D3250" s="5" t="s">
        <v>2920</v>
      </c>
      <c r="E3250" s="1" t="str">
        <f ca="1">IFERROR(__xludf.DUMMYFUNCTION("GOOGLETRANSLATE(D3250, ""bn"", ""en"")"),"On the occasion of the 26th anniversary of the Gulja massacre at the National Press Club on Sunday, the speakers made this call at a discussion meeting titled 'How far is the freedom of Uyghur Muslims'? Eminent writers, researchers, eminent academicians a"&amp;"nd top leaders of various Islamic parties spoke in this discussion meeting organized by Islamic Progressive Janata Front.")</f>
        <v>On the occasion of the 26th anniversary of the Gulja massacre at the National Press Club on Sunday, the speakers made this call at a discussion meeting titled 'How far is the freedom of Uyghur Muslims'? Eminent writers, researchers, eminent academicians and top leaders of various Islamic parties spoke in this discussion meeting organized by Islamic Progressive Janata Front.</v>
      </c>
      <c r="F3250" s="1"/>
      <c r="G3250" s="1"/>
      <c r="H3250" s="1"/>
      <c r="I3250" s="1"/>
    </row>
    <row r="3251" spans="1:9" ht="15.6" x14ac:dyDescent="0.3">
      <c r="A3251" s="1" t="s">
        <v>4</v>
      </c>
      <c r="B3251" s="1" t="s">
        <v>4</v>
      </c>
      <c r="C3251" s="10" t="s">
        <v>4</v>
      </c>
      <c r="D3251" s="5" t="s">
        <v>2921</v>
      </c>
      <c r="E3251" s="1" t="str">
        <f ca="1">IFERROR(__xludf.DUMMYFUNCTION("GOOGLETRANSLATE(D3251, ""bn"", ""en"")"),"Anurag aka Babu Bhaiya is a staunch Hindu man. He earns money by selling the emotions of his Hindu brosenas. ")</f>
        <v xml:space="preserve">Anurag aka Babu Bhaiya is a staunch Hindu man. He earns money by selling the emotions of his Hindu brosenas. </v>
      </c>
      <c r="F3251" s="1"/>
      <c r="G3251" s="1"/>
      <c r="H3251" s="1"/>
      <c r="I3251" s="1"/>
    </row>
    <row r="3252" spans="1:9" ht="15.6" x14ac:dyDescent="0.3">
      <c r="A3252" s="1" t="s">
        <v>7</v>
      </c>
      <c r="B3252" s="1" t="s">
        <v>7</v>
      </c>
      <c r="C3252" s="10" t="s">
        <v>7</v>
      </c>
      <c r="D3252" s="5" t="s">
        <v>2922</v>
      </c>
      <c r="E3252" s="1" t="str">
        <f ca="1">IFERROR(__xludf.DUMMYFUNCTION("GOOGLETRANSLATE(D3252, ""bn"", ""en"")"),"Hundreds of religious figures, including imams, muezzins and Hafez, were killed in Israel's attack. Residents of Gaza reported that there is not enough space for Taraweeh prayers during the month of Ramadan, as mosques have been destroyed.")</f>
        <v>Hundreds of religious figures, including imams, muezzins and Hafez, were killed in Israel's attack. Residents of Gaza reported that there is not enough space for Taraweeh prayers during the month of Ramadan, as mosques have been destroyed.</v>
      </c>
      <c r="F3252" s="1"/>
      <c r="G3252" s="1"/>
      <c r="H3252" s="1"/>
      <c r="I3252" s="1"/>
    </row>
    <row r="3253" spans="1:9" ht="15.6" x14ac:dyDescent="0.3">
      <c r="A3253" s="1" t="s">
        <v>5</v>
      </c>
      <c r="B3253" s="1" t="s">
        <v>5</v>
      </c>
      <c r="C3253" s="10" t="s">
        <v>5</v>
      </c>
      <c r="D3253" s="5" t="s">
        <v>2923</v>
      </c>
      <c r="E3253" s="1" t="str">
        <f ca="1">IFERROR(__xludf.DUMMYFUNCTION("GOOGLETRANSLATE(D3253, ""bn"", ""en"")"),"What is the difference between God and God? What knowledge does it give?")</f>
        <v>What is the difference between God and God? What knowledge does it give?</v>
      </c>
      <c r="F3253" s="1"/>
      <c r="G3253" s="1"/>
      <c r="H3253" s="1"/>
      <c r="I3253" s="1"/>
    </row>
    <row r="3254" spans="1:9" ht="15.6" x14ac:dyDescent="0.3">
      <c r="A3254" s="1" t="s">
        <v>7</v>
      </c>
      <c r="B3254" s="1" t="s">
        <v>7</v>
      </c>
      <c r="C3254" s="10" t="s">
        <v>7</v>
      </c>
      <c r="D3254" s="5" t="s">
        <v>2924</v>
      </c>
      <c r="E3254" s="1" t="str">
        <f ca="1">IFERROR(__xludf.DUMMYFUNCTION("GOOGLETRANSLATE(D3254, ""bn"", ""en"")"),"The massacre of Hindus began on 10 October 1946, the day of Kojagari Lakshmi Puja[3] and continued for about four weeks. It is estimated that at least 5,000 Hindus were killed.")</f>
        <v>The massacre of Hindus began on 10 October 1946, the day of Kojagari Lakshmi Puja[3] and continued for about four weeks. It is estimated that at least 5,000 Hindus were killed.</v>
      </c>
      <c r="F3254" s="1"/>
      <c r="G3254" s="1"/>
      <c r="H3254" s="1"/>
      <c r="I3254" s="1"/>
    </row>
    <row r="3255" spans="1:9" ht="15.6" x14ac:dyDescent="0.3">
      <c r="A3255" s="1" t="s">
        <v>9</v>
      </c>
      <c r="B3255" s="1" t="s">
        <v>9</v>
      </c>
      <c r="C3255" s="10" t="s">
        <v>9</v>
      </c>
      <c r="D3255" s="5" t="s">
        <v>2925</v>
      </c>
      <c r="E3255" s="1" t="str">
        <f ca="1">IFERROR(__xludf.DUMMYFUNCTION("GOOGLETRANSLATE(D3255, ""bn"", ""en"")"),"Miscreants attacked, looted and set fire to 12 Buddhist monasteries and about 30 residential houses in the Ramu Upazila of Cox's Bazar, the southern district of Bangladesh, at midnight on September 29, 2012. The attack happened due to a post shared on Fac"&amp;"ebook.")</f>
        <v>Miscreants attacked, looted and set fire to 12 Buddhist monasteries and about 30 residential houses in the Ramu Upazila of Cox's Bazar, the southern district of Bangladesh, at midnight on September 29, 2012. The attack happened due to a post shared on Facebook.</v>
      </c>
      <c r="F3255" s="1"/>
      <c r="G3255" s="1"/>
      <c r="H3255" s="1"/>
      <c r="I3255" s="1"/>
    </row>
    <row r="3256" spans="1:9" ht="15.6" x14ac:dyDescent="0.3">
      <c r="A3256" s="1" t="s">
        <v>4</v>
      </c>
      <c r="B3256" s="1" t="s">
        <v>4</v>
      </c>
      <c r="C3256" s="10" t="s">
        <v>4</v>
      </c>
      <c r="D3256" s="5" t="s">
        <v>2926</v>
      </c>
      <c r="E3256" s="1" t="str">
        <f ca="1">IFERROR(__xludf.DUMMYFUNCTION("GOOGLETRANSLATE(D3256, ""bn"", ""en"")"),"Hey foot lickin' slave, get the media right. This state does not belong to the Jews, this state belongs to the Palestinians, they are a protected nation here. When nowhere in the world could find a place, it was the Palestinians who gave them shelter.")</f>
        <v>Hey foot lickin' slave, get the media right. This state does not belong to the Jews, this state belongs to the Palestinians, they are a protected nation here. When nowhere in the world could find a place, it was the Palestinians who gave them shelter.</v>
      </c>
      <c r="F3256" s="1"/>
      <c r="G3256" s="1"/>
      <c r="H3256" s="1"/>
      <c r="I3256" s="1"/>
    </row>
    <row r="3257" spans="1:9" ht="15.6" x14ac:dyDescent="0.3">
      <c r="A3257" s="1" t="s">
        <v>7</v>
      </c>
      <c r="B3257" s="1" t="s">
        <v>7</v>
      </c>
      <c r="C3257" s="10" t="s">
        <v>7</v>
      </c>
      <c r="D3257" s="5" t="s">
        <v>2927</v>
      </c>
      <c r="E3257" s="1" t="str">
        <f ca="1">IFERROR(__xludf.DUMMYFUNCTION("GOOGLETRANSLATE(D3257, ""bn"", ""en"")"),"Can a man or an artist commit suicide in pride, self-doubt? If suicide is a great sin, and it is not desirable.")</f>
        <v>Can a man or an artist commit suicide in pride, self-doubt? If suicide is a great sin, and it is not desirable.</v>
      </c>
      <c r="F3257" s="1"/>
      <c r="G3257" s="1"/>
      <c r="H3257" s="1"/>
      <c r="I3257" s="1"/>
    </row>
    <row r="3258" spans="1:9" ht="15.6" x14ac:dyDescent="0.3">
      <c r="A3258" s="1" t="s">
        <v>5</v>
      </c>
      <c r="B3258" s="1" t="s">
        <v>5</v>
      </c>
      <c r="C3258" s="10" t="s">
        <v>5</v>
      </c>
      <c r="D3258" s="5" t="s">
        <v>2928</v>
      </c>
      <c r="E3258" s="1" t="str">
        <f ca="1">IFERROR(__xludf.DUMMYFUNCTION("GOOGLETRANSLATE(D3258, ""bn"", ""en"")"),"If Sanatan is old then the religion of the first man in the world will be old then whether he was Hindu or Muslim is a question for Hindu brothers.")</f>
        <v>If Sanatan is old then the religion of the first man in the world will be old then whether he was Hindu or Muslim is a question for Hindu brothers.</v>
      </c>
      <c r="F3258" s="1"/>
      <c r="G3258" s="1"/>
      <c r="H3258" s="1"/>
      <c r="I3258" s="1"/>
    </row>
    <row r="3259" spans="1:9" ht="15.6" x14ac:dyDescent="0.3">
      <c r="A3259" s="1" t="s">
        <v>4</v>
      </c>
      <c r="B3259" s="1" t="s">
        <v>4</v>
      </c>
      <c r="C3259" s="10" t="s">
        <v>4</v>
      </c>
      <c r="D3259" s="5" t="s">
        <v>2929</v>
      </c>
      <c r="E3259" s="1" t="str">
        <f ca="1">IFERROR(__xludf.DUMMYFUNCTION("GOOGLETRANSLATE(D3259, ""bn"", ""en"")"),"Far be it from hindering the religion of those of different faiths, their obedience is forbidden in the Qur'an to the extent that it insults the Lord. ")</f>
        <v xml:space="preserve">Far be it from hindering the religion of those of different faiths, their obedience is forbidden in the Qur'an to the extent that it insults the Lord. </v>
      </c>
      <c r="F3259" s="1"/>
      <c r="G3259" s="1"/>
      <c r="H3259" s="1"/>
      <c r="I3259" s="1"/>
    </row>
    <row r="3260" spans="1:9" ht="15.6" x14ac:dyDescent="0.3">
      <c r="A3260" s="1" t="s">
        <v>9</v>
      </c>
      <c r="B3260" s="1" t="s">
        <v>9</v>
      </c>
      <c r="C3260" s="10" t="s">
        <v>9</v>
      </c>
      <c r="D3260" s="5" t="s">
        <v>2930</v>
      </c>
      <c r="E3260" s="1" t="str">
        <f ca="1">IFERROR(__xludf.DUMMYFUNCTION("GOOGLETRANSLATE(D3260, ""bn"", ""en"")")," At around 2:00 p.m., groups of people started protesting with sticks after Friday prayers from different areas including Shaleyshah and Balabari villages of Gangachara Upazila's Khlea Union and nearby Mominpur village and various mosques and madrasahs.")</f>
        <v> At around 2:00 p.m., groups of people started protesting with sticks after Friday prayers from different areas including Shaleyshah and Balabari villages of Gangachara Upazila's Khlea Union and nearby Mominpur village and various mosques and madrasahs.</v>
      </c>
      <c r="F3260" s="1"/>
      <c r="G3260" s="1"/>
      <c r="H3260" s="1"/>
      <c r="I3260" s="1"/>
    </row>
    <row r="3261" spans="1:9" ht="15.6" x14ac:dyDescent="0.3">
      <c r="A3261" s="1" t="s">
        <v>5</v>
      </c>
      <c r="B3261" s="1" t="s">
        <v>5</v>
      </c>
      <c r="C3261" s="10" t="s">
        <v>5</v>
      </c>
      <c r="D3261" s="5" t="s">
        <v>2931</v>
      </c>
      <c r="E3261" s="1" t="str">
        <f ca="1">IFERROR(__xludf.DUMMYFUNCTION("GOOGLETRANSLATE(D3261, ""bn"", ""en"")"),"Islam was at the beginning of the creation of the world and will be at the end of the destruction of the world")</f>
        <v>Islam was at the beginning of the creation of the world and will be at the end of the destruction of the world</v>
      </c>
      <c r="F3261" s="1"/>
      <c r="G3261" s="1"/>
      <c r="H3261" s="1"/>
      <c r="I3261" s="1"/>
    </row>
    <row r="3262" spans="1:9" ht="46.8" x14ac:dyDescent="0.3">
      <c r="A3262" s="1" t="s">
        <v>7</v>
      </c>
      <c r="B3262" s="1" t="s">
        <v>7</v>
      </c>
      <c r="C3262" s="10" t="s">
        <v>7</v>
      </c>
      <c r="D3262" s="6" t="s">
        <v>3697</v>
      </c>
      <c r="E3262" s="1" t="str">
        <f ca="1">IFERROR(__xludf.DUMMYFUNCTION("GOOGLETRANSLATE(D3262, ""bn"", ""en"")"),"In these six months, 66 residences of the Hindu community were vandalized and set on fire and 49 idols, pujamandaps, temples were vandalized and set on fire. According to the report, 62 people were killed in the 'crossfire' with law and order forces in si"&amp;"x months. Among them, 24 people were killed in crossfire with RAB and 30 people were killed in police crossfire.")</f>
        <v>In these six months, 66 residences of the Hindu community were vandalized and set on fire and 49 idols, pujamandaps, temples were vandalized and set on fire. According to the report, 62 people were killed in the 'crossfire' with law and order forces in six months. Among them, 24 people were killed in crossfire with RAB and 30 people were killed in police crossfire.</v>
      </c>
      <c r="F3262" s="1"/>
      <c r="G3262" s="1"/>
      <c r="H3262" s="1"/>
      <c r="I3262" s="1"/>
    </row>
    <row r="3263" spans="1:9" ht="15.6" x14ac:dyDescent="0.3">
      <c r="A3263" s="1" t="s">
        <v>4</v>
      </c>
      <c r="B3263" s="1" t="s">
        <v>5</v>
      </c>
      <c r="C3263" s="10" t="s">
        <v>4</v>
      </c>
      <c r="D3263" s="5" t="s">
        <v>2932</v>
      </c>
      <c r="E3263" s="1" t="str">
        <f ca="1">IFERROR(__xludf.DUMMYFUNCTION("GOOGLETRANSLATE(D3263, ""bn"", ""en"")"),"Those who are aware of the complete peace, freedom and harmony of Islam can never post extremist views on Islam! ")</f>
        <v xml:space="preserve">Those who are aware of the complete peace, freedom and harmony of Islam can never post extremist views on Islam! </v>
      </c>
      <c r="F3263" s="1"/>
      <c r="G3263" s="1"/>
      <c r="H3263" s="1"/>
      <c r="I3263" s="1"/>
    </row>
    <row r="3264" spans="1:9" ht="15.6" x14ac:dyDescent="0.3">
      <c r="A3264" s="4" t="s">
        <v>7</v>
      </c>
      <c r="B3264" s="4" t="s">
        <v>7</v>
      </c>
      <c r="C3264" s="11" t="s">
        <v>7</v>
      </c>
      <c r="D3264" s="5" t="s">
        <v>2933</v>
      </c>
      <c r="E3264" s="1" t="str">
        <f ca="1">IFERROR(__xludf.DUMMYFUNCTION("GOOGLETRANSLATE(D3264, ""bn"", ""en"")"),"Noor Islam, Sandhya Rani, Ramakrishna, Tapan, Babul Sutradhar and at least 10 artists-workers and ordinary people lost their lives in that brutal attack carried out by fanatical, fundamentalist, communal groups. More than 150 artists-workers and cultured "&amp;"people were injured. ")</f>
        <v xml:space="preserve">Noor Islam, Sandhya Rani, Ramakrishna, Tapan, Babul Sutradhar and at least 10 artists-workers and ordinary people lost their lives in that brutal attack carried out by fanatical, fundamentalist, communal groups. More than 150 artists-workers and cultured people were injured. </v>
      </c>
      <c r="F3264" s="1"/>
      <c r="G3264" s="1"/>
      <c r="H3264" s="1"/>
      <c r="I3264" s="1"/>
    </row>
    <row r="3265" spans="1:9" ht="15.6" x14ac:dyDescent="0.3">
      <c r="A3265" s="1" t="s">
        <v>4</v>
      </c>
      <c r="B3265" s="1" t="s">
        <v>4</v>
      </c>
      <c r="C3265" s="10" t="s">
        <v>4</v>
      </c>
      <c r="D3265" s="5" t="s">
        <v>2934</v>
      </c>
      <c r="E3265" s="1" t="str">
        <f ca="1">IFERROR(__xludf.DUMMYFUNCTION("GOOGLETRANSLATE(D3265, ""bn"", ""en"")"),"After the riots the Muslims of Calcutta became more hated than before")</f>
        <v>After the riots the Muslims of Calcutta became more hated than before</v>
      </c>
      <c r="F3265" s="1"/>
      <c r="G3265" s="1"/>
      <c r="H3265" s="1"/>
      <c r="I3265" s="1"/>
    </row>
    <row r="3266" spans="1:9" ht="15.6" x14ac:dyDescent="0.3">
      <c r="A3266" s="1" t="s">
        <v>4</v>
      </c>
      <c r="B3266" s="1" t="s">
        <v>4</v>
      </c>
      <c r="C3266" s="10" t="s">
        <v>4</v>
      </c>
      <c r="D3266" s="5" t="s">
        <v>2935</v>
      </c>
      <c r="E3266" s="1" t="str">
        <f ca="1">IFERROR(__xludf.DUMMYFUNCTION("GOOGLETRANSLATE(D3266, ""bn"", ""en"")"),"They all have Muslim names. Maybe if he got freedom and security he would erase this identity.")</f>
        <v>They all have Muslim names. Maybe if he got freedom and security he would erase this identity.</v>
      </c>
      <c r="F3266" s="1"/>
      <c r="G3266" s="1"/>
      <c r="H3266" s="1"/>
      <c r="I3266" s="1"/>
    </row>
    <row r="3267" spans="1:9" ht="15.6" x14ac:dyDescent="0.3">
      <c r="A3267" s="1" t="s">
        <v>5</v>
      </c>
      <c r="B3267" s="1" t="s">
        <v>5</v>
      </c>
      <c r="C3267" s="10" t="s">
        <v>5</v>
      </c>
      <c r="D3267" s="5" t="s">
        <v>2936</v>
      </c>
      <c r="E3267" s="1" t="str">
        <f ca="1">IFERROR(__xludf.DUMMYFUNCTION("GOOGLETRANSLATE(D3267, ""bn"", ""en"")"),"Religion is acquired by birth, but to become a human being, one has to know and understand many things.")</f>
        <v>Religion is acquired by birth, but to become a human being, one has to know and understand many things.</v>
      </c>
      <c r="F3267" s="1"/>
      <c r="G3267" s="1"/>
      <c r="H3267" s="1"/>
      <c r="I3267" s="1"/>
    </row>
    <row r="3268" spans="1:9" ht="15.6" x14ac:dyDescent="0.3">
      <c r="A3268" s="1" t="s">
        <v>7</v>
      </c>
      <c r="B3268" s="1" t="s">
        <v>7</v>
      </c>
      <c r="C3268" s="10" t="s">
        <v>7</v>
      </c>
      <c r="D3268" s="5" t="s">
        <v>2937</v>
      </c>
      <c r="E3268" s="1" t="str">
        <f ca="1">IFERROR(__xludf.DUMMYFUNCTION("GOOGLETRANSLATE(D3268, ""bn"", ""en"")"),"Our society accepts illegal relationships and the end result of a valid and beautiful relationship is suicide. Shame on such a society")</f>
        <v>Our society accepts illegal relationships and the end result of a valid and beautiful relationship is suicide. Shame on such a society</v>
      </c>
      <c r="F3268" s="1"/>
      <c r="G3268" s="1"/>
      <c r="H3268" s="1"/>
      <c r="I3268" s="1"/>
    </row>
    <row r="3269" spans="1:9" ht="46.8" x14ac:dyDescent="0.3">
      <c r="A3269" s="1" t="s">
        <v>9</v>
      </c>
      <c r="B3269" s="1" t="s">
        <v>9</v>
      </c>
      <c r="C3269" s="10" t="s">
        <v>9</v>
      </c>
      <c r="D3269" s="6" t="s">
        <v>3696</v>
      </c>
      <c r="E3269" s="1" t="str">
        <f ca="1">IFERROR(__xludf.DUMMYFUNCTION("GOOGLETRANSLATE(D3269, ""bn"", ""en"")"),"Although a complaint has been lodged at Pirganj police station, the police have not taken any action yet. Rezaul Karim, the officer in charge of the police station, said yesterday that the matter is being monitored. Meanwhile, there is extreme tension in "&amp;"the area. Sudhijans fear that the matter could turn into a bloody communal riot at any time.")</f>
        <v>Although a complaint has been lodged at Pirganj police station, the police have not taken any action yet. Rezaul Karim, the officer in charge of the police station, said yesterday that the matter is being monitored. Meanwhile, there is extreme tension in the area. Sudhijans fear that the matter could turn into a bloody communal riot at any time.</v>
      </c>
      <c r="F3269" s="1"/>
      <c r="G3269" s="1"/>
      <c r="H3269" s="1"/>
      <c r="I3269" s="1"/>
    </row>
    <row r="3270" spans="1:9" ht="15.6" x14ac:dyDescent="0.3">
      <c r="A3270" s="1" t="s">
        <v>5</v>
      </c>
      <c r="B3270" s="1" t="s">
        <v>5</v>
      </c>
      <c r="C3270" s="10" t="s">
        <v>5</v>
      </c>
      <c r="D3270" s="5" t="s">
        <v>2938</v>
      </c>
      <c r="E3270" s="1" t="str">
        <f ca="1">IFERROR(__xludf.DUMMYFUNCTION("GOOGLETRANSLATE(D3270, ""bn"", ""en"")"),"'When they talk about religion, I question their honesty'")</f>
        <v>'When they talk about religion, I question their honesty'</v>
      </c>
      <c r="F3270" s="1"/>
      <c r="G3270" s="1"/>
      <c r="H3270" s="1"/>
      <c r="I3270" s="1"/>
    </row>
    <row r="3271" spans="1:9" ht="15.6" x14ac:dyDescent="0.3">
      <c r="A3271" s="1" t="s">
        <v>4</v>
      </c>
      <c r="B3271" s="1" t="s">
        <v>5</v>
      </c>
      <c r="C3271" s="10" t="s">
        <v>4</v>
      </c>
      <c r="D3271" s="5" t="s">
        <v>2939</v>
      </c>
      <c r="E3271" s="1" t="str">
        <f ca="1">IFERROR(__xludf.DUMMYFUNCTION("GOOGLETRANSLATE(D3271, ""bn"", ""en"")"),"We also do not support this decision of DU. We also participate in Iftar.")</f>
        <v>We also do not support this decision of DU. We also participate in Iftar.</v>
      </c>
      <c r="F3271" s="1"/>
      <c r="G3271" s="1"/>
      <c r="H3271" s="1"/>
      <c r="I3271" s="1"/>
    </row>
    <row r="3272" spans="1:9" ht="15.6" x14ac:dyDescent="0.3">
      <c r="A3272" s="1" t="s">
        <v>4</v>
      </c>
      <c r="B3272" s="1" t="s">
        <v>4</v>
      </c>
      <c r="C3272" s="10" t="s">
        <v>4</v>
      </c>
      <c r="D3272" s="5" t="s">
        <v>2940</v>
      </c>
      <c r="E3272" s="1" t="str">
        <f ca="1">IFERROR(__xludf.DUMMYFUNCTION("GOOGLETRANSLATE(D3272, ""bn"", ""en"")"),"I am speaking as a Muslim. Those who have insulted this Qur'an. May they be punished severely. May Allah protect the Qur'an from the hands of these oppressors.")</f>
        <v>I am speaking as a Muslim. Those who have insulted this Qur'an. May they be punished severely. May Allah protect the Qur'an from the hands of these oppressors.</v>
      </c>
      <c r="F3272" s="1"/>
      <c r="G3272" s="1"/>
      <c r="H3272" s="1"/>
      <c r="I3272" s="1"/>
    </row>
    <row r="3273" spans="1:9" ht="15.6" x14ac:dyDescent="0.3">
      <c r="A3273" s="1" t="s">
        <v>7</v>
      </c>
      <c r="B3273" s="1" t="s">
        <v>7</v>
      </c>
      <c r="C3273" s="10" t="s">
        <v>7</v>
      </c>
      <c r="D3273" s="5" t="s">
        <v>2941</v>
      </c>
      <c r="E3273" s="1" t="str">
        <f ca="1">IFERROR(__xludf.DUMMYFUNCTION("GOOGLETRANSLATE(D3273, ""bn"", ""en"")"),"After 26 days of legal complications in the morgue of Cox's Bazar Sadar Hospital in Bangladesh, the body of a teenage girl has finally been moved.")</f>
        <v>After 26 days of legal complications in the morgue of Cox's Bazar Sadar Hospital in Bangladesh, the body of a teenage girl has finally been moved.</v>
      </c>
      <c r="F3273" s="1"/>
      <c r="G3273" s="1"/>
      <c r="H3273" s="1"/>
      <c r="I3273" s="1"/>
    </row>
    <row r="3274" spans="1:9" ht="15.6" x14ac:dyDescent="0.3">
      <c r="A3274" s="1" t="s">
        <v>9</v>
      </c>
      <c r="B3274" s="1" t="s">
        <v>4</v>
      </c>
      <c r="C3274" s="10" t="s">
        <v>9</v>
      </c>
      <c r="D3274" s="5" t="s">
        <v>2942</v>
      </c>
      <c r="E3274" s="1" t="str">
        <f ca="1">IFERROR(__xludf.DUMMYFUNCTION("GOOGLETRANSLATE(D3274, ""bn"", ""en"")"),"The group also raised anti-Islamic slogans besides burning Qurans in Copenhagen. In the presence of the Danish police, the group committed atrocities such as burning Qurans. Later they shared the entire incident of Quran burning on social media. ")</f>
        <v>The group also raised anti-Islamic slogans besides burning Qurans in Copenhagen. In the presence of the Danish police, the group committed atrocities such as burning Qurans. Later they shared the entire incident of Quran burning on social media. </v>
      </c>
      <c r="F3274" s="1"/>
      <c r="G3274" s="1"/>
      <c r="H3274" s="1"/>
      <c r="I3274" s="1"/>
    </row>
    <row r="3275" spans="1:9" ht="15.6" x14ac:dyDescent="0.3">
      <c r="A3275" s="1" t="s">
        <v>9</v>
      </c>
      <c r="B3275" s="1" t="s">
        <v>9</v>
      </c>
      <c r="C3275" s="10" t="s">
        <v>9</v>
      </c>
      <c r="D3275" s="5" t="s">
        <v>2943</v>
      </c>
      <c r="E3275" s="1" t="str">
        <f ca="1">IFERROR(__xludf.DUMMYFUNCTION("GOOGLETRANSLATE(D3275, ""bn"", ""en"")"),"Local Hindus were in a state of fear after the incident. [37] On the night of March 12, miscreants entered a Hari temple in Pakuria village under Singra upazila of Natore district and destroyed the idol. [38] On March 19, miscreants desecrated idols in fo"&amp;"ur Hindu temples in Gabtali upazila of Bogra district.")</f>
        <v>Local Hindus were in a state of fear after the incident. [37] On the night of March 12, miscreants entered a Hari temple in Pakuria village under Singra upazila of Natore district and destroyed the idol. [38] On March 19, miscreants desecrated idols in four Hindu temples in Gabtali upazila of Bogra district.</v>
      </c>
      <c r="F3275" s="1"/>
      <c r="G3275" s="1"/>
      <c r="H3275" s="1"/>
      <c r="I3275" s="1"/>
    </row>
    <row r="3276" spans="1:9" ht="15.6" x14ac:dyDescent="0.3">
      <c r="A3276" s="1" t="s">
        <v>4</v>
      </c>
      <c r="B3276" s="1" t="s">
        <v>4</v>
      </c>
      <c r="C3276" s="10" t="s">
        <v>4</v>
      </c>
      <c r="D3276" s="5" t="s">
        <v>2944</v>
      </c>
      <c r="E3276" s="1" t="str">
        <f ca="1">IFERROR(__xludf.DUMMYFUNCTION("GOOGLETRANSLATE(D3276, ""bn"", ""en"")"),"The house of Titu Roy, against whom the charge of religious insult is being made, is in Thakurtadi village of Gangachra, but he does not live there. Lives in Narayanganj.")</f>
        <v>The house of Titu Roy, against whom the charge of religious insult is being made, is in Thakurtadi village of Gangachra, but he does not live there. Lives in Narayanganj.</v>
      </c>
      <c r="F3276" s="1"/>
      <c r="G3276" s="1"/>
      <c r="H3276" s="1"/>
      <c r="I3276" s="1"/>
    </row>
    <row r="3277" spans="1:9" ht="15.6" x14ac:dyDescent="0.3">
      <c r="A3277" s="1" t="s">
        <v>7</v>
      </c>
      <c r="B3277" s="1" t="s">
        <v>7</v>
      </c>
      <c r="C3277" s="10" t="s">
        <v>7</v>
      </c>
      <c r="D3277" s="5" t="s">
        <v>2945</v>
      </c>
      <c r="E3277" s="1" t="str">
        <f ca="1">IFERROR(__xludf.DUMMYFUNCTION("GOOGLETRANSLATE(D3277, ""bn"", ""en"")"),"According to an eyewitness named Pierre Delaney, at least 2,000 Hindus were brutally killed by Muslims that day. [35] On the same day, Hindu passengers were caught and killed at Sarachar railway station between Bhairabazar and Kishoreganj.")</f>
        <v>According to an eyewitness named Pierre Delaney, at least 2,000 Hindus were brutally killed by Muslims that day. [35] On the same day, Hindu passengers were caught and killed at Sarachar railway station between Bhairabazar and Kishoreganj.</v>
      </c>
      <c r="F3277" s="1"/>
      <c r="G3277" s="1"/>
      <c r="H3277" s="1"/>
      <c r="I3277" s="1"/>
    </row>
    <row r="3278" spans="1:9" ht="15.6" x14ac:dyDescent="0.3">
      <c r="A3278" s="1" t="s">
        <v>4</v>
      </c>
      <c r="B3278" s="1" t="s">
        <v>4</v>
      </c>
      <c r="C3278" s="10" t="s">
        <v>4</v>
      </c>
      <c r="D3278" s="5" t="s">
        <v>2946</v>
      </c>
      <c r="E3278" s="1" t="str">
        <f ca="1">IFERROR(__xludf.DUMMYFUNCTION("GOOGLETRANSLATE(D3278, ""bn"", ""en"")"),"I strongly condemn this dirty inhumanity and demand the immediate arrest of those involved in the heinous incident and exemplary punishment.")</f>
        <v>I strongly condemn this dirty inhumanity and demand the immediate arrest of those involved in the heinous incident and exemplary punishment.</v>
      </c>
      <c r="F3278" s="1"/>
      <c r="G3278" s="1"/>
      <c r="H3278" s="1"/>
      <c r="I3278" s="1"/>
    </row>
    <row r="3279" spans="1:9" ht="15.6" x14ac:dyDescent="0.3">
      <c r="A3279" s="1" t="s">
        <v>7</v>
      </c>
      <c r="B3279" s="1" t="s">
        <v>7</v>
      </c>
      <c r="C3279" s="10" t="s">
        <v>7</v>
      </c>
      <c r="D3279" s="5" t="s">
        <v>2947</v>
      </c>
      <c r="E3279" s="1" t="str">
        <f ca="1">IFERROR(__xludf.DUMMYFUNCTION("GOOGLETRANSLATE(D3279, ""bn"", ""en"")"),"Shobharani Basu and her two daughters of the same village were killed by demonic torture. [16] Muslims killed, raped, looted and set fire to the village of Narsingdi (then part of Narayanganj). They burnt at least 350 Hindu houses.")</f>
        <v>Shobharani Basu and her two daughters of the same village were killed by demonic torture. [16] Muslims killed, raped, looted and set fire to the village of Narsingdi (then part of Narayanganj). They burnt at least 350 Hindu houses.</v>
      </c>
      <c r="F3279" s="1"/>
      <c r="G3279" s="1"/>
      <c r="H3279" s="1"/>
      <c r="I3279" s="1"/>
    </row>
    <row r="3280" spans="1:9" ht="15.6" x14ac:dyDescent="0.3">
      <c r="A3280" s="1" t="s">
        <v>7</v>
      </c>
      <c r="B3280" s="1" t="s">
        <v>7</v>
      </c>
      <c r="C3280" s="10" t="s">
        <v>7</v>
      </c>
      <c r="D3280" s="5" t="s">
        <v>2948</v>
      </c>
      <c r="E3280" s="1" t="str">
        <f ca="1">IFERROR(__xludf.DUMMYFUNCTION("GOOGLETRANSLATE(D3280, ""bn"", ""en"")"),"Three days after the destruction of the Ramana temple, he came there and found burnt human skeletons as well as about 14 decomposing bodies. The bodies were bloated and stinking. 10 more bodies were found inside the destroyed temple and ashram.")</f>
        <v>Three days after the destruction of the Ramana temple, he came there and found burnt human skeletons as well as about 14 decomposing bodies. The bodies were bloated and stinking. 10 more bodies were found inside the destroyed temple and ashram.</v>
      </c>
      <c r="F3280" s="1"/>
      <c r="G3280" s="1"/>
      <c r="H3280" s="1"/>
      <c r="I3280" s="1"/>
    </row>
    <row r="3281" spans="1:9" ht="15.6" x14ac:dyDescent="0.3">
      <c r="A3281" s="1" t="s">
        <v>9</v>
      </c>
      <c r="B3281" s="1" t="s">
        <v>9</v>
      </c>
      <c r="C3281" s="10" t="s">
        <v>9</v>
      </c>
      <c r="D3281" s="5" t="s">
        <v>2949</v>
      </c>
      <c r="E3281" s="1" t="str">
        <f ca="1">IFERROR(__xludf.DUMMYFUNCTION("GOOGLETRANSLATE(D3281, ""bn"", ""en"")"),"At least 7 temples[9] and idols in prayer halls were vandalized.[10] According to a victim, after Jhumon's arrest, the police assured the villagers that nothing untoward would happen. But the next day this vandalism was organized in front of the chairman.")</f>
        <v>At least 7 temples[9] and idols in prayer halls were vandalized.[10] According to a victim, after Jhumon's arrest, the police assured the villagers that nothing untoward would happen. But the next day this vandalism was organized in front of the chairman.</v>
      </c>
      <c r="F3281" s="1"/>
      <c r="G3281" s="1"/>
      <c r="H3281" s="1"/>
      <c r="I3281" s="1"/>
    </row>
    <row r="3282" spans="1:9" ht="15.6" x14ac:dyDescent="0.3">
      <c r="A3282" s="1" t="s">
        <v>7</v>
      </c>
      <c r="B3282" s="1" t="s">
        <v>7</v>
      </c>
      <c r="C3282" s="10" t="s">
        <v>7</v>
      </c>
      <c r="D3282" s="5" t="s">
        <v>2950</v>
      </c>
      <c r="E3282" s="1" t="str">
        <f ca="1">IFERROR(__xludf.DUMMYFUNCTION("GOOGLETRANSLATE(D3282, ""bn"", ""en"")"),"Badr was the first large-scale battle between the two armies. In battle, the well-organized Muslims were able to break the ranks of the Meccan soldiers. Abu Jahl, the main opponent of the Muslims, was killed in the battle. ")</f>
        <v>Badr was the first large-scale battle between the two armies. In battle, the well-organized Muslims were able to break the ranks of the Meccan soldiers. Abu Jahl, the main opponent of the Muslims, was killed in the battle. </v>
      </c>
      <c r="F3282" s="1"/>
      <c r="G3282" s="1"/>
      <c r="H3282" s="1"/>
      <c r="I3282" s="1"/>
    </row>
    <row r="3283" spans="1:9" ht="15.6" x14ac:dyDescent="0.3">
      <c r="A3283" s="1" t="s">
        <v>4</v>
      </c>
      <c r="B3283" s="1" t="s">
        <v>4</v>
      </c>
      <c r="C3283" s="10" t="s">
        <v>4</v>
      </c>
      <c r="D3283" s="5" t="s">
        <v>2951</v>
      </c>
      <c r="E3283" s="1" t="str">
        <f ca="1">IFERROR(__xludf.DUMMYFUNCTION("GOOGLETRANSLATE(D3283, ""bn"", ""en"")"),"He insults the religion of Muslims again and again, but I don't see his proper trial and punishment,,,so insulting the religion is increasing day by day. ")</f>
        <v xml:space="preserve">He insults the religion of Muslims again and again, but I don't see his proper trial and punishment,,,so insulting the religion is increasing day by day. </v>
      </c>
      <c r="F3283" s="1"/>
      <c r="G3283" s="1"/>
      <c r="H3283" s="1"/>
      <c r="I3283" s="1"/>
    </row>
    <row r="3284" spans="1:9" ht="62.4" x14ac:dyDescent="0.3">
      <c r="A3284" s="1" t="s">
        <v>9</v>
      </c>
      <c r="B3284" s="1" t="s">
        <v>4</v>
      </c>
      <c r="C3284" s="10" t="s">
        <v>9</v>
      </c>
      <c r="D3284" s="6" t="s">
        <v>3695</v>
      </c>
      <c r="E3284" s="1" t="str">
        <f ca="1">IFERROR(__xludf.DUMMYFUNCTION("GOOGLETRANSLATE(D3284, ""bn"", ""en"")"),"Golam Sarwar's own forces not only set fire to the home of the Nag family in Nandigram, but also burnt down the post office and school building established by Ramnikant Nag. The nearby Hindu families took shelter in the home of the Nag family and initiall"&amp;"y the police force also provided them with security. When Golam Sarwar's forces attacked the home of the Nag family, the police chased them away. Later, the invading Muslim mob organized and went on a rampage of indiscriminate looting throughout the villa"&amp;"ge. ")</f>
        <v>Golam Sarwar's own forces not only set fire to the home of the Nag family in Nandigram, but also burnt down the post office and school building established by Ramnikant Nag. The nearby Hindu families took shelter in the home of the Nag family and initially the police force also provided them with security. When Golam Sarwar's forces attacked the home of the Nag family, the police chased them away. Later, the invading Muslim mob organized and went on a rampage of indiscriminate looting throughout the village. </v>
      </c>
      <c r="F3284" s="1"/>
      <c r="G3284" s="1"/>
      <c r="H3284" s="1"/>
      <c r="I3284" s="1"/>
    </row>
    <row r="3285" spans="1:9" ht="46.8" x14ac:dyDescent="0.3">
      <c r="A3285" s="1" t="s">
        <v>7</v>
      </c>
      <c r="B3285" s="1" t="s">
        <v>5</v>
      </c>
      <c r="C3285" s="10" t="s">
        <v>7</v>
      </c>
      <c r="D3285" s="6" t="s">
        <v>3694</v>
      </c>
      <c r="E3285" s="1" t="str">
        <f ca="1">IFERROR(__xludf.DUMMYFUNCTION("GOOGLETRANSLATE(D3285, ""bn"", ""en"")"),"Abu Jahl (Amr ibn Hisham), Utbah ibn Rabi'ah, Umayya ibn Khalaf, Shayba ibn Rabi' Walid ibn Utbah, 'Uqba ibn Abi Mu'it were killed in the battle.[1] The Muslim victory sent a message to others that Muslims had emerged as a new power in Arabia and thereby "&amp;"cemented Muhammad's position as leader. is")</f>
        <v>Abu Jahl (Amr ibn Hisham), Utbah ibn Rabi'ah, Umayya ibn Khalaf, Shayba ibn Rabi' Walid ibn Utbah, 'Uqba ibn Abi Mu'it were killed in the battle.[1] The Muslim victory sent a message to others that Muslims had emerged as a new power in Arabia and thereby cemented Muhammad's position as leader. is</v>
      </c>
      <c r="F3285" s="1"/>
      <c r="G3285" s="1"/>
      <c r="H3285" s="1"/>
      <c r="I3285" s="1"/>
    </row>
    <row r="3286" spans="1:9" ht="62.4" x14ac:dyDescent="0.3">
      <c r="A3286" s="1" t="s">
        <v>7</v>
      </c>
      <c r="B3286" s="1" t="s">
        <v>7</v>
      </c>
      <c r="C3286" s="10" t="s">
        <v>7</v>
      </c>
      <c r="D3286" s="6" t="s">
        <v>3693</v>
      </c>
      <c r="E3286" s="1" t="str">
        <f ca="1">IFERROR(__xludf.DUMMYFUNCTION("GOOGLETRANSLATE(D3286, ""bn"", ""en"")"),"According to eyewitness Gobind Chandra Das, ""Pakistani soldiers entered the compartment of the stopped train and shouted in Urdu, 'Come down one by one.' We have come to kill you. But Pakistan's expensive bullets will not be spent. Everyone will be sacri"&amp;"ficed in this place.' Immediately the reckless killing began. Throat cut with a sharp blade. Children, old people and women were not spared in that massacre. According to various sources, 448 people were killed one by one with ramadas in that train massac"&amp;"re.")</f>
        <v>According to eyewitness Gobind Chandra Das, "Pakistani soldiers entered the compartment of the stopped train and shouted in Urdu, 'Come down one by one.' We have come to kill you. But Pakistan's expensive bullets will not be spent. Everyone will be sacrificed in this place.' Immediately the reckless killing began. Throat cut with a sharp blade. Children, old people and women were not spared in that massacre. According to various sources, 448 people were killed one by one with ramadas in that train massacre.</v>
      </c>
      <c r="F3286" s="1"/>
      <c r="G3286" s="1"/>
      <c r="H3286" s="1"/>
      <c r="I3286" s="1"/>
    </row>
    <row r="3287" spans="1:9" ht="15.6" x14ac:dyDescent="0.3">
      <c r="A3287" s="1" t="s">
        <v>5</v>
      </c>
      <c r="B3287" s="1" t="s">
        <v>5</v>
      </c>
      <c r="C3287" s="10" t="s">
        <v>5</v>
      </c>
      <c r="D3287" s="5" t="s">
        <v>2952</v>
      </c>
      <c r="E3287" s="1" t="str">
        <f ca="1">IFERROR(__xludf.DUMMYFUNCTION("GOOGLETRANSLATE(D3287, ""bn"", ""en"")"),"Aggrieved Shyamal Kanti devotees want an end to such excesses and politics on religion.")</f>
        <v>Aggrieved Shyamal Kanti devotees want an end to such excesses and politics on religion.</v>
      </c>
      <c r="F3287" s="1"/>
      <c r="G3287" s="1"/>
      <c r="H3287" s="1"/>
      <c r="I3287" s="1"/>
    </row>
    <row r="3288" spans="1:9" ht="15.6" x14ac:dyDescent="0.3">
      <c r="A3288" s="1" t="s">
        <v>7</v>
      </c>
      <c r="B3288" s="1" t="s">
        <v>7</v>
      </c>
      <c r="C3288" s="10" t="s">
        <v>7</v>
      </c>
      <c r="D3288" s="5" t="s">
        <v>2953</v>
      </c>
      <c r="E3288" s="1" t="str">
        <f ca="1">IFERROR(__xludf.DUMMYFUNCTION("GOOGLETRANSLATE(D3288, ""bn"", ""en"")"),"We used to wear burqas when we slept at night, because sometimes there were bombings at night, so that no one would see us naked if we died at night.")</f>
        <v>We used to wear burqas when we slept at night, because sometimes there were bombings at night, so that no one would see us naked if we died at night.</v>
      </c>
      <c r="F3288" s="1"/>
      <c r="G3288" s="1"/>
      <c r="H3288" s="1"/>
      <c r="I3288" s="1"/>
    </row>
    <row r="3289" spans="1:9" ht="15.6" x14ac:dyDescent="0.3">
      <c r="A3289" s="1" t="s">
        <v>7</v>
      </c>
      <c r="B3289" s="1" t="s">
        <v>5</v>
      </c>
      <c r="C3289" s="10" t="s">
        <v>7</v>
      </c>
      <c r="D3289" s="5" t="s">
        <v>2954</v>
      </c>
      <c r="E3289" s="1" t="str">
        <f ca="1">IFERROR(__xludf.DUMMYFUNCTION("GOOGLETRANSLATE(D3289, ""bn"", ""en"")"),"Even though accidental death is painful, there is good news from the Prophet sallallaahu alayhi wasallam about such death. He declared such a death as a martyr's death. Martyrdom is the most dignified death in Islam.")</f>
        <v>Even though accidental death is painful, there is good news from the Prophet sallallaahu alayhi wasallam about such death. He declared such a death as a martyr's death. Martyrdom is the most dignified death in Islam.</v>
      </c>
      <c r="F3289" s="1"/>
      <c r="G3289" s="1"/>
      <c r="H3289" s="1"/>
      <c r="I3289" s="1"/>
    </row>
    <row r="3290" spans="1:9" ht="15.6" x14ac:dyDescent="0.3">
      <c r="A3290" s="1" t="s">
        <v>4</v>
      </c>
      <c r="B3290" s="1" t="s">
        <v>5</v>
      </c>
      <c r="C3290" s="10" t="s">
        <v>4</v>
      </c>
      <c r="D3290" s="5" t="s">
        <v>1688</v>
      </c>
      <c r="E3290" s="1" t="str">
        <f ca="1">IFERROR(__xludf.DUMMYFUNCTION("GOOGLETRANSLATE(D3290, ""bn"", ""en"")"),"If anyone insults any religion, not only Islam, he should be brought under punishment. Let everyone respect everyone's religion.")</f>
        <v>If anyone insults any religion, not only Islam, he should be brought under punishment. Let everyone respect everyone's religion.</v>
      </c>
      <c r="F3290" s="1"/>
      <c r="G3290" s="1"/>
      <c r="H3290" s="1"/>
      <c r="I3290" s="1"/>
    </row>
    <row r="3291" spans="1:9" ht="15.6" x14ac:dyDescent="0.3">
      <c r="A3291" s="1" t="s">
        <v>4</v>
      </c>
      <c r="B3291" s="1" t="s">
        <v>4</v>
      </c>
      <c r="C3291" s="10" t="s">
        <v>4</v>
      </c>
      <c r="D3291" s="5" t="s">
        <v>2955</v>
      </c>
      <c r="E3291" s="1" t="str">
        <f ca="1">IFERROR(__xludf.DUMMYFUNCTION("GOOGLETRANSLATE(D3291, ""bn"", ""en"")")," Some of the Hindus in the Hindu community are telling the brokers of India; let them live in Bangladesh without brokering! Consider Bangladesh as your own country!!")</f>
        <v> Some of the Hindus in the Hindu community are telling the brokers of India; let them live in Bangladesh without brokering! Consider Bangladesh as your own country!!</v>
      </c>
      <c r="F3291" s="1"/>
      <c r="G3291" s="1"/>
      <c r="H3291" s="1"/>
      <c r="I3291" s="1"/>
    </row>
    <row r="3292" spans="1:9" ht="15.6" x14ac:dyDescent="0.3">
      <c r="A3292" s="1" t="s">
        <v>4</v>
      </c>
      <c r="B3292" s="1" t="s">
        <v>4</v>
      </c>
      <c r="C3292" s="10" t="s">
        <v>4</v>
      </c>
      <c r="D3292" s="5" t="s">
        <v>2956</v>
      </c>
      <c r="E3292" s="1" t="str">
        <f ca="1">IFERROR(__xludf.DUMMYFUNCTION("GOOGLETRANSLATE(D3292, ""bn"", ""en"")"),"Even back in Madinah, the Companions began to recite bad poems about the wives of the Prophet (PBUH) and tormented them with taunts.")</f>
        <v>Even back in Madinah, the Companions began to recite bad poems about the wives of the Prophet (PBUH) and tormented them with taunts.</v>
      </c>
      <c r="F3292" s="1"/>
      <c r="G3292" s="1"/>
      <c r="H3292" s="1"/>
      <c r="I3292" s="1"/>
    </row>
    <row r="3293" spans="1:9" ht="62.4" x14ac:dyDescent="0.3">
      <c r="A3293" s="1" t="s">
        <v>7</v>
      </c>
      <c r="B3293" s="1" t="s">
        <v>7</v>
      </c>
      <c r="C3293" s="10" t="s">
        <v>7</v>
      </c>
      <c r="D3293" s="6" t="s">
        <v>3692</v>
      </c>
      <c r="E3293" s="1" t="str">
        <f ca="1">IFERROR(__xludf.DUMMYFUNCTION("GOOGLETRANSLATE(D3293, ""bn"", ""en"")"),"Yogendra Ghosh was brutally murdered and many Hindus were mutilated. All the Hindu Brahmin houses including Pal, Chowdhury in the area called Sijerkach were looted and all were converted. A noble Hindu scholar named Bimal Smrititirtha refused to convert t"&amp;"o Islam. His sanctity was torn off, he was trampled and trampled on. Brahmins were beheaded and temples and idols were destroyed.")</f>
        <v>Yogendra Ghosh was brutally murdered and many Hindus were mutilated. All the Hindu Brahmin houses including Pal, Chowdhury in the area called Sijerkach were looted and all were converted. A noble Hindu scholar named Bimal Smrititirtha refused to convert to Islam. His sanctity was torn off, he was trampled and trampled on. Brahmins were beheaded and temples and idols were destroyed.</v>
      </c>
      <c r="F3293" s="1"/>
      <c r="G3293" s="1"/>
      <c r="H3293" s="1"/>
      <c r="I3293" s="1"/>
    </row>
    <row r="3294" spans="1:9" ht="15.6" x14ac:dyDescent="0.3">
      <c r="A3294" s="1" t="s">
        <v>4</v>
      </c>
      <c r="B3294" s="1" t="s">
        <v>4</v>
      </c>
      <c r="C3294" s="10" t="s">
        <v>4</v>
      </c>
      <c r="D3294" s="5" t="s">
        <v>2957</v>
      </c>
      <c r="E3294" s="1" t="str">
        <f ca="1">IFERROR(__xludf.DUMMYFUNCTION("GOOGLETRANSLATE(D3294, ""bn"", ""en"")"),"We strongly condemn this incident. Hurting religious sentiments is not the work of any human being, they are the worst creatures in creation. The government of that country should take strict action against them. And no, there is a heavy price to pay for "&amp;"it.")</f>
        <v>We strongly condemn this incident. Hurting religious sentiments is not the work of any human being, they are the worst creatures in creation. The government of that country should take strict action against them. And no, there is a heavy price to pay for it.</v>
      </c>
      <c r="F3294" s="1"/>
      <c r="G3294" s="1"/>
      <c r="H3294" s="1"/>
      <c r="I3294" s="1"/>
    </row>
    <row r="3295" spans="1:9" ht="15.6" x14ac:dyDescent="0.3">
      <c r="A3295" s="1" t="s">
        <v>9</v>
      </c>
      <c r="B3295" s="1" t="s">
        <v>9</v>
      </c>
      <c r="C3295" s="10" t="s">
        <v>9</v>
      </c>
      <c r="D3295" s="5" t="s">
        <v>2958</v>
      </c>
      <c r="E3295" s="1" t="str">
        <f ca="1">IFERROR(__xludf.DUMMYFUNCTION("GOOGLETRANSLATE(D3295, ""bn"", ""en"")"),"In the 2016 Nasirnagar communal violence, the minority Hindu community was attacked by Islamic extremists in Nasirnagar upazila on 30 October.")</f>
        <v>In the 2016 Nasirnagar communal violence, the minority Hindu community was attacked by Islamic extremists in Nasirnagar upazila on 30 October.</v>
      </c>
      <c r="F3295" s="1"/>
      <c r="G3295" s="1"/>
      <c r="H3295" s="1"/>
      <c r="I3295" s="1"/>
    </row>
    <row r="3296" spans="1:9" ht="15.6" x14ac:dyDescent="0.3">
      <c r="A3296" s="1" t="s">
        <v>4</v>
      </c>
      <c r="B3296" s="1" t="s">
        <v>4</v>
      </c>
      <c r="C3296" s="10" t="s">
        <v>4</v>
      </c>
      <c r="D3296" s="5" t="s">
        <v>2959</v>
      </c>
      <c r="E3296" s="1" t="str">
        <f ca="1">IFERROR(__xludf.DUMMYFUNCTION("GOOGLETRANSLATE(D3296, ""bn"", ""en"")"),"If all the countries condemn it, Bangladesh cannot condemn it, because our country is a Hindu state. The Prime Minister is a Hindu, the Prime Minister's alienation is with India and Hindu Rashtra, then tell me how we can condemn it? Madi ji will be angry "&amp;"with the lover.")</f>
        <v>If all the countries condemn it, Bangladesh cannot condemn it, because our country is a Hindu state. The Prime Minister is a Hindu, the Prime Minister's alienation is with India and Hindu Rashtra, then tell me how we can condemn it? Madi ji will be angry with the lover.</v>
      </c>
      <c r="F3296" s="1"/>
      <c r="G3296" s="1"/>
      <c r="H3296" s="1"/>
      <c r="I3296" s="1"/>
    </row>
    <row r="3297" spans="1:9" ht="15.6" x14ac:dyDescent="0.3">
      <c r="A3297" s="1" t="s">
        <v>9</v>
      </c>
      <c r="B3297" s="1" t="s">
        <v>4</v>
      </c>
      <c r="C3297" s="10" t="s">
        <v>9</v>
      </c>
      <c r="D3297" s="5" t="s">
        <v>2960</v>
      </c>
      <c r="E3297" s="1" t="str">
        <f ca="1">IFERROR(__xludf.DUMMYFUNCTION("GOOGLETRANSLATE(D3297, ""bn"", ""en"")")," How good are the Taliban, they have forgiven everyone...... And is the oppression of Kashmir acceptable.... Not here..... Kashmiri Hindu Pandits who would have lived in Kashmir? Why did he run away?")</f>
        <v> How good are the Taliban, they have forgiven everyone...... And is the oppression of Kashmir acceptable.... Not here..... Kashmiri Hindu Pandits who would have lived in Kashmir? Why did he run away?</v>
      </c>
      <c r="F3297" s="1"/>
      <c r="G3297" s="1"/>
      <c r="H3297" s="1"/>
      <c r="I3297" s="1"/>
    </row>
    <row r="3298" spans="1:9" ht="15.6" x14ac:dyDescent="0.3">
      <c r="A3298" s="1" t="s">
        <v>7</v>
      </c>
      <c r="B3298" s="1" t="s">
        <v>7</v>
      </c>
      <c r="C3298" s="10" t="s">
        <v>7</v>
      </c>
      <c r="D3298" s="5" t="s">
        <v>2961</v>
      </c>
      <c r="E3298" s="1" t="str">
        <f ca="1">IFERROR(__xludf.DUMMYFUNCTION("GOOGLETRANSLATE(D3298, ""bn"", ""en"")"),"All the Hindu villagers of Mynam village near Naogaon in the then Rajshahi district were brutally killed; only two minor girls were spared.[20] The Santal tribal community of Durusha was also subjected to this brutal anti-Hindu massacre.")</f>
        <v>All the Hindu villagers of Mynam village near Naogaon in the then Rajshahi district were brutally killed; only two minor girls were spared.[20] The Santal tribal community of Durusha was also subjected to this brutal anti-Hindu massacre.</v>
      </c>
      <c r="F3298" s="1"/>
      <c r="G3298" s="1"/>
      <c r="H3298" s="1"/>
      <c r="I3298" s="1"/>
    </row>
    <row r="3299" spans="1:9" ht="62.4" x14ac:dyDescent="0.3">
      <c r="A3299" s="1" t="s">
        <v>9</v>
      </c>
      <c r="B3299" s="1" t="s">
        <v>9</v>
      </c>
      <c r="C3299" s="10" t="s">
        <v>9</v>
      </c>
      <c r="D3299" s="6" t="s">
        <v>3691</v>
      </c>
      <c r="E3299" s="1" t="str">
        <f ca="1">IFERROR(__xludf.DUMMYFUNCTION("GOOGLETRANSLATE(D3299, ""bn"", ""en"")"),"Muslim forces invaded the northwestern part of the Indian subcontinent many times. [77] Many places were destroyed and renamed. For example, the monasteries of Odantapuri were destroyed by Muhammad bin Bakhtiar Khilji in 1197 and the city was renamed. [78"&amp;"] Similarly, Vikramsheela was destroyed by the forces of Muhammad bin Bakhtiyar Khilji around 1200. [79] The sacred Mahabodhi temple was almost completely destroyed by the Muslim invaders.")</f>
        <v>Muslim forces invaded the northwestern part of the Indian subcontinent many times. [77] Many places were destroyed and renamed. For example, the monasteries of Odantapuri were destroyed by Muhammad bin Bakhtiar Khilji in 1197 and the city was renamed. [78] Similarly, Vikramsheela was destroyed by the forces of Muhammad bin Bakhtiyar Khilji around 1200. [79] The sacred Mahabodhi temple was almost completely destroyed by the Muslim invaders.</v>
      </c>
      <c r="F3299" s="1"/>
      <c r="G3299" s="1"/>
      <c r="H3299" s="1"/>
      <c r="I3299" s="1"/>
    </row>
    <row r="3300" spans="1:9" ht="15.6" x14ac:dyDescent="0.3">
      <c r="A3300" s="1" t="s">
        <v>4</v>
      </c>
      <c r="B3300" s="1" t="s">
        <v>5</v>
      </c>
      <c r="C3300" s="10" t="s">
        <v>4</v>
      </c>
      <c r="D3300" s="5" t="s">
        <v>2962</v>
      </c>
      <c r="E3300" s="1" t="str">
        <f ca="1">IFERROR(__xludf.DUMMYFUNCTION("GOOGLETRANSLATE(D3300, ""bn"", ""en"")"),"Eventually, a section of Buddhists, forced to save their lives, converted to Hinduism and were placed at the bottom of the caste system. Another section of Buddhists took refuge with the Muslim ruler of Delhi, Qutbuddin Aibek, and requested him to send a "&amp;"Muslim army to Bengal to protect the Buddhists.")</f>
        <v>Eventually, a section of Buddhists, forced to save their lives, converted to Hinduism and were placed at the bottom of the caste system. Another section of Buddhists took refuge with the Muslim ruler of Delhi, Qutbuddin Aibek, and requested him to send a Muslim army to Bengal to protect the Buddhists.</v>
      </c>
      <c r="F3300" s="1"/>
      <c r="G3300" s="1"/>
      <c r="H3300" s="1"/>
      <c r="I3300" s="1"/>
    </row>
    <row r="3301" spans="1:9" ht="15.6" x14ac:dyDescent="0.3">
      <c r="A3301" s="4" t="s">
        <v>7</v>
      </c>
      <c r="B3301" s="4" t="s">
        <v>7</v>
      </c>
      <c r="C3301" s="11" t="s">
        <v>7</v>
      </c>
      <c r="D3301" s="5" t="s">
        <v>2963</v>
      </c>
      <c r="E3301" s="1" t="str">
        <f ca="1">IFERROR(__xludf.DUMMYFUNCTION("GOOGLETRANSLATE(D3301, ""bn"", ""en"")"),"The massacre began on 10 October 1946 in the areas under Raiganj police station in North Noakhali district.[47] The massacre was termed as ""the organized fury of a Muslim mob"".")</f>
        <v>The massacre began on 10 October 1946 in the areas under Raiganj police station in North Noakhali district.[47] The massacre was termed as "the organized fury of a Muslim mob".</v>
      </c>
      <c r="F3301" s="1"/>
      <c r="G3301" s="1"/>
      <c r="H3301" s="1"/>
      <c r="I3301" s="1"/>
    </row>
    <row r="3302" spans="1:9" ht="15.6" x14ac:dyDescent="0.3">
      <c r="A3302" s="1" t="s">
        <v>5</v>
      </c>
      <c r="B3302" s="1" t="s">
        <v>5</v>
      </c>
      <c r="C3302" s="10" t="s">
        <v>5</v>
      </c>
      <c r="D3302" s="5" t="s">
        <v>2964</v>
      </c>
      <c r="E3302" s="1" t="str">
        <f ca="1">IFERROR(__xludf.DUMMYFUNCTION("GOOGLETRANSLATE(D3302, ""bn"", ""en"")"),"Our religion of peace, Islam, does not accept such tricks. There will be an expectation on the court to advise Hindu Muslims to unite and peacefully coexist by building mosques in such disputed areas.")</f>
        <v>Our religion of peace, Islam, does not accept such tricks. There will be an expectation on the court to advise Hindu Muslims to unite and peacefully coexist by building mosques in such disputed areas.</v>
      </c>
      <c r="F3302" s="1"/>
      <c r="G3302" s="1"/>
      <c r="H3302" s="1"/>
      <c r="I3302" s="1"/>
    </row>
    <row r="3303" spans="1:9" ht="46.8" x14ac:dyDescent="0.3">
      <c r="A3303" s="1" t="s">
        <v>9</v>
      </c>
      <c r="B3303" s="1" t="s">
        <v>9</v>
      </c>
      <c r="C3303" s="10" t="s">
        <v>9</v>
      </c>
      <c r="D3303" s="6" t="s">
        <v>3690</v>
      </c>
      <c r="E3303" s="1" t="str">
        <f ca="1">IFERROR(__xludf.DUMMYFUNCTION("GOOGLETRANSLATE(D3303, ""bn"", ""en"")"),", Shashanka fought an inconclusive battle with the Buddhist king Harshavardhana – in which Shashanka was able to retain his own territories. After Shashanka's death, there was a political crisis between Hindus and Buddhists in Bengal over the right to rul"&amp;"e for some time. Later, when the Pala kings ruled Bengal, they patronized both Mahayana Buddhism and Shaivite Hinduism.")</f>
        <v>, Shashanka fought an inconclusive battle with the Buddhist king Harshavardhana – in which Shashanka was able to retain his own territories. After Shashanka's death, there was a political crisis between Hindus and Buddhists in Bengal over the right to rule for some time. Later, when the Pala kings ruled Bengal, they patronized both Mahayana Buddhism and Shaivite Hinduism.</v>
      </c>
      <c r="F3303" s="1"/>
      <c r="G3303" s="1"/>
      <c r="H3303" s="1"/>
      <c r="I3303" s="1"/>
    </row>
    <row r="3304" spans="1:9" ht="15.6" x14ac:dyDescent="0.3">
      <c r="A3304" s="1" t="s">
        <v>7</v>
      </c>
      <c r="B3304" s="1" t="s">
        <v>5</v>
      </c>
      <c r="C3304" s="10" t="s">
        <v>7</v>
      </c>
      <c r="D3304" s="5" t="s">
        <v>2965</v>
      </c>
      <c r="E3304" s="1" t="str">
        <f ca="1">IFERROR(__xludf.DUMMYFUNCTION("GOOGLETRANSLATE(D3304, ""bn"", ""en"")"),"Seventy-two of them have not been identified, most of the dead were Bengali Hindus or Muslims and members of the Awami League or supporters of an independent Bangladesh. A memorial was erected in 1992 with a marble plaque bearing the names of the 72 kille"&amp;"d and the six who died elsewhere.")</f>
        <v>Seventy-two of them have not been identified, most of the dead were Bengali Hindus or Muslims and members of the Awami League or supporters of an independent Bangladesh. A memorial was erected in 1992 with a marble plaque bearing the names of the 72 killed and the six who died elsewhere.</v>
      </c>
      <c r="F3304" s="1"/>
      <c r="G3304" s="1"/>
      <c r="H3304" s="1"/>
      <c r="I3304" s="1"/>
    </row>
    <row r="3305" spans="1:9" ht="15.6" x14ac:dyDescent="0.3">
      <c r="A3305" s="1" t="s">
        <v>4</v>
      </c>
      <c r="B3305" s="1" t="s">
        <v>5</v>
      </c>
      <c r="C3305" s="10" t="s">
        <v>4</v>
      </c>
      <c r="D3305" s="5" t="s">
        <v>609</v>
      </c>
      <c r="E3305" s="1" t="str">
        <f ca="1">IFERROR(__xludf.DUMMYFUNCTION("GOOGLETRANSLATE(D3305, ""bn"", ""en"")"),"The Jinnah of the eyes is so terrible that even when a person goes to prostration, it appears in the eyes of Astaghfirullah")</f>
        <v>The Jinnah of the eyes is so terrible that even when a person goes to prostration, it appears in the eyes of Astaghfirullah</v>
      </c>
      <c r="F3305" s="1"/>
      <c r="G3305" s="1"/>
      <c r="H3305" s="1"/>
      <c r="I3305" s="1"/>
    </row>
    <row r="3306" spans="1:9" ht="15.6" x14ac:dyDescent="0.3">
      <c r="A3306" s="1" t="s">
        <v>4</v>
      </c>
      <c r="B3306" s="1" t="s">
        <v>4</v>
      </c>
      <c r="C3306" s="10" t="s">
        <v>4</v>
      </c>
      <c r="D3306" s="5" t="s">
        <v>2966</v>
      </c>
      <c r="E3306" s="1" t="str">
        <f ca="1">IFERROR(__xludf.DUMMYFUNCTION("GOOGLETRANSLATE(D3306, ""bn"", ""en"")"),"People of the religious species have little sense. One should think with a cold head, there is no place for disorder in religion. Huzur Yasarth has rightly said, those who have committed suicide are blasphemers, we are not willing to spoil the beauty of I"&amp;"slam by stepping into their trap. Everyone has the right to practice their own religion. It is better if you don't confuse the matter unnecessarily on Facebook")</f>
        <v>People of the religious species have little sense. One should think with a cold head, there is no place for disorder in religion. Huzur Yasarth has rightly said, those who have committed suicide are blasphemers, we are not willing to spoil the beauty of Islam by stepping into their trap. Everyone has the right to practice their own religion. It is better if you don't confuse the matter unnecessarily on Facebook</v>
      </c>
      <c r="F3306" s="1"/>
      <c r="G3306" s="1"/>
      <c r="H3306" s="1"/>
      <c r="I3306" s="1"/>
    </row>
    <row r="3307" spans="1:9" ht="15.6" x14ac:dyDescent="0.3">
      <c r="A3307" s="1" t="s">
        <v>4</v>
      </c>
      <c r="B3307" s="1" t="s">
        <v>4</v>
      </c>
      <c r="C3307" s="10" t="s">
        <v>4</v>
      </c>
      <c r="D3307" s="5" t="s">
        <v>2967</v>
      </c>
      <c r="E3307" s="1" t="str">
        <f ca="1">IFERROR(__xludf.DUMMYFUNCTION("GOOGLETRANSLATE(D3307, ""bn"", ""en"")"),"To me the seculars are like dogs..the job is to stick to Islam and keep quiet about Jewish fathers.")</f>
        <v>To me the seculars are like dogs..the job is to stick to Islam and keep quiet about Jewish fathers.</v>
      </c>
      <c r="F3307" s="1"/>
      <c r="G3307" s="1"/>
      <c r="H3307" s="1"/>
      <c r="I3307" s="1"/>
    </row>
    <row r="3308" spans="1:9" ht="46.8" x14ac:dyDescent="0.3">
      <c r="A3308" s="1" t="s">
        <v>4</v>
      </c>
      <c r="B3308" s="1" t="s">
        <v>4</v>
      </c>
      <c r="C3308" s="10" t="s">
        <v>4</v>
      </c>
      <c r="D3308" s="6" t="s">
        <v>3689</v>
      </c>
      <c r="E3308" s="1" t="str">
        <f ca="1">IFERROR(__xludf.DUMMYFUNCTION("GOOGLETRANSLATE(D3308, ""bn"", ""en"")"),"In fact, if Islam had not come, Buddhism would have been completely wiped out from India by the Hindus. Adherents of blind Buddhism should not swallow the poison pill of hatred peddled by fanatical nationalists like Wirathu and read the writings of dispas"&amp;"sionate commentators on the subject – if only to lessen the insensate stupidity and vile Muslim hatred. ")</f>
        <v>In fact, if Islam had not come, Buddhism would have been completely wiped out from India by the Hindus. Adherents of blind Buddhism should not swallow the poison pill of hatred peddled by fanatical nationalists like Wirathu and read the writings of dispassionate commentators on the subject – if only to lessen the insensate stupidity and vile Muslim hatred. </v>
      </c>
      <c r="F3308" s="1"/>
      <c r="G3308" s="1"/>
      <c r="H3308" s="1"/>
      <c r="I3308" s="1"/>
    </row>
    <row r="3309" spans="1:9" ht="15.6" x14ac:dyDescent="0.3">
      <c r="A3309" s="1" t="s">
        <v>9</v>
      </c>
      <c r="B3309" s="1" t="s">
        <v>9</v>
      </c>
      <c r="C3309" s="10" t="s">
        <v>9</v>
      </c>
      <c r="D3309" s="5" t="s">
        <v>2968</v>
      </c>
      <c r="E3309" s="1" t="str">
        <f ca="1">IFERROR(__xludf.DUMMYFUNCTION("GOOGLETRANSLATE(D3309, ""bn"", ""en"")"),"Two Buddha images that survived Harsha's destruction were destroyed during the reign of King Jaisingh (reigned 1128-1149). Also, the Buddhist monastery of Arigon near Srinagar was burnt down.")</f>
        <v>Two Buddha images that survived Harsha's destruction were destroyed during the reign of King Jaisingh (reigned 1128-1149). Also, the Buddhist monastery of Arigon near Srinagar was burnt down.</v>
      </c>
      <c r="F3309" s="1"/>
      <c r="G3309" s="1"/>
      <c r="H3309" s="1"/>
      <c r="I3309" s="1"/>
    </row>
    <row r="3310" spans="1:9" ht="15.6" x14ac:dyDescent="0.3">
      <c r="A3310" s="1" t="s">
        <v>9</v>
      </c>
      <c r="B3310" s="1" t="s">
        <v>5</v>
      </c>
      <c r="C3310" s="10" t="s">
        <v>9</v>
      </c>
      <c r="D3310" s="5" t="s">
        <v>2969</v>
      </c>
      <c r="E3310" s="1" t="str">
        <f ca="1">IFERROR(__xludf.DUMMYFUNCTION("GOOGLETRANSLATE(D3310, ""bn"", ""en"")"),"The mosque was located on the Ramkot (""Fort of Ram"") hill.[4] According to Hindu nationalists, a pre-existing temple of Rama was destroyed on the remaining site. The existence of this temple is a matter of debate.")</f>
        <v>The mosque was located on the Ramkot ("Fort of Ram") hill.[4] According to Hindu nationalists, a pre-existing temple of Rama was destroyed on the remaining site. The existence of this temple is a matter of debate.</v>
      </c>
      <c r="F3310" s="1"/>
      <c r="G3310" s="1"/>
      <c r="H3310" s="1"/>
      <c r="I3310" s="1"/>
    </row>
    <row r="3311" spans="1:9" ht="15.6" x14ac:dyDescent="0.3">
      <c r="A3311" s="1" t="s">
        <v>5</v>
      </c>
      <c r="B3311" s="1" t="s">
        <v>5</v>
      </c>
      <c r="C3311" s="10" t="s">
        <v>5</v>
      </c>
      <c r="D3311" s="5" t="s">
        <v>2970</v>
      </c>
      <c r="E3311" s="1" t="str">
        <f ca="1">IFERROR(__xludf.DUMMYFUNCTION("GOOGLETRANSLATE(D3311, ""bn"", ""en"")"),"If there is religion, there will be communalism. We all believe in communalism. I want to establish my faith above all, no matter what religion or faith I believe in. ")</f>
        <v>If there is religion, there will be communalism. We all believe in communalism. I want to establish my faith above all, no matter what religion or faith I believe in. </v>
      </c>
      <c r="F3311" s="1"/>
      <c r="G3311" s="1"/>
      <c r="H3311" s="1"/>
      <c r="I3311" s="1"/>
    </row>
    <row r="3312" spans="1:9" ht="15.6" x14ac:dyDescent="0.3">
      <c r="A3312" s="1" t="s">
        <v>7</v>
      </c>
      <c r="B3312" s="1" t="s">
        <v>7</v>
      </c>
      <c r="C3312" s="10" t="s">
        <v>7</v>
      </c>
      <c r="D3312" s="5" t="s">
        <v>2971</v>
      </c>
      <c r="E3312" s="1" t="str">
        <f ca="1">IFERROR(__xludf.DUMMYFUNCTION("GOOGLETRANSLATE(D3312, ""bn"", ""en"")"),"The unwilling victim was forced to the fatal spot, placed on a log, tied hand and foot, so that he could not escape, while the innocent animal was burnt alive.")</f>
        <v>The unwilling victim was forced to the fatal spot, placed on a log, tied hand and foot, so that he could not escape, while the innocent animal was burnt alive.</v>
      </c>
      <c r="F3312" s="1"/>
      <c r="G3312" s="1"/>
      <c r="H3312" s="1"/>
      <c r="I3312" s="1"/>
    </row>
    <row r="3313" spans="1:9" ht="15.6" x14ac:dyDescent="0.3">
      <c r="A3313" s="1" t="s">
        <v>5</v>
      </c>
      <c r="B3313" s="1" t="s">
        <v>5</v>
      </c>
      <c r="C3313" s="10" t="s">
        <v>5</v>
      </c>
      <c r="D3313" s="5" t="s">
        <v>2972</v>
      </c>
      <c r="E3313" s="1" t="str">
        <f ca="1">IFERROR(__xludf.DUMMYFUNCTION("GOOGLETRANSLATE(D3313, ""bn"", ""en"")"),"You keep saying Hinduism, but our religion is Sanatan Dharma")</f>
        <v>You keep saying Hinduism, but our religion is Sanatan Dharma</v>
      </c>
      <c r="F3313" s="1"/>
      <c r="G3313" s="1"/>
      <c r="H3313" s="1"/>
      <c r="I3313" s="1"/>
    </row>
    <row r="3314" spans="1:9" ht="46.8" x14ac:dyDescent="0.3">
      <c r="A3314" s="1" t="s">
        <v>9</v>
      </c>
      <c r="B3314" s="1" t="s">
        <v>9</v>
      </c>
      <c r="C3314" s="10" t="s">
        <v>9</v>
      </c>
      <c r="D3314" s="6" t="s">
        <v>3688</v>
      </c>
      <c r="E3314" s="1" t="str">
        <f ca="1">IFERROR(__xludf.DUMMYFUNCTION("GOOGLETRANSLATE(D3314, ""bn"", ""en"")"),"Father Thomas Cattani, a priest in the Rajshahi division, also reported that Santal villagers there had been attacked, detained and Santal women raped. [5] On 10 December, a frenzied Muslim mob attacked the Puthia Rajbari in Rajshahi and surrounding house"&amp;"s, looting and taking possession of the property.")</f>
        <v>Father Thomas Cattani, a priest in the Rajshahi division, also reported that Santal villagers there had been attacked, detained and Santal women raped. [5] On 10 December, a frenzied Muslim mob attacked the Puthia Rajbari in Rajshahi and surrounding houses, looting and taking possession of the property.</v>
      </c>
      <c r="F3314" s="1"/>
      <c r="G3314" s="1"/>
      <c r="H3314" s="1"/>
      <c r="I3314" s="1"/>
    </row>
    <row r="3315" spans="1:9" ht="15.6" x14ac:dyDescent="0.3">
      <c r="A3315" s="1" t="s">
        <v>5</v>
      </c>
      <c r="B3315" s="1" t="s">
        <v>5</v>
      </c>
      <c r="C3315" s="10" t="s">
        <v>5</v>
      </c>
      <c r="D3315" s="5" t="s">
        <v>2973</v>
      </c>
      <c r="E3315" s="1" t="str">
        <f ca="1">IFERROR(__xludf.DUMMYFUNCTION("GOOGLETRANSLATE(D3315, ""bn"", ""en"")"),"Everything happens according to God's will and plan. And Allah has preordained it. Allah says, 'He knows all that is in the water and the land, and not a leaf falls without His knowledge. In the darkness of the soil (the dark subterranean layer) no grain "&amp;"sprouts, nor is there anything juicy or dry that is not in the clear Book. ")</f>
        <v>Everything happens according to God's will and plan. And Allah has preordained it. Allah says, 'He knows all that is in the water and the land, and not a leaf falls without His knowledge. In the darkness of the soil (the dark subterranean layer) no grain sprouts, nor is there anything juicy or dry that is not in the clear Book. </v>
      </c>
      <c r="F3315" s="1"/>
      <c r="G3315" s="1"/>
      <c r="H3315" s="1"/>
      <c r="I3315" s="1"/>
    </row>
    <row r="3316" spans="1:9" ht="15.6" x14ac:dyDescent="0.3">
      <c r="A3316" s="1" t="s">
        <v>5</v>
      </c>
      <c r="B3316" s="1" t="s">
        <v>5</v>
      </c>
      <c r="C3316" s="10" t="s">
        <v>5</v>
      </c>
      <c r="D3316" s="5" t="s">
        <v>2974</v>
      </c>
      <c r="E3316" s="1" t="str">
        <f ca="1">IFERROR(__xludf.DUMMYFUNCTION("GOOGLETRANSLATE(D3316, ""bn"", ""en"")"),"In the teachings of this religion, people are encouraged to maintain the purity of their hearts and the integrity of their relationships.")</f>
        <v>In the teachings of this religion, people are encouraged to maintain the purity of their hearts and the integrity of their relationships.</v>
      </c>
      <c r="F3316" s="1"/>
      <c r="G3316" s="1"/>
      <c r="H3316" s="1"/>
      <c r="I3316" s="1"/>
    </row>
    <row r="3317" spans="1:9" ht="15.6" x14ac:dyDescent="0.3">
      <c r="A3317" s="1" t="s">
        <v>5</v>
      </c>
      <c r="B3317" s="1" t="s">
        <v>5</v>
      </c>
      <c r="C3317" s="10" t="s">
        <v>5</v>
      </c>
      <c r="D3317" s="5" t="s">
        <v>2975</v>
      </c>
      <c r="E3317" s="1" t="str">
        <f ca="1">IFERROR(__xludf.DUMMYFUNCTION("GOOGLETRANSLATE(D3317, ""bn"", ""en"")"),"We will ask God more and more, even if it is impossible. Allah will answer our prayers in such a way that we will surprise ourselves.")</f>
        <v>We will ask God more and more, even if it is impossible. Allah will answer our prayers in such a way that we will surprise ourselves.</v>
      </c>
      <c r="F3317" s="1"/>
      <c r="G3317" s="1"/>
      <c r="H3317" s="1"/>
      <c r="I3317" s="1"/>
    </row>
    <row r="3318" spans="1:9" ht="15.6" x14ac:dyDescent="0.3">
      <c r="A3318" s="1" t="s">
        <v>7</v>
      </c>
      <c r="B3318" s="1" t="s">
        <v>7</v>
      </c>
      <c r="C3318" s="10" t="s">
        <v>7</v>
      </c>
      <c r="D3318" s="5" t="s">
        <v>2976</v>
      </c>
      <c r="E3318" s="1" t="str">
        <f ca="1">IFERROR(__xludf.DUMMYFUNCTION("GOOGLETRANSLATE(D3318, ""bn"", ""en"")"),"Last Friday, December 25, a suicide bomb attack took place at the Qadianis place of worship in Rajshahi's Bagmara. The media reported that the bomber himself was killed in the incident. ")</f>
        <v xml:space="preserve">Last Friday, December 25, a suicide bomb attack took place at the Qadianis place of worship in Rajshahi's Bagmara. The media reported that the bomber himself was killed in the incident. </v>
      </c>
      <c r="F3318" s="1"/>
      <c r="G3318" s="1"/>
      <c r="H3318" s="1"/>
      <c r="I3318" s="1"/>
    </row>
    <row r="3319" spans="1:9" ht="15.6" x14ac:dyDescent="0.3">
      <c r="A3319" s="1" t="s">
        <v>9</v>
      </c>
      <c r="B3319" s="1" t="s">
        <v>9</v>
      </c>
      <c r="C3319" s="10" t="s">
        <v>9</v>
      </c>
      <c r="D3319" s="5" t="s">
        <v>2977</v>
      </c>
      <c r="E3319" s="1" t="str">
        <f ca="1">IFERROR(__xludf.DUMMYFUNCTION("GOOGLETRANSLATE(D3319, ""bn"", ""en"")"),"Mobs destroyed 12 Buddhist temples and monasteries and 50 houses in response to a bogus Facebook account called Buddhist Man tagging a photo desecrating the Quran on its timeline.")</f>
        <v>Mobs destroyed 12 Buddhist temples and monasteries and 50 houses in response to a bogus Facebook account called Buddhist Man tagging a photo desecrating the Quran on its timeline.</v>
      </c>
      <c r="F3319" s="1"/>
      <c r="G3319" s="1"/>
      <c r="H3319" s="1"/>
      <c r="I3319" s="1"/>
    </row>
    <row r="3320" spans="1:9" ht="15.6" x14ac:dyDescent="0.3">
      <c r="A3320" s="1" t="s">
        <v>9</v>
      </c>
      <c r="B3320" s="1" t="s">
        <v>9</v>
      </c>
      <c r="C3320" s="10" t="s">
        <v>9</v>
      </c>
      <c r="D3320" s="5" t="s">
        <v>2978</v>
      </c>
      <c r="E3320" s="1" t="str">
        <f ca="1">IFERROR(__xludf.DUMMYFUNCTION("GOOGLETRANSLATE(D3320, ""bn"", ""en"")"),"From them the police came to know about the main conspirators Lutfar Rahman, Saiful Islam and Rabiul Hasan. According to the police, ""In the wake of the incident in Comilla, three persons named Lutfar Rahman, Saiful Islam and Rabiul Hasan played a key ro"&amp;"le in vandalizing the temple by bringing the garment workers to the streets. [64][65]")</f>
        <v>From them the police came to know about the main conspirators Lutfar Rahman, Saiful Islam and Rabiul Hasan. According to the police, "In the wake of the incident in Comilla, three persons named Lutfar Rahman, Saiful Islam and Rabiul Hasan played a key role in vandalizing the temple by bringing the garment workers to the streets. [64][65]</v>
      </c>
      <c r="F3320" s="1"/>
      <c r="G3320" s="1"/>
      <c r="H3320" s="1"/>
      <c r="I3320" s="1"/>
    </row>
    <row r="3321" spans="1:9" ht="15.6" x14ac:dyDescent="0.3">
      <c r="A3321" s="1" t="s">
        <v>7</v>
      </c>
      <c r="B3321" s="1" t="s">
        <v>7</v>
      </c>
      <c r="C3321" s="10" t="s">
        <v>7</v>
      </c>
      <c r="D3321" s="5" t="s">
        <v>2979</v>
      </c>
      <c r="E3321" s="1" t="str">
        <f ca="1">IFERROR(__xludf.DUMMYFUNCTION("GOOGLETRANSLATE(D3321, ""bn"", ""en"")"),"According to official statistics, there were 6,933 incidents of communal violence between 1954 and 1982 and between 1968 and 1980, [17] 530 of whom were Hindus and 1,598 were Muslims, for a total of 3,999 deaths.")</f>
        <v>According to official statistics, there were 6,933 incidents of communal violence between 1954 and 1982 and between 1968 and 1980, [17] 530 of whom were Hindus and 1,598 were Muslims, for a total of 3,999 deaths.</v>
      </c>
      <c r="F3321" s="1"/>
      <c r="G3321" s="1"/>
      <c r="H3321" s="1"/>
      <c r="I3321" s="1"/>
    </row>
    <row r="3322" spans="1:9" ht="15.6" x14ac:dyDescent="0.3">
      <c r="A3322" s="4" t="s">
        <v>7</v>
      </c>
      <c r="B3322" s="4" t="s">
        <v>7</v>
      </c>
      <c r="C3322" s="11" t="s">
        <v>7</v>
      </c>
      <c r="D3322" s="5" t="s">
        <v>2980</v>
      </c>
      <c r="E3322" s="1" t="str">
        <f ca="1">IFERROR(__xludf.DUMMYFUNCTION("GOOGLETRANSLATE(D3322, ""bn"", ""en"")"),"The Muslim community has been indulging in violence in Gujarat since the partition of the country. The starting point of this incident was the Godra train burning which was allegedly committed by Muslims. The death toll statistics put 2,000 Muslims dead, "&amp;"including 790 Muslims and 254 Hindus, according to official figures.")</f>
        <v>The Muslim community has been indulging in violence in Gujarat since the partition of the country. The starting point of this incident was the Godra train burning which was allegedly committed by Muslims. The death toll statistics put 2,000 Muslims dead, including 790 Muslims and 254 Hindus, according to official figures.</v>
      </c>
      <c r="F3322" s="1"/>
      <c r="G3322" s="1"/>
      <c r="H3322" s="1"/>
      <c r="I3322" s="1"/>
    </row>
    <row r="3323" spans="1:9" ht="15.6" x14ac:dyDescent="0.3">
      <c r="A3323" s="1" t="s">
        <v>7</v>
      </c>
      <c r="B3323" s="1" t="s">
        <v>4</v>
      </c>
      <c r="C3323" s="10" t="s">
        <v>7</v>
      </c>
      <c r="D3323" s="5" t="s">
        <v>2981</v>
      </c>
      <c r="E3323" s="1" t="str">
        <f ca="1">IFERROR(__xludf.DUMMYFUNCTION("GOOGLETRANSLATE(D3323, ""bn"", ""en"")"),"If the girl believed that the society would protest, support her, not hate her as a bad girl, then the girl would not have committed suicide.")</f>
        <v>If the girl believed that the society would protest, support her, not hate her as a bad girl, then the girl would not have committed suicide.</v>
      </c>
      <c r="F3323" s="1"/>
      <c r="G3323" s="1"/>
      <c r="H3323" s="1"/>
      <c r="I3323" s="1"/>
    </row>
    <row r="3324" spans="1:9" ht="15.6" x14ac:dyDescent="0.3">
      <c r="A3324" s="1" t="s">
        <v>5</v>
      </c>
      <c r="B3324" s="1" t="s">
        <v>5</v>
      </c>
      <c r="C3324" s="10" t="s">
        <v>5</v>
      </c>
      <c r="D3324" s="5" t="s">
        <v>2982</v>
      </c>
      <c r="E3324" s="1" t="str">
        <f ca="1">IFERROR(__xludf.DUMMYFUNCTION("GOOGLETRANSLATE(D3324, ""bn"", ""en"")"),"Allah has clearly said in the Qur'an that man and jinn were not created by Allah to play. ")</f>
        <v xml:space="preserve">Allah has clearly said in the Qur'an that man and jinn were not created by Allah to play. </v>
      </c>
      <c r="F3324" s="1"/>
      <c r="G3324" s="1"/>
      <c r="H3324" s="1"/>
      <c r="I3324" s="1"/>
    </row>
    <row r="3325" spans="1:9" ht="15.6" x14ac:dyDescent="0.3">
      <c r="A3325" s="1" t="s">
        <v>7</v>
      </c>
      <c r="B3325" s="1" t="s">
        <v>7</v>
      </c>
      <c r="C3325" s="10" t="s">
        <v>7</v>
      </c>
      <c r="D3325" s="5" t="s">
        <v>2983</v>
      </c>
      <c r="E3325" s="1" t="str">
        <f ca="1">IFERROR(__xludf.DUMMYFUNCTION("GOOGLETRANSLATE(D3325, ""bn"", ""en"")"),"In the case of Roop Kanwar, Dinesh Bhugra says it is possible that the suicides may have been triggered by ""a state of depersonalization resulting from severe grief"", then adds that it is unlikely that Kanwar had mental illness and that culture may have"&amp;" played a role.")</f>
        <v>In the case of Roop Kanwar, Dinesh Bhugra says it is possible that the suicides may have been triggered by "a state of depersonalization resulting from severe grief", then adds that it is unlikely that Kanwar had mental illness and that culture may have played a role.</v>
      </c>
      <c r="F3325" s="1"/>
      <c r="G3325" s="1"/>
      <c r="H3325" s="1"/>
      <c r="I3325" s="1"/>
    </row>
    <row r="3326" spans="1:9" ht="15.6" x14ac:dyDescent="0.3">
      <c r="A3326" s="1" t="s">
        <v>7</v>
      </c>
      <c r="B3326" s="1" t="s">
        <v>7</v>
      </c>
      <c r="C3326" s="10" t="s">
        <v>7</v>
      </c>
      <c r="D3326" s="5" t="s">
        <v>2984</v>
      </c>
      <c r="E3326" s="1" t="str">
        <f ca="1">IFERROR(__xludf.DUMMYFUNCTION("GOOGLETRANSLATE(D3326, ""bn"", ""en"")"),"Suicide without justice, suicide to get justice, attacks on religious discussions, victims of attacks while practicing religion, high prices of daily necessities, shooting of students by teachers in class.")</f>
        <v>Suicide without justice, suicide to get justice, attacks on religious discussions, victims of attacks while practicing religion, high prices of daily necessities, shooting of students by teachers in class.</v>
      </c>
      <c r="F3326" s="1"/>
      <c r="G3326" s="1"/>
      <c r="H3326" s="1"/>
      <c r="I3326" s="1"/>
    </row>
    <row r="3327" spans="1:9" ht="15.6" x14ac:dyDescent="0.3">
      <c r="A3327" s="1" t="s">
        <v>5</v>
      </c>
      <c r="B3327" s="1" t="s">
        <v>5</v>
      </c>
      <c r="C3327" s="10" t="s">
        <v>5</v>
      </c>
      <c r="D3327" s="5" t="s">
        <v>2985</v>
      </c>
      <c r="E3327" s="1" t="str">
        <f ca="1">IFERROR(__xludf.DUMMYFUNCTION("GOOGLETRANSLATE(D3327, ""bn"", ""en"")"),"You didn't understand my post. If someone criticizes Hindus, it is to our benefit because through criticism we can understand our mistakes and correct those mistakes...")</f>
        <v>You didn't understand my post. If someone criticizes Hindus, it is to our benefit because through criticism we can understand our mistakes and correct those mistakes...</v>
      </c>
      <c r="F3327" s="1"/>
      <c r="G3327" s="1"/>
      <c r="H3327" s="1"/>
      <c r="I3327" s="1"/>
    </row>
    <row r="3328" spans="1:9" ht="15.6" x14ac:dyDescent="0.3">
      <c r="A3328" s="1" t="s">
        <v>4</v>
      </c>
      <c r="B3328" s="1" t="s">
        <v>4</v>
      </c>
      <c r="C3328" s="10" t="s">
        <v>4</v>
      </c>
      <c r="D3328" s="5" t="s">
        <v>2986</v>
      </c>
      <c r="E3328" s="1" t="str">
        <f ca="1">IFERROR(__xludf.DUMMYFUNCTION("GOOGLETRANSLATE(D3328, ""bn"", ""en"")"),"Officially, recitation of Quran has been banned in DU from today. Remember today. This day will return again and again in the future.")</f>
        <v>Officially, recitation of Quran has been banned in DU from today. Remember today. This day will return again and again in the future.</v>
      </c>
      <c r="F3328" s="1"/>
      <c r="G3328" s="1"/>
      <c r="H3328" s="1"/>
      <c r="I3328" s="1"/>
    </row>
    <row r="3329" spans="1:9" ht="15.6" x14ac:dyDescent="0.3">
      <c r="A3329" s="1" t="s">
        <v>4</v>
      </c>
      <c r="B3329" s="1" t="s">
        <v>4</v>
      </c>
      <c r="C3329" s="10" t="s">
        <v>4</v>
      </c>
      <c r="D3329" s="5" t="s">
        <v>2987</v>
      </c>
      <c r="E3329" s="1" t="str">
        <f ca="1">IFERROR(__xludf.DUMMYFUNCTION("GOOGLETRANSLATE(D3329, ""bn"", ""en"")"),"Day by day social degradation is increasing religious degradation through social media.")</f>
        <v>Day by day social degradation is increasing religious degradation through social media.</v>
      </c>
      <c r="F3329" s="1"/>
      <c r="G3329" s="1"/>
      <c r="H3329" s="1"/>
      <c r="I3329" s="1"/>
    </row>
    <row r="3330" spans="1:9" ht="15.6" x14ac:dyDescent="0.3">
      <c r="A3330" s="1" t="s">
        <v>5</v>
      </c>
      <c r="B3330" s="1" t="s">
        <v>5</v>
      </c>
      <c r="C3330" s="10" t="s">
        <v>5</v>
      </c>
      <c r="D3330" s="5" t="s">
        <v>2988</v>
      </c>
      <c r="E3330" s="1" t="str">
        <f ca="1">IFERROR(__xludf.DUMMYFUNCTION("GOOGLETRANSLATE(D3330, ""bn"", ""en"")"),"Thank you very much.. One request atleast one video per week miracle of Quran majid. This kind of analysis about the truth is given by Dharmi video. ")</f>
        <v xml:space="preserve">Thank you very much.. One request atleast one video per week miracle of Quran majid. This kind of analysis about the truth is given by Dharmi video. </v>
      </c>
      <c r="F3330" s="1"/>
      <c r="G3330" s="1"/>
      <c r="H3330" s="1"/>
      <c r="I3330" s="1"/>
    </row>
    <row r="3331" spans="1:9" ht="15.6" x14ac:dyDescent="0.3">
      <c r="A3331" s="1" t="s">
        <v>9</v>
      </c>
      <c r="B3331" s="1" t="s">
        <v>9</v>
      </c>
      <c r="C3331" s="10" t="s">
        <v>9</v>
      </c>
      <c r="D3331" s="5" t="s">
        <v>2989</v>
      </c>
      <c r="E3331" s="1" t="str">
        <f ca="1">IFERROR(__xludf.DUMMYFUNCTION("GOOGLETRANSLATE(D3331, ""bn"", ""en"")"),"In 2012, a Buddhist village and temple in Ramu was attacked over a blasphemous Facebook post by a young man named Uttam Barua. But later investigation found no truth in that post")</f>
        <v>In 2012, a Buddhist village and temple in Ramu was attacked over a blasphemous Facebook post by a young man named Uttam Barua. But later investigation found no truth in that post</v>
      </c>
      <c r="F3331" s="1"/>
      <c r="G3331" s="1"/>
      <c r="H3331" s="1"/>
      <c r="I3331" s="1"/>
    </row>
    <row r="3332" spans="1:9" ht="15.6" x14ac:dyDescent="0.3">
      <c r="A3332" s="1" t="s">
        <v>7</v>
      </c>
      <c r="B3332" s="1" t="s">
        <v>7</v>
      </c>
      <c r="C3332" s="10" t="s">
        <v>7</v>
      </c>
      <c r="D3332" s="5" t="s">
        <v>2990</v>
      </c>
      <c r="E3332" s="1" t="str">
        <f ca="1">IFERROR(__xludf.DUMMYFUNCTION("GOOGLETRANSLATE(D3332, ""bn"", ""en"")"),"Thousands of Palestinian civilians—children, doctors, teachers, journalists—are being killed by the US and other Western allies, funded and armed. Their behavior is almost as if these civilians are also their enemies. ")</f>
        <v>Thousands of Palestinian civilians—children, doctors, teachers, journalists—are being killed by the US and other Western allies, funded and armed. Their behavior is almost as if these civilians are also their enemies. </v>
      </c>
      <c r="F3332" s="1"/>
      <c r="G3332" s="1"/>
      <c r="H3332" s="1"/>
      <c r="I3332" s="1"/>
    </row>
    <row r="3333" spans="1:9" ht="15.6" x14ac:dyDescent="0.3">
      <c r="A3333" s="1" t="s">
        <v>7</v>
      </c>
      <c r="B3333" s="1" t="s">
        <v>7</v>
      </c>
      <c r="C3333" s="10" t="s">
        <v>7</v>
      </c>
      <c r="D3333" s="5" t="s">
        <v>2991</v>
      </c>
      <c r="E3333" s="1" t="str">
        <f ca="1">IFERROR(__xludf.DUMMYFUNCTION("GOOGLETRANSLATE(D3333, ""bn"", ""en"")"),"Communal riots in Bhagalpur killed around 1,000 people, mostly Muslims, and many houses were burnt.")</f>
        <v>Communal riots in Bhagalpur killed around 1,000 people, mostly Muslims, and many houses were burnt.</v>
      </c>
      <c r="F3333" s="1"/>
      <c r="G3333" s="1"/>
      <c r="H3333" s="1"/>
      <c r="I3333" s="1"/>
    </row>
    <row r="3334" spans="1:9" ht="15.6" x14ac:dyDescent="0.3">
      <c r="A3334" s="1" t="s">
        <v>5</v>
      </c>
      <c r="B3334" s="1" t="s">
        <v>5</v>
      </c>
      <c r="C3334" s="10" t="s">
        <v>5</v>
      </c>
      <c r="D3334" s="5" t="s">
        <v>2992</v>
      </c>
      <c r="E3334" s="1" t="str">
        <f ca="1">IFERROR(__xludf.DUMMYFUNCTION("GOOGLETRANSLATE(D3334, ""bn"", ""en"")"),"The difference between Judaism and Islam is only in terms of time, if there is an idea about the two religions, they mean the Prophets and Messengers of Bani Israel, and Muslims believe all the Prophets and Messengers including Bani Israel, and who consid"&amp;"ers the last Prophet Muhammad as the ideal.")</f>
        <v>The difference between Judaism and Islam is only in terms of time, if there is an idea about the two religions, they mean the Prophets and Messengers of Bani Israel, and Muslims believe all the Prophets and Messengers including Bani Israel, and who considers the last Prophet Muhammad as the ideal.</v>
      </c>
      <c r="F3334" s="1"/>
      <c r="G3334" s="1"/>
      <c r="H3334" s="1"/>
      <c r="I3334" s="1"/>
    </row>
    <row r="3335" spans="1:9" ht="15.6" x14ac:dyDescent="0.3">
      <c r="A3335" s="1" t="s">
        <v>5</v>
      </c>
      <c r="B3335" s="1" t="s">
        <v>5</v>
      </c>
      <c r="C3335" s="10" t="s">
        <v>5</v>
      </c>
      <c r="D3335" s="5" t="s">
        <v>2993</v>
      </c>
      <c r="E3335" s="1" t="str">
        <f ca="1">IFERROR(__xludf.DUMMYFUNCTION("GOOGLETRANSLATE(D3335, ""bn"", ""en"")"),"According to the 1941 census, 24.5% of East Bengal's population was non-Muslim, most of whom were Bengali Hindus.[2] West Bengal had 30.2% Muslims and the rest all Hindus.[3]")</f>
        <v>According to the 1941 census, 24.5% of East Bengal's population was non-Muslim, most of whom were Bengali Hindus.[2] West Bengal had 30.2% Muslims and the rest all Hindus.[3]</v>
      </c>
      <c r="F3335" s="1"/>
      <c r="G3335" s="1"/>
      <c r="H3335" s="1"/>
      <c r="I3335" s="1"/>
    </row>
    <row r="3336" spans="1:9" ht="15.6" x14ac:dyDescent="0.3">
      <c r="A3336" s="1" t="s">
        <v>5</v>
      </c>
      <c r="B3336" s="1" t="s">
        <v>5</v>
      </c>
      <c r="C3336" s="10" t="s">
        <v>5</v>
      </c>
      <c r="D3336" s="5" t="s">
        <v>2994</v>
      </c>
      <c r="E3336" s="1" t="str">
        <f ca="1">IFERROR(__xludf.DUMMYFUNCTION("GOOGLETRANSLATE(D3336, ""bn"", ""en"")"),"A group does politics on religion, but we are not religion traders, Awami League does not do politics on religion. Religion belongs to everyone's state.")</f>
        <v>A group does politics on religion, but we are not religion traders, Awami League does not do politics on religion. Religion belongs to everyone's state.</v>
      </c>
      <c r="F3336" s="1"/>
      <c r="G3336" s="1"/>
      <c r="H3336" s="1"/>
      <c r="I3336" s="1"/>
    </row>
    <row r="3337" spans="1:9" ht="15.6" x14ac:dyDescent="0.3">
      <c r="A3337" s="1" t="s">
        <v>4</v>
      </c>
      <c r="B3337" s="1" t="s">
        <v>5</v>
      </c>
      <c r="C3337" s="10" t="s">
        <v>4</v>
      </c>
      <c r="D3337" s="5" t="s">
        <v>2995</v>
      </c>
      <c r="E3337" s="1" t="str">
        <f ca="1">IFERROR(__xludf.DUMMYFUNCTION("GOOGLETRANSLATE(D3337, ""bn"", ""en"")"),"But there are some people who do not believe in religion but believe in religious minority!!! They are secular. Who are more dangerous than corona.")</f>
        <v>But there are some people who do not believe in religion but believe in religious minority!!! They are secular. Who are more dangerous than corona.</v>
      </c>
      <c r="F3337" s="1"/>
      <c r="G3337" s="1"/>
      <c r="H3337" s="1"/>
      <c r="I3337" s="1"/>
    </row>
    <row r="3338" spans="1:9" ht="46.8" x14ac:dyDescent="0.3">
      <c r="A3338" s="1" t="s">
        <v>5</v>
      </c>
      <c r="B3338" s="1" t="s">
        <v>5</v>
      </c>
      <c r="C3338" s="10" t="s">
        <v>5</v>
      </c>
      <c r="D3338" s="6" t="s">
        <v>3687</v>
      </c>
      <c r="E3338" s="1" t="str">
        <f ca="1">IFERROR(__xludf.DUMMYFUNCTION("GOOGLETRANSLATE(D3338, ""bn"", ""en"")")," The Friday Jumma prayers and five daily prayers of a large mosque named Two Hundred Dome Mosque in Gopalpur Upazila of Tangail District, near Dhaka, have been temporarily suspended. The mosque committee itself has announced to take this decision to preve"&amp;"nt the spread of coronavirus.")</f>
        <v> The Friday Jumma prayers and five daily prayers of a large mosque named Two Hundred Dome Mosque in Gopalpur Upazila of Tangail District, near Dhaka, have been temporarily suspended. The mosque committee itself has announced to take this decision to prevent the spread of coronavirus.</v>
      </c>
      <c r="F3338" s="1"/>
      <c r="G3338" s="1"/>
      <c r="H3338" s="1"/>
      <c r="I3338" s="1"/>
    </row>
    <row r="3339" spans="1:9" ht="15.6" x14ac:dyDescent="0.3">
      <c r="A3339" s="1" t="s">
        <v>4</v>
      </c>
      <c r="B3339" s="1" t="s">
        <v>4</v>
      </c>
      <c r="C3339" s="10" t="s">
        <v>4</v>
      </c>
      <c r="D3339" s="5" t="s">
        <v>2996</v>
      </c>
      <c r="E3339" s="1" t="str">
        <f ca="1">IFERROR(__xludf.DUMMYFUNCTION("GOOGLETRANSLATE(D3339, ""bn"", ""en"")"),"Udhayanidhi spoke of eradicating Sanatan Dharma. Not only that, he compared traditional religion with mosquitoes, dengue, corona and malaria.")</f>
        <v>Udhayanidhi spoke of eradicating Sanatan Dharma. Not only that, he compared traditional religion with mosquitoes, dengue, corona and malaria.</v>
      </c>
      <c r="F3339" s="1"/>
      <c r="G3339" s="1"/>
      <c r="H3339" s="1"/>
      <c r="I3339" s="1"/>
    </row>
    <row r="3340" spans="1:9" ht="62.4" x14ac:dyDescent="0.3">
      <c r="A3340" s="1" t="s">
        <v>9</v>
      </c>
      <c r="B3340" s="1" t="s">
        <v>4</v>
      </c>
      <c r="C3340" s="10" t="s">
        <v>9</v>
      </c>
      <c r="D3340" s="6" t="s">
        <v>3686</v>
      </c>
      <c r="E3340" s="1" t="str">
        <f ca="1">IFERROR(__xludf.DUMMYFUNCTION("GOOGLETRANSLATE(D3340, ""bn"", ""en"")")," The Hindu Muslim riots in Noakhali are believed to have been fueled largely by anger at the long deprivation of Muslims under British rule and the associated massacres of Muslims in Calcutta. [14] Also of note, before the riots began was a rumor that Ram"&amp;"ganj zamindar Rajendra Lal Chowdhury was sacrificing a Muslim boy at his home's puja, which is believed to have triggered the riots. Either. [15]")</f>
        <v> The Hindu Muslim riots in Noakhali are believed to have been fueled largely by anger at the long deprivation of Muslims under British rule and the associated massacres of Muslims in Calcutta. [14] Also of note, before the riots began was a rumor that Ramganj zamindar Rajendra Lal Chowdhury was sacrificing a Muslim boy at his home's puja, which is believed to have triggered the riots. Either. [15]</v>
      </c>
      <c r="F3340" s="1"/>
      <c r="G3340" s="1"/>
      <c r="H3340" s="1"/>
      <c r="I3340" s="1"/>
    </row>
    <row r="3341" spans="1:9" ht="15.6" x14ac:dyDescent="0.3">
      <c r="A3341" s="1" t="s">
        <v>4</v>
      </c>
      <c r="B3341" s="1" t="s">
        <v>5</v>
      </c>
      <c r="C3341" s="10" t="s">
        <v>4</v>
      </c>
      <c r="D3341" s="5" t="s">
        <v>2997</v>
      </c>
      <c r="E3341" s="1" t="str">
        <f ca="1">IFERROR(__xludf.DUMMYFUNCTION("GOOGLETRANSLATE(D3341, ""bn"", ""en"")"),"People who spread violence and hatred have no place.")</f>
        <v>People who spread violence and hatred have no place.</v>
      </c>
      <c r="F3341" s="1"/>
      <c r="G3341" s="1"/>
      <c r="H3341" s="1"/>
      <c r="I3341" s="1"/>
    </row>
    <row r="3342" spans="1:9" ht="15.6" x14ac:dyDescent="0.3">
      <c r="A3342" s="1" t="s">
        <v>5</v>
      </c>
      <c r="B3342" s="1" t="s">
        <v>5</v>
      </c>
      <c r="C3342" s="10" t="s">
        <v>5</v>
      </c>
      <c r="D3342" s="5" t="s">
        <v>2998</v>
      </c>
      <c r="E3342" s="1" t="str">
        <f ca="1">IFERROR(__xludf.DUMMYFUNCTION("GOOGLETRANSLATE(D3342, ""bn"", ""en"")"),"Why the great creator has not left any mark of religion in the human body??? Because He knows that He has created all people in the same way --- so that we do not create differences among people.")</f>
        <v>Why the great creator has not left any mark of religion in the human body??? Because He knows that He has created all people in the same way --- so that we do not create differences among people.</v>
      </c>
      <c r="F3342" s="1"/>
      <c r="G3342" s="1"/>
      <c r="H3342" s="1"/>
      <c r="I3342" s="1"/>
    </row>
    <row r="3343" spans="1:9" ht="15.6" x14ac:dyDescent="0.3">
      <c r="A3343" s="1" t="s">
        <v>5</v>
      </c>
      <c r="B3343" s="1" t="s">
        <v>5</v>
      </c>
      <c r="C3343" s="10" t="s">
        <v>5</v>
      </c>
      <c r="D3343" s="5" t="s">
        <v>2999</v>
      </c>
      <c r="E3343" s="1" t="str">
        <f ca="1">IFERROR(__xludf.DUMMYFUNCTION("GOOGLETRANSLATE(D3343, ""bn"", ""en"")"),"The ruling party here has strengthened the sphere of understanding with the minorities, despite dissenting opinions on the policies and ideologies of the party that practices religion-based politics.")</f>
        <v>The ruling party here has strengthened the sphere of understanding with the minorities, despite dissenting opinions on the policies and ideologies of the party that practices religion-based politics.</v>
      </c>
      <c r="F3343" s="1"/>
      <c r="G3343" s="1"/>
      <c r="H3343" s="1"/>
      <c r="I3343" s="1"/>
    </row>
    <row r="3344" spans="1:9" ht="15.6" x14ac:dyDescent="0.3">
      <c r="A3344" s="1" t="s">
        <v>4</v>
      </c>
      <c r="B3344" s="1" t="s">
        <v>4</v>
      </c>
      <c r="C3344" s="10" t="s">
        <v>4</v>
      </c>
      <c r="D3344" s="5" t="s">
        <v>3000</v>
      </c>
      <c r="E3344" s="1" t="str">
        <f ca="1">IFERROR(__xludf.DUMMYFUNCTION("GOOGLETRANSLATE(D3344, ""bn"", ""en"")"),"Iftar will mean Jummah and Eid prayers as unnecessary in society. Then the mosque will become redundant. It doesn't make sense to waste such an expensive place with unnecessary mosque... Babri Masjid.")</f>
        <v>Iftar will mean Jummah and Eid prayers as unnecessary in society. Then the mosque will become redundant. It doesn't make sense to waste such an expensive place with unnecessary mosque... Babri Masjid.</v>
      </c>
      <c r="F3344" s="1"/>
      <c r="G3344" s="1"/>
      <c r="H3344" s="1"/>
      <c r="I3344" s="1"/>
    </row>
    <row r="3345" spans="1:9" ht="15.6" x14ac:dyDescent="0.3">
      <c r="A3345" s="1" t="s">
        <v>4</v>
      </c>
      <c r="B3345" s="1" t="s">
        <v>5</v>
      </c>
      <c r="C3345" s="10" t="s">
        <v>4</v>
      </c>
      <c r="D3345" s="5" t="s">
        <v>3001</v>
      </c>
      <c r="E3345" s="1" t="str">
        <f ca="1">IFERROR(__xludf.DUMMYFUNCTION("GOOGLETRANSLATE(D3345, ""bn"", ""en"")"),"India's BJP and Congress leaders are also talking about the safety of Hindus in Bangladesh, even as there is a lot of discussion going on in social media in that country. However, after the BJP government came to power in India, the Hindutva politics star"&amp;"ted.")</f>
        <v>India's BJP and Congress leaders are also talking about the safety of Hindus in Bangladesh, even as there is a lot of discussion going on in social media in that country. However, after the BJP government came to power in India, the Hindutva politics started.</v>
      </c>
      <c r="F3345" s="1"/>
      <c r="G3345" s="1"/>
      <c r="H3345" s="1"/>
      <c r="I3345" s="1"/>
    </row>
    <row r="3346" spans="1:9" ht="15.6" x14ac:dyDescent="0.3">
      <c r="A3346" s="1" t="s">
        <v>9</v>
      </c>
      <c r="B3346" s="1" t="s">
        <v>9</v>
      </c>
      <c r="C3346" s="10" t="s">
        <v>9</v>
      </c>
      <c r="D3346" s="5" t="s">
        <v>3002</v>
      </c>
      <c r="E3346" s="1" t="str">
        <f ca="1">IFERROR(__xludf.DUMMYFUNCTION("GOOGLETRANSLATE(D3346, ""bn"", ""en"")"),"A curfew was imposed again in some areas of the central city of Kandy where the predominantly Buddhist Sinhalese vandalized and set fire to Muslim-owned shops and houses.")</f>
        <v>A curfew was imposed again in some areas of the central city of Kandy where the predominantly Buddhist Sinhalese vandalized and set fire to Muslim-owned shops and houses.</v>
      </c>
      <c r="F3346" s="1"/>
      <c r="G3346" s="1"/>
      <c r="H3346" s="1"/>
      <c r="I3346" s="1"/>
    </row>
    <row r="3347" spans="1:9" ht="15.6" x14ac:dyDescent="0.3">
      <c r="A3347" s="1" t="s">
        <v>9</v>
      </c>
      <c r="B3347" s="1" t="s">
        <v>9</v>
      </c>
      <c r="C3347" s="10" t="s">
        <v>9</v>
      </c>
      <c r="D3347" s="5" t="s">
        <v>3003</v>
      </c>
      <c r="E3347" s="1" t="str">
        <f ca="1">IFERROR(__xludf.DUMMYFUNCTION("GOOGLETRANSLATE(D3347, ""bn"", ""en"")"),"In Satkhira, Jamaat and Shibir activists attacked Hindu homes and businesses. Hundreds of Hindu homes and businesses were looted and destroyed in Kadamtala, City College Mor and Abedar Hat areas of Satkhira Municipality.")</f>
        <v>In Satkhira, Jamaat and Shibir activists attacked Hindu homes and businesses. Hundreds of Hindu homes and businesses were looted and destroyed in Kadamtala, City College Mor and Abedar Hat areas of Satkhira Municipality.</v>
      </c>
      <c r="F3347" s="1"/>
      <c r="G3347" s="1"/>
      <c r="H3347" s="1"/>
      <c r="I3347" s="1"/>
    </row>
    <row r="3348" spans="1:9" ht="15.6" x14ac:dyDescent="0.3">
      <c r="A3348" s="1" t="s">
        <v>4</v>
      </c>
      <c r="B3348" s="1" t="s">
        <v>4</v>
      </c>
      <c r="C3348" s="10" t="s">
        <v>4</v>
      </c>
      <c r="D3348" s="5" t="s">
        <v>3004</v>
      </c>
      <c r="E3348" s="1" t="str">
        <f ca="1">IFERROR(__xludf.DUMMYFUNCTION("GOOGLETRANSLATE(D3348, ""bn"", ""en"")"),"Inciting posts mocking religion ")</f>
        <v xml:space="preserve">Inciting posts mocking religion </v>
      </c>
      <c r="F3348" s="1"/>
      <c r="G3348" s="1"/>
      <c r="H3348" s="1"/>
      <c r="I3348" s="1"/>
    </row>
    <row r="3349" spans="1:9" ht="15.6" x14ac:dyDescent="0.3">
      <c r="A3349" s="1" t="s">
        <v>5</v>
      </c>
      <c r="B3349" s="1" t="s">
        <v>5</v>
      </c>
      <c r="C3349" s="10" t="s">
        <v>5</v>
      </c>
      <c r="D3349" s="5" t="s">
        <v>3005</v>
      </c>
      <c r="E3349" s="1" t="str">
        <f ca="1">IFERROR(__xludf.DUMMYFUNCTION("GOOGLETRANSLATE(D3349, ""bn"", ""en"")"),"In the Qur'an, Allah teaches people that kindness should be shown not only to humans, but also to animals and birds.")</f>
        <v>In the Qur'an, Allah teaches people that kindness should be shown not only to humans, but also to animals and birds.</v>
      </c>
      <c r="F3349" s="1"/>
      <c r="G3349" s="1"/>
      <c r="H3349" s="1"/>
      <c r="I3349" s="1"/>
    </row>
    <row r="3350" spans="1:9" ht="15.6" x14ac:dyDescent="0.3">
      <c r="A3350" s="1" t="s">
        <v>4</v>
      </c>
      <c r="B3350" s="1" t="s">
        <v>4</v>
      </c>
      <c r="C3350" s="10" t="s">
        <v>4</v>
      </c>
      <c r="D3350" s="5" t="s">
        <v>3006</v>
      </c>
      <c r="E3350" s="1" t="str">
        <f ca="1">IFERROR(__xludf.DUMMYFUNCTION("GOOGLETRANSLATE(D3350, ""bn"", ""en"")"),"I want to say to Muslims with a dirty mentality like you, there is still time to change yourselves...... Just tell them that there are some Hindu brothers with a dirty mentality like you, there is still time for you to change your thoughts.")</f>
        <v>I want to say to Muslims with a dirty mentality like you, there is still time to change yourselves...... Just tell them that there are some Hindu brothers with a dirty mentality like you, there is still time for you to change your thoughts.</v>
      </c>
      <c r="F3350" s="1"/>
      <c r="G3350" s="1"/>
      <c r="H3350" s="1"/>
      <c r="I3350" s="1"/>
    </row>
    <row r="3351" spans="1:9" ht="15.6" x14ac:dyDescent="0.3">
      <c r="A3351" s="1" t="s">
        <v>4</v>
      </c>
      <c r="B3351" s="1" t="s">
        <v>5</v>
      </c>
      <c r="C3351" s="10" t="s">
        <v>4</v>
      </c>
      <c r="D3351" s="5" t="s">
        <v>3007</v>
      </c>
      <c r="E3351" s="1" t="str">
        <f ca="1">IFERROR(__xludf.DUMMYFUNCTION("GOOGLETRANSLATE(D3351, ""bn"", ""en"")"),"In 2009, in two seminars titled 'Basic Information on Islam', an Austrian citizen named Mrs. 'S' ridiculed the marriage of Prophet Muhammad (PBUH).")</f>
        <v>In 2009, in two seminars titled 'Basic Information on Islam', an Austrian citizen named Mrs. 'S' ridiculed the marriage of Prophet Muhammad (PBUH).</v>
      </c>
      <c r="F3351" s="1"/>
      <c r="G3351" s="1"/>
      <c r="H3351" s="1"/>
      <c r="I3351" s="1"/>
    </row>
    <row r="3352" spans="1:9" ht="15.6" x14ac:dyDescent="0.3">
      <c r="A3352" s="1" t="s">
        <v>4</v>
      </c>
      <c r="B3352" s="1" t="s">
        <v>4</v>
      </c>
      <c r="C3352" s="10" t="s">
        <v>4</v>
      </c>
      <c r="D3352" s="5" t="s">
        <v>3008</v>
      </c>
      <c r="E3352" s="1" t="str">
        <f ca="1">IFERROR(__xludf.DUMMYFUNCTION("GOOGLETRANSLATE(D3352, ""bn"", ""en"")"),"There are many things that are not only opposed, they have to be eradicated. Mosquitoes, dengue, corona and malaria are things we cannot oppose. We have to eliminate them. Tradition is like that. Our first task is not to oppose, but to eradicate the Sanat"&amp;"an.")</f>
        <v>There are many things that are not only opposed, they have to be eradicated. Mosquitoes, dengue, corona and malaria are things we cannot oppose. We have to eliminate them. Tradition is like that. Our first task is not to oppose, but to eradicate the Sanatan.</v>
      </c>
      <c r="F3352" s="1"/>
      <c r="G3352" s="1"/>
      <c r="H3352" s="1"/>
      <c r="I3352" s="1"/>
    </row>
    <row r="3353" spans="1:9" ht="15.6" x14ac:dyDescent="0.3">
      <c r="A3353" s="1" t="s">
        <v>9</v>
      </c>
      <c r="B3353" s="1" t="s">
        <v>4</v>
      </c>
      <c r="C3353" s="10" t="s">
        <v>9</v>
      </c>
      <c r="D3353" s="5" t="s">
        <v>3009</v>
      </c>
      <c r="E3353" s="1" t="str">
        <f ca="1">IFERROR(__xludf.DUMMYFUNCTION("GOOGLETRANSLATE(D3353, ""bn"", ""en"")"),"Over the past few years, there has been an increase in the trend of attacks on minorities using the pretext of posting religious insults on Facebook. Attacks are also being made by spreading fake information on Facebook")</f>
        <v>Over the past few years, there has been an increase in the trend of attacks on minorities using the pretext of posting religious insults on Facebook. Attacks are also being made by spreading fake information on Facebook</v>
      </c>
      <c r="F3353" s="1"/>
      <c r="G3353" s="1"/>
      <c r="H3353" s="1"/>
      <c r="I3353" s="1"/>
    </row>
    <row r="3354" spans="1:9" ht="15.6" x14ac:dyDescent="0.3">
      <c r="A3354" s="1" t="s">
        <v>7</v>
      </c>
      <c r="B3354" s="1" t="s">
        <v>7</v>
      </c>
      <c r="C3354" s="10" t="s">
        <v>7</v>
      </c>
      <c r="D3354" s="5" t="s">
        <v>3010</v>
      </c>
      <c r="E3354" s="1" t="str">
        <f ca="1">IFERROR(__xludf.DUMMYFUNCTION("GOOGLETRANSLATE(D3354, ""bn"", ""en"")"),"Muslims began killing Hindus wherever they could be found.[16] By afternoon, 90% of Dhaka's Hindu shops and businesses[17] were looted and most burned to ashes.")</f>
        <v>Muslims began killing Hindus wherever they could be found.[16] By afternoon, 90% of Dhaka's Hindu shops and businesses[17] were looted and most burned to ashes.</v>
      </c>
      <c r="F3354" s="1"/>
      <c r="G3354" s="1"/>
      <c r="H3354" s="1"/>
      <c r="I3354" s="1"/>
    </row>
    <row r="3355" spans="1:9" ht="15.6" x14ac:dyDescent="0.3">
      <c r="A3355" s="1" t="s">
        <v>7</v>
      </c>
      <c r="B3355" s="1" t="s">
        <v>7</v>
      </c>
      <c r="C3355" s="10" t="s">
        <v>7</v>
      </c>
      <c r="D3355" s="5" t="s">
        <v>3011</v>
      </c>
      <c r="E3355" s="1" t="str">
        <f ca="1">IFERROR(__xludf.DUMMYFUNCTION("GOOGLETRANSLATE(D3355, ""bn"", ""en"")"),"According to Francis Tucker, the Hindu press grossly exaggerated reports of the chaos.[51] However, neutral and widely accepted estimates put the death toll at around 5,000.")</f>
        <v>According to Francis Tucker, the Hindu press grossly exaggerated reports of the chaos.[51] However, neutral and widely accepted estimates put the death toll at around 5,000.</v>
      </c>
      <c r="F3355" s="1"/>
      <c r="G3355" s="1"/>
      <c r="H3355" s="1"/>
      <c r="I3355" s="1"/>
    </row>
    <row r="3356" spans="1:9" ht="15.6" x14ac:dyDescent="0.3">
      <c r="A3356" s="1" t="s">
        <v>4</v>
      </c>
      <c r="B3356" s="1" t="s">
        <v>5</v>
      </c>
      <c r="C3356" s="10" t="s">
        <v>4</v>
      </c>
      <c r="D3356" s="5" t="s">
        <v>3012</v>
      </c>
      <c r="E3356" s="1" t="str">
        <f ca="1">IFERROR(__xludf.DUMMYFUNCTION("GOOGLETRANSLATE(D3356, ""bn"", ""en"")"),"Which is a sad and recurring thing in Hindu history. It involves a group of people of different religious beliefs who see Hinduism as separate from their own sense of moral and personal identity.")</f>
        <v>Which is a sad and recurring thing in Hindu history. It involves a group of people of different religious beliefs who see Hinduism as separate from their own sense of moral and personal identity.</v>
      </c>
      <c r="F3356" s="1"/>
      <c r="G3356" s="1"/>
      <c r="H3356" s="1"/>
      <c r="I3356" s="1"/>
    </row>
    <row r="3357" spans="1:9" ht="15.6" x14ac:dyDescent="0.3">
      <c r="A3357" s="1" t="s">
        <v>5</v>
      </c>
      <c r="B3357" s="1" t="s">
        <v>5</v>
      </c>
      <c r="C3357" s="10" t="s">
        <v>5</v>
      </c>
      <c r="D3357" s="5" t="s">
        <v>3013</v>
      </c>
      <c r="E3357" s="1" t="str">
        <f ca="1">IFERROR(__xludf.DUMMYFUNCTION("GOOGLETRANSLATE(D3357, ""bn"", ""en"")"),"We are not of any religion other than 'Indian'. And don't want to be. And proud of our identity.")</f>
        <v>We are not of any religion other than 'Indian'. And don't want to be. And proud of our identity.</v>
      </c>
      <c r="F3357" s="1"/>
      <c r="G3357" s="1"/>
      <c r="H3357" s="1"/>
      <c r="I3357" s="1"/>
    </row>
    <row r="3358" spans="1:9" ht="15.6" x14ac:dyDescent="0.3">
      <c r="A3358" s="1" t="s">
        <v>9</v>
      </c>
      <c r="B3358" s="1" t="s">
        <v>9</v>
      </c>
      <c r="C3358" s="10" t="s">
        <v>9</v>
      </c>
      <c r="D3358" s="5" t="s">
        <v>3014</v>
      </c>
      <c r="E3358" s="1" t="str">
        <f ca="1">IFERROR(__xludf.DUMMYFUNCTION("GOOGLETRANSLATE(D3358, ""bn"", ""en"")"),"Rana Dasgupta, general secretary of Hindu Buddhist Christian Unity Parishad, complained, ""The attack was led by an Imam Sahib."" Mike was also with them.")</f>
        <v>Rana Dasgupta, general secretary of Hindu Buddhist Christian Unity Parishad, complained, "The attack was led by an Imam Sahib." Mike was also with them.</v>
      </c>
      <c r="F3358" s="1"/>
      <c r="G3358" s="1"/>
      <c r="H3358" s="1"/>
      <c r="I3358" s="1"/>
    </row>
    <row r="3359" spans="1:9" ht="15.6" x14ac:dyDescent="0.3">
      <c r="A3359" s="1" t="s">
        <v>7</v>
      </c>
      <c r="B3359" s="1" t="s">
        <v>7</v>
      </c>
      <c r="C3359" s="10" t="s">
        <v>7</v>
      </c>
      <c r="D3359" s="5" t="s">
        <v>3015</v>
      </c>
      <c r="E3359" s="1" t="str">
        <f ca="1">IFERROR(__xludf.DUMMYFUNCTION("GOOGLETRANSLATE(D3359, ""bn"", ""en"")"),"Fire connection in Hindu houses in sixth floor. 5 dead bodies lying near the Coconut Danga main road.")</f>
        <v>Fire connection in Hindu houses in sixth floor. 5 dead bodies lying near the Coconut Danga main road.</v>
      </c>
      <c r="F3359" s="1"/>
      <c r="G3359" s="1"/>
      <c r="H3359" s="1"/>
      <c r="I3359" s="1"/>
    </row>
    <row r="3360" spans="1:9" ht="15.6" x14ac:dyDescent="0.3">
      <c r="A3360" s="1" t="s">
        <v>4</v>
      </c>
      <c r="B3360" s="1" t="s">
        <v>5</v>
      </c>
      <c r="C3360" s="10" t="s">
        <v>4</v>
      </c>
      <c r="D3360" s="5" t="s">
        <v>3016</v>
      </c>
      <c r="E3360" s="1" t="str">
        <f ca="1">IFERROR(__xludf.DUMMYFUNCTION("GOOGLETRANSLATE(D3360, ""bn"", ""en"")"),"May Allah give wisdom to those who make bad comments about a glorious night like Shaba-Barat. ")</f>
        <v xml:space="preserve">May Allah give wisdom to those who make bad comments about a glorious night like Shaba-Barat. </v>
      </c>
      <c r="F3360" s="1"/>
      <c r="G3360" s="1"/>
      <c r="H3360" s="1"/>
      <c r="I3360" s="1"/>
    </row>
    <row r="3361" spans="1:9" ht="62.4" x14ac:dyDescent="0.3">
      <c r="A3361" s="1" t="s">
        <v>9</v>
      </c>
      <c r="B3361" s="1" t="s">
        <v>9</v>
      </c>
      <c r="C3361" s="10" t="s">
        <v>9</v>
      </c>
      <c r="D3361" s="6" t="s">
        <v>3685</v>
      </c>
      <c r="E3361" s="1" t="str">
        <f ca="1">IFERROR(__xludf.DUMMYFUNCTION("GOOGLETRANSLATE(D3361, ""bn"", ""en"")")," Jamaat Islam and Islami Chhatra Shibir chased the Hindus with guns, cocktails, chapatis, iron rods, about a hundred Hindus jumped into the river Bhairav ​​and swam to the other bank.[13] Coconuts, banana trees of Hindus were burnt, cut down. The cowshed "&amp;"was burnt down. The idol was demolished. At least 20 people were seriously injured in the attack.[13] About 600 Hindus from that village swam the Bhairav ​​river and took refuge in Diapara village in Sridhar Union.")</f>
        <v> Jamaat Islam and Islami Chhatra Shibir chased the Hindus with guns, cocktails, chapatis, iron rods, about a hundred Hindus jumped into the river Bhairav ​​and swam to the other bank.[13] Coconuts, banana trees of Hindus were burnt, cut down. The cowshed was burnt down. The idol was demolished. At least 20 people were seriously injured in the attack.[13] About 600 Hindus from that village swam the Bhairav ​​river and took refuge in Diapara village in Sridhar Union.</v>
      </c>
      <c r="F3361" s="1"/>
      <c r="G3361" s="1"/>
      <c r="H3361" s="1"/>
      <c r="I3361" s="1"/>
    </row>
    <row r="3362" spans="1:9" ht="15.6" x14ac:dyDescent="0.3">
      <c r="A3362" s="1" t="s">
        <v>5</v>
      </c>
      <c r="B3362" s="1" t="s">
        <v>5</v>
      </c>
      <c r="C3362" s="10" t="s">
        <v>5</v>
      </c>
      <c r="D3362" s="5" t="s">
        <v>3017</v>
      </c>
      <c r="E3362" s="1" t="str">
        <f ca="1">IFERROR(__xludf.DUMMYFUNCTION("GOOGLETRANSLATE(D3362, ""bn"", ""en"")"),"According to the Salami scholar Ibn Kasir, Arab pagans considered Allah to be an invisible God and the creator and controller of the universe.")</f>
        <v>According to the Salami scholar Ibn Kasir, Arab pagans considered Allah to be an invisible God and the creator and controller of the universe.</v>
      </c>
      <c r="F3362" s="1"/>
      <c r="G3362" s="1"/>
      <c r="H3362" s="1"/>
      <c r="I3362" s="1"/>
    </row>
    <row r="3363" spans="1:9" ht="15.6" x14ac:dyDescent="0.3">
      <c r="A3363" s="1" t="s">
        <v>7</v>
      </c>
      <c r="B3363" s="1" t="s">
        <v>7</v>
      </c>
      <c r="C3363" s="10" t="s">
        <v>7</v>
      </c>
      <c r="D3363" s="5" t="s">
        <v>3018</v>
      </c>
      <c r="E3363" s="1" t="str">
        <f ca="1">IFERROR(__xludf.DUMMYFUNCTION("GOOGLETRANSLATE(D3363, ""bn"", ""en"")"),"Confusion over religion of man killed in Bailey Road fire  Some say Hindu, some say Muslim.  Cremation will not be buried, why the conflict? ")</f>
        <v xml:space="preserve">Confusion over religion of man killed in Bailey Road fire  Some say Hindu, some say Muslim.  Cremation will not be buried, why the conflict? </v>
      </c>
      <c r="F3363" s="1"/>
      <c r="G3363" s="1"/>
      <c r="H3363" s="1"/>
      <c r="I3363" s="1"/>
    </row>
    <row r="3364" spans="1:9" ht="15.6" x14ac:dyDescent="0.3">
      <c r="A3364" s="1" t="s">
        <v>5</v>
      </c>
      <c r="B3364" s="1" t="s">
        <v>5</v>
      </c>
      <c r="C3364" s="10" t="s">
        <v>5</v>
      </c>
      <c r="D3364" s="5" t="s">
        <v>3019</v>
      </c>
      <c r="E3364" s="1" t="str">
        <f ca="1">IFERROR(__xludf.DUMMYFUNCTION("GOOGLETRANSLATE(D3364, ""bn"", ""en"")"),"From the time of the powerful Gupta Empire, the regime gradually reverted to the influence of Hinduism. Local kings from then on tended to lean more towards Hinduism than Buddhism – and focused more on building alliances with Hindu Brahmins than Buddhist "&amp;"monks. ")</f>
        <v>From the time of the powerful Gupta Empire, the regime gradually reverted to the influence of Hinduism. Local kings from then on tended to lean more towards Hinduism than Buddhism – and focused more on building alliances with Hindu Brahmins than Buddhist monks. </v>
      </c>
      <c r="F3364" s="1"/>
      <c r="G3364" s="1"/>
      <c r="H3364" s="1"/>
      <c r="I3364" s="1"/>
    </row>
    <row r="3365" spans="1:9" ht="15.6" x14ac:dyDescent="0.3">
      <c r="A3365" s="1" t="s">
        <v>5</v>
      </c>
      <c r="B3365" s="1" t="s">
        <v>5</v>
      </c>
      <c r="C3365" s="10" t="s">
        <v>5</v>
      </c>
      <c r="D3365" s="5" t="s">
        <v>3020</v>
      </c>
      <c r="E3365" s="1" t="str">
        <f ca="1">IFERROR(__xludf.DUMMYFUNCTION("GOOGLETRANSLATE(D3365, ""bn"", ""en"")"),"One of Panchmishali's friends was a self-hater. For some reason his choice was Christianity. He liked it so much that he decided to convert. ")</f>
        <v xml:space="preserve">One of Panchmishali's friends was a self-hater. For some reason his choice was Christianity. He liked it so much that he decided to convert. </v>
      </c>
      <c r="F3365" s="1"/>
      <c r="G3365" s="1"/>
      <c r="H3365" s="1"/>
      <c r="I3365" s="1"/>
    </row>
    <row r="3366" spans="1:9" ht="15.6" x14ac:dyDescent="0.3">
      <c r="A3366" s="1" t="s">
        <v>7</v>
      </c>
      <c r="B3366" s="1" t="s">
        <v>7</v>
      </c>
      <c r="C3366" s="10" t="s">
        <v>7</v>
      </c>
      <c r="D3366" s="5" t="s">
        <v>3021</v>
      </c>
      <c r="E3366" s="1" t="str">
        <f ca="1">IFERROR(__xludf.DUMMYFUNCTION("GOOGLETRANSLATE(D3366, ""bn"", ""en"")"),"Reports revealed that hundreds of people were killed in Logang in 1992, including being burned alive and shot dead while fleeing in self-defence. ")</f>
        <v>Reports revealed that hundreds of people were killed in Logang in 1992, including being burned alive and shot dead while fleeing in self-defence. </v>
      </c>
      <c r="F3366" s="1"/>
      <c r="G3366" s="1"/>
      <c r="H3366" s="1"/>
      <c r="I3366" s="1"/>
    </row>
    <row r="3367" spans="1:9" ht="15.6" x14ac:dyDescent="0.3">
      <c r="A3367" s="1" t="s">
        <v>5</v>
      </c>
      <c r="B3367" s="1" t="s">
        <v>4</v>
      </c>
      <c r="C3367" s="10" t="s">
        <v>5</v>
      </c>
      <c r="D3367" s="5" t="s">
        <v>3022</v>
      </c>
      <c r="E3367" s="1" t="str">
        <f ca="1">IFERROR(__xludf.DUMMYFUNCTION("GOOGLETRANSLATE(D3367, ""bn"", ""en"")"),"Guide them to the path of truth, give them correct knowledge and enable them to walk in the path of peace and light. May the beautiful teachings of Islam take root in their hearts and may they advance on the path of goodness. 'La ilaha illallahu muhammadu"&amp;"r rasulullah sa'.")</f>
        <v>Guide them to the path of truth, give them correct knowledge and enable them to walk in the path of peace and light. May the beautiful teachings of Islam take root in their hearts and may they advance on the path of goodness. 'La ilaha illallahu muhammadur rasulullah sa'.</v>
      </c>
      <c r="F3367" s="1"/>
      <c r="G3367" s="1"/>
      <c r="H3367" s="1"/>
      <c r="I3367" s="1"/>
    </row>
    <row r="3368" spans="1:9" ht="15.6" x14ac:dyDescent="0.3">
      <c r="A3368" s="4" t="s">
        <v>7</v>
      </c>
      <c r="B3368" s="4" t="s">
        <v>7</v>
      </c>
      <c r="C3368" s="11" t="s">
        <v>7</v>
      </c>
      <c r="D3368" s="5" t="s">
        <v>3023</v>
      </c>
      <c r="E3368" s="1" t="str">
        <f ca="1">IFERROR(__xludf.DUMMYFUNCTION("GOOGLETRANSLATE(D3368, ""bn"", ""en"")"),"Tensions reportedly erupted over Christmas 2007 with violent incidents, resulting in the burning of more than 100 churches and church institutions, including hostels, convents and more than 700 houses. Three people were killed within three days of Christm"&amp;"as.")</f>
        <v>Tensions reportedly erupted over Christmas 2007 with violent incidents, resulting in the burning of more than 100 churches and church institutions, including hostels, convents and more than 700 houses. Three people were killed within three days of Christmas.</v>
      </c>
      <c r="F3368" s="1"/>
      <c r="G3368" s="1"/>
      <c r="H3368" s="1"/>
      <c r="I3368" s="1"/>
    </row>
    <row r="3369" spans="1:9" ht="15.6" x14ac:dyDescent="0.3">
      <c r="A3369" s="1" t="s">
        <v>9</v>
      </c>
      <c r="B3369" s="1" t="s">
        <v>4</v>
      </c>
      <c r="C3369" s="10" t="s">
        <v>9</v>
      </c>
      <c r="D3369" s="5" t="s">
        <v>3024</v>
      </c>
      <c r="E3369" s="1" t="str">
        <f ca="1">IFERROR(__xludf.DUMMYFUNCTION("GOOGLETRANSLATE(D3369, ""bn"", ""en"")"),"US President Donald Trump has been furious with the media over the controversy he has created over the terrorist attacks on two mosques in New Zealand. He also alleged that the media is making a ""ridiculous attempt"" to pin the responsibility of the atta"&amp;"ck on him.")</f>
        <v>US President Donald Trump has been furious with the media over the controversy he has created over the terrorist attacks on two mosques in New Zealand. He also alleged that the media is making a "ridiculous attempt" to pin the responsibility of the attack on him.</v>
      </c>
      <c r="F3369" s="1"/>
      <c r="G3369" s="1"/>
      <c r="H3369" s="1"/>
      <c r="I3369" s="1"/>
    </row>
    <row r="3370" spans="1:9" ht="15.6" x14ac:dyDescent="0.3">
      <c r="A3370" s="1" t="s">
        <v>4</v>
      </c>
      <c r="B3370" s="1" t="s">
        <v>4</v>
      </c>
      <c r="C3370" s="10" t="s">
        <v>4</v>
      </c>
      <c r="D3370" s="5" t="s">
        <v>3025</v>
      </c>
      <c r="E3370" s="1" t="str">
        <f ca="1">IFERROR(__xludf.DUMMYFUNCTION("GOOGLETRANSLATE(D3370, ""bn"", ""en"")"),"In fact, freedom of expression does not mean that you can do whatever you want. Religious freedom and belief is a very sensitive issue for many and trivializing it is nothing short of sheer folly.")</f>
        <v>In fact, freedom of expression does not mean that you can do whatever you want. Religious freedom and belief is a very sensitive issue for many and trivializing it is nothing short of sheer folly.</v>
      </c>
      <c r="F3370" s="1"/>
      <c r="G3370" s="1"/>
      <c r="H3370" s="1"/>
      <c r="I3370" s="1"/>
    </row>
    <row r="3371" spans="1:9" ht="15.6" x14ac:dyDescent="0.3">
      <c r="A3371" s="1" t="s">
        <v>5</v>
      </c>
      <c r="B3371" s="1" t="s">
        <v>5</v>
      </c>
      <c r="C3371" s="10" t="s">
        <v>5</v>
      </c>
      <c r="D3371" s="5" t="s">
        <v>3026</v>
      </c>
      <c r="E3371" s="1" t="str">
        <f ca="1">IFERROR(__xludf.DUMMYFUNCTION("GOOGLETRANSLATE(D3371, ""bn"", ""en"")"),"This religion came into being through Guru Nanak in 1506-07 and when Guru Nanak returned, his followers remained to propagate the religion. When some Bengalis adopted this religious belief, a Sikh community was born.")</f>
        <v>This religion came into being through Guru Nanak in 1506-07 and when Guru Nanak returned, his followers remained to propagate the religion. When some Bengalis adopted this religious belief, a Sikh community was born.</v>
      </c>
      <c r="F3371" s="1"/>
      <c r="G3371" s="1"/>
      <c r="H3371" s="1"/>
      <c r="I3371" s="1"/>
    </row>
    <row r="3372" spans="1:9" ht="15.6" x14ac:dyDescent="0.3">
      <c r="A3372" s="1" t="s">
        <v>9</v>
      </c>
      <c r="B3372" s="1" t="s">
        <v>9</v>
      </c>
      <c r="C3372" s="10" t="s">
        <v>9</v>
      </c>
      <c r="D3372" s="5" t="s">
        <v>3027</v>
      </c>
      <c r="E3372" s="1" t="str">
        <f ca="1">IFERROR(__xludf.DUMMYFUNCTION("GOOGLETRANSLATE(D3372, ""bn"", ""en"")"),"Almost all the Hindu houses in Raja Dinendra Street were set on fire")</f>
        <v>Almost all the Hindu houses in Raja Dinendra Street were set on fire</v>
      </c>
      <c r="F3372" s="1"/>
      <c r="G3372" s="1"/>
      <c r="H3372" s="1"/>
      <c r="I3372" s="1"/>
    </row>
    <row r="3373" spans="1:9" ht="62.4" x14ac:dyDescent="0.3">
      <c r="A3373" s="1" t="s">
        <v>7</v>
      </c>
      <c r="B3373" s="1" t="s">
        <v>7</v>
      </c>
      <c r="C3373" s="10" t="s">
        <v>7</v>
      </c>
      <c r="D3373" s="6" t="s">
        <v>3684</v>
      </c>
      <c r="E3373" s="1" t="str">
        <f ca="1">IFERROR(__xludf.DUMMYFUNCTION("GOOGLETRANSLATE(D3373, ""bn"", ""en"")"),"""Those who have been killed, who would not have been killed, had they not been Christians."" [117] Open Doors documents that anti-Christian sentiment is currently based on direct evidence and conservative estimates based on circumstantial evidence. [118]"&amp;" This method dramatically reduces the number of digits. Open Doors says that, although the numbers fluctuate each year, they estimate that 11 Christians are currently dying for their faith somewhere in the world.")</f>
        <v>"Those who have been killed, who would not have been killed, had they not been Christians." [117] Open Doors documents that anti-Christian sentiment is currently based on direct evidence and conservative estimates based on circumstantial evidence. [118] This method dramatically reduces the number of digits. Open Doors says that, although the numbers fluctuate each year, they estimate that 11 Christians are currently dying for their faith somewhere in the world.</v>
      </c>
      <c r="F3373" s="1"/>
      <c r="G3373" s="1"/>
      <c r="H3373" s="1"/>
      <c r="I3373" s="1"/>
    </row>
    <row r="3374" spans="1:9" ht="15.6" x14ac:dyDescent="0.3">
      <c r="A3374" s="1" t="s">
        <v>7</v>
      </c>
      <c r="B3374" s="1" t="s">
        <v>5</v>
      </c>
      <c r="C3374" s="10" t="s">
        <v>7</v>
      </c>
      <c r="D3374" s="5" t="s">
        <v>3028</v>
      </c>
      <c r="E3374" s="1" t="str">
        <f ca="1">IFERROR(__xludf.DUMMYFUNCTION("GOOGLETRANSLATE(D3374, ""bn"", ""en"")"),"Namaz is obligatory for Muslims, veiling is also obligatory, if you die, even after death, sin will be written only for naked profile picture.")</f>
        <v>Namaz is obligatory for Muslims, veiling is also obligatory, if you die, even after death, sin will be written only for naked profile picture.</v>
      </c>
      <c r="F3374" s="1"/>
      <c r="G3374" s="1"/>
      <c r="H3374" s="1"/>
      <c r="I3374" s="1"/>
    </row>
    <row r="3375" spans="1:9" ht="15.6" x14ac:dyDescent="0.3">
      <c r="A3375" s="1" t="s">
        <v>9</v>
      </c>
      <c r="B3375" s="1" t="s">
        <v>9</v>
      </c>
      <c r="C3375" s="10" t="s">
        <v>9</v>
      </c>
      <c r="D3375" s="5" t="s">
        <v>3029</v>
      </c>
      <c r="E3375" s="1" t="str">
        <f ca="1">IFERROR(__xludf.DUMMYFUNCTION("GOOGLETRANSLATE(D3375, ""bn"", ""en"")"),"After the inauguration of Operation Searchlight, the Peace Committee and Rajakar Bahini were organized in Khulna. In April, the Razakars started torturing the Hindus and looting their property. ")</f>
        <v>After the inauguration of Operation Searchlight, the Peace Committee and Rajakar Bahini were organized in Khulna. In April, the Razakars started torturing the Hindus and looting their property. </v>
      </c>
      <c r="F3375" s="1"/>
      <c r="G3375" s="1"/>
      <c r="H3375" s="1"/>
      <c r="I3375" s="1"/>
    </row>
    <row r="3376" spans="1:9" ht="15.6" x14ac:dyDescent="0.3">
      <c r="A3376" s="1" t="s">
        <v>7</v>
      </c>
      <c r="B3376" s="1" t="s">
        <v>7</v>
      </c>
      <c r="C3376" s="10" t="s">
        <v>7</v>
      </c>
      <c r="D3376" s="5" t="s">
        <v>3030</v>
      </c>
      <c r="E3376" s="1" t="str">
        <f ca="1">IFERROR(__xludf.DUMMYFUNCTION("GOOGLETRANSLATE(D3376, ""bn"", ""en"")")," One of the Rajakars asked Sen to say Joy Bangla. As soon as he chanted Jai Bangla, a Pakistani soldier shot Rajni Sen dead with the barrel of his rifle.")</f>
        <v> One of the Rajakars asked Sen to say Joy Bangla. As soon as he chanted Jai Bangla, a Pakistani soldier shot Rajni Sen dead with the barrel of his rifle.</v>
      </c>
      <c r="F3376" s="1"/>
      <c r="G3376" s="1"/>
      <c r="H3376" s="1"/>
      <c r="I3376" s="1"/>
    </row>
    <row r="3377" spans="1:9" ht="15.6" x14ac:dyDescent="0.3">
      <c r="A3377" s="1" t="s">
        <v>4</v>
      </c>
      <c r="B3377" s="1" t="s">
        <v>4</v>
      </c>
      <c r="C3377" s="10" t="s">
        <v>4</v>
      </c>
      <c r="D3377" s="5" t="s">
        <v>3031</v>
      </c>
      <c r="E3377" s="1" t="str">
        <f ca="1">IFERROR(__xludf.DUMMYFUNCTION("GOOGLETRANSLATE(D3377, ""bn"", ""en"")")," Abbas Salimi Namin is a famous researcher of Tehran. Regarding insulting the Holy Qur'an, he said, ""It (burning the Qur'an) is an insult to the religion of Muslims."" But what is more unfortunate is that the religious values ​​of a large community are b"&amp;"eing insulted in the name of protecting freedom of expression.")</f>
        <v> Abbas Salimi Namin is a famous researcher of Tehran. Regarding insulting the Holy Qur'an, he said, "It (burning the Qur'an) is an insult to the religion of Muslims." But what is more unfortunate is that the religious values ​​of a large community are being insulted in the name of protecting freedom of expression.</v>
      </c>
      <c r="F3377" s="1"/>
      <c r="G3377" s="1"/>
      <c r="H3377" s="1"/>
      <c r="I3377" s="1"/>
    </row>
    <row r="3378" spans="1:9" ht="15.6" x14ac:dyDescent="0.3">
      <c r="A3378" s="1" t="s">
        <v>5</v>
      </c>
      <c r="B3378" s="1" t="s">
        <v>5</v>
      </c>
      <c r="C3378" s="10" t="s">
        <v>5</v>
      </c>
      <c r="D3378" s="5" t="s">
        <v>3032</v>
      </c>
      <c r="E3378" s="1" t="str">
        <f ca="1">IFERROR(__xludf.DUMMYFUNCTION("GOOGLETRANSLATE(D3378, ""bn"", ""en"")"),"He does not need the intercession of anyone or anything to worship him or seek his help")</f>
        <v>He does not need the intercession of anyone or anything to worship him or seek his help</v>
      </c>
      <c r="F3378" s="1"/>
      <c r="G3378" s="1"/>
      <c r="H3378" s="1"/>
      <c r="I3378" s="1"/>
    </row>
    <row r="3379" spans="1:9" ht="15.6" x14ac:dyDescent="0.3">
      <c r="A3379" s="1" t="s">
        <v>9</v>
      </c>
      <c r="B3379" s="1" t="s">
        <v>4</v>
      </c>
      <c r="C3379" s="10" t="s">
        <v>9</v>
      </c>
      <c r="D3379" s="5" t="s">
        <v>3033</v>
      </c>
      <c r="E3379" s="1" t="str">
        <f ca="1">IFERROR(__xludf.DUMMYFUNCTION("GOOGLETRANSLATE(D3379, ""bn"", ""en"")"),"An Iraqi Christian living in Sweden is behind the recent burning of the Quran in Sweden. Many people think that the purpose of insulting the Quran is to create communal riots between Muslims and non-Muslims in Europe.")</f>
        <v>An Iraqi Christian living in Sweden is behind the recent burning of the Quran in Sweden. Many people think that the purpose of insulting the Quran is to create communal riots between Muslims and non-Muslims in Europe.</v>
      </c>
      <c r="F3379" s="1"/>
      <c r="G3379" s="1"/>
      <c r="H3379" s="1"/>
      <c r="I3379" s="1"/>
    </row>
    <row r="3380" spans="1:9" ht="15.6" x14ac:dyDescent="0.3">
      <c r="A3380" s="1" t="s">
        <v>7</v>
      </c>
      <c r="B3380" s="1" t="s">
        <v>7</v>
      </c>
      <c r="C3380" s="10" t="s">
        <v>7</v>
      </c>
      <c r="D3380" s="5" t="s">
        <v>3034</v>
      </c>
      <c r="E3380" s="1" t="str">
        <f ca="1">IFERROR(__xludf.DUMMYFUNCTION("GOOGLETRANSLATE(D3380, ""bn"", ""en"")"),"Salwan Momika (38), a young man who burnt holy books of Muslims in Sweden, was shot dead. He instigated violent protests by burning religious books.")</f>
        <v>Salwan Momika (38), a young man who burnt holy books of Muslims in Sweden, was shot dead. He instigated violent protests by burning religious books.</v>
      </c>
      <c r="F3380" s="1"/>
      <c r="G3380" s="1"/>
      <c r="H3380" s="1"/>
      <c r="I3380" s="1"/>
    </row>
    <row r="3381" spans="1:9" ht="15.6" x14ac:dyDescent="0.3">
      <c r="A3381" s="1" t="s">
        <v>9</v>
      </c>
      <c r="B3381" s="1" t="s">
        <v>9</v>
      </c>
      <c r="C3381" s="10" t="s">
        <v>9</v>
      </c>
      <c r="D3381" s="5" t="s">
        <v>3035</v>
      </c>
      <c r="E3381" s="1" t="str">
        <f ca="1">IFERROR(__xludf.DUMMYFUNCTION("GOOGLETRANSLATE(D3381, ""bn"", ""en"")"),"The then-BBC correspondent Tural Baria referred to the incident as ""Dha dhatb-dhsdhahahbf dharmats,"" and he called the Babri Masjid demolition ""hajab bharahadhs dhatradpadharrah"" in his investigative report on the plan since 1990. ")</f>
        <v>The then-BBC correspondent Tural Baria referred to the incident as "Dha dhatb-dhsdhahahbf dharmats," and he called the Babri Masjid demolition "hajab bharahadhs dhatradpadharrah" in his investigative report on the plan since 1990. </v>
      </c>
      <c r="F3381" s="1"/>
      <c r="G3381" s="1"/>
      <c r="H3381" s="1"/>
      <c r="I3381" s="1"/>
    </row>
    <row r="3382" spans="1:9" ht="15.6" x14ac:dyDescent="0.3">
      <c r="A3382" s="1" t="s">
        <v>7</v>
      </c>
      <c r="B3382" s="1" t="s">
        <v>7</v>
      </c>
      <c r="C3382" s="10" t="s">
        <v>7</v>
      </c>
      <c r="D3382" s="5" t="s">
        <v>3036</v>
      </c>
      <c r="E3382" s="1" t="str">
        <f ca="1">IFERROR(__xludf.DUMMYFUNCTION("GOOGLETRANSLATE(D3382, ""bn"", ""en"")"),"Junaid Hafeez's first lawyer took charge of the case in 2014, the same year he was shot dead.")</f>
        <v>Junaid Hafeez's first lawyer took charge of the case in 2014, the same year he was shot dead.</v>
      </c>
      <c r="F3382" s="1"/>
      <c r="G3382" s="1"/>
      <c r="H3382" s="1"/>
      <c r="I3382" s="1"/>
    </row>
    <row r="3383" spans="1:9" ht="15.6" x14ac:dyDescent="0.3">
      <c r="A3383" s="1" t="s">
        <v>4</v>
      </c>
      <c r="B3383" s="1" t="s">
        <v>5</v>
      </c>
      <c r="C3383" s="10" t="s">
        <v>4</v>
      </c>
      <c r="D3383" s="5" t="s">
        <v>3037</v>
      </c>
      <c r="E3383" s="1" t="str">
        <f ca="1">IFERROR(__xludf.DUMMYFUNCTION("GOOGLETRANSLATE(D3383, ""bn"", ""en"")"),"Local Muslims watched the poster with great interest and some zealots vowed revenge against it. On 11th February, Muslims shouted for the blood of Hindus in the rally organized at Govinda Park.")</f>
        <v>Local Muslims watched the poster with great interest and some zealots vowed revenge against it. On 11th February, Muslims shouted for the blood of Hindus in the rally organized at Govinda Park.</v>
      </c>
      <c r="F3383" s="1"/>
      <c r="G3383" s="1"/>
      <c r="H3383" s="1"/>
      <c r="I3383" s="1"/>
    </row>
    <row r="3384" spans="1:9" ht="15.6" x14ac:dyDescent="0.3">
      <c r="A3384" s="1" t="s">
        <v>4</v>
      </c>
      <c r="B3384" s="1" t="s">
        <v>4</v>
      </c>
      <c r="C3384" s="10" t="s">
        <v>4</v>
      </c>
      <c r="D3384" s="5" t="s">
        <v>3038</v>
      </c>
      <c r="E3384" s="1" t="str">
        <f ca="1">IFERROR(__xludf.DUMMYFUNCTION("GOOGLETRANSLATE(D3384, ""bn"", ""en"")"),"Ramadan is not a joke topic that you edit caps/hijabs on the heads of BTS members and caption 'Ramadan Mubarak from me and my son-in-law (any BTS member)' etc etc!")</f>
        <v>Ramadan is not a joke topic that you edit caps/hijabs on the heads of BTS members and caption 'Ramadan Mubarak from me and my son-in-law (any BTS member)' etc etc!</v>
      </c>
      <c r="F3384" s="1"/>
      <c r="G3384" s="1"/>
      <c r="H3384" s="1"/>
      <c r="I3384" s="1"/>
    </row>
    <row r="3385" spans="1:9" ht="15.6" x14ac:dyDescent="0.3">
      <c r="A3385" s="1" t="s">
        <v>9</v>
      </c>
      <c r="B3385" s="1" t="s">
        <v>9</v>
      </c>
      <c r="C3385" s="10" t="s">
        <v>9</v>
      </c>
      <c r="D3385" s="5" t="s">
        <v>3039</v>
      </c>
      <c r="E3385" s="1" t="str">
        <f ca="1">IFERROR(__xludf.DUMMYFUNCTION("GOOGLETRANSLATE(D3385, ""bn"", ""en"")"),"Comilla mosque attacked and vandalized during prayers, 4 injured")</f>
        <v>Comilla mosque attacked and vandalized during prayers, 4 injured</v>
      </c>
      <c r="F3385" s="1"/>
      <c r="G3385" s="1"/>
      <c r="H3385" s="1"/>
      <c r="I3385" s="1"/>
    </row>
    <row r="3386" spans="1:9" ht="15.6" x14ac:dyDescent="0.3">
      <c r="A3386" s="1" t="s">
        <v>9</v>
      </c>
      <c r="B3386" s="1" t="s">
        <v>4</v>
      </c>
      <c r="C3386" s="10" t="s">
        <v>9</v>
      </c>
      <c r="D3386" s="5" t="s">
        <v>3040</v>
      </c>
      <c r="E3386" s="1" t="str">
        <f ca="1">IFERROR(__xludf.DUMMYFUNCTION("GOOGLETRANSLATE(D3386, ""bn"", ""en"")"),"The riots paved the way for the partition of Bengal into Hindu-dominated West Bengal, including Calcutta, and Muslim-dominated East Bengal (present-day Bangladesh).[8]")</f>
        <v>The riots paved the way for the partition of Bengal into Hindu-dominated West Bengal, including Calcutta, and Muslim-dominated East Bengal (present-day Bangladesh).[8]</v>
      </c>
      <c r="F3386" s="1"/>
      <c r="G3386" s="1"/>
      <c r="H3386" s="1"/>
      <c r="I3386" s="1"/>
    </row>
    <row r="3387" spans="1:9" ht="15.6" x14ac:dyDescent="0.3">
      <c r="A3387" s="1" t="s">
        <v>4</v>
      </c>
      <c r="B3387" s="1" t="s">
        <v>4</v>
      </c>
      <c r="C3387" s="10" t="s">
        <v>4</v>
      </c>
      <c r="D3387" s="5" t="s">
        <v>3041</v>
      </c>
      <c r="E3387" s="1" t="str">
        <f ca="1">IFERROR(__xludf.DUMMYFUNCTION("GOOGLETRANSLATE(D3387, ""bn"", ""en"")"),"Muslims protest against every anti-Islam act and get beaten up, but no action is ever taken against those who spread this hatred. This is the judicial system of Bangladesh ")</f>
        <v xml:space="preserve">Muslims protest against every anti-Islam act and get beaten up, but no action is ever taken against those who spread this hatred. This is the judicial system of Bangladesh </v>
      </c>
      <c r="F3387" s="1"/>
      <c r="G3387" s="1"/>
      <c r="H3387" s="1"/>
      <c r="I3387" s="1"/>
    </row>
    <row r="3388" spans="1:9" ht="15.6" x14ac:dyDescent="0.3">
      <c r="A3388" s="1" t="s">
        <v>7</v>
      </c>
      <c r="B3388" s="1" t="s">
        <v>7</v>
      </c>
      <c r="C3388" s="10" t="s">
        <v>7</v>
      </c>
      <c r="D3388" s="5" t="s">
        <v>3042</v>
      </c>
      <c r="E3388" s="1" t="str">
        <f ca="1">IFERROR(__xludf.DUMMYFUNCTION("GOOGLETRANSLATE(D3388, ""bn"", ""en"")"),"When a person unlawfully takes the life of another person it is called murder. This type of killing has been declared haram in Islam in Quran and Hadith.")</f>
        <v>When a person unlawfully takes the life of another person it is called murder. This type of killing has been declared haram in Islam in Quran and Hadith.</v>
      </c>
      <c r="F3388" s="1"/>
      <c r="G3388" s="1"/>
      <c r="H3388" s="1"/>
      <c r="I3388" s="1"/>
    </row>
    <row r="3389" spans="1:9" ht="15.6" x14ac:dyDescent="0.3">
      <c r="A3389" s="1" t="s">
        <v>9</v>
      </c>
      <c r="B3389" s="1" t="s">
        <v>9</v>
      </c>
      <c r="C3389" s="10" t="s">
        <v>9</v>
      </c>
      <c r="D3389" s="5" t="s">
        <v>3043</v>
      </c>
      <c r="E3389" s="1" t="str">
        <f ca="1">IFERROR(__xludf.DUMMYFUNCTION("GOOGLETRANSLATE(D3389, ""bn"", ""en"")"),"After the pictures and videos of this incident spread on social media, there were attacks on temples in Chandpur, Chittagong, Cox's Bazar. The question is, without verifying the truth of any incident, why does the Facebook authority give the opportunity t"&amp;"o promote such incidents? In this case, the authorities of Facebook can be said to destroy communal harmony?")</f>
        <v>After the pictures and videos of this incident spread on social media, there were attacks on temples in Chandpur, Chittagong, Cox's Bazar. The question is, without verifying the truth of any incident, why does the Facebook authority give the opportunity to promote such incidents? In this case, the authorities of Facebook can be said to destroy communal harmony?</v>
      </c>
      <c r="F3389" s="1"/>
      <c r="G3389" s="1"/>
      <c r="H3389" s="1"/>
      <c r="I3389" s="1"/>
    </row>
    <row r="3390" spans="1:9" ht="15.6" x14ac:dyDescent="0.3">
      <c r="A3390" s="1" t="s">
        <v>5</v>
      </c>
      <c r="B3390" s="1" t="s">
        <v>5</v>
      </c>
      <c r="C3390" s="10" t="s">
        <v>5</v>
      </c>
      <c r="D3390" s="5" t="s">
        <v>3044</v>
      </c>
      <c r="E3390" s="1" t="str">
        <f ca="1">IFERROR(__xludf.DUMMYFUNCTION("GOOGLETRANSLATE(D3390, ""bn"", ""en"")"),"If we talk about food then we have to say about science that all foods are good for people if you search you will see that in Islam already said such news is good for people and such news is bad for people")</f>
        <v>If we talk about food then we have to say about science that all foods are good for people if you search you will see that in Islam already said such news is good for people and such news is bad for people</v>
      </c>
      <c r="F3390" s="1"/>
      <c r="G3390" s="1"/>
      <c r="H3390" s="1"/>
      <c r="I3390" s="1"/>
    </row>
    <row r="3391" spans="1:9" ht="15.6" x14ac:dyDescent="0.3">
      <c r="A3391" s="1" t="s">
        <v>9</v>
      </c>
      <c r="B3391" s="1" t="s">
        <v>4</v>
      </c>
      <c r="C3391" s="10" t="s">
        <v>9</v>
      </c>
      <c r="D3391" s="5" t="s">
        <v>3045</v>
      </c>
      <c r="E3391" s="1" t="str">
        <f ca="1">IFERROR(__xludf.DUMMYFUNCTION("GOOGLETRANSLATE(D3391, ""bn"", ""en"")"),"Tension was spread in the area by alleging that a Hindu youth posted religious insults on Facebook. Although the young man's house was saved, the mad mob set fire to the houses of several distant Hindus.")</f>
        <v>Tension was spread in the area by alleging that a Hindu youth posted religious insults on Facebook. Although the young man's house was saved, the mad mob set fire to the houses of several distant Hindus.</v>
      </c>
      <c r="F3391" s="1"/>
      <c r="G3391" s="1"/>
      <c r="H3391" s="1"/>
      <c r="I3391" s="1"/>
    </row>
    <row r="3392" spans="1:9" ht="15.6" x14ac:dyDescent="0.3">
      <c r="A3392" s="1" t="s">
        <v>7</v>
      </c>
      <c r="B3392" s="1" t="s">
        <v>7</v>
      </c>
      <c r="C3392" s="10" t="s">
        <v>7</v>
      </c>
      <c r="D3392" s="5" t="s">
        <v>3046</v>
      </c>
      <c r="E3392" s="1" t="str">
        <f ca="1">IFERROR(__xludf.DUMMYFUNCTION("GOOGLETRANSLATE(D3392, ""bn"", ""en"")"),"Hitler and Saddam Hussein are not alive, if they were, it wouldn't have been seen because these Jews were the apple of Hitler's and Saddam's eyes, that's why Hitler had the world record of killing 6 million Jews.")</f>
        <v>Hitler and Saddam Hussein are not alive, if they were, it wouldn't have been seen because these Jews were the apple of Hitler's and Saddam's eyes, that's why Hitler had the world record of killing 6 million Jews.</v>
      </c>
      <c r="F3392" s="1"/>
      <c r="G3392" s="1"/>
      <c r="H3392" s="1"/>
      <c r="I3392" s="1"/>
    </row>
    <row r="3393" spans="1:9" ht="15.6" x14ac:dyDescent="0.3">
      <c r="A3393" s="1" t="s">
        <v>9</v>
      </c>
      <c r="B3393" s="1" t="s">
        <v>9</v>
      </c>
      <c r="C3393" s="10" t="s">
        <v>9</v>
      </c>
      <c r="D3393" s="5" t="s">
        <v>3047</v>
      </c>
      <c r="E3393" s="1" t="str">
        <f ca="1">IFERROR(__xludf.DUMMYFUNCTION("GOOGLETRANSLATE(D3393, ""bn"", ""en"")"),"Al Qaeda has already threatened to attack India and Bangladesh. The government has to value the sentiments of the people, considering that no ulterior motive can push the country under the threat of extremism by exploiting the sentiments of the people.")</f>
        <v>Al Qaeda has already threatened to attack India and Bangladesh. The government has to value the sentiments of the people, considering that no ulterior motive can push the country under the threat of extremism by exploiting the sentiments of the people.</v>
      </c>
      <c r="F3393" s="1"/>
      <c r="G3393" s="1"/>
      <c r="H3393" s="1"/>
      <c r="I3393" s="1"/>
    </row>
    <row r="3394" spans="1:9" ht="15.6" x14ac:dyDescent="0.3">
      <c r="A3394" s="1" t="s">
        <v>9</v>
      </c>
      <c r="B3394" s="1" t="s">
        <v>9</v>
      </c>
      <c r="C3394" s="10" t="s">
        <v>9</v>
      </c>
      <c r="D3394" s="5" t="s">
        <v>640</v>
      </c>
      <c r="E3394" s="1" t="str">
        <f ca="1">IFERROR(__xludf.DUMMYFUNCTION("GOOGLETRANSLATE(D3394, ""bn"", ""en"")"),"On March 17, 2021 AD, hundreds of houses of the Hindu community were attacked in Habibpur Noagaon village of Shalla Upazila of Sunamganj on charges of insulting popular Islamic scholar Mamunul Haque by a Hindu youth on social media.")</f>
        <v>On March 17, 2021 AD, hundreds of houses of the Hindu community were attacked in Habibpur Noagaon village of Shalla Upazila of Sunamganj on charges of insulting popular Islamic scholar Mamunul Haque by a Hindu youth on social media.</v>
      </c>
      <c r="F3394" s="1"/>
      <c r="G3394" s="1"/>
      <c r="H3394" s="1"/>
      <c r="I3394" s="1"/>
    </row>
    <row r="3395" spans="1:9" ht="15.6" x14ac:dyDescent="0.3">
      <c r="A3395" s="1" t="s">
        <v>5</v>
      </c>
      <c r="B3395" s="1" t="s">
        <v>5</v>
      </c>
      <c r="C3395" s="10" t="s">
        <v>5</v>
      </c>
      <c r="D3395" s="5" t="s">
        <v>3048</v>
      </c>
      <c r="E3395" s="1" t="str">
        <f ca="1">IFERROR(__xludf.DUMMYFUNCTION("GOOGLETRANSLATE(D3395, ""bn"", ""en"")"),"What you worship is entirely your personal belief and freedom. But let's all respect each other's beliefs and create a harmonious environment.")</f>
        <v>What you worship is entirely your personal belief and freedom. But let's all respect each other's beliefs and create a harmonious environment.</v>
      </c>
      <c r="F3395" s="1"/>
      <c r="G3395" s="1"/>
      <c r="H3395" s="1"/>
      <c r="I3395" s="1"/>
    </row>
    <row r="3396" spans="1:9" ht="62.4" x14ac:dyDescent="0.3">
      <c r="A3396" s="1" t="s">
        <v>9</v>
      </c>
      <c r="B3396" s="1" t="s">
        <v>9</v>
      </c>
      <c r="C3396" s="10" t="s">
        <v>9</v>
      </c>
      <c r="D3396" s="6" t="s">
        <v>3683</v>
      </c>
      <c r="E3396" s="1" t="str">
        <f ca="1">IFERROR(__xludf.DUMMYFUNCTION("GOOGLETRANSLATE(D3396, ""bn"", ""en"")"),"It is also the responsibility of the Haqqani scholars today to try to guide them from their deviation. Especially, the scholars will try to save the common Muslims from such misguided and deviant factions with the help of sermons, writings and recognized "&amp;"peaceful means. It is the special responsibility of scholars. But there is no provision in the Shariah for any person to attack the religious places of any such misguided faction. So from a religious point of view, this kind of attack is very clear.")</f>
        <v>It is also the responsibility of the Haqqani scholars today to try to guide them from their deviation. Especially, the scholars will try to save the common Muslims from such misguided and deviant factions with the help of sermons, writings and recognized peaceful means. It is the special responsibility of scholars. But there is no provision in the Shariah for any person to attack the religious places of any such misguided faction. So from a religious point of view, this kind of attack is very clear.</v>
      </c>
      <c r="F3396" s="1"/>
      <c r="G3396" s="1"/>
      <c r="H3396" s="1"/>
      <c r="I3396" s="1"/>
    </row>
    <row r="3397" spans="1:9" ht="15.6" x14ac:dyDescent="0.3">
      <c r="A3397" s="4" t="s">
        <v>7</v>
      </c>
      <c r="B3397" s="4" t="s">
        <v>7</v>
      </c>
      <c r="C3397" s="11" t="s">
        <v>7</v>
      </c>
      <c r="D3397" s="5" t="s">
        <v>3049</v>
      </c>
      <c r="E3397" s="1" t="str">
        <f ca="1">IFERROR(__xludf.DUMMYFUNCTION("GOOGLETRANSLATE(D3397, ""bn"", ""en"")"),"On the pretext of arresting Muslim Brotherhood workers, raids and arrests were also carried out on homes. Genocide was carried out with mass destruction vehicles in Shahajur. At least 40 thousand Muslims were killed.")</f>
        <v>On the pretext of arresting Muslim Brotherhood workers, raids and arrests were also carried out on homes. Genocide was carried out with mass destruction vehicles in Shahajur. At least 40 thousand Muslims were killed.</v>
      </c>
      <c r="F3397" s="1"/>
      <c r="G3397" s="1"/>
      <c r="H3397" s="1"/>
      <c r="I3397" s="1"/>
    </row>
    <row r="3398" spans="1:9" ht="15.6" x14ac:dyDescent="0.3">
      <c r="A3398" s="1" t="s">
        <v>5</v>
      </c>
      <c r="B3398" s="1" t="s">
        <v>5</v>
      </c>
      <c r="C3398" s="10" t="s">
        <v>5</v>
      </c>
      <c r="D3398" s="5" t="s">
        <v>3050</v>
      </c>
      <c r="E3398" s="1" t="str">
        <f ca="1">IFERROR(__xludf.DUMMYFUNCTION("GOOGLETRANSLATE(D3398, ""bn"", ""en"")"),"The central administration of the Congregation, known as the ""Holy Papacy"", is located in Vatican City, an independent city-state within the city of Rome, Italy.")</f>
        <v>The central administration of the Congregation, known as the "Holy Papacy", is located in Vatican City, an independent city-state within the city of Rome, Italy.</v>
      </c>
      <c r="F3398" s="1"/>
      <c r="G3398" s="1"/>
      <c r="H3398" s="1"/>
      <c r="I3398" s="1"/>
    </row>
    <row r="3399" spans="1:9" ht="15.6" x14ac:dyDescent="0.3">
      <c r="A3399" s="1" t="s">
        <v>7</v>
      </c>
      <c r="B3399" s="1" t="s">
        <v>7</v>
      </c>
      <c r="C3399" s="10" t="s">
        <v>7</v>
      </c>
      <c r="D3399" s="5" t="s">
        <v>3051</v>
      </c>
      <c r="E3399" s="1" t="str">
        <f ca="1">IFERROR(__xludf.DUMMYFUNCTION("GOOGLETRANSLATE(D3399, ""bn"", ""en"")"),"It's a strange world. Actually, when a person falls into depression, he knows how much he tries to survive. The people of the world kill him, kill him.")</f>
        <v>It's a strange world. Actually, when a person falls into depression, he knows how much he tries to survive. The people of the world kill him, kill him.</v>
      </c>
      <c r="F3399" s="1"/>
      <c r="G3399" s="1"/>
      <c r="H3399" s="1"/>
      <c r="I3399" s="1"/>
    </row>
    <row r="3400" spans="1:9" ht="15.6" x14ac:dyDescent="0.3">
      <c r="A3400" s="1" t="s">
        <v>5</v>
      </c>
      <c r="B3400" s="1" t="s">
        <v>5</v>
      </c>
      <c r="C3400" s="10" t="s">
        <v>5</v>
      </c>
      <c r="D3400" s="5" t="s">
        <v>3052</v>
      </c>
      <c r="E3400" s="1" t="str">
        <f ca="1">IFERROR(__xludf.DUMMYFUNCTION("GOOGLETRANSLATE(D3400, ""bn"", ""en"")"),"I am a practicing Muslim. My religion has taught me that 5 times prayer is obligatory, 1 month fasting is obligatory, Zakat is obligatory, Hajj is obligatory. It is fard for men to wear clothes on their ankles.")</f>
        <v>I am a practicing Muslim. My religion has taught me that 5 times prayer is obligatory, 1 month fasting is obligatory, Zakat is obligatory, Hajj is obligatory. It is fard for men to wear clothes on their ankles.</v>
      </c>
      <c r="F3400" s="1"/>
      <c r="G3400" s="1"/>
      <c r="H3400" s="1"/>
      <c r="I3400" s="1"/>
    </row>
    <row r="3401" spans="1:9" ht="15.6" x14ac:dyDescent="0.3">
      <c r="A3401" s="1" t="s">
        <v>4</v>
      </c>
      <c r="B3401" s="1" t="s">
        <v>4</v>
      </c>
      <c r="C3401" s="10" t="s">
        <v>4</v>
      </c>
      <c r="D3401" s="5" t="s">
        <v>3053</v>
      </c>
      <c r="E3401" s="1" t="str">
        <f ca="1">IFERROR(__xludf.DUMMYFUNCTION("GOOGLETRANSLATE(D3401, ""bn"", ""en"")"),"Some people have now tagged you Shahbagi again. I just wonder who they really are.. who have no qualifications to criticize you with all these tags...!")</f>
        <v>Some people have now tagged you Shahbagi again. I just wonder who they really are.. who have no qualifications to criticize you with all these tags...!</v>
      </c>
      <c r="F3401" s="1"/>
      <c r="G3401" s="1"/>
      <c r="H3401" s="1"/>
      <c r="I3401" s="1"/>
    </row>
    <row r="3402" spans="1:9" ht="15.6" x14ac:dyDescent="0.3">
      <c r="A3402" s="1" t="s">
        <v>9</v>
      </c>
      <c r="B3402" s="1" t="s">
        <v>9</v>
      </c>
      <c r="C3402" s="10" t="s">
        <v>9</v>
      </c>
      <c r="D3402" s="5" t="s">
        <v>3054</v>
      </c>
      <c r="E3402" s="1" t="str">
        <f ca="1">IFERROR(__xludf.DUMMYFUNCTION("GOOGLETRANSLATE(D3402, ""bn"", ""en"")"),"The next day, two separate protest rallies were held at Nasirnagar Upazila Sadar by miking in the area. The rally participants attacked Hindu temples and houses in Nasirnagar. ")</f>
        <v>The next day, two separate protest rallies were held at Nasirnagar Upazila Sadar by miking in the area. The rally participants attacked Hindu temples and houses in Nasirnagar. </v>
      </c>
      <c r="F3402" s="1"/>
      <c r="G3402" s="1"/>
      <c r="H3402" s="1"/>
      <c r="I3402" s="1"/>
    </row>
    <row r="3403" spans="1:9" ht="15.6" x14ac:dyDescent="0.3">
      <c r="A3403" s="1" t="s">
        <v>9</v>
      </c>
      <c r="B3403" s="1" t="s">
        <v>9</v>
      </c>
      <c r="C3403" s="10" t="s">
        <v>9</v>
      </c>
      <c r="D3403" s="5" t="s">
        <v>3055</v>
      </c>
      <c r="E3403" s="1" t="str">
        <f ca="1">IFERROR(__xludf.DUMMYFUNCTION("GOOGLETRANSLATE(D3403, ""bn"", ""en"")"),"Violence against Muslims in India")</f>
        <v>Violence against Muslims in India</v>
      </c>
      <c r="F3403" s="1"/>
      <c r="G3403" s="1"/>
      <c r="H3403" s="1"/>
      <c r="I3403" s="1"/>
    </row>
    <row r="3404" spans="1:9" ht="15.6" x14ac:dyDescent="0.3">
      <c r="A3404" s="1" t="s">
        <v>5</v>
      </c>
      <c r="B3404" s="1" t="s">
        <v>5</v>
      </c>
      <c r="C3404" s="10" t="s">
        <v>5</v>
      </c>
      <c r="D3404" s="5" t="s">
        <v>3056</v>
      </c>
      <c r="E3404" s="1" t="str">
        <f ca="1">IFERROR(__xludf.DUMMYFUNCTION("GOOGLETRANSLATE(D3404, ""bn"", ""en"")"),"I say to all Hindus, in every temple you keep da coral kachi in hand to keep yourself safe, do it yourself, ensure safety.")</f>
        <v>I say to all Hindus, in every temple you keep da coral kachi in hand to keep yourself safe, do it yourself, ensure safety.</v>
      </c>
      <c r="F3404" s="1"/>
      <c r="G3404" s="1"/>
      <c r="H3404" s="1"/>
      <c r="I3404" s="1"/>
    </row>
    <row r="3405" spans="1:9" ht="46.8" x14ac:dyDescent="0.3">
      <c r="A3405" s="1" t="s">
        <v>7</v>
      </c>
      <c r="B3405" s="1" t="s">
        <v>7</v>
      </c>
      <c r="C3405" s="10" t="s">
        <v>7</v>
      </c>
      <c r="D3405" s="6" t="s">
        <v>3682</v>
      </c>
      <c r="E3405" s="1" t="str">
        <f ca="1">IFERROR(__xludf.DUMMYFUNCTION("GOOGLETRANSLATE(D3405, ""bn"", ""en"")"),"Pakistan Army started this genocide against Bengali Hindus. Those who escaped with their lives crossed the Buriganga to the villages beyond. This area is now known as Keraniganj. Shankheribazar became deserted. Only dead bodies of Hindus lay on the roads."&amp;" Pakistan government renamed Shankheribazar road as Tikka Khan Road.[")</f>
        <v>Pakistan Army started this genocide against Bengali Hindus. Those who escaped with their lives crossed the Buriganga to the villages beyond. This area is now known as Keraniganj. Shankheribazar became deserted. Only dead bodies of Hindus lay on the roads. Pakistan government renamed Shankheribazar road as Tikka Khan Road.[</v>
      </c>
      <c r="F3405" s="1"/>
      <c r="G3405" s="1"/>
      <c r="H3405" s="1"/>
      <c r="I3405" s="1"/>
    </row>
    <row r="3406" spans="1:9" ht="15.6" x14ac:dyDescent="0.3">
      <c r="A3406" s="1" t="s">
        <v>4</v>
      </c>
      <c r="B3406" s="1" t="s">
        <v>5</v>
      </c>
      <c r="C3406" s="10" t="s">
        <v>4</v>
      </c>
      <c r="D3406" s="5" t="s">
        <v>3057</v>
      </c>
      <c r="E3406" s="1" t="str">
        <f ca="1">IFERROR(__xludf.DUMMYFUNCTION("GOOGLETRANSLATE(D3406, ""bn"", ""en"")"),"I heard from a younger sister that the semester final of Ahsanullah University will be on the eighth day. You can think whether the orthodox religious students will take the exam or celebrate the festival")</f>
        <v>I heard from a younger sister that the semester final of Ahsanullah University will be on the eighth day. You can think whether the orthodox religious students will take the exam or celebrate the festival</v>
      </c>
      <c r="F3406" s="1"/>
      <c r="G3406" s="1"/>
      <c r="H3406" s="1"/>
      <c r="I3406" s="1"/>
    </row>
    <row r="3407" spans="1:9" ht="15.6" x14ac:dyDescent="0.3">
      <c r="A3407" s="1" t="s">
        <v>4</v>
      </c>
      <c r="B3407" s="1" t="s">
        <v>4</v>
      </c>
      <c r="C3407" s="10" t="s">
        <v>4</v>
      </c>
      <c r="D3407" s="5" t="s">
        <v>3058</v>
      </c>
      <c r="E3407" s="1" t="str">
        <f ca="1">IFERROR(__xludf.DUMMYFUNCTION("GOOGLETRANSLATE(D3407, ""bn"", ""en"")"),"Allah Almighty is the owner of the protection of the Qur'an. O Allah, protect the Holy Qur'an, and destroy those who plot.")</f>
        <v>Allah Almighty is the owner of the protection of the Qur'an. O Allah, protect the Holy Qur'an, and destroy those who plot.</v>
      </c>
      <c r="F3407" s="1"/>
      <c r="G3407" s="1"/>
      <c r="H3407" s="1"/>
      <c r="I3407" s="1"/>
    </row>
    <row r="3408" spans="1:9" ht="17.399999999999999" x14ac:dyDescent="0.3">
      <c r="A3408" s="1" t="s">
        <v>5</v>
      </c>
      <c r="B3408" s="1" t="s">
        <v>5</v>
      </c>
      <c r="C3408" s="10" t="s">
        <v>5</v>
      </c>
      <c r="D3408" s="5" t="s">
        <v>3515</v>
      </c>
      <c r="E3408" s="1" t="str">
        <f ca="1">IFERROR(__xludf.DUMMYFUNCTION("GOOGLETRANSLATE(D3408, ""bn"", ""en"")"),"Bengali Christians are recognized as a minority community in South Asia. Generally the Bengali Christian community enjoys a high literacy rate, low male-female sex ratio and a good socio-economic status.[")</f>
        <v>Bengali Christians are recognized as a minority community in South Asia. Generally the Bengali Christian community enjoys a high literacy rate, low male-female sex ratio and a good socio-economic status.[</v>
      </c>
      <c r="F3408" s="1"/>
      <c r="G3408" s="1"/>
      <c r="H3408" s="1"/>
      <c r="I3408" s="1"/>
    </row>
    <row r="3409" spans="1:9" ht="15.6" x14ac:dyDescent="0.3">
      <c r="A3409" s="1" t="s">
        <v>5</v>
      </c>
      <c r="B3409" s="1" t="s">
        <v>5</v>
      </c>
      <c r="C3409" s="10" t="s">
        <v>5</v>
      </c>
      <c r="D3409" s="5" t="s">
        <v>3059</v>
      </c>
      <c r="E3409" s="1" t="str">
        <f ca="1">IFERROR(__xludf.DUMMYFUNCTION("GOOGLETRANSLATE(D3409, ""bn"", ""en"")"),"May Allah guide all who watch this video and listen to it and act on it and accept everyone including me as a guest of Jannat Ameen and give good life to Shaykh.")</f>
        <v>May Allah guide all who watch this video and listen to it and act on it and accept everyone including me as a guest of Jannat Ameen and give good life to Shaykh.</v>
      </c>
      <c r="F3409" s="1"/>
      <c r="G3409" s="1"/>
      <c r="H3409" s="1"/>
      <c r="I3409" s="1"/>
    </row>
    <row r="3410" spans="1:9" ht="15.6" x14ac:dyDescent="0.3">
      <c r="A3410" s="1" t="s">
        <v>7</v>
      </c>
      <c r="B3410" s="1" t="s">
        <v>4</v>
      </c>
      <c r="C3410" s="10" t="s">
        <v>7</v>
      </c>
      <c r="D3410" s="5" t="s">
        <v>3060</v>
      </c>
      <c r="E3410" s="1" t="str">
        <f ca="1">IFERROR(__xludf.DUMMYFUNCTION("GOOGLETRANSLATE(D3410, ""bn"", ""en"")"),"Those who are so itchy about civil servants; Even if they died, I saw Hujur's feet and took him to perform the funeral. ")</f>
        <v xml:space="preserve">Those who are so itchy about civil servants; Even if they died, I saw Hujur's feet and took him to perform the funeral. </v>
      </c>
      <c r="F3410" s="1"/>
      <c r="G3410" s="1"/>
      <c r="H3410" s="1"/>
      <c r="I3410" s="1"/>
    </row>
    <row r="3411" spans="1:9" ht="15.6" x14ac:dyDescent="0.3">
      <c r="A3411" s="1" t="s">
        <v>4</v>
      </c>
      <c r="B3411" s="1" t="s">
        <v>4</v>
      </c>
      <c r="C3411" s="10" t="s">
        <v>4</v>
      </c>
      <c r="D3411" s="5" t="s">
        <v>3061</v>
      </c>
      <c r="E3411" s="1" t="str">
        <f ca="1">IFERROR(__xludf.DUMMYFUNCTION("GOOGLETRANSLATE(D3411, ""bn"", ""en"")"),"In the letter sent to the Arabic Department, the Faculty of Arts has also been asked to give a written answer as to why disciplinary action should not be taken against the students who organized Quran recitation in Battala. ")</f>
        <v xml:space="preserve">In the letter sent to the Arabic Department, the Faculty of Arts has also been asked to give a written answer as to why disciplinary action should not be taken against the students who organized Quran recitation in Battala. </v>
      </c>
      <c r="F3411" s="1"/>
      <c r="G3411" s="1"/>
      <c r="H3411" s="1"/>
      <c r="I3411" s="1"/>
    </row>
    <row r="3412" spans="1:9" ht="15.6" x14ac:dyDescent="0.3">
      <c r="A3412" s="1" t="s">
        <v>7</v>
      </c>
      <c r="B3412" s="1"/>
      <c r="C3412" s="10" t="s">
        <v>7</v>
      </c>
      <c r="D3412" s="5" t="s">
        <v>3062</v>
      </c>
      <c r="E3412" s="1" t="str">
        <f ca="1">IFERROR(__xludf.DUMMYFUNCTION("GOOGLETRANSLATE(D3412, ""bn"", ""en"")"),"One group was taken to the side of a nearby canal and the other group was shot dead on the spot. [6] The wounded were buried alive with the dead at the scene.")</f>
        <v>One group was taken to the side of a nearby canal and the other group was shot dead on the spot. [6] The wounded were buried alive with the dead at the scene.</v>
      </c>
      <c r="F3412" s="1"/>
      <c r="G3412" s="1"/>
      <c r="H3412" s="1"/>
      <c r="I3412" s="1"/>
    </row>
    <row r="3413" spans="1:9" ht="17.399999999999999" x14ac:dyDescent="0.3">
      <c r="A3413" s="1" t="s">
        <v>5</v>
      </c>
      <c r="B3413" s="1" t="s">
        <v>5</v>
      </c>
      <c r="C3413" s="10" t="s">
        <v>5</v>
      </c>
      <c r="D3413" s="5" t="s">
        <v>3516</v>
      </c>
      <c r="E3413" s="1" t="str">
        <f ca="1">IFERROR(__xludf.DUMMYFUNCTION("GOOGLETRANSLATE(D3413, ""bn"", ""en"")"),"The word ""Allah"" has been used by people of various Arab religions since pre-Islamic times.[4] Specifically, it is used by Muslims (both Arab and non-Arab) and Arab Christians to mean the Creator. ")</f>
        <v>The word "Allah" has been used by people of various Arab religions since pre-Islamic times.[4] Specifically, it is used by Muslims (both Arab and non-Arab) and Arab Christians to mean the Creator. </v>
      </c>
      <c r="F3413" s="1"/>
      <c r="G3413" s="1"/>
      <c r="H3413" s="1"/>
      <c r="I3413" s="1"/>
    </row>
    <row r="3414" spans="1:9" ht="15.6" x14ac:dyDescent="0.3">
      <c r="A3414" s="1" t="s">
        <v>5</v>
      </c>
      <c r="B3414" s="1" t="s">
        <v>5</v>
      </c>
      <c r="C3414" s="10" t="s">
        <v>5</v>
      </c>
      <c r="D3414" s="5" t="s">
        <v>1853</v>
      </c>
      <c r="E3414" s="1" t="str">
        <f ca="1">IFERROR(__xludf.DUMMYFUNCTION("GOOGLETRANSLATE(D3414, ""bn"", ""en"")"),"Because he does not have the ability to understand the majesty of Allah Pak, he may not understand Him. He is Allah Pak. May Allah grant me the grace to paint my life with your colors (Amin).")</f>
        <v>Because he does not have the ability to understand the majesty of Allah Pak, he may not understand Him. He is Allah Pak. May Allah grant me the grace to paint my life with your colors (Amin).</v>
      </c>
      <c r="F3414" s="1"/>
      <c r="G3414" s="1"/>
      <c r="H3414" s="1"/>
      <c r="I3414" s="1"/>
    </row>
    <row r="3415" spans="1:9" ht="15.6" x14ac:dyDescent="0.3">
      <c r="A3415" s="1" t="s">
        <v>5</v>
      </c>
      <c r="B3415" s="1" t="s">
        <v>5</v>
      </c>
      <c r="C3415" s="10" t="s">
        <v>5</v>
      </c>
      <c r="D3415" s="5" t="s">
        <v>3063</v>
      </c>
      <c r="E3415" s="1" t="str">
        <f ca="1">IFERROR(__xludf.DUMMYFUNCTION("GOOGLETRANSLATE(D3415, ""bn"", ""en"")"),"It will be a truly useful study, when it becomes full of human thought, when it acquires the power to analyze the various elements of religious violence.")</f>
        <v>It will be a truly useful study, when it becomes full of human thought, when it acquires the power to analyze the various elements of religious violence.</v>
      </c>
      <c r="F3415" s="1"/>
      <c r="G3415" s="1"/>
      <c r="H3415" s="1"/>
      <c r="I3415" s="1"/>
    </row>
    <row r="3416" spans="1:9" ht="15.6" x14ac:dyDescent="0.3">
      <c r="A3416" s="1" t="s">
        <v>5</v>
      </c>
      <c r="B3416" s="1" t="s">
        <v>5</v>
      </c>
      <c r="C3416" s="10" t="s">
        <v>5</v>
      </c>
      <c r="D3416" s="5" t="s">
        <v>3064</v>
      </c>
      <c r="E3416" s="1" t="str">
        <f ca="1">IFERROR(__xludf.DUMMYFUNCTION("GOOGLETRANSLATE(D3416, ""bn"", ""en"")"),"During the Mughal period, priests could not openly convert Muslims to Christianity. Because they could not change their religion without the king's permission, so the priests would also be in danger if they did so.")</f>
        <v>During the Mughal period, priests could not openly convert Muslims to Christianity. Because they could not change their religion without the king's permission, so the priests would also be in danger if they did so.</v>
      </c>
      <c r="F3416" s="1"/>
      <c r="G3416" s="1"/>
      <c r="H3416" s="1"/>
      <c r="I3416" s="1"/>
    </row>
    <row r="3417" spans="1:9" ht="15.6" x14ac:dyDescent="0.3">
      <c r="A3417" s="1" t="s">
        <v>9</v>
      </c>
      <c r="B3417" s="1" t="s">
        <v>9</v>
      </c>
      <c r="C3417" s="10" t="s">
        <v>9</v>
      </c>
      <c r="D3417" s="5" t="s">
        <v>3065</v>
      </c>
      <c r="E3417" s="1" t="str">
        <f ca="1">IFERROR(__xludf.DUMMYFUNCTION("GOOGLETRANSLATE(D3417, ""bn"", ""en"")"),"Attacks targeted Muslim cultural centers in Poland, damaging religious teaching facilities and injuring students.")</f>
        <v>Attacks targeted Muslim cultural centers in Poland, damaging religious teaching facilities and injuring students.</v>
      </c>
      <c r="F3417" s="1"/>
      <c r="G3417" s="1"/>
      <c r="H3417" s="1"/>
      <c r="I3417" s="1"/>
    </row>
    <row r="3418" spans="1:9" ht="15.6" x14ac:dyDescent="0.3">
      <c r="A3418" s="1" t="s">
        <v>5</v>
      </c>
      <c r="B3418" s="1" t="s">
        <v>5</v>
      </c>
      <c r="C3418" s="10" t="s">
        <v>5</v>
      </c>
      <c r="D3418" s="5" t="s">
        <v>3066</v>
      </c>
      <c r="E3418" s="1" t="str">
        <f ca="1">IFERROR(__xludf.DUMMYFUNCTION("GOOGLETRANSLATE(D3418, ""bn"", ""en"")"),"Had many friends in childhood. We all used to play together, we went to school, we all used to travel together whether it was Eid or Puja. They were known to us not as religious but as social festivals. Just as I used to eat Shirni while going to the mosq"&amp;"ue, I also used to eat Prasad while sitting in the temple. ")</f>
        <v xml:space="preserve">Had many friends in childhood. We all used to play together, we went to school, we all used to travel together whether it was Eid or Puja. They were known to us not as religious but as social festivals. Just as I used to eat Shirni while going to the mosque, I also used to eat Prasad while sitting in the temple. </v>
      </c>
      <c r="F3418" s="1"/>
      <c r="G3418" s="1"/>
      <c r="H3418" s="1"/>
      <c r="I3418" s="1"/>
    </row>
    <row r="3419" spans="1:9" ht="15.6" x14ac:dyDescent="0.3">
      <c r="A3419" s="1" t="s">
        <v>4</v>
      </c>
      <c r="B3419" s="1" t="s">
        <v>4</v>
      </c>
      <c r="C3419" s="10" t="s">
        <v>4</v>
      </c>
      <c r="D3419" s="5" t="s">
        <v>3067</v>
      </c>
      <c r="E3419" s="1" t="str">
        <f ca="1">IFERROR(__xludf.DUMMYFUNCTION("GOOGLETRANSLATE(D3419, ""bn"", ""en"")"),"I strongly condemn it, I am asking Muslims all over the world to protest against it, Ameen")</f>
        <v>I strongly condemn it, I am asking Muslims all over the world to protest against it, Ameen</v>
      </c>
      <c r="F3419" s="1"/>
      <c r="G3419" s="1"/>
      <c r="H3419" s="1"/>
      <c r="I3419" s="1"/>
    </row>
    <row r="3420" spans="1:9" ht="15.6" x14ac:dyDescent="0.3">
      <c r="A3420" s="1" t="s">
        <v>7</v>
      </c>
      <c r="B3420" s="1" t="s">
        <v>7</v>
      </c>
      <c r="C3420" s="10" t="s">
        <v>7</v>
      </c>
      <c r="D3420" s="5" t="s">
        <v>3068</v>
      </c>
      <c r="E3420" s="1" t="str">
        <f ca="1">IFERROR(__xludf.DUMMYFUNCTION("GOOGLETRANSLATE(D3420, ""bn"", ""en"")"),"O Allah! Grant us good in this world and grant us good in the Hereafter. And save us from hell. He (the narrator) said, then he prayed to Allah for him. And Allah healed him.")</f>
        <v>O Allah! Grant us good in this world and grant us good in the Hereafter. And save us from hell. He (the narrator) said, then he prayed to Allah for him. And Allah healed him.</v>
      </c>
      <c r="F3420" s="1"/>
      <c r="G3420" s="1"/>
      <c r="H3420" s="1"/>
      <c r="I3420" s="1"/>
    </row>
    <row r="3421" spans="1:9" ht="15.6" x14ac:dyDescent="0.3">
      <c r="A3421" s="1" t="s">
        <v>9</v>
      </c>
      <c r="B3421" s="1" t="s">
        <v>9</v>
      </c>
      <c r="C3421" s="10" t="s">
        <v>9</v>
      </c>
      <c r="D3421" s="5" t="s">
        <v>3069</v>
      </c>
      <c r="E3421" s="1" t="str">
        <f ca="1">IFERROR(__xludf.DUMMYFUNCTION("GOOGLETRANSLATE(D3421, ""bn"", ""en"")"),"In a press release, the Special Rapporteur said he was ""deeply concerned by the information he received about the treatment of members of the Baha'i community in Iran."" He also said that ""the Special Rapporteur is concerned that this latest development"&amp;" indicates that the situation regarding religious minorities in Iran is actually deteriorating.""")</f>
        <v>In a press release, the Special Rapporteur said he was "deeply concerned by the information he received about the treatment of members of the Baha'i community in Iran." He also said that "the Special Rapporteur is concerned that this latest development indicates that the situation regarding religious minorities in Iran is actually deteriorating."</v>
      </c>
      <c r="F3421" s="1"/>
      <c r="G3421" s="1"/>
      <c r="H3421" s="1"/>
      <c r="I3421" s="1"/>
    </row>
    <row r="3422" spans="1:9" ht="15.6" x14ac:dyDescent="0.3">
      <c r="A3422" s="1" t="s">
        <v>5</v>
      </c>
      <c r="B3422" s="1" t="s">
        <v>5</v>
      </c>
      <c r="C3422" s="10" t="s">
        <v>5</v>
      </c>
      <c r="D3422" s="5" t="s">
        <v>3070</v>
      </c>
      <c r="E3422" s="1" t="str">
        <f ca="1">IFERROR(__xludf.DUMMYFUNCTION("GOOGLETRANSLATE(D3422, ""bn"", ""en"")"),"Chaitanya, the religious figure of the Hindus, was chanted loudly by many people. The local Muslim Qazi ordered to stop such events due to inconvenience to the people. ")</f>
        <v xml:space="preserve">Chaitanya, the religious figure of the Hindus, was chanted loudly by many people. The local Muslim Qazi ordered to stop such events due to inconvenience to the people. </v>
      </c>
      <c r="F3422" s="1"/>
      <c r="G3422" s="1"/>
      <c r="H3422" s="1"/>
      <c r="I3422" s="1"/>
    </row>
    <row r="3423" spans="1:9" ht="15.6" x14ac:dyDescent="0.3">
      <c r="A3423" s="1" t="s">
        <v>5</v>
      </c>
      <c r="B3423" s="1" t="s">
        <v>5</v>
      </c>
      <c r="C3423" s="10" t="s">
        <v>5</v>
      </c>
      <c r="D3423" s="5" t="s">
        <v>3071</v>
      </c>
      <c r="E3423" s="1" t="str">
        <f ca="1">IFERROR(__xludf.DUMMYFUNCTION("GOOGLETRANSLATE(D3423, ""bn"", ""en"")"),"In Bangladesh, relations between Hindus and Muslims are never hostile. I had a Hindu batchmate named Tithi Roy in my college life, she was very funny. His best friend used to sit on the seat right next to me, when it was time for tiffin, he would come to "&amp;"my seat, I would go somewhere else to finish tiffin, go to pray.")</f>
        <v>In Bangladesh, relations between Hindus and Muslims are never hostile. I had a Hindu batchmate named Tithi Roy in my college life, she was very funny. His best friend used to sit on the seat right next to me, when it was time for tiffin, he would come to my seat, I would go somewhere else to finish tiffin, go to pray.</v>
      </c>
      <c r="F3423" s="1"/>
      <c r="G3423" s="1"/>
      <c r="H3423" s="1"/>
      <c r="I3423" s="1"/>
    </row>
    <row r="3424" spans="1:9" ht="15.6" x14ac:dyDescent="0.3">
      <c r="A3424" s="1" t="s">
        <v>4</v>
      </c>
      <c r="B3424" s="1" t="s">
        <v>4</v>
      </c>
      <c r="C3424" s="10" t="s">
        <v>4</v>
      </c>
      <c r="D3424" s="5" t="s">
        <v>3072</v>
      </c>
      <c r="E3424" s="1" t="str">
        <f ca="1">IFERROR(__xludf.DUMMYFUNCTION("GOOGLETRANSLATE(D3424, ""bn"", ""en"")"),"According to the US 'Library of Congress', in 2017, the laws of 77 countries criminalized 'blasphemy, insulting religion, injury to religious sentiments and similar conduct'.")</f>
        <v>According to the US 'Library of Congress', in 2017, the laws of 77 countries criminalized 'blasphemy, insulting religion, injury to religious sentiments and similar conduct'.</v>
      </c>
      <c r="F3424" s="1"/>
      <c r="G3424" s="1"/>
      <c r="H3424" s="1"/>
      <c r="I3424" s="1"/>
    </row>
    <row r="3425" spans="1:9" ht="15.6" x14ac:dyDescent="0.3">
      <c r="A3425" s="1" t="s">
        <v>5</v>
      </c>
      <c r="B3425" s="1" t="s">
        <v>5</v>
      </c>
      <c r="C3425" s="10" t="s">
        <v>5</v>
      </c>
      <c r="D3425" s="5" t="s">
        <v>3073</v>
      </c>
      <c r="E3425" s="1" t="str">
        <f ca="1">IFERROR(__xludf.DUMMYFUNCTION("GOOGLETRANSLATE(D3425, ""bn"", ""en"")"),"According to the guidance of the Qur'an, Islam seeks to ensure the establishment of peace and equality among people.")</f>
        <v>According to the guidance of the Qur'an, Islam seeks to ensure the establishment of peace and equality among people.</v>
      </c>
      <c r="F3425" s="1"/>
      <c r="G3425" s="1"/>
      <c r="H3425" s="1"/>
      <c r="I3425" s="1"/>
    </row>
    <row r="3426" spans="1:9" ht="15.6" x14ac:dyDescent="0.3">
      <c r="A3426" s="4" t="s">
        <v>7</v>
      </c>
      <c r="B3426" s="4" t="s">
        <v>7</v>
      </c>
      <c r="C3426" s="11" t="s">
        <v>7</v>
      </c>
      <c r="D3426" s="5" t="s">
        <v>3074</v>
      </c>
      <c r="E3426" s="1" t="str">
        <f ca="1">IFERROR(__xludf.DUMMYFUNCTION("GOOGLETRANSLATE(D3426, ""bn"", ""en"")"),"Violent incidents continued to a lesser extent until November 1980. A particularly violent incident took place in September on the day of the Hindu festival of Rakhi Bandhan. By the end of October, at least 14 people had died at the hands of the assailant"&amp;"s.")</f>
        <v>Violent incidents continued to a lesser extent until November 1980. A particularly violent incident took place in September on the day of the Hindu festival of Rakhi Bandhan. By the end of October, at least 14 people had died at the hands of the assailants.</v>
      </c>
      <c r="F3426" s="1"/>
      <c r="G3426" s="1"/>
      <c r="H3426" s="1"/>
      <c r="I3426" s="1"/>
    </row>
    <row r="3427" spans="1:9" ht="15.6" x14ac:dyDescent="0.3">
      <c r="A3427" s="1" t="s">
        <v>5</v>
      </c>
      <c r="B3427" s="1" t="s">
        <v>5</v>
      </c>
      <c r="C3427" s="10" t="s">
        <v>5</v>
      </c>
      <c r="D3427" s="5" t="s">
        <v>3075</v>
      </c>
      <c r="E3427" s="1" t="str">
        <f ca="1">IFERROR(__xludf.DUMMYFUNCTION("GOOGLETRANSLATE(D3427, ""bn"", ""en"")"),"We don't want to say that we won't go to pray in any public way.  At the same time, we want people to be aware about Corona. So we are taking action strategically.")</f>
        <v>We don't want to say that we won't go to pray in any public way.  At the same time, we want people to be aware about Corona. So we are taking action strategically.</v>
      </c>
      <c r="F3427" s="1"/>
      <c r="G3427" s="1"/>
      <c r="H3427" s="1"/>
      <c r="I3427" s="1"/>
    </row>
    <row r="3428" spans="1:9" ht="15.6" x14ac:dyDescent="0.3">
      <c r="A3428" s="1" t="s">
        <v>5</v>
      </c>
      <c r="B3428" s="1" t="s">
        <v>5</v>
      </c>
      <c r="C3428" s="10" t="s">
        <v>5</v>
      </c>
      <c r="D3428" s="5" t="s">
        <v>3076</v>
      </c>
      <c r="E3428" s="1" t="str">
        <f ca="1">IFERROR(__xludf.DUMMYFUNCTION("GOOGLETRANSLATE(D3428, ""bn"", ""en"")"),"True devotion to religion establishes goodwill and harmony among people, because every religion seeks the good of humanity, where people of different religions can live with compassion and love for each other.")</f>
        <v>True devotion to religion establishes goodwill and harmony among people, because every religion seeks the good of humanity, where people of different religions can live with compassion and love for each other.</v>
      </c>
      <c r="F3428" s="1"/>
      <c r="G3428" s="1"/>
      <c r="H3428" s="1"/>
      <c r="I3428" s="1"/>
    </row>
    <row r="3429" spans="1:9" ht="15.6" x14ac:dyDescent="0.3">
      <c r="A3429" s="1" t="s">
        <v>4</v>
      </c>
      <c r="B3429" s="1" t="s">
        <v>4</v>
      </c>
      <c r="C3429" s="10" t="s">
        <v>4</v>
      </c>
      <c r="D3429" s="5" t="s">
        <v>3077</v>
      </c>
      <c r="E3429" s="1" t="str">
        <f ca="1">IFERROR(__xludf.DUMMYFUNCTION("GOOGLETRANSLATE(D3429, ""bn"", ""en"")"),"Bheramara upazila of Kushtia on November 2 last year. A person named Salim Khan made an ugly comment in a Facebook group under a Facebook status posted by another person named Nafisa Chowdhury in the comments section. Such offensive comments in the Facebo"&amp;"ok comment room later went viral. Many protested against such comments and demanded the punishment of Salim Khan.")</f>
        <v>Bheramara upazila of Kushtia on November 2 last year. A person named Salim Khan made an ugly comment in a Facebook group under a Facebook status posted by another person named Nafisa Chowdhury in the comments section. Such offensive comments in the Facebook comment room later went viral. Many protested against such comments and demanded the punishment of Salim Khan.</v>
      </c>
      <c r="F3429" s="1"/>
      <c r="G3429" s="1"/>
      <c r="H3429" s="1"/>
      <c r="I3429" s="1"/>
    </row>
    <row r="3430" spans="1:9" ht="15.6" x14ac:dyDescent="0.3">
      <c r="A3430" s="1" t="s">
        <v>5</v>
      </c>
      <c r="B3430" s="1" t="s">
        <v>5</v>
      </c>
      <c r="C3430" s="10" t="s">
        <v>5</v>
      </c>
      <c r="D3430" s="5" t="s">
        <v>3078</v>
      </c>
      <c r="E3430" s="1" t="str">
        <f ca="1">IFERROR(__xludf.DUMMYFUNCTION("GOOGLETRANSLATE(D3430, ""bn"", ""en"")"),"The motto of Jainism is 'Ahimsa paramo dharma', which means that kindness towards all living beings is the highest religion.")</f>
        <v>The motto of Jainism is 'Ahimsa paramo dharma', which means that kindness towards all living beings is the highest religion.</v>
      </c>
      <c r="F3430" s="1"/>
      <c r="G3430" s="1"/>
      <c r="H3430" s="1"/>
      <c r="I3430" s="1"/>
    </row>
    <row r="3431" spans="1:9" ht="46.8" x14ac:dyDescent="0.3">
      <c r="A3431" s="1" t="s">
        <v>5</v>
      </c>
      <c r="B3431" s="1" t="s">
        <v>5</v>
      </c>
      <c r="C3431" s="10" t="s">
        <v>5</v>
      </c>
      <c r="D3431" s="6" t="s">
        <v>3681</v>
      </c>
      <c r="E3431" s="1" t="str">
        <f ca="1">IFERROR(__xludf.DUMMYFUNCTION("GOOGLETRANSLATE(D3431, ""bn"", ""en"")"),"If you give gold as much as Mount Uhud in the cause of Allah and do not believe in destiny, it will not be accepted until you believe in destiny again and realize that what happened to you was not to be forgotten. And what was avoided was never to be forg"&amp;"otten in your case. And if you die without this faith, you will go to hell.")</f>
        <v>If you give gold as much as Mount Uhud in the cause of Allah and do not believe in destiny, it will not be accepted until you believe in destiny again and realize that what happened to you was not to be forgotten. And what was avoided was never to be forgotten in your case. And if you die without this faith, you will go to hell.</v>
      </c>
      <c r="F3431" s="1"/>
      <c r="G3431" s="1"/>
      <c r="H3431" s="1"/>
      <c r="I3431" s="1"/>
    </row>
    <row r="3432" spans="1:9" ht="15.6" x14ac:dyDescent="0.3">
      <c r="A3432" s="1" t="s">
        <v>7</v>
      </c>
      <c r="B3432" s="1" t="s">
        <v>7</v>
      </c>
      <c r="C3432" s="10" t="s">
        <v>7</v>
      </c>
      <c r="D3432" s="5" t="s">
        <v>3079</v>
      </c>
      <c r="E3432" s="1" t="str">
        <f ca="1">IFERROR(__xludf.DUMMYFUNCTION("GOOGLETRANSLATE(D3432, ""bn"", ""en"")"),"Be martyred in the crusades, in the name of Jesus, hold the cross, prove chastity, jump into the fire.")</f>
        <v>Be martyred in the crusades, in the name of Jesus, hold the cross, prove chastity, jump into the fire.</v>
      </c>
      <c r="F3432" s="1"/>
      <c r="G3432" s="1"/>
      <c r="H3432" s="1"/>
      <c r="I3432" s="1"/>
    </row>
    <row r="3433" spans="1:9" ht="15.6" x14ac:dyDescent="0.3">
      <c r="A3433" s="1" t="s">
        <v>4</v>
      </c>
      <c r="B3433" s="1" t="s">
        <v>4</v>
      </c>
      <c r="C3433" s="10" t="s">
        <v>4</v>
      </c>
      <c r="D3433" s="5" t="s">
        <v>3080</v>
      </c>
      <c r="E3433" s="1" t="str">
        <f ca="1">IFERROR(__xludf.DUMMYFUNCTION("GOOGLETRANSLATE(D3433, ""bn"", ""en"")"),"As followers of Islam, we must consider whether Islam condones violent behavior and the expression of violent reactions in the face of scriptural or religious blasphemy within the framework of religious practice, or even the slightest hint of destructive "&amp;"reactionary action.")</f>
        <v>As followers of Islam, we must consider whether Islam condones violent behavior and the expression of violent reactions in the face of scriptural or religious blasphemy within the framework of religious practice, or even the slightest hint of destructive reactionary action.</v>
      </c>
      <c r="F3433" s="1"/>
      <c r="G3433" s="1"/>
      <c r="H3433" s="1"/>
      <c r="I3433" s="1"/>
    </row>
    <row r="3434" spans="1:9" ht="15.6" x14ac:dyDescent="0.3">
      <c r="A3434" s="1" t="s">
        <v>9</v>
      </c>
      <c r="B3434" s="1" t="s">
        <v>9</v>
      </c>
      <c r="C3434" s="10" t="s">
        <v>9</v>
      </c>
      <c r="D3434" s="5" t="s">
        <v>3081</v>
      </c>
      <c r="E3434" s="1" t="str">
        <f ca="1">IFERROR(__xludf.DUMMYFUNCTION("GOOGLETRANSLATE(D3434, ""bn"", ""en"")"),"The battle was preceded by several skirmishes between the Muslims and the Quraish between 623 and 624. Badr was the first large-scale battle between the two armies. In battle, the well-organized Muslims were able to break the ranks of the Meccan soldiers.")</f>
        <v>The battle was preceded by several skirmishes between the Muslims and the Quraish between 623 and 624. Badr was the first large-scale battle between the two armies. In battle, the well-organized Muslims were able to break the ranks of the Meccan soldiers.</v>
      </c>
      <c r="F3434" s="1"/>
      <c r="G3434" s="1"/>
      <c r="H3434" s="1"/>
      <c r="I3434" s="1"/>
    </row>
    <row r="3435" spans="1:9" ht="15.6" x14ac:dyDescent="0.3">
      <c r="A3435" s="1" t="s">
        <v>9</v>
      </c>
      <c r="B3435" s="1" t="s">
        <v>9</v>
      </c>
      <c r="C3435" s="10" t="s">
        <v>9</v>
      </c>
      <c r="D3435" s="5" t="s">
        <v>3082</v>
      </c>
      <c r="E3435" s="1" t="str">
        <f ca="1">IFERROR(__xludf.DUMMYFUNCTION("GOOGLETRANSLATE(D3435, ""bn"", ""en"")"),"""In the previous incidents like accusations of blasphemy were raised on Facebook. Then there were attacks on Hindu houses or temples. The same happened in Narail,"" said Mr. Ahmad.")</f>
        <v>"In the previous incidents like accusations of blasphemy were raised on Facebook. Then there were attacks on Hindu houses or temples. The same happened in Narail," said Mr. Ahmad.</v>
      </c>
      <c r="F3435" s="1"/>
      <c r="G3435" s="1"/>
      <c r="H3435" s="1"/>
      <c r="I3435" s="1"/>
    </row>
    <row r="3436" spans="1:9" ht="15.6" x14ac:dyDescent="0.3">
      <c r="A3436" s="1" t="s">
        <v>4</v>
      </c>
      <c r="B3436" s="1" t="s">
        <v>4</v>
      </c>
      <c r="C3436" s="10" t="s">
        <v>4</v>
      </c>
      <c r="D3436" s="5" t="s">
        <v>3083</v>
      </c>
      <c r="E3436" s="1" t="str">
        <f ca="1">IFERROR(__xludf.DUMMYFUNCTION("GOOGLETRANSLATE(D3436, ""bn"", ""en"")"),"You are proving to be a fool by saying that you exclude religion. And you could have changed your mind even if you had not brought Islam here.")</f>
        <v>You are proving to be a fool by saying that you exclude religion. And you could have changed your mind even if you had not brought Islam here.</v>
      </c>
      <c r="F3436" s="1"/>
      <c r="G3436" s="1"/>
      <c r="H3436" s="1"/>
      <c r="I3436" s="1"/>
    </row>
    <row r="3437" spans="1:9" ht="15.6" x14ac:dyDescent="0.3">
      <c r="A3437" s="1" t="s">
        <v>9</v>
      </c>
      <c r="B3437" s="1" t="s">
        <v>9</v>
      </c>
      <c r="C3437" s="10" t="s">
        <v>9</v>
      </c>
      <c r="D3437" s="5" t="s">
        <v>3084</v>
      </c>
      <c r="E3437" s="1" t="str">
        <f ca="1">IFERROR(__xludf.DUMMYFUNCTION("GOOGLETRANSLATE(D3437, ""bn"", ""en"")")," Stored rice, grains, jute and other household items were looted. Muslims looted gold ornaments belonging to Hindu refugees of Jahanpur village.")</f>
        <v> Stored rice, grains, jute and other household items were looted. Muslims looted gold ornaments belonging to Hindu refugees of Jahanpur village.</v>
      </c>
      <c r="F3437" s="1"/>
      <c r="G3437" s="1"/>
      <c r="H3437" s="1"/>
      <c r="I3437" s="1"/>
    </row>
    <row r="3438" spans="1:9" ht="15.6" x14ac:dyDescent="0.3">
      <c r="A3438" s="1" t="s">
        <v>5</v>
      </c>
      <c r="B3438" s="1" t="s">
        <v>5</v>
      </c>
      <c r="C3438" s="10" t="s">
        <v>5</v>
      </c>
      <c r="D3438" s="5" t="s">
        <v>3085</v>
      </c>
      <c r="E3438" s="1" t="str">
        <f ca="1">IFERROR(__xludf.DUMMYFUNCTION("GOOGLETRANSLATE(D3438, ""bn"", ""en"")"),"The Qur'an mentions that animals and birds are also a race for whom Allah has ordained a way of life and it is necessary to be kind to them.")</f>
        <v>The Qur'an mentions that animals and birds are also a race for whom Allah has ordained a way of life and it is necessary to be kind to them.</v>
      </c>
      <c r="F3438" s="1"/>
      <c r="G3438" s="1"/>
      <c r="H3438" s="1"/>
      <c r="I3438" s="1"/>
    </row>
    <row r="3439" spans="1:9" ht="17.399999999999999" x14ac:dyDescent="0.3">
      <c r="A3439" s="1" t="s">
        <v>7</v>
      </c>
      <c r="B3439" s="1" t="s">
        <v>7</v>
      </c>
      <c r="C3439" s="10" t="s">
        <v>7</v>
      </c>
      <c r="D3439" s="5" t="s">
        <v>3517</v>
      </c>
      <c r="E3439" s="1" t="str">
        <f ca="1">IFERROR(__xludf.DUMMYFUNCTION("GOOGLETRANSLATE(D3439, ""bn"", ""en"")"),"Rabbinic literature provides many traditions about angels punishing the dead. [10] According to Jewish mythology, the souls of the wicked are punished in the afterlife by Dumah and the three subordinate angels of destruction. ")</f>
        <v>Rabbinic literature provides many traditions about angels punishing the dead. [10] According to Jewish mythology, the souls of the wicked are punished in the afterlife by Dumah and the three subordinate angels of destruction. </v>
      </c>
      <c r="F3439" s="1"/>
      <c r="G3439" s="1"/>
      <c r="H3439" s="1"/>
      <c r="I3439" s="1"/>
    </row>
    <row r="3440" spans="1:9" ht="15.6" x14ac:dyDescent="0.3">
      <c r="A3440" s="1" t="s">
        <v>4</v>
      </c>
      <c r="B3440" s="1" t="s">
        <v>4</v>
      </c>
      <c r="C3440" s="10" t="s">
        <v>4</v>
      </c>
      <c r="D3440" s="5" t="s">
        <v>3086</v>
      </c>
      <c r="E3440" s="1" t="str">
        <f ca="1">IFERROR(__xludf.DUMMYFUNCTION("GOOGLETRANSLATE(D3440, ""bn"", ""en"")"),"O Allah, the devil who completed our Holy Quran, you cripple his hands, legs and feet with your miraculous power. ,")</f>
        <v>O Allah, the devil who completed our Holy Quran, you cripple his hands, legs and feet with your miraculous power. ,</v>
      </c>
      <c r="F3440" s="1"/>
      <c r="G3440" s="1"/>
      <c r="H3440" s="1"/>
      <c r="I3440" s="1"/>
    </row>
    <row r="3441" spans="1:9" ht="15.6" x14ac:dyDescent="0.3">
      <c r="A3441" s="1" t="s">
        <v>4</v>
      </c>
      <c r="B3441" s="1" t="s">
        <v>4</v>
      </c>
      <c r="C3441" s="10" t="s">
        <v>4</v>
      </c>
      <c r="D3441" s="5" t="s">
        <v>3087</v>
      </c>
      <c r="E3441" s="1" t="str">
        <f ca="1">IFERROR(__xludf.DUMMYFUNCTION("GOOGLETRANSLATE(D3441, ""bn"", ""en"")"),"Where is the United Nations now? Where is UNESCO? Where are the human rights organizations? There is no one to speak against Israel. Kudos to the United Nations.")</f>
        <v>Where is the United Nations now? Where is UNESCO? Where are the human rights organizations? There is no one to speak against Israel. Kudos to the United Nations.</v>
      </c>
      <c r="F3441" s="1"/>
      <c r="G3441" s="1"/>
      <c r="H3441" s="1"/>
      <c r="I3441" s="1"/>
    </row>
    <row r="3442" spans="1:9" ht="46.8" x14ac:dyDescent="0.3">
      <c r="A3442" s="4" t="s">
        <v>7</v>
      </c>
      <c r="B3442" s="4" t="s">
        <v>7</v>
      </c>
      <c r="C3442" s="11" t="s">
        <v>7</v>
      </c>
      <c r="D3442" s="6" t="s">
        <v>3680</v>
      </c>
      <c r="E3442" s="1" t="str">
        <f ca="1">IFERROR(__xludf.DUMMYFUNCTION("GOOGLETRANSLATE(D3442, ""bn"", ""en"")"),"On the evening of Saturday 23rd August 2008, unidentified militants entered the ashram around 8.00 pm and fired AK-47s on the frail body of 84-year-old Swami Laxmanananda Saraswati at Jalespata Banvasi Kanyashram in Kandhamal District, Odisha. After bruta"&amp;"lly killing him, the masked militants allegedly cut off various parts of his body with chisels and axes.")</f>
        <v>On the evening of Saturday 23rd August 2008, unidentified militants entered the ashram around 8.00 pm and fired AK-47s on the frail body of 84-year-old Swami Laxmanananda Saraswati at Jalespata Banvasi Kanyashram in Kandhamal District, Odisha. After brutally killing him, the masked militants allegedly cut off various parts of his body with chisels and axes.</v>
      </c>
      <c r="F3442" s="1"/>
      <c r="G3442" s="1"/>
      <c r="H3442" s="1"/>
      <c r="I3442" s="1"/>
    </row>
    <row r="3443" spans="1:9" ht="15.6" x14ac:dyDescent="0.3">
      <c r="A3443" s="1" t="s">
        <v>4</v>
      </c>
      <c r="B3443" s="1" t="s">
        <v>5</v>
      </c>
      <c r="C3443" s="10" t="s">
        <v>4</v>
      </c>
      <c r="D3443" s="5" t="s">
        <v>3088</v>
      </c>
      <c r="E3443" s="1" t="str">
        <f ca="1">IFERROR(__xludf.DUMMYFUNCTION("GOOGLETRANSLATE(D3443, ""bn"", ""en"")"),"What is happening to Muslims in Pakistan's Balochistan, what is China doing, what is Saudi Arabia doing, what is happening in Indonesia"" and this is shared by non-Muslim brothers.")</f>
        <v>What is happening to Muslims in Pakistan's Balochistan, what is China doing, what is Saudi Arabia doing, what is happening in Indonesia" and this is shared by non-Muslim brothers.</v>
      </c>
      <c r="F3443" s="1"/>
      <c r="G3443" s="1"/>
      <c r="H3443" s="1"/>
      <c r="I3443" s="1"/>
    </row>
    <row r="3444" spans="1:9" ht="15.6" x14ac:dyDescent="0.3">
      <c r="A3444" s="1" t="s">
        <v>7</v>
      </c>
      <c r="B3444" s="1" t="s">
        <v>7</v>
      </c>
      <c r="C3444" s="10" t="s">
        <v>7</v>
      </c>
      <c r="D3444" s="5" t="s">
        <v>3089</v>
      </c>
      <c r="E3444" s="1" t="str">
        <f ca="1">IFERROR(__xludf.DUMMYFUNCTION("GOOGLETRANSLATE(D3444, ""bn"", ""en"")"),"However, if Allah wills, He can forgive the suicide man in Hashar Maidan. Because Allah can forgive any sin other than Shirk at His will.")</f>
        <v>However, if Allah wills, He can forgive the suicide man in Hashar Maidan. Because Allah can forgive any sin other than Shirk at His will.</v>
      </c>
      <c r="F3444" s="1"/>
      <c r="G3444" s="1"/>
      <c r="H3444" s="1"/>
      <c r="I3444" s="1"/>
    </row>
    <row r="3445" spans="1:9" ht="15.6" x14ac:dyDescent="0.3">
      <c r="A3445" s="1" t="s">
        <v>5</v>
      </c>
      <c r="B3445" s="1" t="s">
        <v>5</v>
      </c>
      <c r="C3445" s="10" t="s">
        <v>5</v>
      </c>
      <c r="D3445" s="5" t="s">
        <v>3090</v>
      </c>
      <c r="E3445" s="1" t="str">
        <f ca="1">IFERROR(__xludf.DUMMYFUNCTION("GOOGLETRANSLATE(D3445, ""bn"", ""en"")"),"There should be an organization where religious education and all assistance will be given to the returnees.")</f>
        <v>There should be an organization where religious education and all assistance will be given to the returnees.</v>
      </c>
      <c r="F3445" s="1"/>
      <c r="G3445" s="1"/>
      <c r="H3445" s="1"/>
      <c r="I3445" s="1"/>
    </row>
    <row r="3446" spans="1:9" ht="46.8" x14ac:dyDescent="0.3">
      <c r="A3446" s="1" t="s">
        <v>7</v>
      </c>
      <c r="B3446" s="1" t="s">
        <v>7</v>
      </c>
      <c r="C3446" s="10" t="s">
        <v>7</v>
      </c>
      <c r="D3446" s="6" t="s">
        <v>3679</v>
      </c>
      <c r="E3446" s="1" t="str">
        <f ca="1">IFERROR(__xludf.DUMMYFUNCTION("GOOGLETRANSLATE(D3446, ""bn"", ""en"")"),"More than a month after leaving Noakhali, Gandhiji received a telegram from a Congress worker saying that Hindus were being burned alive in riot-hit areas. Gandhiji commented with great sadness that the condition of Noakhali was so dire that Hindus must l"&amp;"eave Noakhali or perish. [65]")</f>
        <v>More than a month after leaving Noakhali, Gandhiji received a telegram from a Congress worker saying that Hindus were being burned alive in riot-hit areas. Gandhiji commented with great sadness that the condition of Noakhali was so dire that Hindus must leave Noakhali or perish. [65]</v>
      </c>
      <c r="F3446" s="1"/>
      <c r="G3446" s="1"/>
      <c r="H3446" s="1"/>
      <c r="I3446" s="1"/>
    </row>
    <row r="3447" spans="1:9" ht="46.8" x14ac:dyDescent="0.3">
      <c r="A3447" s="4" t="s">
        <v>7</v>
      </c>
      <c r="B3447" s="4" t="s">
        <v>7</v>
      </c>
      <c r="C3447" s="11" t="s">
        <v>7</v>
      </c>
      <c r="D3447" s="6" t="s">
        <v>3678</v>
      </c>
      <c r="E3447" s="1" t="str">
        <f ca="1">IFERROR(__xludf.DUMMYFUNCTION("GOOGLETRANSLATE(D3447, ""bn"", ""en"")"),"In 1986 communal violence started again in Ahmedabad. The riots also started due to a Hindu religious procession on July 9. On July 12, a Hindu organization called for a bandh, citing attacks on Muslims during the procession, although no one claimed respo"&amp;"nsibility for the attack. The bandh was widely celebrated and 24 people were killed. ")</f>
        <v xml:space="preserve">In 1986 communal violence started again in Ahmedabad. The riots also started due to a Hindu religious procession on July 9. On July 12, a Hindu organization called for a bandh, citing attacks on Muslims during the procession, although no one claimed responsibility for the attack. The bandh was widely celebrated and 24 people were killed. </v>
      </c>
      <c r="F3447" s="1"/>
      <c r="G3447" s="1"/>
      <c r="H3447" s="1"/>
      <c r="I3447" s="1"/>
    </row>
    <row r="3448" spans="1:9" ht="15.6" x14ac:dyDescent="0.3">
      <c r="A3448" s="1" t="s">
        <v>7</v>
      </c>
      <c r="B3448" s="1" t="s">
        <v>7</v>
      </c>
      <c r="C3448" s="10" t="s">
        <v>7</v>
      </c>
      <c r="D3448" s="5" t="s">
        <v>3091</v>
      </c>
      <c r="E3448" s="1" t="str">
        <f ca="1">IFERROR(__xludf.DUMMYFUNCTION("GOOGLETRANSLATE(D3448, ""bn"", ""en"")"),"Suicide can only be eradicated if the spread of religious education can be ensured and if human values ​​and ethics can be reconciled in real life. ")</f>
        <v>Suicide can only be eradicated if the spread of religious education can be ensured and if human values ​​and ethics can be reconciled in real life. </v>
      </c>
      <c r="F3448" s="1"/>
      <c r="G3448" s="1"/>
      <c r="H3448" s="1"/>
      <c r="I3448" s="1"/>
    </row>
    <row r="3449" spans="1:9" ht="15.6" x14ac:dyDescent="0.3">
      <c r="A3449" s="1" t="s">
        <v>9</v>
      </c>
      <c r="B3449" s="1" t="s">
        <v>9</v>
      </c>
      <c r="C3449" s="10" t="s">
        <v>9</v>
      </c>
      <c r="D3449" s="5" t="s">
        <v>3092</v>
      </c>
      <c r="E3449" s="1" t="str">
        <f ca="1">IFERROR(__xludf.DUMMYFUNCTION("GOOGLETRANSLATE(D3449, ""bn"", ""en"")"),"A white man sets fire to three African-American churches out of religious and racist sentiments, which is characterized as a hate crime.")</f>
        <v>A white man sets fire to three African-American churches out of religious and racist sentiments, which is characterized as a hate crime.</v>
      </c>
      <c r="F3449" s="1"/>
      <c r="G3449" s="1"/>
      <c r="H3449" s="1"/>
      <c r="I3449" s="1"/>
    </row>
    <row r="3450" spans="1:9" ht="31.2" x14ac:dyDescent="0.3">
      <c r="A3450" s="1" t="s">
        <v>5</v>
      </c>
      <c r="B3450" s="1" t="s">
        <v>5</v>
      </c>
      <c r="C3450" s="10" t="s">
        <v>5</v>
      </c>
      <c r="D3450" s="6" t="s">
        <v>3677</v>
      </c>
      <c r="E3450" s="1" t="str">
        <f ca="1">IFERROR(__xludf.DUMMYFUNCTION("GOOGLETRANSLATE(D3450, ""bn"", ""en"")"),"You don't need religion to be a good person Honesty, not being jealous, nurturing morals, loving the living, restraining greed are enough qualities to be a good person, religion is not needed to do them, but mentality is needed.")</f>
        <v>You don't need religion to be a good person Honesty, not being jealous, nurturing morals, loving the living, restraining greed are enough qualities to be a good person, religion is not needed to do them, but mentality is needed.</v>
      </c>
      <c r="F3450" s="1"/>
      <c r="G3450" s="1"/>
      <c r="H3450" s="1"/>
      <c r="I3450" s="1"/>
    </row>
    <row r="3451" spans="1:9" ht="31.2" x14ac:dyDescent="0.3">
      <c r="A3451" s="1" t="s">
        <v>7</v>
      </c>
      <c r="B3451" s="1"/>
      <c r="C3451" s="10" t="s">
        <v>7</v>
      </c>
      <c r="D3451" s="8" t="s">
        <v>3093</v>
      </c>
      <c r="E3451" s="1" t="str">
        <f ca="1">IFERROR(__xludf.DUMMYFUNCTION("GOOGLETRANSLATE(D3451, ""bn"", ""en"")"),"Second phase of Biswa Ijtema is going on at Turag Bank of Tongir. Another worshiper died at the Ijtema Maidan. He died on Monday (February 3) at around 11:30 p.m. in room number 31.  The death toll is 7 people.")</f>
        <v>Second phase of Biswa Ijtema is going on at Turag Bank of Tongir. Another worshiper died at the Ijtema Maidan. He died on Monday (February 3) at around 11:30 p.m. in room number 31.  The death toll is 7 people.</v>
      </c>
      <c r="F3451" s="1"/>
      <c r="G3451" s="1"/>
      <c r="H3451" s="1"/>
      <c r="I3451" s="1"/>
    </row>
    <row r="3452" spans="1:9" ht="15.6" x14ac:dyDescent="0.3">
      <c r="A3452" s="1" t="s">
        <v>4</v>
      </c>
      <c r="B3452" s="1" t="s">
        <v>4</v>
      </c>
      <c r="C3452" s="10" t="s">
        <v>4</v>
      </c>
      <c r="D3452" s="5" t="s">
        <v>3094</v>
      </c>
      <c r="E3452" s="1" t="str">
        <f ca="1">IFERROR(__xludf.DUMMYFUNCTION("GOOGLETRANSLATE(D3452, ""bn"", ""en"")"),"The main purpose of propaganda is to break the backbone of the nation through religion.  crime Be it a Muslim or a Hindu. ")</f>
        <v xml:space="preserve">The main purpose of propaganda is to break the backbone of the nation through religion.  crime Be it a Muslim or a Hindu. </v>
      </c>
      <c r="F3452" s="1"/>
      <c r="G3452" s="1"/>
      <c r="H3452" s="1"/>
      <c r="I3452" s="1"/>
    </row>
    <row r="3453" spans="1:9" ht="46.8" x14ac:dyDescent="0.3">
      <c r="A3453" s="1" t="s">
        <v>4</v>
      </c>
      <c r="B3453" s="1" t="s">
        <v>4</v>
      </c>
      <c r="C3453" s="10" t="s">
        <v>4</v>
      </c>
      <c r="D3453" s="6" t="s">
        <v>3676</v>
      </c>
      <c r="E3453" s="1" t="str">
        <f ca="1">IFERROR(__xludf.DUMMYFUNCTION("GOOGLETRANSLATE(D3453, ""bn"", ""en"")"),"On March 1, the construction work of the mosque was inaugurated by Dinajpur-1 Constituency Member of Parliament Md. Zakaria Zaka. However, the construction of the mosque is currently stopped due to the objection of Kuchkri Mahal. Due to the closure of the"&amp;" mosque, there is extreme anger among the villagers. About 400 Muslims offer Friday prayers in the mosque. Due to the disruption in the construction work of the mosque, the worshipers are facing difficulties in offering prayers.")</f>
        <v>On March 1, the construction work of the mosque was inaugurated by Dinajpur-1 Constituency Member of Parliament Md. Zakaria Zaka. However, the construction of the mosque is currently stopped due to the objection of Kuchkri Mahal. Due to the closure of the mosque, there is extreme anger among the villagers. About 400 Muslims offer Friday prayers in the mosque. Due to the disruption in the construction work of the mosque, the worshipers are facing difficulties in offering prayers.</v>
      </c>
      <c r="F3453" s="1"/>
      <c r="G3453" s="1"/>
      <c r="H3453" s="1"/>
      <c r="I3453" s="1"/>
    </row>
    <row r="3454" spans="1:9" ht="15.6" x14ac:dyDescent="0.3">
      <c r="A3454" s="1" t="s">
        <v>9</v>
      </c>
      <c r="B3454" s="1" t="s">
        <v>9</v>
      </c>
      <c r="C3454" s="10" t="s">
        <v>9</v>
      </c>
      <c r="D3454" s="5" t="s">
        <v>3095</v>
      </c>
      <c r="E3454" s="1" t="str">
        <f ca="1">IFERROR(__xludf.DUMMYFUNCTION("GOOGLETRANSLATE(D3454, ""bn"", ""en"")"),"On 13 May, it was reported that a Hindu housewife was rescued while being raped by Muslims in Dharmapur village.[77] Two more such Hindu women were rescued on 16 May.")</f>
        <v>On 13 May, it was reported that a Hindu housewife was rescued while being raped by Muslims in Dharmapur village.[77] Two more such Hindu women were rescued on 16 May.</v>
      </c>
      <c r="F3454" s="1"/>
      <c r="G3454" s="1"/>
      <c r="H3454" s="1"/>
      <c r="I3454" s="1"/>
    </row>
    <row r="3455" spans="1:9" ht="15.6" x14ac:dyDescent="0.3">
      <c r="A3455" s="1" t="s">
        <v>7</v>
      </c>
      <c r="B3455" s="1" t="s">
        <v>7</v>
      </c>
      <c r="C3455" s="10" t="s">
        <v>7</v>
      </c>
      <c r="D3455" s="5" t="s">
        <v>3096</v>
      </c>
      <c r="E3455" s="1" t="str">
        <f ca="1">IFERROR(__xludf.DUMMYFUNCTION("GOOGLETRANSLATE(D3455, ""bn"", ""en"")"),"Many authors of the Puranas also continue this tradition of hatred through false slander, slander, characterisation. Entering the house of a Buddhist even in times of danger is declared a great sin for Brahmins in their scripture Nardiya Purana. ")</f>
        <v>Many authors of the Puranas also continue this tradition of hatred through false slander, slander, characterisation. Entering the house of a Buddhist even in times of danger is declared a great sin for Brahmins in their scripture Nardiya Purana. </v>
      </c>
      <c r="F3455" s="1"/>
      <c r="G3455" s="1"/>
      <c r="H3455" s="1"/>
      <c r="I3455" s="1"/>
    </row>
    <row r="3456" spans="1:9" ht="15.6" x14ac:dyDescent="0.3">
      <c r="A3456" s="1" t="s">
        <v>5</v>
      </c>
      <c r="B3456" s="1" t="s">
        <v>5</v>
      </c>
      <c r="C3456" s="10" t="s">
        <v>5</v>
      </c>
      <c r="D3456" s="5" t="s">
        <v>3097</v>
      </c>
      <c r="E3456" s="1" t="str">
        <f ca="1">IFERROR(__xludf.DUMMYFUNCTION("GOOGLETRANSLATE(D3456, ""bn"", ""en"")"),"Man is the protector of his life and wealth. Man's responsibilities and duties are life given by God, time given by God or life span, wealth given by God, talent given by God, opportunity and ability given by God;")</f>
        <v>Man is the protector of his life and wealth. Man's responsibilities and duties are life given by God, time given by God or life span, wealth given by God, talent given by God, opportunity and ability given by God;</v>
      </c>
      <c r="F3456" s="1"/>
      <c r="G3456" s="1"/>
      <c r="H3456" s="1"/>
      <c r="I3456" s="1"/>
    </row>
    <row r="3457" spans="1:9" ht="15.6" x14ac:dyDescent="0.3">
      <c r="A3457" s="1" t="s">
        <v>9</v>
      </c>
      <c r="B3457" s="1" t="s">
        <v>9</v>
      </c>
      <c r="C3457" s="10" t="s">
        <v>9</v>
      </c>
      <c r="D3457" s="5" t="s">
        <v>3098</v>
      </c>
      <c r="E3457" s="1" t="str">
        <f ca="1">IFERROR(__xludf.DUMMYFUNCTION("GOOGLETRANSLATE(D3457, ""bn"", ""en"")"),"There may be 'Hindu Muslim riots' in Bangladesh soon.")</f>
        <v>There may be 'Hindu Muslim riots' in Bangladesh soon.</v>
      </c>
      <c r="F3457" s="1"/>
      <c r="G3457" s="1"/>
      <c r="H3457" s="1"/>
      <c r="I3457" s="1"/>
    </row>
    <row r="3458" spans="1:9" ht="15.6" x14ac:dyDescent="0.3">
      <c r="A3458" s="1" t="s">
        <v>7</v>
      </c>
      <c r="B3458" s="1" t="s">
        <v>7</v>
      </c>
      <c r="C3458" s="10" t="s">
        <v>7</v>
      </c>
      <c r="D3458" s="5" t="s">
        <v>3099</v>
      </c>
      <c r="E3458" s="1" t="str">
        <f ca="1">IFERROR(__xludf.DUMMYFUNCTION("GOOGLETRANSLATE(D3458, ""bn"", ""en"")"),"On 26 March, the Pakistani occupation forces launched Operation Searchlight and aimed to evict the Hindus. Thousands of Hindus were killed in March and April and thousands of Hindus took refuge in India as refugees.")</f>
        <v>On 26 March, the Pakistani occupation forces launched Operation Searchlight and aimed to evict the Hindus. Thousands of Hindus were killed in March and April and thousands of Hindus took refuge in India as refugees.</v>
      </c>
      <c r="F3458" s="1"/>
      <c r="G3458" s="1"/>
      <c r="H3458" s="1"/>
      <c r="I3458" s="1"/>
    </row>
    <row r="3459" spans="1:9" ht="62.4" x14ac:dyDescent="0.3">
      <c r="A3459" s="1" t="s">
        <v>4</v>
      </c>
      <c r="B3459" s="1" t="s">
        <v>7</v>
      </c>
      <c r="C3459" s="10" t="s">
        <v>4</v>
      </c>
      <c r="D3459" s="6" t="s">
        <v>3675</v>
      </c>
      <c r="E3459" s="1" t="str">
        <f ca="1">IFERROR(__xludf.DUMMYFUNCTION("GOOGLETRANSLATE(D3459, ""bn"", ""en"")"),"It is easy to imagine where India's economy will end up if India's manpower exports and commercial interests are threatened in the Middle East. Meanwhile, India's allies and important trading partners in the Middle East, such as Dubai and Qatar, have reac"&amp;"ted strongly to the BJP's anti-Islam rhetoric. Traders started removing Indian products after ordinary citizens there called for a boycott of Indian products. Boycott India hashtags are gaining momentum on social media.")</f>
        <v>It is easy to imagine where India's economy will end up if India's manpower exports and commercial interests are threatened in the Middle East. Meanwhile, India's allies and important trading partners in the Middle East, such as Dubai and Qatar, have reacted strongly to the BJP's anti-Islam rhetoric. Traders started removing Indian products after ordinary citizens there called for a boycott of Indian products. Boycott India hashtags are gaining momentum on social media.</v>
      </c>
      <c r="F3459" s="1"/>
      <c r="G3459" s="1"/>
      <c r="H3459" s="1"/>
      <c r="I3459" s="1"/>
    </row>
    <row r="3460" spans="1:9" ht="15.6" x14ac:dyDescent="0.3">
      <c r="A3460" s="1" t="s">
        <v>4</v>
      </c>
      <c r="B3460" s="1" t="s">
        <v>5</v>
      </c>
      <c r="C3460" s="10" t="s">
        <v>4</v>
      </c>
      <c r="D3460" s="5" t="s">
        <v>3100</v>
      </c>
      <c r="E3460" s="1" t="str">
        <f ca="1">IFERROR(__xludf.DUMMYFUNCTION("GOOGLETRANSLATE(D3460, ""bn"", ""en"")"),"I don't know after a few days maybe you will have to listen to these obscenity personal freedom; It is a matter of personal preference, so why should it be haram? [Nauzubillah]")</f>
        <v>I don't know after a few days maybe you will have to listen to these obscenity personal freedom; It is a matter of personal preference, so why should it be haram? [Nauzubillah]</v>
      </c>
      <c r="F3460" s="1"/>
      <c r="G3460" s="1"/>
      <c r="H3460" s="1"/>
      <c r="I3460" s="1"/>
    </row>
    <row r="3461" spans="1:9" ht="15.6" x14ac:dyDescent="0.3">
      <c r="A3461" s="1" t="s">
        <v>5</v>
      </c>
      <c r="B3461" s="1" t="s">
        <v>5</v>
      </c>
      <c r="C3461" s="10" t="s">
        <v>5</v>
      </c>
      <c r="D3461" s="5" t="s">
        <v>3101</v>
      </c>
      <c r="E3461" s="1" t="str">
        <f ca="1">IFERROR(__xludf.DUMMYFUNCTION("GOOGLETRANSLATE(D3461, ""bn"", ""en"")"),"In 1598 Father Francisco and Father Domingo D'Souza reached Hooghly. Before that, the Portuguese settled in Hooghly in 1580. They built a school and hospital under the responsibility of the church that had been built there.")</f>
        <v>In 1598 Father Francisco and Father Domingo D'Souza reached Hooghly. Before that, the Portuguese settled in Hooghly in 1580. They built a school and hospital under the responsibility of the church that had been built there.</v>
      </c>
      <c r="F3461" s="1"/>
      <c r="G3461" s="1"/>
      <c r="H3461" s="1"/>
      <c r="I3461" s="1"/>
    </row>
    <row r="3462" spans="1:9" ht="15.6" x14ac:dyDescent="0.3">
      <c r="A3462" s="1" t="s">
        <v>9</v>
      </c>
      <c r="B3462" s="1" t="s">
        <v>9</v>
      </c>
      <c r="C3462" s="10" t="s">
        <v>9</v>
      </c>
      <c r="D3462" s="5" t="s">
        <v>3102</v>
      </c>
      <c r="E3462" s="1" t="str">
        <f ca="1">IFERROR(__xludf.DUMMYFUNCTION("GOOGLETRANSLATE(D3462, ""bn"", ""en"")"),"Ashwini kidnaps one of Kumar De's daughters. The next day the body of the unfortunate girl was sent back home in a raped, mutilated, unconscious state.[34] On the night of February 15, Muslims raped two unmarried girls of Bharat Dutta in Dhaka South. ")</f>
        <v>Ashwini kidnaps one of Kumar De's daughters. The next day the body of the unfortunate girl was sent back home in a raped, mutilated, unconscious state.[34] On the night of February 15, Muslims raped two unmarried girls of Bharat Dutta in Dhaka South. </v>
      </c>
      <c r="F3462" s="1"/>
      <c r="G3462" s="1"/>
      <c r="H3462" s="1"/>
      <c r="I3462" s="1"/>
    </row>
    <row r="3463" spans="1:9" ht="15.6" x14ac:dyDescent="0.3">
      <c r="A3463" s="1" t="s">
        <v>5</v>
      </c>
      <c r="B3463" s="1" t="s">
        <v>5</v>
      </c>
      <c r="C3463" s="10" t="s">
        <v>5</v>
      </c>
      <c r="D3463" s="5" t="s">
        <v>3103</v>
      </c>
      <c r="E3463" s="1" t="str">
        <f ca="1">IFERROR(__xludf.DUMMYFUNCTION("GOOGLETRANSLATE(D3463, ""bn"", ""en"")"),"This is the Qur'an, which is the word of God Almighty. Those who burned, how will they survive the burning of God? Greater pharaohs than these have passed away. May Allah guide us so that faith is right.")</f>
        <v>This is the Qur'an, which is the word of God Almighty. Those who burned, how will they survive the burning of God? Greater pharaohs than these have passed away. May Allah guide us so that faith is right.</v>
      </c>
      <c r="F3463" s="1"/>
      <c r="G3463" s="1"/>
      <c r="H3463" s="1"/>
      <c r="I3463" s="1"/>
    </row>
    <row r="3464" spans="1:9" ht="15.6" x14ac:dyDescent="0.3">
      <c r="A3464" s="1" t="s">
        <v>7</v>
      </c>
      <c r="B3464" s="1" t="s">
        <v>7</v>
      </c>
      <c r="C3464" s="10" t="s">
        <v>7</v>
      </c>
      <c r="D3464" s="5" t="s">
        <v>3104</v>
      </c>
      <c r="E3464" s="1" t="str">
        <f ca="1">IFERROR(__xludf.DUMMYFUNCTION("GOOGLETRANSLATE(D3464, ""bn"", ""en"")"),"Thousands of Sikhs were killed in the 1984 anti-Sikh riots, a horrific example of religious intolerance.")</f>
        <v>Thousands of Sikhs were killed in the 1984 anti-Sikh riots, a horrific example of religious intolerance.</v>
      </c>
      <c r="F3464" s="1"/>
      <c r="G3464" s="1"/>
      <c r="H3464" s="1"/>
      <c r="I3464" s="1"/>
    </row>
    <row r="3465" spans="1:9" ht="15.6" x14ac:dyDescent="0.3">
      <c r="A3465" s="1" t="s">
        <v>4</v>
      </c>
      <c r="B3465" s="1" t="s">
        <v>4</v>
      </c>
      <c r="C3465" s="10" t="s">
        <v>4</v>
      </c>
      <c r="D3465" s="5" t="s">
        <v>3105</v>
      </c>
      <c r="E3465" s="1" t="str">
        <f ca="1">IFERROR(__xludf.DUMMYFUNCTION("GOOGLETRANSLATE(D3465, ""bn"", ""en"")"),"His religion is the greatest for all people. It is wrong to despise and insult him, which is the essence of religion. Neglecting one's religion means neglecting oneself. He who understands that as mine is to me, their religion is theirs to them. Therefore"&amp;", those people have no religion.")</f>
        <v>His religion is the greatest for all people. It is wrong to despise and insult him, which is the essence of religion. Neglecting one's religion means neglecting oneself. He who understands that as mine is to me, their religion is theirs to them. Therefore, those people have no religion.</v>
      </c>
      <c r="F3465" s="1"/>
      <c r="G3465" s="1"/>
      <c r="H3465" s="1"/>
      <c r="I3465" s="1"/>
    </row>
    <row r="3466" spans="1:9" ht="15.6" x14ac:dyDescent="0.3">
      <c r="A3466" s="1" t="s">
        <v>7</v>
      </c>
      <c r="B3466" s="1" t="s">
        <v>7</v>
      </c>
      <c r="C3466" s="10" t="s">
        <v>7</v>
      </c>
      <c r="D3466" s="5" t="s">
        <v>3106</v>
      </c>
      <c r="E3466" s="1" t="str">
        <f ca="1">IFERROR(__xludf.DUMMYFUNCTION("GOOGLETRANSLATE(D3466, ""bn"", ""en"")"),"Nabiji (pbuh) not performing the funeral of a suicide person can be guessed how big a sin suicide is. Suicide destroys both this life and the hereafter.")</f>
        <v>Nabiji (pbuh) not performing the funeral of a suicide person can be guessed how big a sin suicide is. Suicide destroys both this life and the hereafter.</v>
      </c>
      <c r="F3466" s="1"/>
      <c r="G3466" s="1"/>
      <c r="H3466" s="1"/>
      <c r="I3466" s="1"/>
    </row>
    <row r="3467" spans="1:9" ht="46.8" x14ac:dyDescent="0.3">
      <c r="A3467" s="1" t="s">
        <v>9</v>
      </c>
      <c r="B3467" s="1" t="s">
        <v>9</v>
      </c>
      <c r="C3467" s="10" t="s">
        <v>9</v>
      </c>
      <c r="D3467" s="6" t="s">
        <v>3674</v>
      </c>
      <c r="E3467" s="1" t="str">
        <f ca="1">IFERROR(__xludf.DUMMYFUNCTION("GOOGLETRANSLATE(D3467, ""bn"", ""en"")"),"Meanwhile, on the night of the incident, the miscreants who hospitalized Zillur in critical condition attacked and looted their temple. Locally they revealed that injured Zillur Rahman vandalized the temple. The local people are getting angry because the "&amp;"main incident is being hidden. Attempts are being made to incite communal riots within the peaceful Muslim and Hindu communities over the vandalism of idols.")</f>
        <v>Meanwhile, on the night of the incident, the miscreants who hospitalized Zillur in critical condition attacked and looted their temple. Locally they revealed that injured Zillur Rahman vandalized the temple. The local people are getting angry because the main incident is being hidden. Attempts are being made to incite communal riots within the peaceful Muslim and Hindu communities over the vandalism of idols.</v>
      </c>
      <c r="F3467" s="1"/>
      <c r="G3467" s="1"/>
      <c r="H3467" s="1"/>
      <c r="I3467" s="1"/>
    </row>
    <row r="3468" spans="1:9" ht="15.6" x14ac:dyDescent="0.3">
      <c r="A3468" s="1" t="s">
        <v>7</v>
      </c>
      <c r="B3468" s="1" t="s">
        <v>7</v>
      </c>
      <c r="C3468" s="10" t="s">
        <v>7</v>
      </c>
      <c r="D3468" s="5" t="s">
        <v>3107</v>
      </c>
      <c r="E3468" s="1" t="str">
        <f ca="1">IFERROR(__xludf.DUMMYFUNCTION("GOOGLETRANSLATE(D3468, ""bn"", ""en"")"),"On 21 August 2006, a 40-year-old woman was burnt to death during the funeral of her husband Prem Narayan in Janakrani, Sagar district; No one forced or induced Janakrani to do this.")</f>
        <v>On 21 August 2006, a 40-year-old woman was burnt to death during the funeral of her husband Prem Narayan in Janakrani, Sagar district; No one forced or induced Janakrani to do this.</v>
      </c>
      <c r="F3468" s="1"/>
      <c r="G3468" s="1"/>
      <c r="H3468" s="1"/>
      <c r="I3468" s="1"/>
    </row>
    <row r="3469" spans="1:9" ht="15.6" x14ac:dyDescent="0.3">
      <c r="A3469" s="1" t="s">
        <v>7</v>
      </c>
      <c r="B3469" s="1" t="s">
        <v>7</v>
      </c>
      <c r="C3469" s="10" t="s">
        <v>7</v>
      </c>
      <c r="D3469" s="5" t="s">
        <v>3108</v>
      </c>
      <c r="E3469" s="1" t="str">
        <f ca="1">IFERROR(__xludf.DUMMYFUNCTION("GOOGLETRANSLATE(D3469, ""bn"", ""en"")"),"During World War II, the Nazis and their allies killed approximately six million Jews. That mass killing is known as 'Holocaust'.")</f>
        <v>During World War II, the Nazis and their allies killed approximately six million Jews. That mass killing is known as 'Holocaust'.</v>
      </c>
      <c r="F3469" s="1"/>
      <c r="G3469" s="1"/>
      <c r="H3469" s="1"/>
      <c r="I3469" s="1"/>
    </row>
    <row r="3470" spans="1:9" ht="15.6" x14ac:dyDescent="0.3">
      <c r="A3470" s="1" t="s">
        <v>4</v>
      </c>
      <c r="B3470" s="1" t="s">
        <v>4</v>
      </c>
      <c r="C3470" s="10" t="s">
        <v>4</v>
      </c>
      <c r="D3470" s="5" t="s">
        <v>3109</v>
      </c>
      <c r="E3470" s="1" t="str">
        <f ca="1">IFERROR(__xludf.DUMMYFUNCTION("GOOGLETRANSLATE(D3470, ""bn"", ""en"")"),"Looking at the real face of foreign women or looking at their pictures are two things that are against the Shariah and are forbidden. ")</f>
        <v xml:space="preserve">Looking at the real face of foreign women or looking at their pictures are two things that are against the Shariah and are forbidden. </v>
      </c>
      <c r="F3470" s="1"/>
      <c r="G3470" s="1"/>
      <c r="H3470" s="1"/>
      <c r="I3470" s="1"/>
    </row>
    <row r="3471" spans="1:9" ht="15.6" x14ac:dyDescent="0.3">
      <c r="A3471" s="1" t="s">
        <v>4</v>
      </c>
      <c r="B3471" s="1" t="s">
        <v>4</v>
      </c>
      <c r="C3471" s="10" t="s">
        <v>4</v>
      </c>
      <c r="D3471" s="5" t="s">
        <v>3110</v>
      </c>
      <c r="E3471" s="1" t="str">
        <f ca="1">IFERROR(__xludf.DUMMYFUNCTION("GOOGLETRANSLATE(D3471, ""bn"", ""en"")"),"When Allah gave Muslims a different Qibla and the Prophet also accepted it, then it would have been better not to exaggerate Al Aqsa.")</f>
        <v>When Allah gave Muslims a different Qibla and the Prophet also accepted it, then it would have been better not to exaggerate Al Aqsa.</v>
      </c>
      <c r="F3471" s="1"/>
      <c r="G3471" s="1"/>
      <c r="H3471" s="1"/>
      <c r="I3471" s="1"/>
    </row>
    <row r="3472" spans="1:9" ht="46.8" x14ac:dyDescent="0.3">
      <c r="A3472" s="1" t="s">
        <v>5</v>
      </c>
      <c r="B3472" s="1" t="s">
        <v>5</v>
      </c>
      <c r="C3472" s="10" t="s">
        <v>5</v>
      </c>
      <c r="D3472" s="6" t="s">
        <v>3673</v>
      </c>
      <c r="E3472" s="1" t="str">
        <f ca="1">IFERROR(__xludf.DUMMYFUNCTION("GOOGLETRANSLATE(D3472, ""bn"", ""en"")"),"There are fears of renewed tension around the holy Al-Aqsa Mosque and Haram Al Sharif in Jerusalem. Jews enter Islam's third holiest site to pray. What they never dared before. Palestinians complain that Israel is trying to Judaize Al-Aqsa Mosque. They ha"&amp;"ve also warned of starting a religious war if it is not stopped.")</f>
        <v>There are fears of renewed tension around the holy Al-Aqsa Mosque and Haram Al Sharif in Jerusalem. Jews enter Islam's third holiest site to pray. What they never dared before. Palestinians complain that Israel is trying to Judaize Al-Aqsa Mosque. They have also warned of starting a religious war if it is not stopped.</v>
      </c>
      <c r="F3472" s="1"/>
      <c r="G3472" s="1"/>
      <c r="H3472" s="1"/>
      <c r="I3472" s="1"/>
    </row>
    <row r="3473" spans="1:9" ht="15.6" x14ac:dyDescent="0.3">
      <c r="A3473" s="1" t="s">
        <v>9</v>
      </c>
      <c r="B3473" s="1" t="s">
        <v>9</v>
      </c>
      <c r="C3473" s="10" t="s">
        <v>9</v>
      </c>
      <c r="D3473" s="5" t="s">
        <v>3111</v>
      </c>
      <c r="E3473" s="1" t="str">
        <f ca="1">IFERROR(__xludf.DUMMYFUNCTION("GOOGLETRANSLATE(D3473, ""bn"", ""en"")"),"We called it a conspiracy, then there were attacks in various ways, but such a horrible incident in the Pujamandap and the continuous communalism, lawlessness, violence, murder, rape around it - it is a very terrible situation.")</f>
        <v>We called it a conspiracy, then there were attacks in various ways, but such a horrible incident in the Pujamandap and the continuous communalism, lawlessness, violence, murder, rape around it - it is a very terrible situation.</v>
      </c>
      <c r="F3473" s="1"/>
      <c r="G3473" s="1"/>
      <c r="H3473" s="1"/>
      <c r="I3473" s="1"/>
    </row>
    <row r="3474" spans="1:9" ht="15.6" x14ac:dyDescent="0.3">
      <c r="A3474" s="1" t="s">
        <v>9</v>
      </c>
      <c r="B3474" s="1" t="s">
        <v>5</v>
      </c>
      <c r="C3474" s="10" t="s">
        <v>9</v>
      </c>
      <c r="D3474" s="5" t="s">
        <v>3112</v>
      </c>
      <c r="E3474" s="1" t="str">
        <f ca="1">IFERROR(__xludf.DUMMYFUNCTION("GOOGLETRANSLATE(D3474, ""bn"", ""en"")"),"You can understand the amount of sexual scams done by university-school-college teachers just by searching on Google. There has been a century of rape in a university... I don't care about them, atheists don't make a film.")</f>
        <v>You can understand the amount of sexual scams done by university-school-college teachers just by searching on Google. There has been a century of rape in a university... I don't care about them, atheists don't make a film.</v>
      </c>
      <c r="F3474" s="1"/>
      <c r="G3474" s="1"/>
      <c r="H3474" s="1"/>
      <c r="I3474" s="1"/>
    </row>
    <row r="3475" spans="1:9" ht="15.6" x14ac:dyDescent="0.3">
      <c r="A3475" s="1" t="s">
        <v>7</v>
      </c>
      <c r="B3475" s="1" t="s">
        <v>7</v>
      </c>
      <c r="C3475" s="10" t="s">
        <v>7</v>
      </c>
      <c r="D3475" s="5" t="s">
        <v>3113</v>
      </c>
      <c r="E3475" s="1" t="str">
        <f ca="1">IFERROR(__xludf.DUMMYFUNCTION("GOOGLETRANSLATE(D3475, ""bn"", ""en"")"),"Charbhadrasan massacre refers to the massacre of unarmed Hindu residents in Charbhadrasan in Faridpur district by Pakistani occupation forces and Razakars in mid-May 1971.")</f>
        <v>Charbhadrasan massacre refers to the massacre of unarmed Hindu residents in Charbhadrasan in Faridpur district by Pakistani occupation forces and Razakars in mid-May 1971.</v>
      </c>
      <c r="F3475" s="1"/>
      <c r="G3475" s="1"/>
      <c r="H3475" s="1"/>
      <c r="I3475" s="1"/>
    </row>
    <row r="3476" spans="1:9" ht="15.6" x14ac:dyDescent="0.3">
      <c r="A3476" s="1" t="s">
        <v>9</v>
      </c>
      <c r="B3476" s="1" t="s">
        <v>9</v>
      </c>
      <c r="C3476" s="10" t="s">
        <v>9</v>
      </c>
      <c r="D3476" s="5" t="s">
        <v>3114</v>
      </c>
      <c r="E3476" s="1" t="str">
        <f ca="1">IFERROR(__xludf.DUMMYFUNCTION("GOOGLETRANSLATE(D3476, ""bn"", ""en"")"),"Those who have a little faith in them. Let them boycott the goods of Israel because the money from the sale of these goods is used to destroy the Palestinian Muslims.")</f>
        <v>Those who have a little faith in them. Let them boycott the goods of Israel because the money from the sale of these goods is used to destroy the Palestinian Muslims.</v>
      </c>
      <c r="F3476" s="1"/>
      <c r="G3476" s="1"/>
      <c r="H3476" s="1"/>
      <c r="I3476" s="1"/>
    </row>
    <row r="3477" spans="1:9" ht="15.6" x14ac:dyDescent="0.3">
      <c r="A3477" s="1" t="s">
        <v>7</v>
      </c>
      <c r="B3477" s="1" t="s">
        <v>7</v>
      </c>
      <c r="C3477" s="10" t="s">
        <v>7</v>
      </c>
      <c r="D3477" s="5" t="s">
        <v>3115</v>
      </c>
      <c r="E3477" s="1" t="str">
        <f ca="1">IFERROR(__xludf.DUMMYFUNCTION("GOOGLETRANSLATE(D3477, ""bn"", ""en"")"),"After the independence of Bangladesh, a memorial was built at the place. The names of the 69 victims of the massacre are inscribed on the memorial.[5] On 27 March 2011, a memorial service was held in front of the Ramana Kali temple in honor of the victims"&amp;" of the Ramana Kali temple massacre.[")</f>
        <v>After the independence of Bangladesh, a memorial was built at the place. The names of the 69 victims of the massacre are inscribed on the memorial.[5] On 27 March 2011, a memorial service was held in front of the Ramana Kali temple in honor of the victims of the Ramana Kali temple massacre.[</v>
      </c>
      <c r="F3477" s="1"/>
      <c r="G3477" s="1"/>
      <c r="H3477" s="1"/>
      <c r="I3477" s="1"/>
    </row>
    <row r="3478" spans="1:9" ht="15.6" x14ac:dyDescent="0.3">
      <c r="A3478" s="1" t="s">
        <v>5</v>
      </c>
      <c r="B3478" s="1" t="s">
        <v>5</v>
      </c>
      <c r="C3478" s="10" t="s">
        <v>5</v>
      </c>
      <c r="D3478" s="5" t="s">
        <v>3116</v>
      </c>
      <c r="E3478" s="1" t="str">
        <f ca="1">IFERROR(__xludf.DUMMYFUNCTION("GOOGLETRANSLATE(D3478, ""bn"", ""en"")"),"It allows them to be brought to justice because this group is the enemy of the society, the enemy of the nation, the enemy of the Hindu Muslim, so I say to the Hindu Muslim community, be alert and cautious from your own position. ")</f>
        <v xml:space="preserve">It allows them to be brought to justice because this group is the enemy of the society, the enemy of the nation, the enemy of the Hindu Muslim, so I say to the Hindu Muslim community, be alert and cautious from your own position. </v>
      </c>
      <c r="F3478" s="1"/>
      <c r="G3478" s="1"/>
      <c r="H3478" s="1"/>
      <c r="I3478" s="1"/>
    </row>
    <row r="3479" spans="1:9" ht="15.6" x14ac:dyDescent="0.3">
      <c r="A3479" s="1" t="s">
        <v>5</v>
      </c>
      <c r="B3479" s="1" t="s">
        <v>9</v>
      </c>
      <c r="C3479" s="10" t="s">
        <v>5</v>
      </c>
      <c r="D3479" s="5" t="s">
        <v>3117</v>
      </c>
      <c r="E3479" s="1" t="str">
        <f ca="1">IFERROR(__xludf.DUMMYFUNCTION("GOOGLETRANSLATE(D3479, ""bn"", ""en"")"),"Deputy Police Commissioner Tracy Linford said, ""We believe 'Don' to be a religious fundamentalist in the United States and 'home' refers to the Christian paradise.""")</f>
        <v>Deputy Police Commissioner Tracy Linford said, "We believe 'Don' to be a religious fundamentalist in the United States and 'home' refers to the Christian paradise."</v>
      </c>
      <c r="F3479" s="1"/>
      <c r="G3479" s="1"/>
      <c r="H3479" s="1"/>
      <c r="I3479" s="1"/>
    </row>
    <row r="3480" spans="1:9" ht="15.6" x14ac:dyDescent="0.3">
      <c r="A3480" s="1" t="s">
        <v>5</v>
      </c>
      <c r="B3480" s="1" t="s">
        <v>4</v>
      </c>
      <c r="C3480" s="10" t="s">
        <v>5</v>
      </c>
      <c r="D3480" s="5" t="s">
        <v>3118</v>
      </c>
      <c r="E3480" s="1" t="str">
        <f ca="1">IFERROR(__xludf.DUMMYFUNCTION("GOOGLETRANSLATE(D3480, ""bn"", ""en"")"),"I was very worried about my child. My mind has calmed down after hearing your speech. May Allah guide my child to the right path")</f>
        <v>I was very worried about my child. My mind has calmed down after hearing your speech. May Allah guide my child to the right path</v>
      </c>
      <c r="F3480" s="1"/>
      <c r="G3480" s="1"/>
      <c r="H3480" s="1"/>
      <c r="I3480" s="1"/>
    </row>
    <row r="3481" spans="1:9" ht="15.6" x14ac:dyDescent="0.3">
      <c r="A3481" s="1" t="s">
        <v>9</v>
      </c>
      <c r="B3481" s="1" t="s">
        <v>4</v>
      </c>
      <c r="C3481" s="10" t="s">
        <v>9</v>
      </c>
      <c r="D3481" s="5" t="s">
        <v>3119</v>
      </c>
      <c r="E3481" s="1" t="str">
        <f ca="1">IFERROR(__xludf.DUMMYFUNCTION("GOOGLETRANSLATE(D3481, ""bn"", ""en"")"),"O Allah, punish the Jews properly. Destroy the hands that burned our Holy Quran. Keep the Holy Qur'an.")</f>
        <v>O Allah, punish the Jews properly. Destroy the hands that burned our Holy Quran. Keep the Holy Qur'an.</v>
      </c>
      <c r="F3481" s="1"/>
      <c r="G3481" s="1"/>
      <c r="H3481" s="1"/>
      <c r="I3481" s="1"/>
    </row>
    <row r="3482" spans="1:9" ht="15.6" x14ac:dyDescent="0.3">
      <c r="A3482" s="1" t="s">
        <v>5</v>
      </c>
      <c r="B3482" s="1" t="s">
        <v>5</v>
      </c>
      <c r="C3482" s="10" t="s">
        <v>5</v>
      </c>
      <c r="D3482" s="5" t="s">
        <v>3120</v>
      </c>
      <c r="E3482" s="1" t="str">
        <f ca="1">IFERROR(__xludf.DUMMYFUNCTION("GOOGLETRANSLATE(D3482, ""bn"", ""en"")"),"Some scholars consider it reasonable to visit Muslim cemeteries on this night to recite portions of the Qur'an and pray for the dead.")</f>
        <v>Some scholars consider it reasonable to visit Muslim cemeteries on this night to recite portions of the Qur'an and pray for the dead.</v>
      </c>
      <c r="F3482" s="1"/>
      <c r="G3482" s="1"/>
      <c r="H3482" s="1"/>
      <c r="I3482" s="1"/>
    </row>
    <row r="3483" spans="1:9" ht="15.6" x14ac:dyDescent="0.3">
      <c r="A3483" s="1" t="s">
        <v>5</v>
      </c>
      <c r="B3483" s="1" t="s">
        <v>5</v>
      </c>
      <c r="C3483" s="10" t="s">
        <v>5</v>
      </c>
      <c r="D3483" s="5" t="s">
        <v>3121</v>
      </c>
      <c r="E3483" s="1" t="str">
        <f ca="1">IFERROR(__xludf.DUMMYFUNCTION("GOOGLETRANSLATE(D3483, ""bn"", ""en"")"),"Religion creates confidence and determination in people. It encourages him to be brave and strong in difficult moments of life.")</f>
        <v>Religion creates confidence and determination in people. It encourages him to be brave and strong in difficult moments of life.</v>
      </c>
      <c r="F3483" s="1"/>
      <c r="G3483" s="1"/>
      <c r="H3483" s="1"/>
      <c r="I3483" s="1"/>
    </row>
    <row r="3484" spans="1:9" ht="15.6" x14ac:dyDescent="0.3">
      <c r="A3484" s="1" t="s">
        <v>5</v>
      </c>
      <c r="B3484" s="1" t="s">
        <v>5</v>
      </c>
      <c r="C3484" s="10" t="s">
        <v>5</v>
      </c>
      <c r="D3484" s="5" t="s">
        <v>3122</v>
      </c>
      <c r="E3484" s="1" t="str">
        <f ca="1">IFERROR(__xludf.DUMMYFUNCTION("GOOGLETRANSLATE(D3484, ""bn"", ""en"")"),"Alhamdulillah. The more I listen, the easier it becomes to change myself. Love you, Ustad Noman Ali.""")</f>
        <v>Alhamdulillah. The more I listen, the easier it becomes to change myself. Love you, Ustad Noman Ali."</v>
      </c>
      <c r="F3484" s="1"/>
      <c r="G3484" s="1"/>
      <c r="H3484" s="1"/>
      <c r="I3484" s="1"/>
    </row>
    <row r="3485" spans="1:9" ht="15.6" x14ac:dyDescent="0.3">
      <c r="A3485" s="1" t="s">
        <v>4</v>
      </c>
      <c r="B3485" s="1" t="s">
        <v>5</v>
      </c>
      <c r="C3485" s="10" t="s">
        <v>4</v>
      </c>
      <c r="D3485" s="5" t="s">
        <v>3123</v>
      </c>
      <c r="E3485" s="1" t="str">
        <f ca="1">IFERROR(__xludf.DUMMYFUNCTION("GOOGLETRANSLATE(D3485, ""bn"", ""en"")"),"Did you want to prove yourself by making bad comments about a great man of another religion??")</f>
        <v>Did you want to prove yourself by making bad comments about a great man of another religion??</v>
      </c>
      <c r="F3485" s="1"/>
      <c r="G3485" s="1"/>
      <c r="H3485" s="1"/>
      <c r="I3485" s="1"/>
    </row>
    <row r="3486" spans="1:9" ht="15.6" x14ac:dyDescent="0.3">
      <c r="A3486" s="1" t="s">
        <v>9</v>
      </c>
      <c r="B3486" s="1" t="s">
        <v>9</v>
      </c>
      <c r="C3486" s="10" t="s">
        <v>9</v>
      </c>
      <c r="D3486" s="5" t="s">
        <v>3124</v>
      </c>
      <c r="E3486" s="1" t="str">
        <f ca="1">IFERROR(__xludf.DUMMYFUNCTION("GOOGLETRANSLATE(D3486, ""bn"", ""en"")"),"In a Jame Masjid of Brahmanpara Upazila of Comilla, there have been reports of defecation, tearing of 25/30 Quran Sharifs, breaking of Quran rails and 4 windows of the mosque.")</f>
        <v>In a Jame Masjid of Brahmanpara Upazila of Comilla, there have been reports of defecation, tearing of 25/30 Quran Sharifs, breaking of Quran rails and 4 windows of the mosque.</v>
      </c>
      <c r="F3486" s="1"/>
      <c r="G3486" s="1"/>
      <c r="H3486" s="1"/>
      <c r="I3486" s="1"/>
    </row>
    <row r="3487" spans="1:9" ht="46.8" x14ac:dyDescent="0.3">
      <c r="A3487" s="1" t="s">
        <v>7</v>
      </c>
      <c r="B3487" s="1" t="s">
        <v>7</v>
      </c>
      <c r="C3487" s="10" t="s">
        <v>7</v>
      </c>
      <c r="D3487" s="6" t="s">
        <v>3672</v>
      </c>
      <c r="E3487" s="1" t="str">
        <f ca="1">IFERROR(__xludf.DUMMYFUNCTION("GOOGLETRANSLATE(D3487, ""bn"", ""en"")"),"Hatred started spreading even before cow slaughter was officially banned in India A perverse, hateful idea was gaining ground in various parts of the country that those who ate beef were actually enemies of Hinduism. The lynching of Uttar Pradesh's Mohamm"&amp;"ad Akhlakh still remains a burning wound on India's ideals of secularism.")</f>
        <v>Hatred started spreading even before cow slaughter was officially banned in India A perverse, hateful idea was gaining ground in various parts of the country that those who ate beef were actually enemies of Hinduism. The lynching of Uttar Pradesh's Mohammad Akhlakh still remains a burning wound on India's ideals of secularism.</v>
      </c>
      <c r="F3487" s="1"/>
      <c r="G3487" s="1"/>
      <c r="H3487" s="1"/>
      <c r="I3487" s="1"/>
    </row>
    <row r="3488" spans="1:9" ht="46.8" x14ac:dyDescent="0.3">
      <c r="A3488" s="1" t="s">
        <v>7</v>
      </c>
      <c r="B3488" s="1" t="s">
        <v>7</v>
      </c>
      <c r="C3488" s="10" t="s">
        <v>7</v>
      </c>
      <c r="D3488" s="6" t="s">
        <v>3671</v>
      </c>
      <c r="E3488" s="1" t="str">
        <f ca="1">IFERROR(__xludf.DUMMYFUNCTION("GOOGLETRANSLATE(D3488, ""bn"", ""en"")"),"The Yugisho and Palsha Massacre was a pre-planned massacre of Bengali Hindus by the Pakistan Army and local ally Razakars in the villages of Yugisho and Palsha in Rajshahi during the Bangladesh War of Independence on 16 May 1971. [1] According to various "&amp;"sources, Pakistani forces and Razakars killed 42 Bengali Hindus in this incident. does.[")</f>
        <v>The Yugisho and Palsha Massacre was a pre-planned massacre of Bengali Hindus by the Pakistan Army and local ally Razakars in the villages of Yugisho and Palsha in Rajshahi during the Bangladesh War of Independence on 16 May 1971. [1] According to various sources, Pakistani forces and Razakars killed 42 Bengali Hindus in this incident. does.[</v>
      </c>
      <c r="F3488" s="1"/>
      <c r="G3488" s="1"/>
      <c r="H3488" s="1"/>
      <c r="I3488" s="1"/>
    </row>
    <row r="3489" spans="1:9" ht="15.6" x14ac:dyDescent="0.3">
      <c r="A3489" s="1" t="s">
        <v>9</v>
      </c>
      <c r="B3489" s="1"/>
      <c r="C3489" s="10" t="s">
        <v>9</v>
      </c>
      <c r="D3489" s="5" t="s">
        <v>3125</v>
      </c>
      <c r="E3489" s="1" t="str">
        <f ca="1">IFERROR(__xludf.DUMMYFUNCTION("GOOGLETRANSLATE(D3489, ""bn"", ""en"")"),"Expressing serious concern over the continuous attacks on Hindus in Bangladesh, the South Assam Bengali Hindu Samiti demanded Indian President Pranab Mukherjee's intervention to stop persecution of Hindus in Bangladesh.")</f>
        <v>Expressing serious concern over the continuous attacks on Hindus in Bangladesh, the South Assam Bengali Hindu Samiti demanded Indian President Pranab Mukherjee's intervention to stop persecution of Hindus in Bangladesh.</v>
      </c>
      <c r="F3489" s="1"/>
      <c r="G3489" s="1"/>
      <c r="H3489" s="1"/>
      <c r="I3489" s="1"/>
    </row>
    <row r="3490" spans="1:9" ht="15.6" x14ac:dyDescent="0.3">
      <c r="A3490" s="1" t="s">
        <v>9</v>
      </c>
      <c r="B3490" s="1" t="s">
        <v>9</v>
      </c>
      <c r="C3490" s="10" t="s">
        <v>9</v>
      </c>
      <c r="D3490" s="5" t="s">
        <v>3126</v>
      </c>
      <c r="E3490" s="1" t="str">
        <f ca="1">IFERROR(__xludf.DUMMYFUNCTION("GOOGLETRANSLATE(D3490, ""bn"", ""en"")"),"Under the old law, disturbing a religious gathering, entering a burial place of another religion, insulting religious beliefs or willfully destroying or damaging a religious place or object was punishable by up to 10 years in prison.")</f>
        <v>Under the old law, disturbing a religious gathering, entering a burial place of another religion, insulting religious beliefs or willfully destroying or damaging a religious place or object was punishable by up to 10 years in prison.</v>
      </c>
      <c r="F3490" s="1"/>
      <c r="G3490" s="1"/>
      <c r="H3490" s="1"/>
      <c r="I3490" s="1"/>
    </row>
    <row r="3491" spans="1:9" ht="15.6" x14ac:dyDescent="0.3">
      <c r="A3491" s="1" t="s">
        <v>4</v>
      </c>
      <c r="B3491" s="1" t="s">
        <v>4</v>
      </c>
      <c r="C3491" s="10" t="s">
        <v>4</v>
      </c>
      <c r="D3491" s="5" t="s">
        <v>3127</v>
      </c>
      <c r="E3491" s="1" t="str">
        <f ca="1">IFERROR(__xludf.DUMMYFUNCTION("GOOGLETRANSLATE(D3491, ""bn"", ""en"")"),"An investigation committee was formed to identify those who kept the Quran in the shrine.[14] Police arrested Faiz Ahmed on the night of October 13 and Ghulam Mawla on the night of October 14 for spreading live videos on Facebook about the incident at the"&amp;" shrine in Comilla.")</f>
        <v>An investigation committee was formed to identify those who kept the Quran in the shrine.[14] Police arrested Faiz Ahmed on the night of October 13 and Ghulam Mawla on the night of October 14 for spreading live videos on Facebook about the incident at the shrine in Comilla.</v>
      </c>
      <c r="F3491" s="1"/>
      <c r="G3491" s="1"/>
      <c r="H3491" s="1"/>
      <c r="I3491" s="1"/>
    </row>
    <row r="3492" spans="1:9" ht="15.6" x14ac:dyDescent="0.3">
      <c r="A3492" s="1" t="s">
        <v>7</v>
      </c>
      <c r="B3492" s="1" t="s">
        <v>7</v>
      </c>
      <c r="C3492" s="10" t="s">
        <v>7</v>
      </c>
      <c r="D3492" s="5" t="s">
        <v>3128</v>
      </c>
      <c r="E3492" s="1" t="str">
        <f ca="1">IFERROR(__xludf.DUMMYFUNCTION("GOOGLETRANSLATE(D3492, ""bn"", ""en"")"),"One day everything will be fine but don't commit suicide, suicide is a great sin")</f>
        <v>One day everything will be fine but don't commit suicide, suicide is a great sin</v>
      </c>
      <c r="F3492" s="1"/>
      <c r="G3492" s="1"/>
      <c r="H3492" s="1"/>
      <c r="I3492" s="1"/>
    </row>
    <row r="3493" spans="1:9" ht="46.8" x14ac:dyDescent="0.3">
      <c r="A3493" s="1" t="s">
        <v>9</v>
      </c>
      <c r="B3493" s="1" t="s">
        <v>9</v>
      </c>
      <c r="C3493" s="10" t="s">
        <v>9</v>
      </c>
      <c r="D3493" s="6" t="s">
        <v>3670</v>
      </c>
      <c r="E3493" s="1" t="str">
        <f ca="1">IFERROR(__xludf.DUMMYFUNCTION("GOOGLETRANSLATE(D3493, ""bn"", ""en"")"),"In the last step of the project to destroy Buddhism - the idea that 'Gautam Buddha is nothing but another incarnation of the Hindu god Vishnu' - was spread around. In this way the Buddha is reduced to one of the few Gods in the pantheon of Brahmanism. Fin"&amp;"ally, the Buddhists were assimilated into the caste system as mainly Shudras and Untouchables – and thus the Buddhists began to disappear in their homeland.")</f>
        <v>In the last step of the project to destroy Buddhism - the idea that 'Gautam Buddha is nothing but another incarnation of the Hindu god Vishnu' - was spread around. In this way the Buddha is reduced to one of the few Gods in the pantheon of Brahmanism. Finally, the Buddhists were assimilated into the caste system as mainly Shudras and Untouchables – and thus the Buddhists began to disappear in their homeland.</v>
      </c>
      <c r="F3493" s="1"/>
      <c r="G3493" s="1"/>
      <c r="H3493" s="1"/>
      <c r="I3493" s="1"/>
    </row>
    <row r="3494" spans="1:9" ht="15.6" x14ac:dyDescent="0.3">
      <c r="A3494" s="1" t="s">
        <v>5</v>
      </c>
      <c r="B3494" s="1" t="s">
        <v>5</v>
      </c>
      <c r="C3494" s="10" t="s">
        <v>5</v>
      </c>
      <c r="D3494" s="5" t="s">
        <v>3129</v>
      </c>
      <c r="E3494" s="1" t="str">
        <f ca="1">IFERROR(__xludf.DUMMYFUNCTION("GOOGLETRANSLATE(D3494, ""bn"", ""en"")"),"According to classical religious accounts, in the pre-Islamic period, Arab poets of the Hanif sect, who were also believed to possess mystical powers, foretold the imminent arrival of a prophet in their poetry.")</f>
        <v>According to classical religious accounts, in the pre-Islamic period, Arab poets of the Hanif sect, who were also believed to possess mystical powers, foretold the imminent arrival of a prophet in their poetry.</v>
      </c>
      <c r="F3494" s="1"/>
      <c r="G3494" s="1"/>
      <c r="H3494" s="1"/>
      <c r="I3494" s="1"/>
    </row>
    <row r="3495" spans="1:9" ht="15.6" x14ac:dyDescent="0.3">
      <c r="A3495" s="1" t="s">
        <v>4</v>
      </c>
      <c r="B3495" s="1" t="s">
        <v>5</v>
      </c>
      <c r="C3495" s="10" t="s">
        <v>4</v>
      </c>
      <c r="D3495" s="5" t="s">
        <v>3130</v>
      </c>
      <c r="E3495" s="1" t="str">
        <f ca="1">IFERROR(__xludf.DUMMYFUNCTION("GOOGLETRANSLATE(D3495, ""bn"", ""en"")"),"Because this subjugation of Indians in the name of independence has come from the hands of Hindutva.")</f>
        <v>Because this subjugation of Indians in the name of independence has come from the hands of Hindutva.</v>
      </c>
      <c r="F3495" s="1"/>
      <c r="G3495" s="1"/>
      <c r="H3495" s="1"/>
      <c r="I3495" s="1"/>
    </row>
    <row r="3496" spans="1:9" ht="15.6" x14ac:dyDescent="0.3">
      <c r="A3496" s="1" t="s">
        <v>7</v>
      </c>
      <c r="B3496" s="1" t="s">
        <v>7</v>
      </c>
      <c r="C3496" s="10" t="s">
        <v>7</v>
      </c>
      <c r="D3496" s="5" t="s">
        <v>3131</v>
      </c>
      <c r="E3496" s="1" t="str">
        <f ca="1">IFERROR(__xludf.DUMMYFUNCTION("GOOGLETRANSLATE(D3496, ""bn"", ""en"")"),"Most Hindu communities, especially in northern India, bury only those under two years of age, such as baby girls.")</f>
        <v>Most Hindu communities, especially in northern India, bury only those under two years of age, such as baby girls.</v>
      </c>
      <c r="F3496" s="1"/>
      <c r="G3496" s="1"/>
      <c r="H3496" s="1"/>
      <c r="I3496" s="1"/>
    </row>
    <row r="3497" spans="1:9" ht="15.6" x14ac:dyDescent="0.3">
      <c r="A3497" s="1" t="s">
        <v>9</v>
      </c>
      <c r="B3497" s="1" t="s">
        <v>9</v>
      </c>
      <c r="C3497" s="10" t="s">
        <v>9</v>
      </c>
      <c r="D3497" s="5" t="s">
        <v>3132</v>
      </c>
      <c r="E3497" s="1" t="str">
        <f ca="1">IFERROR(__xludf.DUMMYFUNCTION("GOOGLETRANSLATE(D3497, ""bn"", ""en"")"),"Why is the Arab world silent now??? Allah will never forgive these heartbreakers. Allah help the oppressed Muslims")</f>
        <v>Why is the Arab world silent now??? Allah will never forgive these heartbreakers. Allah help the oppressed Muslims</v>
      </c>
      <c r="F3497" s="1"/>
      <c r="G3497" s="1"/>
      <c r="H3497" s="1"/>
      <c r="I3497" s="1"/>
    </row>
    <row r="3498" spans="1:9" ht="15.6" x14ac:dyDescent="0.3">
      <c r="A3498" s="1" t="s">
        <v>4</v>
      </c>
      <c r="B3498" s="1" t="s">
        <v>4</v>
      </c>
      <c r="C3498" s="10" t="s">
        <v>4</v>
      </c>
      <c r="D3498" s="5" t="s">
        <v>3133</v>
      </c>
      <c r="E3498" s="1" t="str">
        <f ca="1">IFERROR(__xludf.DUMMYFUNCTION("GOOGLETRANSLATE(D3498, ""bn"", ""en"")"),"In this situation, the major Muslim countries are playing a silent role as if all the governments are impotent.")</f>
        <v>In this situation, the major Muslim countries are playing a silent role as if all the governments are impotent.</v>
      </c>
      <c r="F3498" s="1"/>
      <c r="G3498" s="1"/>
      <c r="H3498" s="1"/>
      <c r="I3498" s="1"/>
    </row>
    <row r="3499" spans="1:9" ht="62.4" x14ac:dyDescent="0.3">
      <c r="A3499" s="1" t="s">
        <v>7</v>
      </c>
      <c r="B3499" s="1" t="s">
        <v>7</v>
      </c>
      <c r="C3499" s="10" t="s">
        <v>7</v>
      </c>
      <c r="D3499" s="6" t="s">
        <v>3669</v>
      </c>
      <c r="E3499" s="1" t="str">
        <f ca="1">IFERROR(__xludf.DUMMYFUNCTION("GOOGLETRANSLATE(D3499, ""bn"", ""en"")"),"Imam Saad's brother Shadab Anwar told the BBC in the morning, ""I only got a glimpse of my brother's body. Now we are waiting in front of the morgue, from here we will lodge an FIR."" The police also confirmed that several people have already been detaine"&amp;"d for allegedly attacking the mosque. The Hindu-Muslim conflict that started last afternoon in Nooh and Gurgaon has not stopped yet, the situation in the entire area is at a standstill.")</f>
        <v>Imam Saad's brother Shadab Anwar told the BBC in the morning, "I only got a glimpse of my brother's body. Now we are waiting in front of the morgue, from here we will lodge an FIR." The police also confirmed that several people have already been detained for allegedly attacking the mosque. The Hindu-Muslim conflict that started last afternoon in Nooh and Gurgaon has not stopped yet, the situation in the entire area is at a standstill.</v>
      </c>
      <c r="F3499" s="1"/>
      <c r="G3499" s="1"/>
      <c r="H3499" s="1"/>
      <c r="I3499" s="1"/>
    </row>
    <row r="3500" spans="1:9" ht="15.6" x14ac:dyDescent="0.3">
      <c r="A3500" s="1" t="s">
        <v>5</v>
      </c>
      <c r="B3500" s="1" t="s">
        <v>5</v>
      </c>
      <c r="C3500" s="10" t="s">
        <v>5</v>
      </c>
      <c r="D3500" s="5" t="s">
        <v>3134</v>
      </c>
      <c r="E3500" s="1" t="str">
        <f ca="1">IFERROR(__xludf.DUMMYFUNCTION("GOOGLETRANSLATE(D3500, ""bn"", ""en"")"),"Mahakumbh Mela is known as a unique religious festival in India, where every person participates with faith and reverence towards God, but due to some unforeseen circumstances, tragic events took place.")</f>
        <v>Mahakumbh Mela is known as a unique religious festival in India, where every person participates with faith and reverence towards God, but due to some unforeseen circumstances, tragic events took place.</v>
      </c>
      <c r="F3500" s="1"/>
      <c r="G3500" s="1"/>
      <c r="H3500" s="1"/>
      <c r="I3500" s="1"/>
    </row>
    <row r="3501" spans="1:9" ht="15.6" x14ac:dyDescent="0.3">
      <c r="A3501" s="1" t="s">
        <v>4</v>
      </c>
      <c r="B3501" s="1" t="s">
        <v>4</v>
      </c>
      <c r="C3501" s="10" t="s">
        <v>4</v>
      </c>
      <c r="D3501" s="5" t="s">
        <v>3135</v>
      </c>
      <c r="E3501" s="1" t="str">
        <f ca="1">IFERROR(__xludf.DUMMYFUNCTION("GOOGLETRANSLATE(D3501, ""bn"", ""en"")"),"In the compromise of 1976, the then District Commissioner allocated the said land in the name of the mosque and through it the ownership of the mosque was established. The proof of that is preserved in the form of deed but the Kuchkri Mahal does not want "&amp;"to accept it.")</f>
        <v>In the compromise of 1976, the then District Commissioner allocated the said land in the name of the mosque and through it the ownership of the mosque was established. The proof of that is preserved in the form of deed but the Kuchkri Mahal does not want to accept it.</v>
      </c>
      <c r="F3501" s="1"/>
      <c r="G3501" s="1"/>
      <c r="H3501" s="1"/>
      <c r="I3501" s="1"/>
    </row>
    <row r="3502" spans="1:9" ht="15.6" x14ac:dyDescent="0.3">
      <c r="A3502" s="1" t="s">
        <v>9</v>
      </c>
      <c r="B3502" s="1" t="s">
        <v>9</v>
      </c>
      <c r="C3502" s="10" t="s">
        <v>9</v>
      </c>
      <c r="D3502" s="5" t="s">
        <v>3136</v>
      </c>
      <c r="E3502" s="1" t="str">
        <f ca="1">IFERROR(__xludf.DUMMYFUNCTION("GOOGLETRANSLATE(D3502, ""bn"", ""en"")"),"Those who were attacked and injured in the hostel because of reading Tarabi tomorrow are also university students!")</f>
        <v>Those who were attacked and injured in the hostel because of reading Tarabi tomorrow are also university students!</v>
      </c>
      <c r="F3502" s="1"/>
      <c r="G3502" s="1"/>
      <c r="H3502" s="1"/>
      <c r="I3502" s="1"/>
    </row>
    <row r="3503" spans="1:9" ht="15.6" x14ac:dyDescent="0.3">
      <c r="A3503" s="1" t="s">
        <v>5</v>
      </c>
      <c r="B3503" s="1" t="s">
        <v>5</v>
      </c>
      <c r="C3503" s="10" t="s">
        <v>5</v>
      </c>
      <c r="D3503" s="5" t="s">
        <v>3137</v>
      </c>
      <c r="E3503" s="1" t="str">
        <f ca="1">IFERROR(__xludf.DUMMYFUNCTION("GOOGLETRANSLATE(D3503, ""bn"", ""en"")"),"We ourselves read the Qur'an, read the Hadith, read various Islamic books, and when an apostate spreads confusion about Islam, we read it carefully and carefully follow the right path. May Allah give us the right understanding.")</f>
        <v>We ourselves read the Qur'an, read the Hadith, read various Islamic books, and when an apostate spreads confusion about Islam, we read it carefully and carefully follow the right path. May Allah give us the right understanding.</v>
      </c>
      <c r="F3503" s="1"/>
      <c r="G3503" s="1"/>
      <c r="H3503" s="1"/>
      <c r="I3503" s="1"/>
    </row>
    <row r="3504" spans="1:9" ht="15.6" x14ac:dyDescent="0.3">
      <c r="A3504" s="1" t="s">
        <v>7</v>
      </c>
      <c r="B3504" s="1" t="s">
        <v>7</v>
      </c>
      <c r="C3504" s="10" t="s">
        <v>7</v>
      </c>
      <c r="D3504" s="5" t="s">
        <v>3138</v>
      </c>
      <c r="E3504" s="1" t="str">
        <f ca="1">IFERROR(__xludf.DUMMYFUNCTION("GOOGLETRANSLATE(D3504, ""bn"", ""en"")"),"It is by no means desirable. Islam does not support any kind of religious conflict.")</f>
        <v>It is by no means desirable. Islam does not support any kind of religious conflict.</v>
      </c>
      <c r="F3504" s="1"/>
      <c r="G3504" s="1"/>
      <c r="H3504" s="1"/>
      <c r="I3504" s="1"/>
    </row>
    <row r="3505" spans="1:9" ht="15.6" x14ac:dyDescent="0.3">
      <c r="A3505" s="1" t="s">
        <v>9</v>
      </c>
      <c r="B3505" s="1" t="s">
        <v>9</v>
      </c>
      <c r="C3505" s="10" t="s">
        <v>9</v>
      </c>
      <c r="D3505" s="5" t="s">
        <v>3139</v>
      </c>
      <c r="E3505" s="1" t="str">
        <f ca="1">IFERROR(__xludf.DUMMYFUNCTION("GOOGLETRANSLATE(D3505, ""bn"", ""en"")"),"Ashoka Gupta, wife of ICS Shaibal Gupta, writes, Muslims used to leave faeces and urine in groups on the route where the volunteers traveled. They also left garbage, broken glass.")</f>
        <v>Ashoka Gupta, wife of ICS Shaibal Gupta, writes, Muslims used to leave faeces and urine in groups on the route where the volunteers traveled. They also left garbage, broken glass.</v>
      </c>
      <c r="F3505" s="1"/>
      <c r="G3505" s="1"/>
      <c r="H3505" s="1"/>
      <c r="I3505" s="1"/>
    </row>
    <row r="3506" spans="1:9" ht="15.6" x14ac:dyDescent="0.3">
      <c r="A3506" s="1" t="s">
        <v>4</v>
      </c>
      <c r="B3506" s="1" t="s">
        <v>4</v>
      </c>
      <c r="C3506" s="10" t="s">
        <v>4</v>
      </c>
      <c r="D3506" s="5" t="s">
        <v>3140</v>
      </c>
      <c r="E3506" s="1" t="str">
        <f ca="1">IFERROR(__xludf.DUMMYFUNCTION("GOOGLETRANSLATE(D3506, ""bn"", ""en"")"),"This treaty meant that both sides were prohibited from attacking each other, joining hostile conferences of each other, or supporting each other's enemies.  William Montgomery Watt saw this as a deliberate attempt by Muhammad to provoke the people of Mecc"&amp;"a.")</f>
        <v>This treaty meant that both sides were prohibited from attacking each other, joining hostile conferences of each other, or supporting each other's enemies.  William Montgomery Watt saw this as a deliberate attempt by Muhammad to provoke the people of Mecca.</v>
      </c>
      <c r="F3506" s="1"/>
      <c r="G3506" s="1"/>
      <c r="H3506" s="1"/>
      <c r="I3506" s="1"/>
    </row>
    <row r="3507" spans="1:9" ht="15.6" x14ac:dyDescent="0.3">
      <c r="A3507" s="1" t="s">
        <v>5</v>
      </c>
      <c r="B3507" s="1" t="s">
        <v>5</v>
      </c>
      <c r="C3507" s="10" t="s">
        <v>5</v>
      </c>
      <c r="D3507" s="5" t="s">
        <v>3141</v>
      </c>
      <c r="E3507" s="1" t="str">
        <f ca="1">IFERROR(__xludf.DUMMYFUNCTION("GOOGLETRANSLATE(D3507, ""bn"", ""en"")"),"Religion enables man to realize the deeper meaning and purpose of life, which makes him truly happy.")</f>
        <v>Religion enables man to realize the deeper meaning and purpose of life, which makes him truly happy.</v>
      </c>
      <c r="F3507" s="1"/>
      <c r="G3507" s="1"/>
      <c r="H3507" s="1"/>
      <c r="I3507" s="1"/>
    </row>
    <row r="3508" spans="1:9" ht="15.6" x14ac:dyDescent="0.3">
      <c r="A3508" s="1" t="s">
        <v>5</v>
      </c>
      <c r="B3508" s="1" t="s">
        <v>5</v>
      </c>
      <c r="C3508" s="10" t="s">
        <v>5</v>
      </c>
      <c r="D3508" s="5" t="s">
        <v>3142</v>
      </c>
      <c r="E3508" s="1" t="str">
        <f ca="1">IFERROR(__xludf.DUMMYFUNCTION("GOOGLETRANSLATE(D3508, ""bn"", ""en"")"),"I often hear the description of these heavenly people, and I am overwhelmed! Great God has rake for us! Give Ahmad the right way to live his life! amen")</f>
        <v>I often hear the description of these heavenly people, and I am overwhelmed! Great God has rake for us! Give Ahmad the right way to live his life! amen</v>
      </c>
      <c r="F3508" s="1"/>
      <c r="G3508" s="1"/>
      <c r="H3508" s="1"/>
      <c r="I3508" s="1"/>
    </row>
    <row r="3509" spans="1:9" ht="15.6" x14ac:dyDescent="0.3">
      <c r="A3509" s="1" t="s">
        <v>5</v>
      </c>
      <c r="B3509" s="1" t="s">
        <v>5</v>
      </c>
      <c r="C3509" s="10" t="s">
        <v>5</v>
      </c>
      <c r="D3509" s="5" t="s">
        <v>3143</v>
      </c>
      <c r="E3509" s="1" t="str">
        <f ca="1">IFERROR(__xludf.DUMMYFUNCTION("GOOGLETRANSLATE(D3509, ""bn"", ""en"")"),"This video is the last resort of all my upset, anxiety and depression, I feel better instantly, Alhamdulillah.")</f>
        <v>This video is the last resort of all my upset, anxiety and depression, I feel better instantly, Alhamdulillah.</v>
      </c>
      <c r="F3509" s="1"/>
      <c r="G3509" s="1"/>
      <c r="H3509" s="1"/>
      <c r="I3509" s="1"/>
    </row>
    <row r="3510" spans="1:9" ht="15.6" x14ac:dyDescent="0.3">
      <c r="A3510" s="1" t="s">
        <v>5</v>
      </c>
      <c r="B3510" s="1" t="s">
        <v>5</v>
      </c>
      <c r="C3510" s="10" t="s">
        <v>5</v>
      </c>
      <c r="D3510" s="5" t="s">
        <v>3144</v>
      </c>
      <c r="E3510" s="1" t="str">
        <f ca="1">IFERROR(__xludf.DUMMYFUNCTION("GOOGLETRANSLATE(D3510, ""bn"", ""en"")"),"After cutting off the lock of hair with a sword, he said to himself, 'If I have the quality to become a Buddha, then let the lock of hair thrown upwards not fall to the ground but stay in the sky.")</f>
        <v>After cutting off the lock of hair with a sword, he said to himself, 'If I have the quality to become a Buddha, then let the lock of hair thrown upwards not fall to the ground but stay in the sky.</v>
      </c>
      <c r="F3510" s="1"/>
      <c r="G3510" s="1"/>
      <c r="H3510" s="1"/>
      <c r="I3510" s="1"/>
    </row>
    <row r="3511" spans="1:9" ht="15.6" x14ac:dyDescent="0.3">
      <c r="A3511" s="1" t="s">
        <v>9</v>
      </c>
      <c r="B3511" s="1" t="s">
        <v>7</v>
      </c>
      <c r="C3511" s="10" t="s">
        <v>9</v>
      </c>
      <c r="D3511" s="5" t="s">
        <v>3145</v>
      </c>
      <c r="E3511" s="1" t="str">
        <f ca="1">IFERROR(__xludf.DUMMYFUNCTION("GOOGLETRANSLATE(D3511, ""bn"", ""en"")"),"In the 6th century, when Islam re-emerged after breaking the veil of the dark ages in Arabia, the Buddhist sacrifices were being carried out by the Brahminists in Bengal.")</f>
        <v>In the 6th century, when Islam re-emerged after breaking the veil of the dark ages in Arabia, the Buddhist sacrifices were being carried out by the Brahminists in Bengal.</v>
      </c>
      <c r="F3511" s="1"/>
      <c r="G3511" s="1"/>
      <c r="H3511" s="1"/>
      <c r="I3511" s="1"/>
    </row>
    <row r="3512" spans="1:9" ht="15.6" x14ac:dyDescent="0.3">
      <c r="A3512" s="1" t="s">
        <v>9</v>
      </c>
      <c r="B3512" s="1" t="s">
        <v>5</v>
      </c>
      <c r="C3512" s="10" t="s">
        <v>9</v>
      </c>
      <c r="D3512" s="5" t="s">
        <v>3146</v>
      </c>
      <c r="E3512" s="1" t="str">
        <f ca="1">IFERROR(__xludf.DUMMYFUNCTION("GOOGLETRANSLATE(D3512, ""bn"", ""en"")"),"On the morning of 14 June, about 2 hours before sunrise, a group of 25 to 30 Pakistani army soldiers arrived in Adityapur village in four tanks.[1][2] Within half an hour, the Pakistani army surrounded the village with the help of local Rajakars, although"&amp;" the village was still sleeping.")</f>
        <v>On the morning of 14 June, about 2 hours before sunrise, a group of 25 to 30 Pakistani army soldiers arrived in Adityapur village in four tanks.[1][2] Within half an hour, the Pakistani army surrounded the village with the help of local Rajakars, although the village was still sleeping.</v>
      </c>
      <c r="F3512" s="1"/>
      <c r="G3512" s="1"/>
      <c r="H3512" s="1"/>
      <c r="I3512" s="1"/>
    </row>
    <row r="3513" spans="1:9" ht="15.6" x14ac:dyDescent="0.3">
      <c r="A3513" s="1" t="s">
        <v>9</v>
      </c>
      <c r="B3513" s="1" t="s">
        <v>9</v>
      </c>
      <c r="C3513" s="10" t="s">
        <v>9</v>
      </c>
      <c r="D3513" s="5" t="s">
        <v>3147</v>
      </c>
      <c r="E3513" s="1" t="str">
        <f ca="1">IFERROR(__xludf.DUMMYFUNCTION("GOOGLETRANSLATE(D3513, ""bn"", ""en"")"),"In Baliadangi Upazila of Thakurgaon, 14 idols of 12 temples were vandalized in one night. Eight idols of Dhantala Union, three of Paria Union and one temple of Charol Union of the upazila were vandalized on Saturday night.")</f>
        <v>In Baliadangi Upazila of Thakurgaon, 14 idols of 12 temples were vandalized in one night. Eight idols of Dhantala Union, three of Paria Union and one temple of Charol Union of the upazila were vandalized on Saturday night.</v>
      </c>
      <c r="F3513" s="1"/>
      <c r="G3513" s="1"/>
      <c r="H3513" s="1"/>
      <c r="I3513" s="1"/>
    </row>
    <row r="3514" spans="1:9" ht="15.6" x14ac:dyDescent="0.3">
      <c r="A3514" s="1" t="s">
        <v>5</v>
      </c>
      <c r="B3514" s="1" t="s">
        <v>5</v>
      </c>
      <c r="C3514" s="10" t="s">
        <v>5</v>
      </c>
      <c r="D3514" s="5" t="s">
        <v>3148</v>
      </c>
      <c r="E3514" s="1" t="str">
        <f ca="1">IFERROR(__xludf.DUMMYFUNCTION("GOOGLETRANSLATE(D3514, ""bn"", ""en"")"),"Because Baptists have no central governing authority, Baptist beliefs are not completely consistent from one church to another.")</f>
        <v>Because Baptists have no central governing authority, Baptist beliefs are not completely consistent from one church to another.</v>
      </c>
      <c r="F3514" s="1"/>
      <c r="G3514" s="1"/>
      <c r="H3514" s="1"/>
      <c r="I3514" s="1"/>
    </row>
    <row r="3515" spans="1:9" ht="15.6" x14ac:dyDescent="0.3">
      <c r="A3515" s="1" t="s">
        <v>9</v>
      </c>
      <c r="B3515" s="1" t="s">
        <v>9</v>
      </c>
      <c r="C3515" s="10" t="s">
        <v>9</v>
      </c>
      <c r="D3515" s="5" t="s">
        <v>3149</v>
      </c>
      <c r="E3515" s="1" t="str">
        <f ca="1">IFERROR(__xludf.DUMMYFUNCTION("GOOGLETRANSLATE(D3515, ""bn"", ""en"")"),"Various Islamic organizations including Islamic movement Bangladesh have protested against the burning of the Holy Quran in Sweden. The protest took place in front of Baitul Mukarram National Mosque on Friday.")</f>
        <v>Various Islamic organizations including Islamic movement Bangladesh have protested against the burning of the Holy Quran in Sweden. The protest took place in front of Baitul Mukarram National Mosque on Friday.</v>
      </c>
      <c r="F3515" s="1"/>
      <c r="G3515" s="1"/>
      <c r="H3515" s="1"/>
      <c r="I3515" s="1"/>
    </row>
    <row r="3516" spans="1:9" ht="15.6" x14ac:dyDescent="0.3">
      <c r="A3516" s="1" t="s">
        <v>4</v>
      </c>
      <c r="B3516" s="1" t="s">
        <v>5</v>
      </c>
      <c r="C3516" s="10" t="s">
        <v>4</v>
      </c>
      <c r="D3516" s="5" t="s">
        <v>3150</v>
      </c>
      <c r="E3516" s="1" t="str">
        <f ca="1">IFERROR(__xludf.DUMMYFUNCTION("GOOGLETRANSLATE(D3516, ""bn"", ""en"")"),"These funny posts got a lot of likes, comments, shares - everyone is quite happy to show religion a little lower.")</f>
        <v>These funny posts got a lot of likes, comments, shares - everyone is quite happy to show religion a little lower.</v>
      </c>
      <c r="F3516" s="1"/>
      <c r="G3516" s="1"/>
      <c r="H3516" s="1"/>
      <c r="I3516" s="1"/>
    </row>
    <row r="3517" spans="1:9" ht="15.6" x14ac:dyDescent="0.3">
      <c r="A3517" s="1" t="s">
        <v>4</v>
      </c>
      <c r="B3517" s="1" t="s">
        <v>4</v>
      </c>
      <c r="C3517" s="10" t="s">
        <v>4</v>
      </c>
      <c r="D3517" s="5" t="s">
        <v>3151</v>
      </c>
      <c r="E3517" s="1" t="str">
        <f ca="1">IFERROR(__xludf.DUMMYFUNCTION("GOOGLETRANSLATE(D3517, ""bn"", ""en"")"),"There has been an uproar around the world due to the disrespectful and sarcastic remarks made by the spokespersons of India's ruling BJP towards the greatest human being of all time, the last prophet of Islam, Hazrat Muhammad (PBUH).")</f>
        <v>There has been an uproar around the world due to the disrespectful and sarcastic remarks made by the spokespersons of India's ruling BJP towards the greatest human being of all time, the last prophet of Islam, Hazrat Muhammad (PBUH).</v>
      </c>
      <c r="F3517" s="1"/>
      <c r="G3517" s="1"/>
      <c r="H3517" s="1"/>
      <c r="I3517" s="1"/>
    </row>
    <row r="3518" spans="1:9" ht="15.6" x14ac:dyDescent="0.3">
      <c r="A3518" s="1" t="s">
        <v>5</v>
      </c>
      <c r="B3518" s="1" t="s">
        <v>5</v>
      </c>
      <c r="C3518" s="10" t="s">
        <v>5</v>
      </c>
      <c r="D3518" s="5" t="s">
        <v>3152</v>
      </c>
      <c r="E3518" s="1" t="str">
        <f ca="1">IFERROR(__xludf.DUMMYFUNCTION("GOOGLETRANSLATE(D3518, ""bn"", ""en"")"),"O Allah, protect Islam, protect every Muslim in Islam and protect the Quran of Islam, O Allah, this contention of today cannot be accepted in any way.")</f>
        <v>O Allah, protect Islam, protect every Muslim in Islam and protect the Quran of Islam, O Allah, this contention of today cannot be accepted in any way.</v>
      </c>
      <c r="F3518" s="1"/>
      <c r="G3518" s="1"/>
      <c r="H3518" s="1"/>
      <c r="I3518" s="1"/>
    </row>
    <row r="3519" spans="1:9" ht="15.6" x14ac:dyDescent="0.3">
      <c r="A3519" s="1" t="s">
        <v>9</v>
      </c>
      <c r="B3519" s="1" t="s">
        <v>9</v>
      </c>
      <c r="C3519" s="10" t="s">
        <v>9</v>
      </c>
      <c r="D3519" s="5" t="s">
        <v>3153</v>
      </c>
      <c r="E3519" s="1" t="str">
        <f ca="1">IFERROR(__xludf.DUMMYFUNCTION("GOOGLETRANSLATE(D3519, ""bn"", ""en"")"),"On Wednesday morning, thousands of people marched in Noagaon village with sticks and vandalized 87 Hindu houses. Money and gold ornaments were looted from these houses.")</f>
        <v>On Wednesday morning, thousands of people marched in Noagaon village with sticks and vandalized 87 Hindu houses. Money and gold ornaments were looted from these houses.</v>
      </c>
      <c r="F3519" s="1"/>
      <c r="G3519" s="1"/>
      <c r="H3519" s="1"/>
      <c r="I3519" s="1"/>
    </row>
    <row r="3520" spans="1:9" ht="15.6" x14ac:dyDescent="0.3">
      <c r="A3520" s="1" t="s">
        <v>9</v>
      </c>
      <c r="B3520" s="1" t="s">
        <v>9</v>
      </c>
      <c r="C3520" s="10" t="s">
        <v>9</v>
      </c>
      <c r="D3520" s="5" t="s">
        <v>3154</v>
      </c>
      <c r="E3520" s="1" t="str">
        <f ca="1">IFERROR(__xludf.DUMMYFUNCTION("GOOGLETRANSLATE(D3520, ""bn"", ""en"")"),"Dipankar Shikdar Dipu, president of Bangladesh Hindu Parishad, said that Hindus are being tortured constantly, ""We have been attacked by gangs like this. They are doing whatever they want including vandalizing houses, molesting women, looting. We are pea"&amp;"ceful people of the country, we want to live in peace.")</f>
        <v>Dipankar Shikdar Dipu, president of Bangladesh Hindu Parishad, said that Hindus are being tortured constantly, "We have been attacked by gangs like this. They are doing whatever they want including vandalizing houses, molesting women, looting. We are peaceful people of the country, we want to live in peace.</v>
      </c>
      <c r="F3520" s="1"/>
      <c r="G3520" s="1"/>
      <c r="H3520" s="1"/>
      <c r="I3520" s="1"/>
    </row>
    <row r="3521" spans="1:9" ht="46.8" x14ac:dyDescent="0.3">
      <c r="A3521" s="1" t="s">
        <v>9</v>
      </c>
      <c r="B3521" s="1" t="s">
        <v>9</v>
      </c>
      <c r="C3521" s="10" t="s">
        <v>9</v>
      </c>
      <c r="D3521" s="6" t="s">
        <v>3668</v>
      </c>
      <c r="E3521" s="1" t="str">
        <f ca="1">IFERROR(__xludf.DUMMYFUNCTION("GOOGLETRANSLATE(D3521, ""bn"", ""en"")"),"Leaders and scholars of the country's Islamic organizations have called on Muslims to stop protesting against the insult to Prophet Muhammad (PBUH) in India. Recently, two top leaders including Nupur Sharma, the spokesperson of India's ruling party BJP, m"&amp;"ade insulting comments about the Holy Prophet (PBUH). There are protests and protests in different countries of the world including India.")</f>
        <v>Leaders and scholars of the country's Islamic organizations have called on Muslims to stop protesting against the insult to Prophet Muhammad (PBUH) in India. Recently, two top leaders including Nupur Sharma, the spokesperson of India's ruling party BJP, made insulting comments about the Holy Prophet (PBUH). There are protests and protests in different countries of the world including India.</v>
      </c>
      <c r="F3521" s="1"/>
      <c r="G3521" s="1"/>
      <c r="H3521" s="1"/>
      <c r="I3521" s="1"/>
    </row>
    <row r="3522" spans="1:9" ht="15.6" x14ac:dyDescent="0.3">
      <c r="A3522" s="1" t="s">
        <v>5</v>
      </c>
      <c r="B3522" s="1" t="s">
        <v>5</v>
      </c>
      <c r="C3522" s="10" t="s">
        <v>5</v>
      </c>
      <c r="D3522" s="5" t="s">
        <v>3155</v>
      </c>
      <c r="E3522" s="1" t="str">
        <f ca="1">IFERROR(__xludf.DUMMYFUNCTION("GOOGLETRANSLATE(D3522, ""bn"", ""en"")"),"Sir, you can understand, but we who are coming to learn, we may take some time to understand your fast speaking. So if you speak the gunas a little slower, it would be great. May Allah give you good life.")</f>
        <v>Sir, you can understand, but we who are coming to learn, we may take some time to understand your fast speaking. So if you speak the gunas a little slower, it would be great. May Allah give you good life.</v>
      </c>
      <c r="F3522" s="1"/>
      <c r="G3522" s="1"/>
      <c r="H3522" s="1"/>
      <c r="I3522" s="1"/>
    </row>
    <row r="3523" spans="1:9" ht="15.6" x14ac:dyDescent="0.3">
      <c r="A3523" s="1" t="s">
        <v>4</v>
      </c>
      <c r="B3523" s="1" t="s">
        <v>9</v>
      </c>
      <c r="C3523" s="10" t="s">
        <v>4</v>
      </c>
      <c r="D3523" s="5" t="s">
        <v>3156</v>
      </c>
      <c r="E3523" s="1" t="str">
        <f ca="1">IFERROR(__xludf.DUMMYFUNCTION("GOOGLETRANSLATE(D3523, ""bn"", ""en"")"),"During the early decades of India's rise to prominence, Indian Hindus were vilified by the Christian majority here.[69] Hindus have contributed much to Trinidad's history and culture even though the state has historically treated Hindus as second-class ci"&amp;"tizens.")</f>
        <v>During the early decades of India's rise to prominence, Indian Hindus were vilified by the Christian majority here.[69] Hindus have contributed much to Trinidad's history and culture even though the state has historically treated Hindus as second-class citizens.</v>
      </c>
      <c r="F3523" s="1"/>
      <c r="G3523" s="1"/>
      <c r="H3523" s="1"/>
      <c r="I3523" s="1"/>
    </row>
    <row r="3524" spans="1:9" ht="15.6" x14ac:dyDescent="0.3">
      <c r="A3524" s="1" t="s">
        <v>4</v>
      </c>
      <c r="B3524" s="1" t="s">
        <v>5</v>
      </c>
      <c r="C3524" s="10" t="s">
        <v>4</v>
      </c>
      <c r="D3524" s="5" t="s">
        <v>3157</v>
      </c>
      <c r="E3524" s="1" t="str">
        <f ca="1">IFERROR(__xludf.DUMMYFUNCTION("GOOGLETRANSLATE(D3524, ""bn"", ""en"")"),"After a few days, it will be seen that this government will interfere with other obligatory acts of Islam.")</f>
        <v>After a few days, it will be seen that this government will interfere with other obligatory acts of Islam.</v>
      </c>
      <c r="F3524" s="1"/>
      <c r="G3524" s="1"/>
      <c r="H3524" s="1"/>
      <c r="I3524" s="1"/>
    </row>
    <row r="3525" spans="1:9" ht="15.6" x14ac:dyDescent="0.3">
      <c r="A3525" s="4" t="s">
        <v>7</v>
      </c>
      <c r="B3525" s="4" t="s">
        <v>7</v>
      </c>
      <c r="C3525" s="11" t="s">
        <v>7</v>
      </c>
      <c r="D3525" s="5" t="s">
        <v>3158</v>
      </c>
      <c r="E3525" s="1" t="str">
        <f ca="1">IFERROR(__xludf.DUMMYFUNCTION("GOOGLETRANSLATE(D3525, ""bn"", ""en"")"),"The Islamic Progressive Janata Front has said that this 'protest and discussion meeting' has been organized to protest the Gulja Genocide Day and the long-term genocide, murder, rape, torture, sexual assault, and forced detention of 2.2 million Turkish an"&amp;"d Uighur Muslims in China.")</f>
        <v>The Islamic Progressive Janata Front has said that this 'protest and discussion meeting' has been organized to protest the Gulja Genocide Day and the long-term genocide, murder, rape, torture, sexual assault, and forced detention of 2.2 million Turkish and Uighur Muslims in China.</v>
      </c>
      <c r="F3525" s="1"/>
      <c r="G3525" s="1"/>
      <c r="H3525" s="1"/>
      <c r="I3525" s="1"/>
    </row>
    <row r="3526" spans="1:9" ht="15.6" x14ac:dyDescent="0.3">
      <c r="A3526" s="1" t="s">
        <v>9</v>
      </c>
      <c r="B3526" s="1" t="s">
        <v>9</v>
      </c>
      <c r="C3526" s="10" t="s">
        <v>9</v>
      </c>
      <c r="D3526" s="5" t="s">
        <v>3159</v>
      </c>
      <c r="E3526" s="1" t="str">
        <f ca="1">IFERROR(__xludf.DUMMYFUNCTION("GOOGLETRANSLATE(D3526, ""bn"", ""en"")"),"They are forced to emigrate and seek refuge in other countries. Many of the persecuted Hindus started coming to India as refugees in 1992 and thereafter.[32][33][32][32][34] The Citizenship (Amendment) Act, 2019 has been enacted for refugees of historical"&amp;"ly persecuted Hindus in India.")</f>
        <v>They are forced to emigrate and seek refuge in other countries. Many of the persecuted Hindus started coming to India as refugees in 1992 and thereafter.[32][33][32][32][34] The Citizenship (Amendment) Act, 2019 has been enacted for refugees of historically persecuted Hindus in India.</v>
      </c>
      <c r="F3526" s="1"/>
      <c r="G3526" s="1"/>
      <c r="H3526" s="1"/>
      <c r="I3526" s="1"/>
    </row>
    <row r="3527" spans="1:9" ht="15.6" x14ac:dyDescent="0.3">
      <c r="A3527" s="1" t="s">
        <v>4</v>
      </c>
      <c r="B3527" s="1" t="s">
        <v>5</v>
      </c>
      <c r="C3527" s="10" t="s">
        <v>4</v>
      </c>
      <c r="D3527" s="5" t="s">
        <v>3160</v>
      </c>
      <c r="E3527" s="1" t="str">
        <f ca="1">IFERROR(__xludf.DUMMYFUNCTION("GOOGLETRANSLATE(D3527, ""bn"", ""en"")"),"Wear a hat (argue whether it is Sunnah or not. It is a sign of Muslimness even if it is not Sunnah. Identity politics)")</f>
        <v>Wear a hat (argue whether it is Sunnah or not. It is a sign of Muslimness even if it is not Sunnah. Identity politics)</v>
      </c>
      <c r="F3527" s="1"/>
      <c r="G3527" s="1"/>
      <c r="H3527" s="1"/>
      <c r="I3527" s="1"/>
    </row>
    <row r="3528" spans="1:9" ht="15.6" x14ac:dyDescent="0.3">
      <c r="A3528" s="1" t="s">
        <v>5</v>
      </c>
      <c r="B3528" s="1" t="s">
        <v>5</v>
      </c>
      <c r="C3528" s="10" t="s">
        <v>5</v>
      </c>
      <c r="D3528" s="5" t="s">
        <v>3161</v>
      </c>
      <c r="E3528" s="1" t="str">
        <f ca="1">IFERROR(__xludf.DUMMYFUNCTION("GOOGLETRANSLATE(D3528, ""bn"", ""en"")"),"Gautama Buddha is the best character of the world. He is the ideal of all great men. Budvar ideology is the only way to bring peace to the world.")</f>
        <v>Gautama Buddha is the best character of the world. He is the ideal of all great men. Budvar ideology is the only way to bring peace to the world.</v>
      </c>
      <c r="F3528" s="1"/>
      <c r="G3528" s="1"/>
      <c r="H3528" s="1"/>
      <c r="I3528" s="1"/>
    </row>
    <row r="3529" spans="1:9" ht="15.6" x14ac:dyDescent="0.3">
      <c r="A3529" s="1" t="s">
        <v>7</v>
      </c>
      <c r="B3529" s="1" t="s">
        <v>7</v>
      </c>
      <c r="C3529" s="10" t="s">
        <v>7</v>
      </c>
      <c r="D3529" s="5" t="s">
        <v>3162</v>
      </c>
      <c r="E3529" s="1" t="str">
        <f ca="1">IFERROR(__xludf.DUMMYFUNCTION("GOOGLETRANSLATE(D3529, ""bn"", ""en"")"),"Most of those who commit suicide go out of the religion of Islam, that is, they don't follow the religion, they fall in love with the world and forget Allah! ")</f>
        <v xml:space="preserve">Most of those who commit suicide go out of the religion of Islam, that is, they don't follow the religion, they fall in love with the world and forget Allah! </v>
      </c>
      <c r="F3529" s="1"/>
      <c r="G3529" s="1"/>
      <c r="H3529" s="1"/>
      <c r="I3529" s="1"/>
    </row>
    <row r="3530" spans="1:9" ht="15.6" x14ac:dyDescent="0.3">
      <c r="A3530" s="1" t="s">
        <v>5</v>
      </c>
      <c r="B3530" s="1" t="s">
        <v>5</v>
      </c>
      <c r="C3530" s="10" t="s">
        <v>5</v>
      </c>
      <c r="D3530" s="5" t="s">
        <v>3163</v>
      </c>
      <c r="E3530" s="1" t="str">
        <f ca="1">IFERROR(__xludf.DUMMYFUNCTION("GOOGLETRANSLATE(D3530, ""bn"", ""en"")"),"Marketing has not been done on this issue. Along with that, necessary initiatives have not been taken regarding the infrastructure for tourists to go to those places, where they will stay.")</f>
        <v>Marketing has not been done on this issue. Along with that, necessary initiatives have not been taken regarding the infrastructure for tourists to go to those places, where they will stay.</v>
      </c>
      <c r="F3530" s="1"/>
      <c r="G3530" s="1"/>
      <c r="H3530" s="1"/>
      <c r="I3530" s="1"/>
    </row>
    <row r="3531" spans="1:9" ht="15.6" x14ac:dyDescent="0.3">
      <c r="A3531" s="1" t="s">
        <v>5</v>
      </c>
      <c r="B3531" s="1" t="s">
        <v>5</v>
      </c>
      <c r="C3531" s="10" t="s">
        <v>5</v>
      </c>
      <c r="D3531" s="5" t="s">
        <v>3164</v>
      </c>
      <c r="E3531" s="1" t="str">
        <f ca="1">IFERROR(__xludf.DUMMYFUNCTION("GOOGLETRANSLATE(D3531, ""bn"", ""en"")"),"We should do the same with religion. Don't practice religion by listening to a master or a priest or a priest. Read the religions carefully yourself. Judge their accuracy according to your own judgment. Then decide.")</f>
        <v>We should do the same with religion. Don't practice religion by listening to a master or a priest or a priest. Read the religions carefully yourself. Judge their accuracy according to your own judgment. Then decide.</v>
      </c>
      <c r="F3531" s="1"/>
      <c r="G3531" s="1"/>
      <c r="H3531" s="1"/>
      <c r="I3531" s="1"/>
    </row>
    <row r="3532" spans="1:9" ht="15.6" x14ac:dyDescent="0.3">
      <c r="A3532" s="1" t="s">
        <v>9</v>
      </c>
      <c r="B3532" s="1" t="s">
        <v>9</v>
      </c>
      <c r="C3532" s="10" t="s">
        <v>9</v>
      </c>
      <c r="D3532" s="5" t="s">
        <v>3165</v>
      </c>
      <c r="E3532" s="1" t="str">
        <f ca="1">IFERROR(__xludf.DUMMYFUNCTION("GOOGLETRANSLATE(D3532, ""bn"", ""en"")"),"We adopted Buddhism to advance the Dalit revolt..and those Dalits who are suffering in silence will also become Buddhists today or tomorrow.")</f>
        <v>We adopted Buddhism to advance the Dalit revolt..and those Dalits who are suffering in silence will also become Buddhists today or tomorrow.</v>
      </c>
      <c r="F3532" s="1"/>
      <c r="G3532" s="1"/>
      <c r="H3532" s="1"/>
      <c r="I3532" s="1"/>
    </row>
    <row r="3533" spans="1:9" ht="15.6" x14ac:dyDescent="0.3">
      <c r="A3533" s="1" t="s">
        <v>4</v>
      </c>
      <c r="B3533" s="1" t="s">
        <v>5</v>
      </c>
      <c r="C3533" s="10" t="s">
        <v>4</v>
      </c>
      <c r="D3533" s="5" t="s">
        <v>3166</v>
      </c>
      <c r="E3533" s="1" t="str">
        <f ca="1">IFERROR(__xludf.DUMMYFUNCTION("GOOGLETRANSLATE(D3533, ""bn"", ""en"")"),"There is perhaps no other country where celebrating a religious festival is an expression of the warped mentality of wanting freedom. How shameful to present 2 completely separate issues like this?")</f>
        <v>There is perhaps no other country where celebrating a religious festival is an expression of the warped mentality of wanting freedom. How shameful to present 2 completely separate issues like this?</v>
      </c>
      <c r="F3533" s="1"/>
      <c r="G3533" s="1"/>
      <c r="H3533" s="1"/>
      <c r="I3533" s="1"/>
    </row>
    <row r="3534" spans="1:9" ht="46.8" x14ac:dyDescent="0.3">
      <c r="A3534" s="1" t="s">
        <v>4</v>
      </c>
      <c r="B3534" s="1" t="s">
        <v>4</v>
      </c>
      <c r="C3534" s="10" t="s">
        <v>4</v>
      </c>
      <c r="D3534" s="6" t="s">
        <v>3667</v>
      </c>
      <c r="E3534" s="1" t="str">
        <f ca="1">IFERROR(__xludf.DUMMYFUNCTION("GOOGLETRANSLATE(D3534, ""bn"", ""en"")"),"In Barisal district, a Hindu family was evicted from their house. [20] This happened in Thaneshwarkathi village of Agalijhara upazila. The current government Awami League cadre Youth League cadre with its team Mr. Tapan comes to occupy Sarkar's house. The"&amp;"n they m. Tapan beats Sarkar and his family, after which Tapan's family takes shelter in a nearby primary school.")</f>
        <v>In Barisal district, a Hindu family was evicted from their house. [20] This happened in Thaneshwarkathi village of Agalijhara upazila. The current government Awami League cadre Youth League cadre with its team Mr. Tapan comes to occupy Sarkar's house. Then they m. Tapan beats Sarkar and his family, after which Tapan's family takes shelter in a nearby primary school.</v>
      </c>
      <c r="F3534" s="1"/>
      <c r="G3534" s="1"/>
      <c r="H3534" s="1"/>
      <c r="I3534" s="1"/>
    </row>
    <row r="3535" spans="1:9" ht="15.6" x14ac:dyDescent="0.3">
      <c r="A3535" s="1" t="s">
        <v>4</v>
      </c>
      <c r="B3535" s="1" t="s">
        <v>5</v>
      </c>
      <c r="C3535" s="10" t="s">
        <v>4</v>
      </c>
      <c r="D3535" s="5" t="s">
        <v>3167</v>
      </c>
      <c r="E3535" s="1" t="str">
        <f ca="1">IFERROR(__xludf.DUMMYFUNCTION("GOOGLETRANSLATE(D3535, ""bn"", ""en"")"),"Islam and Feminism---The first reaction that comes to many people's mind when they see the phrase is that the two are mutually exclusive. Many Muslims do not support feminism. There is no end to debates and disputes on various platforms including social m"&amp;"edia.")</f>
        <v>Islam and Feminism---The first reaction that comes to many people's mind when they see the phrase is that the two are mutually exclusive. Many Muslims do not support feminism. There is no end to debates and disputes on various platforms including social media.</v>
      </c>
      <c r="F3535" s="1"/>
      <c r="G3535" s="1"/>
      <c r="H3535" s="1"/>
      <c r="I3535" s="1"/>
    </row>
    <row r="3536" spans="1:9" ht="15.6" x14ac:dyDescent="0.3">
      <c r="A3536" s="1" t="s">
        <v>5</v>
      </c>
      <c r="B3536" s="1" t="s">
        <v>9</v>
      </c>
      <c r="C3536" s="10" t="s">
        <v>5</v>
      </c>
      <c r="D3536" s="5" t="s">
        <v>3168</v>
      </c>
      <c r="E3536" s="1" t="str">
        <f ca="1">IFERROR(__xludf.DUMMYFUNCTION("GOOGLETRANSLATE(D3536, ""bn"", ""en"")"),"As far as I heard, two people came to the mosque on a Honda (motorcycle) to pray. Asr prayer So after praying, those who were with them in the mosque for whatever reason, ")</f>
        <v xml:space="preserve">As far as I heard, two people came to the mosque on a Honda (motorcycle) to pray. Asr prayer So after praying, those who were with them in the mosque for whatever reason, </v>
      </c>
      <c r="F3536" s="1"/>
      <c r="G3536" s="1"/>
      <c r="H3536" s="1"/>
      <c r="I3536" s="1"/>
    </row>
    <row r="3537" spans="1:9" ht="15.6" x14ac:dyDescent="0.3">
      <c r="A3537" s="1" t="s">
        <v>9</v>
      </c>
      <c r="B3537" s="1" t="s">
        <v>9</v>
      </c>
      <c r="C3537" s="10" t="s">
        <v>9</v>
      </c>
      <c r="D3537" s="5" t="s">
        <v>3169</v>
      </c>
      <c r="E3537" s="1" t="str">
        <f ca="1">IFERROR(__xludf.DUMMYFUNCTION("GOOGLETRANSLATE(D3537, ""bn"", ""en"")"),"The Mayor attempted a cleanliness drive to spread awareness about Hinduism and other hate crimes. A 17-year-old was arrested for the attack on the temple.[")</f>
        <v>The Mayor attempted a cleanliness drive to spread awareness about Hinduism and other hate crimes. A 17-year-old was arrested for the attack on the temple.[</v>
      </c>
      <c r="F3537" s="1"/>
      <c r="G3537" s="1"/>
      <c r="H3537" s="1"/>
      <c r="I3537" s="1"/>
    </row>
    <row r="3538" spans="1:9" ht="15.6" x14ac:dyDescent="0.3">
      <c r="A3538" s="1" t="s">
        <v>4</v>
      </c>
      <c r="B3538" s="1" t="s">
        <v>4</v>
      </c>
      <c r="C3538" s="10" t="s">
        <v>4</v>
      </c>
      <c r="D3538" s="5" t="s">
        <v>3170</v>
      </c>
      <c r="E3538" s="1" t="str">
        <f ca="1">IFERROR(__xludf.DUMMYFUNCTION("GOOGLETRANSLATE(D3538, ""bn"", ""en"")"),"If someone calls you a Muslim even though you are a Muslim, your feelings are hurt, then you should leave Islam. It is the same with other religions.")</f>
        <v>If someone calls you a Muslim even though you are a Muslim, your feelings are hurt, then you should leave Islam. It is the same with other religions.</v>
      </c>
      <c r="F3538" s="1"/>
      <c r="G3538" s="1"/>
      <c r="H3538" s="1"/>
      <c r="I3538" s="1"/>
    </row>
    <row r="3539" spans="1:9" ht="15.6" x14ac:dyDescent="0.3">
      <c r="A3539" s="1" t="s">
        <v>5</v>
      </c>
      <c r="B3539" s="1" t="s">
        <v>5</v>
      </c>
      <c r="C3539" s="10" t="s">
        <v>5</v>
      </c>
      <c r="D3539" s="5" t="s">
        <v>3171</v>
      </c>
      <c r="E3539" s="1" t="str">
        <f ca="1">IFERROR(__xludf.DUMMYFUNCTION("GOOGLETRANSLATE(D3539, ""bn"", ""en"")"),"May Allah grant you long life. So that we can get more such lectures in the future. May Allah reward you with charity")</f>
        <v>May Allah grant you long life. So that we can get more such lectures in the future. May Allah reward you with charity</v>
      </c>
      <c r="F3539" s="1"/>
      <c r="G3539" s="1"/>
      <c r="H3539" s="1"/>
      <c r="I3539" s="1"/>
    </row>
    <row r="3540" spans="1:9" ht="15.6" x14ac:dyDescent="0.3">
      <c r="A3540" s="1" t="s">
        <v>7</v>
      </c>
      <c r="B3540" s="1" t="s">
        <v>7</v>
      </c>
      <c r="C3540" s="10" t="s">
        <v>7</v>
      </c>
      <c r="D3540" s="5" t="s">
        <v>3172</v>
      </c>
      <c r="E3540" s="1" t="str">
        <f ca="1">IFERROR(__xludf.DUMMYFUNCTION("GOOGLETRANSLATE(D3540, ""bn"", ""en"")"),"The Shia-Sunni divide in Iraq has resulted in thousands of deaths in suicide attacks and sectarian violence.")</f>
        <v>The Shia-Sunni divide in Iraq has resulted in thousands of deaths in suicide attacks and sectarian violence.</v>
      </c>
      <c r="F3540" s="1"/>
      <c r="G3540" s="1"/>
      <c r="H3540" s="1"/>
      <c r="I3540" s="1"/>
    </row>
    <row r="3541" spans="1:9" ht="46.8" x14ac:dyDescent="0.3">
      <c r="A3541" s="1" t="s">
        <v>4</v>
      </c>
      <c r="B3541" s="1" t="s">
        <v>4</v>
      </c>
      <c r="C3541" s="10" t="s">
        <v>4</v>
      </c>
      <c r="D3541" s="6" t="s">
        <v>3666</v>
      </c>
      <c r="E3541" s="1" t="str">
        <f ca="1">IFERROR(__xludf.DUMMYFUNCTION("GOOGLETRANSLATE(D3541, ""bn"", ""en"")"),"All scriptures of the world are objects of great dignity and respect to their respective followers. Therefore desecration of scriptures is a reprehensible act in all religions. Al Quran is the most read holy book in the world. Desecration and desecration "&amp;"of the Qur'an in Islam is a grave crime and a gross transgression. In addition to worldly punishment, its final destination is hell.")</f>
        <v>All scriptures of the world are objects of great dignity and respect to their respective followers. Therefore desecration of scriptures is a reprehensible act in all religions. Al Quran is the most read holy book in the world. Desecration and desecration of the Qur'an in Islam is a grave crime and a gross transgression. In addition to worldly punishment, its final destination is hell.</v>
      </c>
      <c r="F3541" s="1"/>
      <c r="G3541" s="1"/>
      <c r="H3541" s="1"/>
      <c r="I3541" s="1"/>
    </row>
    <row r="3542" spans="1:9" ht="62.4" x14ac:dyDescent="0.3">
      <c r="A3542" s="1" t="s">
        <v>9</v>
      </c>
      <c r="B3542" s="1" t="s">
        <v>9</v>
      </c>
      <c r="C3542" s="10" t="s">
        <v>9</v>
      </c>
      <c r="D3542" s="6" t="s">
        <v>3665</v>
      </c>
      <c r="E3542" s="1" t="str">
        <f ca="1">IFERROR(__xludf.DUMMYFUNCTION("GOOGLETRANSLATE(D3542, ""bn"", ""en"")")," During the Northern Campaign, in Guangxi in 1926, the Kuomintang Muslim general Bai Chongxi led his troops to destroy Buddhist temples and smash statues, turning the temples into schools and Kuomintang Party headquarters. [71] During the Kuomintang pacif"&amp;"ication of Qinghai, the Muslim general Ma Bufang and his army wiped out many Tibetan Buddhists in northeastern and eastern Qinghai and destroyed Tibetan Buddhist temples.")</f>
        <v> During the Northern Campaign, in Guangxi in 1926, the Kuomintang Muslim general Bai Chongxi led his troops to destroy Buddhist temples and smash statues, turning the temples into schools and Kuomintang Party headquarters. [71] During the Kuomintang pacification of Qinghai, the Muslim general Ma Bufang and his army wiped out many Tibetan Buddhists in northeastern and eastern Qinghai and destroyed Tibetan Buddhist temples.</v>
      </c>
      <c r="F3542" s="1"/>
      <c r="G3542" s="1"/>
      <c r="H3542" s="1"/>
      <c r="I3542" s="1"/>
    </row>
    <row r="3543" spans="1:9" ht="15.6" x14ac:dyDescent="0.3">
      <c r="A3543" s="1" t="s">
        <v>7</v>
      </c>
      <c r="B3543" s="1" t="s">
        <v>4</v>
      </c>
      <c r="C3543" s="10" t="s">
        <v>7</v>
      </c>
      <c r="D3543" s="5" t="s">
        <v>3173</v>
      </c>
      <c r="E3543" s="1" t="str">
        <f ca="1">IFERROR(__xludf.DUMMYFUNCTION("GOOGLETRANSLATE(D3543, ""bn"", ""en"")")," A series of massacres, rapes, abductions, forced conversions of Hindus, looting and arson by locals in the then Noakhali and Tripura districts of East Bengal organized by British rule in October–November 1946.")</f>
        <v> A series of massacres, rapes, abductions, forced conversions of Hindus, looting and arson by locals in the then Noakhali and Tripura districts of East Bengal organized by British rule in October–November 1946.</v>
      </c>
      <c r="F3543" s="1"/>
      <c r="G3543" s="1"/>
      <c r="H3543" s="1"/>
      <c r="I3543" s="1"/>
    </row>
    <row r="3544" spans="1:9" ht="31.2" x14ac:dyDescent="0.3">
      <c r="A3544" s="1" t="s">
        <v>9</v>
      </c>
      <c r="B3544" s="1" t="s">
        <v>9</v>
      </c>
      <c r="C3544" s="10" t="s">
        <v>9</v>
      </c>
      <c r="D3544" s="7" t="s">
        <v>3174</v>
      </c>
      <c r="E3544" s="1" t="str">
        <f ca="1">IFERROR(__xludf.DUMMYFUNCTION("GOOGLETRANSLATE(D3544, ""bn"", ""en"")"),"But before reaching noon in the morning, protest marches started in different neighborhoods of Dhaka. Similar protest marches were held in different districts under the banner of angry Islamic masses.")</f>
        <v>But before reaching noon in the morning, protest marches started in different neighborhoods of Dhaka. Similar protest marches were held in different districts under the banner of angry Islamic masses.</v>
      </c>
      <c r="F3544" s="1"/>
      <c r="G3544" s="1"/>
      <c r="H3544" s="1"/>
      <c r="I3544" s="1"/>
    </row>
    <row r="3545" spans="1:9" ht="15.6" x14ac:dyDescent="0.3">
      <c r="A3545" s="1" t="s">
        <v>5</v>
      </c>
      <c r="B3545" s="1" t="s">
        <v>5</v>
      </c>
      <c r="C3545" s="10" t="s">
        <v>5</v>
      </c>
      <c r="D3545" s="5" t="s">
        <v>3175</v>
      </c>
      <c r="E3545" s="1" t="str">
        <f ca="1">IFERROR(__xludf.DUMMYFUNCTION("GOOGLETRANSLATE(D3545, ""bn"", ""en"")"),"Different religions have sacred histories and narratives, which may be preserved in scriptures, symbols and sacred places, whose primary purpose is to give meaning to life. ")</f>
        <v>Different religions have sacred histories and narratives, which may be preserved in scriptures, symbols and sacred places, whose primary purpose is to give meaning to life. </v>
      </c>
      <c r="F3545" s="1"/>
      <c r="G3545" s="1"/>
      <c r="H3545" s="1"/>
      <c r="I3545" s="1"/>
    </row>
    <row r="3546" spans="1:9" ht="15.6" x14ac:dyDescent="0.3">
      <c r="A3546" s="1" t="s">
        <v>7</v>
      </c>
      <c r="B3546" s="1" t="s">
        <v>4</v>
      </c>
      <c r="C3546" s="10" t="s">
        <v>7</v>
      </c>
      <c r="D3546" s="5" t="s">
        <v>3176</v>
      </c>
      <c r="E3546" s="1" t="str">
        <f ca="1">IFERROR(__xludf.DUMMYFUNCTION("GOOGLETRANSLATE(D3546, ""bn"", ""en"")"),"Biplab Dey, organizing secretary of Bangladesh Puja Udjakar Parishad, said that the name of the deceased girl is Abhishruti Shastri. He is a follower of traditional religion. Ramana used to regularly participate in worship at the Kali temple and Dhakeswar"&amp;"i.")</f>
        <v>Biplab Dey, organizing secretary of Bangladesh Puja Udjakar Parishad, said that the name of the deceased girl is Abhishruti Shastri. He is a follower of traditional religion. Ramana used to regularly participate in worship at the Kali temple and Dhakeswari.</v>
      </c>
      <c r="F3546" s="1"/>
      <c r="G3546" s="1"/>
      <c r="H3546" s="1"/>
      <c r="I3546" s="1"/>
    </row>
    <row r="3547" spans="1:9" ht="62.4" x14ac:dyDescent="0.3">
      <c r="A3547" s="1" t="s">
        <v>9</v>
      </c>
      <c r="B3547" s="1" t="s">
        <v>9</v>
      </c>
      <c r="C3547" s="10" t="s">
        <v>9</v>
      </c>
      <c r="D3547" s="6" t="s">
        <v>3664</v>
      </c>
      <c r="E3547" s="1" t="str">
        <f ca="1">IFERROR(__xludf.DUMMYFUNCTION("GOOGLETRANSLATE(D3547, ""bn"", ""en"")"),"A group led by Qurz ibn Jabir al-Fihri raided the pastures of Medina and looted the Muslims' cattle. [1] Because of this, Muhammad pursued them with an army of seventy men and reached the Safwan Valley near Badr. But Kurze's group managed to escape. Then "&amp;"the Muslims returned to Medina. Ali ibn Abi Talib carried the white flag of the expedition. During the campaign, Zayd Ibn Haresa was appointed as the Amir of Medina.")</f>
        <v>A group led by Qurz ibn Jabir al-Fihri raided the pastures of Medina and looted the Muslims' cattle. [1] Because of this, Muhammad pursued them with an army of seventy men and reached the Safwan Valley near Badr. But Kurze's group managed to escape. Then the Muslims returned to Medina. Ali ibn Abi Talib carried the white flag of the expedition. During the campaign, Zayd Ibn Haresa was appointed as the Amir of Medina.</v>
      </c>
      <c r="F3547" s="1"/>
      <c r="G3547" s="1"/>
      <c r="H3547" s="1"/>
      <c r="I3547" s="1"/>
    </row>
    <row r="3548" spans="1:9" ht="15.6" x14ac:dyDescent="0.3">
      <c r="A3548" s="1" t="s">
        <v>4</v>
      </c>
      <c r="B3548" s="1" t="s">
        <v>4</v>
      </c>
      <c r="C3548" s="10" t="s">
        <v>4</v>
      </c>
      <c r="D3548" s="5" t="s">
        <v>3177</v>
      </c>
      <c r="E3548" s="1" t="str">
        <f ca="1">IFERROR(__xludf.DUMMYFUNCTION("GOOGLETRANSLATE(D3548, ""bn"", ""en"")"),"I respect the Bible, Gita, all religious books, unfortunately, I condemn the Muslims for burning Al-Quran and creating a different paradigm...May Allah protect the Holy Quran, Ameen. ")</f>
        <v xml:space="preserve">I respect the Bible, Gita, all religious books, unfortunately, I condemn the Muslims for burning Al-Quran and creating a different paradigm...May Allah protect the Holy Quran, Ameen. </v>
      </c>
      <c r="F3548" s="1"/>
      <c r="G3548" s="1"/>
      <c r="H3548" s="1"/>
      <c r="I3548" s="1"/>
    </row>
    <row r="3549" spans="1:9" ht="15.6" x14ac:dyDescent="0.3">
      <c r="A3549" s="1" t="s">
        <v>7</v>
      </c>
      <c r="B3549" s="1" t="s">
        <v>7</v>
      </c>
      <c r="C3549" s="10" t="s">
        <v>7</v>
      </c>
      <c r="D3549" s="5" t="s">
        <v>3178</v>
      </c>
      <c r="E3549" s="1" t="str">
        <f ca="1">IFERROR(__xludf.DUMMYFUNCTION("GOOGLETRANSLATE(D3549, ""bn"", ""en"")"),"He did not know that life was his own before he committed suicide")</f>
        <v>He did not know that life was his own before he committed suicide</v>
      </c>
      <c r="F3549" s="1"/>
      <c r="G3549" s="1"/>
      <c r="H3549" s="1"/>
      <c r="I3549" s="1"/>
    </row>
    <row r="3550" spans="1:9" ht="15.6" x14ac:dyDescent="0.3">
      <c r="A3550" s="1" t="s">
        <v>5</v>
      </c>
      <c r="B3550" s="1" t="s">
        <v>5</v>
      </c>
      <c r="C3550" s="10" t="s">
        <v>5</v>
      </c>
      <c r="D3550" s="5" t="s">
        <v>3179</v>
      </c>
      <c r="E3550" s="1" t="str">
        <f ca="1">IFERROR(__xludf.DUMMYFUNCTION("GOOGLETRANSLATE(D3550, ""bn"", ""en"")"),"Islam has a strong provision for the safety of life and property of all, be it Hindu or Buddhist")</f>
        <v>Islam has a strong provision for the safety of life and property of all, be it Hindu or Buddhist</v>
      </c>
      <c r="F3550" s="1"/>
      <c r="G3550" s="1"/>
      <c r="H3550" s="1"/>
      <c r="I3550" s="1"/>
    </row>
    <row r="3551" spans="1:9" ht="15.6" x14ac:dyDescent="0.3">
      <c r="A3551" s="4" t="s">
        <v>7</v>
      </c>
      <c r="B3551" s="4" t="s">
        <v>7</v>
      </c>
      <c r="C3551" s="11" t="s">
        <v>7</v>
      </c>
      <c r="D3551" s="5" t="s">
        <v>3180</v>
      </c>
      <c r="E3551" s="1" t="str">
        <f ca="1">IFERROR(__xludf.DUMMYFUNCTION("GOOGLETRANSLATE(D3551, ""bn"", ""en"")"),"The Muslims of Ahmedabad suffered the worst losses in the riots. About 100 Muslims were killed, hundreds were seriously injured, 2,500 of their houses were destroyed and 12,000 people were left homeless.")</f>
        <v>The Muslims of Ahmedabad suffered the worst losses in the riots. About 100 Muslims were killed, hundreds were seriously injured, 2,500 of their houses were destroyed and 12,000 people were left homeless.</v>
      </c>
      <c r="F3551" s="1"/>
      <c r="G3551" s="1"/>
      <c r="H3551" s="1"/>
      <c r="I3551" s="1"/>
    </row>
    <row r="3552" spans="1:9" ht="15.6" x14ac:dyDescent="0.3">
      <c r="A3552" s="1" t="s">
        <v>7</v>
      </c>
      <c r="B3552" s="1" t="s">
        <v>7</v>
      </c>
      <c r="C3552" s="10" t="s">
        <v>7</v>
      </c>
      <c r="D3552" s="5" t="s">
        <v>3181</v>
      </c>
      <c r="E3552" s="1" t="str">
        <f ca="1">IFERROR(__xludf.DUMMYFUNCTION("GOOGLETRANSLATE(D3552, ""bn"", ""en"")"),"Islamic militants opened fire on a bus of Coptic Christians in the city of Minya, killing 28 people, part of a wave of violence against the country's Christian minority.")</f>
        <v>Islamic militants opened fire on a bus of Coptic Christians in the city of Minya, killing 28 people, part of a wave of violence against the country's Christian minority.</v>
      </c>
      <c r="F3552" s="1"/>
      <c r="G3552" s="1"/>
      <c r="H3552" s="1"/>
      <c r="I3552" s="1"/>
    </row>
    <row r="3553" spans="1:9" ht="15.6" x14ac:dyDescent="0.3">
      <c r="A3553" s="1" t="s">
        <v>5</v>
      </c>
      <c r="B3553" s="1" t="s">
        <v>5</v>
      </c>
      <c r="C3553" s="10" t="s">
        <v>5</v>
      </c>
      <c r="D3553" s="5" t="s">
        <v>3182</v>
      </c>
      <c r="E3553" s="1" t="str">
        <f ca="1">IFERROR(__xludf.DUMMYFUNCTION("GOOGLETRANSLATE(D3553, ""bn"", ""en"")"),"Christian missionaries run many schools, hospitals and shelters and old age homes for the poor and elderly citizens.  They are closely supported by the governments of India and Bangladesh. The Bengal region has significant Christian populations in the cit"&amp;"ies of Kolkata, Dhaka and Chittagong.")</f>
        <v>Christian missionaries run many schools, hospitals and shelters and old age homes for the poor and elderly citizens.  They are closely supported by the governments of India and Bangladesh. The Bengal region has significant Christian populations in the cities of Kolkata, Dhaka and Chittagong.</v>
      </c>
      <c r="F3553" s="1"/>
      <c r="G3553" s="1"/>
      <c r="H3553" s="1"/>
      <c r="I3553" s="1"/>
    </row>
    <row r="3554" spans="1:9" ht="46.8" x14ac:dyDescent="0.3">
      <c r="A3554" s="1" t="s">
        <v>5</v>
      </c>
      <c r="B3554" s="1" t="s">
        <v>5</v>
      </c>
      <c r="C3554" s="10" t="s">
        <v>5</v>
      </c>
      <c r="D3554" s="6" t="s">
        <v>3663</v>
      </c>
      <c r="E3554" s="1" t="str">
        <f ca="1">IFERROR(__xludf.DUMMYFUNCTION("GOOGLETRANSLATE(D3554, ""bn"", ""en"")")," Muslims outnumbered Hindus by a small margin in the undivided province of Bengal. But undivided Bengal was also divided; Muslim-majority East Bengal (present-day Bangladesh) joined Pakistan and Hindu-majority West Bengal joined India. Greater Sylhet, par"&amp;"t of the Assam province, acceded to Pakistan through a plebiscite.")</f>
        <v> Muslims outnumbered Hindus by a small margin in the undivided province of Bengal. But undivided Bengal was also divided; Muslim-majority East Bengal (present-day Bangladesh) joined Pakistan and Hindu-majority West Bengal joined India. Greater Sylhet, part of the Assam province, acceded to Pakistan through a plebiscite.</v>
      </c>
      <c r="F3554" s="1"/>
      <c r="G3554" s="1"/>
      <c r="H3554" s="1"/>
      <c r="I3554" s="1"/>
    </row>
    <row r="3555" spans="1:9" ht="15.6" x14ac:dyDescent="0.3">
      <c r="A3555" s="1" t="s">
        <v>5</v>
      </c>
      <c r="B3555" s="1" t="s">
        <v>5</v>
      </c>
      <c r="C3555" s="10" t="s">
        <v>5</v>
      </c>
      <c r="D3555" s="5" t="s">
        <v>3183</v>
      </c>
      <c r="E3555" s="1" t="str">
        <f ca="1">IFERROR(__xludf.DUMMYFUNCTION("GOOGLETRANSLATE(D3555, ""bn"", ""en"")"),"Lok Sabha Elections 2019: Religion is gaining importance in West Bengal votes?")</f>
        <v>Lok Sabha Elections 2019: Religion is gaining importance in West Bengal votes?</v>
      </c>
      <c r="F3555" s="1"/>
      <c r="G3555" s="1"/>
      <c r="H3555" s="1"/>
      <c r="I3555" s="1"/>
    </row>
    <row r="3556" spans="1:9" ht="15.6" x14ac:dyDescent="0.3">
      <c r="A3556" s="1" t="s">
        <v>5</v>
      </c>
      <c r="B3556" s="1" t="s">
        <v>5</v>
      </c>
      <c r="C3556" s="10" t="s">
        <v>5</v>
      </c>
      <c r="D3556" s="5" t="s">
        <v>3184</v>
      </c>
      <c r="E3556" s="1" t="str">
        <f ca="1">IFERROR(__xludf.DUMMYFUNCTION("GOOGLETRANSLATE(D3556, ""bn"", ""en"")"),"In the South Asian country of Bangladesh, this day is celebrated every year with due dignity. Although it is a festival of Buddhism, this day is a public holiday in Bangladesh as a country of religious harmony.")</f>
        <v>In the South Asian country of Bangladesh, this day is celebrated every year with due dignity. Although it is a festival of Buddhism, this day is a public holiday in Bangladesh as a country of religious harmony.</v>
      </c>
      <c r="F3556" s="1"/>
      <c r="G3556" s="1"/>
      <c r="H3556" s="1"/>
      <c r="I3556" s="1"/>
    </row>
    <row r="3557" spans="1:9" ht="15.6" x14ac:dyDescent="0.3">
      <c r="A3557" s="1" t="s">
        <v>7</v>
      </c>
      <c r="B3557" s="1" t="s">
        <v>7</v>
      </c>
      <c r="C3557" s="10" t="s">
        <v>7</v>
      </c>
      <c r="D3557" s="5" t="s">
        <v>3185</v>
      </c>
      <c r="E3557" s="1" t="str">
        <f ca="1">IFERROR(__xludf.DUMMYFUNCTION("GOOGLETRANSLATE(D3557, ""bn"", ""en"")"),"1980 – Moradabad riots: About 400 people die in clashes between Muslims and the police in Moradabad, Uttar Pradesh.")</f>
        <v>1980 – Moradabad riots: About 400 people die in clashes between Muslims and the police in Moradabad, Uttar Pradesh.</v>
      </c>
      <c r="F3557" s="1"/>
      <c r="G3557" s="1"/>
      <c r="H3557" s="1"/>
      <c r="I3557" s="1"/>
    </row>
    <row r="3558" spans="1:9" ht="15.6" x14ac:dyDescent="0.3">
      <c r="A3558" s="1" t="s">
        <v>7</v>
      </c>
      <c r="B3558" s="1" t="s">
        <v>7</v>
      </c>
      <c r="C3558" s="10" t="s">
        <v>7</v>
      </c>
      <c r="D3558" s="5" t="s">
        <v>3186</v>
      </c>
      <c r="E3558" s="1" t="str">
        <f ca="1">IFERROR(__xludf.DUMMYFUNCTION("GOOGLETRANSLATE(D3558, ""bn"", ""en"")"),"Rasulullah Sallallahu Alaihi Wasallam performed his funeral in Madinah. Many great Companions died in different places during the lifetime of the Prophet ﷺ; ")</f>
        <v>Rasulullah Sallallahu Alaihi Wasallam performed his funeral in Madinah. Many great Companions died in different places during the lifetime of the Prophet ﷺ; </v>
      </c>
      <c r="F3558" s="1"/>
      <c r="G3558" s="1"/>
      <c r="H3558" s="1"/>
      <c r="I3558" s="1"/>
    </row>
    <row r="3559" spans="1:9" ht="15.6" x14ac:dyDescent="0.3">
      <c r="A3559" s="1" t="s">
        <v>4</v>
      </c>
      <c r="B3559" s="1" t="s">
        <v>5</v>
      </c>
      <c r="C3559" s="10" t="s">
        <v>4</v>
      </c>
      <c r="D3559" s="5" t="s">
        <v>3187</v>
      </c>
      <c r="E3559" s="1" t="str">
        <f ca="1">IFERROR(__xludf.DUMMYFUNCTION("GOOGLETRANSLATE(D3559, ""bn"", ""en"")"),"By banning newspaper activities or talking about exemplary punishment, the killers are indirectly supported, because the victims are being blamed here. This requires tolerance and respect for each other's freedom of speech.")</f>
        <v>By banning newspaper activities or talking about exemplary punishment, the killers are indirectly supported, because the victims are being blamed here. This requires tolerance and respect for each other's freedom of speech.</v>
      </c>
      <c r="F3559" s="1"/>
      <c r="G3559" s="1"/>
      <c r="H3559" s="1"/>
      <c r="I3559" s="1"/>
    </row>
    <row r="3560" spans="1:9" ht="15.6" x14ac:dyDescent="0.3">
      <c r="A3560" s="1" t="s">
        <v>5</v>
      </c>
      <c r="B3560" s="1" t="s">
        <v>5</v>
      </c>
      <c r="C3560" s="10" t="s">
        <v>5</v>
      </c>
      <c r="D3560" s="5" t="s">
        <v>3188</v>
      </c>
      <c r="E3560" s="1" t="str">
        <f ca="1">IFERROR(__xludf.DUMMYFUNCTION("GOOGLETRANSLATE(D3560, ""bn"", ""en"")"),"Apart from the God-given or heavenly religions, many man-made religions have emerged on earth. Those that have played an important role in the welfare of society and humanity have survived through the evolution of time.")</f>
        <v>Apart from the God-given or heavenly religions, many man-made religions have emerged on earth. Those that have played an important role in the welfare of society and humanity have survived through the evolution of time.</v>
      </c>
      <c r="F3560" s="1"/>
      <c r="G3560" s="1"/>
      <c r="H3560" s="1"/>
      <c r="I3560" s="1"/>
    </row>
    <row r="3561" spans="1:9" ht="15.6" x14ac:dyDescent="0.3">
      <c r="A3561" s="1" t="s">
        <v>7</v>
      </c>
      <c r="B3561" s="1" t="s">
        <v>7</v>
      </c>
      <c r="C3561" s="10" t="s">
        <v>7</v>
      </c>
      <c r="D3561" s="5" t="s">
        <v>3189</v>
      </c>
      <c r="E3561" s="1" t="str">
        <f ca="1">IFERROR(__xludf.DUMMYFUNCTION("GOOGLETRANSLATE(D3561, ""bn"", ""en"")"),"The controversial case was that of Chhatrapati Shahu's widow who was forced to perform sati-immolation after Shahu's death in 1749 due to political intrigues regarding succession in the Satra court. ")</f>
        <v>The controversial case was that of Chhatrapati Shahu's widow who was forced to perform sati-immolation after Shahu's death in 1749 due to political intrigues regarding succession in the Satra court. </v>
      </c>
      <c r="F3561" s="1"/>
      <c r="G3561" s="1"/>
      <c r="H3561" s="1"/>
      <c r="I3561" s="1"/>
    </row>
    <row r="3562" spans="1:9" ht="15.6" x14ac:dyDescent="0.3">
      <c r="A3562" s="1" t="s">
        <v>5</v>
      </c>
      <c r="B3562" s="1" t="s">
        <v>5</v>
      </c>
      <c r="C3562" s="10" t="s">
        <v>5</v>
      </c>
      <c r="D3562" s="5" t="s">
        <v>3190</v>
      </c>
      <c r="E3562" s="1" t="str">
        <f ca="1">IFERROR(__xludf.DUMMYFUNCTION("GOOGLETRANSLATE(D3562, ""bn"", ""en"")"),"The Catholic Church has seven major feasts, the most important of which is the celebration of Jesus' Passover. This is accomplished by reciting hymns in the presence of many people.")</f>
        <v>The Catholic Church has seven major feasts, the most important of which is the celebration of Jesus' Passover. This is accomplished by reciting hymns in the presence of many people.</v>
      </c>
      <c r="F3562" s="1"/>
      <c r="G3562" s="1"/>
      <c r="H3562" s="1"/>
      <c r="I3562" s="1"/>
    </row>
    <row r="3563" spans="1:9" ht="15.6" x14ac:dyDescent="0.3">
      <c r="A3563" s="1" t="s">
        <v>4</v>
      </c>
      <c r="B3563" s="1" t="s">
        <v>4</v>
      </c>
      <c r="C3563" s="10" t="s">
        <v>4</v>
      </c>
      <c r="D3563" s="5" t="s">
        <v>3191</v>
      </c>
      <c r="E3563" s="1" t="str">
        <f ca="1">IFERROR(__xludf.DUMMYFUNCTION("GOOGLETRANSLATE(D3563, ""bn"", ""en"")"),"Representatives of the Larma and other hill tribes took a stand against the draft constitution of Bangladesh. According to them, the constitution did not recognize the culture of non-Muslims and non-Bengalis along with recognition of ethnic groups.")</f>
        <v>Representatives of the Larma and other hill tribes took a stand against the draft constitution of Bangladesh. According to them, the constitution did not recognize the culture of non-Muslims and non-Bengalis along with recognition of ethnic groups.</v>
      </c>
      <c r="F3563" s="1"/>
      <c r="G3563" s="1"/>
      <c r="H3563" s="1"/>
      <c r="I3563" s="1"/>
    </row>
    <row r="3564" spans="1:9" ht="62.4" x14ac:dyDescent="0.3">
      <c r="A3564" s="1" t="s">
        <v>7</v>
      </c>
      <c r="B3564" s="1" t="s">
        <v>7</v>
      </c>
      <c r="C3564" s="10" t="s">
        <v>7</v>
      </c>
      <c r="D3564" s="6" t="s">
        <v>3662</v>
      </c>
      <c r="E3564" s="1" t="str">
        <f ca="1">IFERROR(__xludf.DUMMYFUNCTION("GOOGLETRANSLATE(D3564, ""bn"", ""en"")"),"In the 1964 Genocide, Hindus as well as many ethnic groups of East Bengal were forced to leave the country due to persecution. One such indigenous community was the Garo people. In 1965, Umakant Sharma wrote a novel titled 'Chimchhangar Dutto Paar' in Ahm"&amp;"ia language, documenting this incident. Famous Bangladeshi film maker Tanveer Mokammel made a famous film called 'Chitra Nadir Pare' in 1999 on the topic of Hindu exodus caused by this genocide.")</f>
        <v>In the 1964 Genocide, Hindus as well as many ethnic groups of East Bengal were forced to leave the country due to persecution. One such indigenous community was the Garo people. In 1965, Umakant Sharma wrote a novel titled 'Chimchhangar Dutto Paar' in Ahmia language, documenting this incident. Famous Bangladeshi film maker Tanveer Mokammel made a famous film called 'Chitra Nadir Pare' in 1999 on the topic of Hindu exodus caused by this genocide.</v>
      </c>
      <c r="F3564" s="1"/>
      <c r="G3564" s="1"/>
      <c r="H3564" s="1"/>
      <c r="I3564" s="1"/>
    </row>
    <row r="3565" spans="1:9" ht="15.6" x14ac:dyDescent="0.3">
      <c r="A3565" s="1" t="s">
        <v>9</v>
      </c>
      <c r="B3565" s="1" t="s">
        <v>9</v>
      </c>
      <c r="C3565" s="10" t="s">
        <v>9</v>
      </c>
      <c r="D3565" s="5" t="s">
        <v>3192</v>
      </c>
      <c r="E3565" s="1" t="str">
        <f ca="1">IFERROR(__xludf.DUMMYFUNCTION("GOOGLETRANSLATE(D3565, ""bn"", ""en"")"),"I don't know, the 10 Buddhist villages that were set on fire, looted, how many people died will not be known one day... Will it be known one day, who incited these people by showing the greed of heaven?'")</f>
        <v>I don't know, the 10 Buddhist villages that were set on fire, looted, how many people died will not be known one day... Will it be known one day, who incited these people by showing the greed of heaven?'</v>
      </c>
      <c r="F3565" s="1"/>
      <c r="G3565" s="1"/>
      <c r="H3565" s="1"/>
      <c r="I3565" s="1"/>
    </row>
    <row r="3566" spans="1:9" ht="15.6" x14ac:dyDescent="0.3">
      <c r="A3566" s="1" t="s">
        <v>9</v>
      </c>
      <c r="B3566" s="1" t="s">
        <v>9</v>
      </c>
      <c r="C3566" s="10" t="s">
        <v>9</v>
      </c>
      <c r="D3566" s="5" t="s">
        <v>3193</v>
      </c>
      <c r="E3566" s="1" t="str">
        <f ca="1">IFERROR(__xludf.DUMMYFUNCTION("GOOGLETRANSLATE(D3566, ""bn"", ""en"")"),"On 23 April, attacks on minority communities began in the entire Rajshahi division. The district magistrate did not take any measures to prevent the riots. Murder, rape, looting continued for days. At Rajshahi railway station, fleeing Hindus were attacked"&amp;". The fleeing Hindus were attacked at Natore railway station and nearby market.[")</f>
        <v>On 23 April, attacks on minority communities began in the entire Rajshahi division. The district magistrate did not take any measures to prevent the riots. Murder, rape, looting continued for days. At Rajshahi railway station, fleeing Hindus were attacked. The fleeing Hindus were attacked at Natore railway station and nearby market.[</v>
      </c>
      <c r="F3566" s="1"/>
      <c r="G3566" s="1"/>
      <c r="H3566" s="1"/>
      <c r="I3566" s="1"/>
    </row>
    <row r="3567" spans="1:9" ht="15.6" x14ac:dyDescent="0.3">
      <c r="A3567" s="1" t="s">
        <v>4</v>
      </c>
      <c r="B3567" s="1" t="s">
        <v>4</v>
      </c>
      <c r="C3567" s="10" t="s">
        <v>4</v>
      </c>
      <c r="D3567" s="5" t="s">
        <v>3194</v>
      </c>
      <c r="E3567" s="1" t="str">
        <f ca="1">IFERROR(__xludf.DUMMYFUNCTION("GOOGLETRANSLATE(D3567, ""bn"", ""en"")"),"Al-Qur'an alone has challenged all religions and nations since it came down to earth that this is the correct ruling today. Despite this being proven time and time again, many people don't believe it, alas.")</f>
        <v>Al-Qur'an alone has challenged all religions and nations since it came down to earth that this is the correct ruling today. Despite this being proven time and time again, many people don't believe it, alas.</v>
      </c>
      <c r="F3567" s="1"/>
      <c r="G3567" s="1"/>
      <c r="H3567" s="1"/>
      <c r="I3567" s="1"/>
    </row>
    <row r="3568" spans="1:9" ht="15.6" x14ac:dyDescent="0.3">
      <c r="A3568" s="1" t="s">
        <v>7</v>
      </c>
      <c r="B3568" s="1" t="s">
        <v>7</v>
      </c>
      <c r="C3568" s="10" t="s">
        <v>7</v>
      </c>
      <c r="D3568" s="5" t="s">
        <v>3195</v>
      </c>
      <c r="E3568" s="1" t="str">
        <f ca="1">IFERROR(__xludf.DUMMYFUNCTION("GOOGLETRANSLATE(D3568, ""bn"", ""en"")"),"Suicide is not permissible in Islamic law; The result is eternal hell. A person who commits suicide not only oppresses himself but his parents, siblings and relatives all suffer and feel very upset.")</f>
        <v>Suicide is not permissible in Islamic law; The result is eternal hell. A person who commits suicide not only oppresses himself but his parents, siblings and relatives all suffer and feel very upset.</v>
      </c>
      <c r="F3568" s="1"/>
      <c r="G3568" s="1"/>
      <c r="H3568" s="1"/>
      <c r="I3568" s="1"/>
    </row>
    <row r="3569" spans="1:9" ht="15.6" x14ac:dyDescent="0.3">
      <c r="A3569" s="1" t="s">
        <v>4</v>
      </c>
      <c r="B3569" s="1" t="s">
        <v>4</v>
      </c>
      <c r="C3569" s="10" t="s">
        <v>4</v>
      </c>
      <c r="D3569" s="5" t="s">
        <v>3196</v>
      </c>
      <c r="E3569" s="1" t="str">
        <f ca="1">IFERROR(__xludf.DUMMYFUNCTION("GOOGLETRANSLATE(D3569, ""bn"", ""en"")"),"I never argue with a stupid Hindu, I don't know how much knowledge he has if his language is not correct. Thanks for your wonderful usage.")</f>
        <v>I never argue with a stupid Hindu, I don't know how much knowledge he has if his language is not correct. Thanks for your wonderful usage.</v>
      </c>
      <c r="F3569" s="1"/>
      <c r="G3569" s="1"/>
      <c r="H3569" s="1"/>
      <c r="I3569" s="1"/>
    </row>
    <row r="3570" spans="1:9" ht="15.6" x14ac:dyDescent="0.3">
      <c r="A3570" s="1" t="s">
        <v>9</v>
      </c>
      <c r="B3570" s="1" t="s">
        <v>9</v>
      </c>
      <c r="C3570" s="10" t="s">
        <v>9</v>
      </c>
      <c r="D3570" s="5" t="s">
        <v>3197</v>
      </c>
      <c r="E3570" s="1" t="str">
        <f ca="1">IFERROR(__xludf.DUMMYFUNCTION("GOOGLETRANSLATE(D3570, ""bn"", ""en"")"),"Muslim shops and mosques attacked by Buddhist nationalists in Sri Lanka")</f>
        <v>Muslim shops and mosques attacked by Buddhist nationalists in Sri Lanka</v>
      </c>
      <c r="F3570" s="1"/>
      <c r="G3570" s="1"/>
      <c r="H3570" s="1"/>
      <c r="I3570" s="1"/>
    </row>
    <row r="3571" spans="1:9" ht="15.6" x14ac:dyDescent="0.3">
      <c r="A3571" s="1" t="s">
        <v>5</v>
      </c>
      <c r="B3571" s="1" t="s">
        <v>5</v>
      </c>
      <c r="C3571" s="10" t="s">
        <v>5</v>
      </c>
      <c r="D3571" s="5" t="s">
        <v>3198</v>
      </c>
      <c r="E3571" s="1" t="str">
        <f ca="1">IFERROR(__xludf.DUMMYFUNCTION("GOOGLETRANSLATE(D3571, ""bn"", ""en"")"),"The words of the Gita are about the creation of the universe. The more discussions in Sanatan Dharma, the more correct information will emerge. Sanatan i.e. Hinduism is the only way to peace and liberation of man.")</f>
        <v>The words of the Gita are about the creation of the universe. The more discussions in Sanatan Dharma, the more correct information will emerge. Sanatan i.e. Hinduism is the only way to peace and liberation of man.</v>
      </c>
      <c r="F3571" s="1"/>
      <c r="G3571" s="1"/>
      <c r="H3571" s="1"/>
      <c r="I3571" s="1"/>
    </row>
    <row r="3572" spans="1:9" ht="15.6" x14ac:dyDescent="0.3">
      <c r="A3572" s="1" t="s">
        <v>5</v>
      </c>
      <c r="B3572" s="1" t="s">
        <v>5</v>
      </c>
      <c r="C3572" s="10" t="s">
        <v>5</v>
      </c>
      <c r="D3572" s="5" t="s">
        <v>3199</v>
      </c>
      <c r="E3572" s="1" t="str">
        <f ca="1">IFERROR(__xludf.DUMMYFUNCTION("GOOGLETRANSLATE(D3572, ""bn"", ""en"")"),"There will be disappointment, sadness and despair in life. But then you have to be patient. Falling into Satan's trap and killing yourself is not a solution. Instead, we should turn to Allah in times of trouble. Istighfar must be done.")</f>
        <v>There will be disappointment, sadness and despair in life. But then you have to be patient. Falling into Satan's trap and killing yourself is not a solution. Instead, we should turn to Allah in times of trouble. Istighfar must be done.</v>
      </c>
      <c r="F3572" s="1"/>
      <c r="G3572" s="1"/>
      <c r="H3572" s="1"/>
      <c r="I3572" s="1"/>
    </row>
    <row r="3573" spans="1:9" ht="15.6" x14ac:dyDescent="0.3">
      <c r="A3573" s="1" t="s">
        <v>5</v>
      </c>
      <c r="B3573" s="1" t="s">
        <v>5</v>
      </c>
      <c r="C3573" s="10" t="s">
        <v>5</v>
      </c>
      <c r="D3573" s="5" t="s">
        <v>3200</v>
      </c>
      <c r="E3573" s="1" t="str">
        <f ca="1">IFERROR(__xludf.DUMMYFUNCTION("GOOGLETRANSLATE(D3573, ""bn"", ""en"")"),"Jerusalem is definitely the place of Muslims, the first Kabila of Muslims. Because the previous religions have been canceled, Islam has been proved as the true and eternal religion in the wonderful, scientific Al-Qur'an.")</f>
        <v>Jerusalem is definitely the place of Muslims, the first Kabila of Muslims. Because the previous religions have been canceled, Islam has been proved as the true and eternal religion in the wonderful, scientific Al-Qur'an.</v>
      </c>
      <c r="F3573" s="1"/>
      <c r="G3573" s="1"/>
      <c r="H3573" s="1"/>
      <c r="I3573" s="1"/>
    </row>
    <row r="3574" spans="1:9" ht="62.4" x14ac:dyDescent="0.3">
      <c r="A3574" s="1" t="s">
        <v>5</v>
      </c>
      <c r="B3574" s="1" t="s">
        <v>4</v>
      </c>
      <c r="C3574" s="10" t="s">
        <v>5</v>
      </c>
      <c r="D3574" s="6" t="s">
        <v>3661</v>
      </c>
      <c r="E3574" s="1" t="str">
        <f ca="1">IFERROR(__xludf.DUMMYFUNCTION("GOOGLETRANSLATE(D3574, ""bn"", ""en"")"),"Most religions have heaven and hell, but the privileges of heaven and the punishments of hell are not the same in all religions. One of the reasons why the Hindu saints of North India can wear jatavaras, Muslim-Sikh elders wear turban-caps, Hindu-Muslim-S"&amp;"ikhs can wear long beards in the country may be that their habitat is winter. One of the reasons for the shaved heads and shaved faces of Buddhist monks may be the introduction of Buddhism in the hot but humid Bengali-Bihar region.")</f>
        <v>Most religions have heaven and hell, but the privileges of heaven and the punishments of hell are not the same in all religions. One of the reasons why the Hindu saints of North India can wear jatavaras, Muslim-Sikh elders wear turban-caps, Hindu-Muslim-Sikhs can wear long beards in the country may be that their habitat is winter. One of the reasons for the shaved heads and shaved faces of Buddhist monks may be the introduction of Buddhism in the hot but humid Bengali-Bihar region.</v>
      </c>
      <c r="F3574" s="1"/>
      <c r="G3574" s="1"/>
      <c r="H3574" s="1"/>
      <c r="I3574" s="1"/>
    </row>
    <row r="3575" spans="1:9" ht="15.6" x14ac:dyDescent="0.3">
      <c r="A3575" s="1" t="s">
        <v>7</v>
      </c>
      <c r="B3575" s="1" t="s">
        <v>7</v>
      </c>
      <c r="C3575" s="10" t="s">
        <v>7</v>
      </c>
      <c r="D3575" s="5" t="s">
        <v>3201</v>
      </c>
      <c r="E3575" s="1" t="str">
        <f ca="1">IFERROR(__xludf.DUMMYFUNCTION("GOOGLETRANSLATE(D3575, ""bn"", ""en"")"),"It was a means of usurping the property of a widow who had the right to inherit her deceased husband's property according to Hindu law, and helped eliminate the satiated heir;")</f>
        <v>It was a means of usurping the property of a widow who had the right to inherit her deceased husband's property according to Hindu law, and helped eliminate the satiated heir;</v>
      </c>
      <c r="F3575" s="1"/>
      <c r="G3575" s="1"/>
      <c r="H3575" s="1"/>
      <c r="I3575" s="1"/>
    </row>
    <row r="3576" spans="1:9" ht="17.399999999999999" x14ac:dyDescent="0.3">
      <c r="A3576" s="1" t="s">
        <v>7</v>
      </c>
      <c r="B3576" s="1" t="s">
        <v>7</v>
      </c>
      <c r="C3576" s="10" t="s">
        <v>7</v>
      </c>
      <c r="D3576" s="5" t="s">
        <v>3518</v>
      </c>
      <c r="E3576" s="1" t="str">
        <f ca="1">IFERROR(__xludf.DUMMYFUNCTION("GOOGLETRANSLATE(D3576, ""bn"", ""en"")"),"The practice of sati-burning, neglect and banishment of Hindu widows, has been practiced since ancient times.[9][note 4] Greek sources from around 300 BC make isolated references to sati-burning.")</f>
        <v>The practice of sati-burning, neglect and banishment of Hindu widows, has been practiced since ancient times.[9][note 4] Greek sources from around 300 BC make isolated references to sati-burning.</v>
      </c>
      <c r="F3576" s="1"/>
      <c r="G3576" s="1"/>
      <c r="H3576" s="1"/>
      <c r="I3576" s="1"/>
    </row>
    <row r="3577" spans="1:9" ht="15.6" x14ac:dyDescent="0.3">
      <c r="A3577" s="1" t="s">
        <v>4</v>
      </c>
      <c r="B3577" s="1" t="s">
        <v>4</v>
      </c>
      <c r="C3577" s="10" t="s">
        <v>4</v>
      </c>
      <c r="D3577" s="5" t="s">
        <v>3202</v>
      </c>
      <c r="E3577" s="1" t="str">
        <f ca="1">IFERROR(__xludf.DUMMYFUNCTION("GOOGLETRANSLATE(D3577, ""bn"", ""en"")"),"Do they have shame or not, they are as naughty as dogs. So you should never catch them. Even if you look at dogs, you should not look at them.")</f>
        <v>Do they have shame or not, they are as naughty as dogs. So you should never catch them. Even if you look at dogs, you should not look at them.</v>
      </c>
      <c r="F3577" s="1"/>
      <c r="G3577" s="1"/>
      <c r="H3577" s="1"/>
      <c r="I3577" s="1"/>
    </row>
    <row r="3578" spans="1:9" ht="15.6" x14ac:dyDescent="0.3">
      <c r="A3578" s="1" t="s">
        <v>7</v>
      </c>
      <c r="B3578" s="1" t="s">
        <v>7</v>
      </c>
      <c r="C3578" s="10" t="s">
        <v>7</v>
      </c>
      <c r="D3578" s="5" t="s">
        <v>3203</v>
      </c>
      <c r="E3578" s="1" t="str">
        <f ca="1">IFERROR(__xludf.DUMMYFUNCTION("GOOGLETRANSLATE(D3578, ""bn"", ""en"")"),"Media is responsible for this death. Being viral, he chose to die after being subjected to social and emotional harassment. It is necessary to bring some reputed journalists, media and unscrupulous reporters of Bhuiford news portal under the law.")</f>
        <v>Media is responsible for this death. Being viral, he chose to die after being subjected to social and emotional harassment. It is necessary to bring some reputed journalists, media and unscrupulous reporters of Bhuiford news portal under the law.</v>
      </c>
      <c r="F3578" s="1"/>
      <c r="G3578" s="1"/>
      <c r="H3578" s="1"/>
      <c r="I3578" s="1"/>
    </row>
    <row r="3579" spans="1:9" ht="15.6" x14ac:dyDescent="0.3">
      <c r="A3579" s="1" t="s">
        <v>5</v>
      </c>
      <c r="B3579" s="1" t="s">
        <v>5</v>
      </c>
      <c r="C3579" s="10" t="s">
        <v>5</v>
      </c>
      <c r="D3579" s="5" t="s">
        <v>3204</v>
      </c>
      <c r="E3579" s="1" t="str">
        <f ca="1">IFERROR(__xludf.DUMMYFUNCTION("GOOGLETRANSLATE(D3579, ""bn"", ""en"")"),"For Jews, the Land of Israel is a place of religious pilgrimage. Especially Jerusalem. For Muslims, Mecca and Medina are religious places of pilgrimage in Arabia. At the same time, Jerusalem is considered a holy city.")</f>
        <v>For Jews, the Land of Israel is a place of religious pilgrimage. Especially Jerusalem. For Muslims, Mecca and Medina are religious places of pilgrimage in Arabia. At the same time, Jerusalem is considered a holy city.</v>
      </c>
      <c r="F3579" s="1"/>
      <c r="G3579" s="1"/>
      <c r="H3579" s="1"/>
      <c r="I3579" s="1"/>
    </row>
    <row r="3580" spans="1:9" ht="15.6" x14ac:dyDescent="0.3">
      <c r="A3580" s="4" t="s">
        <v>7</v>
      </c>
      <c r="B3580" s="4" t="s">
        <v>7</v>
      </c>
      <c r="C3580" s="11" t="s">
        <v>7</v>
      </c>
      <c r="D3580" s="5" t="s">
        <v>3205</v>
      </c>
      <c r="E3580" s="1" t="str">
        <f ca="1">IFERROR(__xludf.DUMMYFUNCTION("GOOGLETRANSLATE(D3580, ""bn"", ""en"")"),"The social, political, economic and religious freedoms of China's minority Uyghur Muslims are disrupted. Their human rights are also violated. Unspeakable torture is going on. Xi Jinping's government is committing genocide. ")</f>
        <v xml:space="preserve">The social, political, economic and religious freedoms of China's minority Uyghur Muslims are disrupted. Their human rights are also violated. Unspeakable torture is going on. Xi Jinping's government is committing genocide. </v>
      </c>
      <c r="F3580" s="1"/>
      <c r="G3580" s="1"/>
      <c r="H3580" s="1"/>
      <c r="I3580" s="1"/>
    </row>
    <row r="3581" spans="1:9" ht="15.6" x14ac:dyDescent="0.3">
      <c r="A3581" s="1" t="s">
        <v>9</v>
      </c>
      <c r="B3581" s="1" t="s">
        <v>9</v>
      </c>
      <c r="C3581" s="10" t="s">
        <v>9</v>
      </c>
      <c r="D3581" s="5" t="s">
        <v>3206</v>
      </c>
      <c r="E3581" s="1" t="str">
        <f ca="1">IFERROR(__xludf.DUMMYFUNCTION("GOOGLETRANSLATE(D3581, ""bn"", ""en"")"),"I was thinking to myself, there is a Hindu-Muslim riot going on outside, and inside the berth we are two unknown Hindu-Muslim families, where they should not be late to think of us as 'extremist Muslims' after seeing our clothes.")</f>
        <v>I was thinking to myself, there is a Hindu-Muslim riot going on outside, and inside the berth we are two unknown Hindu-Muslim families, where they should not be late to think of us as 'extremist Muslims' after seeing our clothes.</v>
      </c>
      <c r="F3581" s="1"/>
      <c r="G3581" s="1"/>
      <c r="H3581" s="1"/>
      <c r="I3581" s="1"/>
    </row>
    <row r="3582" spans="1:9" ht="15.6" x14ac:dyDescent="0.3">
      <c r="A3582" s="1" t="s">
        <v>4</v>
      </c>
      <c r="B3582" s="1" t="s">
        <v>4</v>
      </c>
      <c r="C3582" s="10" t="s">
        <v>4</v>
      </c>
      <c r="D3582" s="5" t="s">
        <v>3207</v>
      </c>
      <c r="E3582" s="1" t="str">
        <f ca="1">IFERROR(__xludf.DUMMYFUNCTION("GOOGLETRANSLATE(D3582, ""bn"", ""en"")"),"O Butper, God's wrath will fall on you! You are saying, how many times did Islam come to search your house that day?")</f>
        <v>O Butper, God's wrath will fall on you! You are saying, how many times did Islam come to search your house that day?</v>
      </c>
      <c r="F3582" s="1"/>
      <c r="G3582" s="1"/>
      <c r="H3582" s="1"/>
      <c r="I3582" s="1"/>
    </row>
    <row r="3583" spans="1:9" ht="15.6" x14ac:dyDescent="0.3">
      <c r="A3583" s="1" t="s">
        <v>7</v>
      </c>
      <c r="B3583" s="1" t="s">
        <v>7</v>
      </c>
      <c r="C3583" s="10" t="s">
        <v>7</v>
      </c>
      <c r="D3583" s="5" t="s">
        <v>3208</v>
      </c>
      <c r="E3583" s="1" t="str">
        <f ca="1">IFERROR(__xludf.DUMMYFUNCTION("GOOGLETRANSLATE(D3583, ""bn"", ""en"")"),"Authors differ on whether Aristobulus heard of widows of one or more tribes in India sacrificing themselves on their husbands' pyres, with one author also noting that widows who refused to die were insulted.")</f>
        <v>Authors differ on whether Aristobulus heard of widows of one or more tribes in India sacrificing themselves on their husbands' pyres, with one author also noting that widows who refused to die were insulted.</v>
      </c>
      <c r="F3583" s="1"/>
      <c r="G3583" s="1"/>
      <c r="H3583" s="1"/>
      <c r="I3583" s="1"/>
    </row>
    <row r="3584" spans="1:9" ht="15.6" x14ac:dyDescent="0.3">
      <c r="A3584" s="1" t="s">
        <v>9</v>
      </c>
      <c r="B3584" s="1" t="s">
        <v>9</v>
      </c>
      <c r="C3584" s="10" t="s">
        <v>9</v>
      </c>
      <c r="D3584" s="5" t="s">
        <v>3209</v>
      </c>
      <c r="E3584" s="1" t="str">
        <f ca="1">IFERROR(__xludf.DUMMYFUNCTION("GOOGLETRANSLATE(D3584, ""bn"", ""en"")"),"Miscreants attacked Shyam Sundar Jeur Akhra and Durga Puja Mandap of Shiv Mandir in Kishoreganj around 9:30 PM on Sunday, October 2. A police constable named Shafiqul Islam was beaten up in the attack.")</f>
        <v>Miscreants attacked Shyam Sundar Jeur Akhra and Durga Puja Mandap of Shiv Mandir in Kishoreganj around 9:30 PM on Sunday, October 2. A police constable named Shafiqul Islam was beaten up in the attack.</v>
      </c>
      <c r="F3584" s="1"/>
      <c r="G3584" s="1"/>
      <c r="H3584" s="1"/>
      <c r="I3584" s="1"/>
    </row>
    <row r="3585" spans="1:9" ht="15.6" x14ac:dyDescent="0.3">
      <c r="A3585" s="1" t="s">
        <v>5</v>
      </c>
      <c r="B3585" s="1" t="s">
        <v>5</v>
      </c>
      <c r="C3585" s="10" t="s">
        <v>5</v>
      </c>
      <c r="D3585" s="5" t="s">
        <v>3210</v>
      </c>
      <c r="E3585" s="1" t="str">
        <f ca="1">IFERROR(__xludf.DUMMYFUNCTION("GOOGLETRANSLATE(D3585, ""bn"", ""en"")"),"If Hindus are saved, religion will be there if Puja Kirtan Temple is built. The temple was Kaaba Temple in Arabia, 8500 years ago Kaaba Shiva Temple was built there.")</f>
        <v>If Hindus are saved, religion will be there if Puja Kirtan Temple is built. The temple was Kaaba Temple in Arabia, 8500 years ago Kaaba Shiva Temple was built there.</v>
      </c>
      <c r="F3585" s="1"/>
      <c r="G3585" s="1"/>
      <c r="H3585" s="1"/>
      <c r="I3585" s="1"/>
    </row>
    <row r="3586" spans="1:9" ht="15.6" x14ac:dyDescent="0.3">
      <c r="A3586" s="1" t="s">
        <v>9</v>
      </c>
      <c r="B3586" s="1" t="s">
        <v>9</v>
      </c>
      <c r="C3586" s="10" t="s">
        <v>9</v>
      </c>
      <c r="D3586" s="5" t="s">
        <v>3211</v>
      </c>
      <c r="E3586" s="1" t="str">
        <f ca="1">IFERROR(__xludf.DUMMYFUNCTION("GOOGLETRANSLATE(D3586, ""bn"", ""en"")"),"All the Hindus of a village called Teghari migrated to Kolkata to save their lives. But they did not get relief even on the journey. All the goods with them were looted by Ansar forces and Muslims.")</f>
        <v>All the Hindus of a village called Teghari migrated to Kolkata to save their lives. But they did not get relief even on the journey. All the goods with them were looted by Ansar forces and Muslims.</v>
      </c>
      <c r="F3586" s="1"/>
      <c r="G3586" s="1"/>
      <c r="H3586" s="1"/>
      <c r="I3586" s="1"/>
    </row>
    <row r="3587" spans="1:9" ht="46.8" x14ac:dyDescent="0.3">
      <c r="A3587" s="1" t="s">
        <v>5</v>
      </c>
      <c r="B3587" s="1" t="s">
        <v>5</v>
      </c>
      <c r="C3587" s="10" t="s">
        <v>5</v>
      </c>
      <c r="D3587" s="6" t="s">
        <v>3660</v>
      </c>
      <c r="E3587" s="1" t="str">
        <f ca="1">IFERROR(__xludf.DUMMYFUNCTION("GOOGLETRANSLATE(D3587, ""bn"", ""en"")"),"As it is known from a report aired in BBC Bengal, due to the opposition of some Hindu leaders, it has not become possible to confirm the right of the daughter in the property of the father. I truly believe that as children, both sons and daughters should "&amp;"have equal rights to their parents' property.")</f>
        <v>As it is known from a report aired in BBC Bengal, due to the opposition of some Hindu leaders, it has not become possible to confirm the right of the daughter in the property of the father. I truly believe that as children, both sons and daughters should have equal rights to their parents' property.</v>
      </c>
      <c r="F3587" s="1"/>
      <c r="G3587" s="1"/>
      <c r="H3587" s="1"/>
      <c r="I3587" s="1"/>
    </row>
    <row r="3588" spans="1:9" ht="15.6" x14ac:dyDescent="0.3">
      <c r="A3588" s="1" t="s">
        <v>4</v>
      </c>
      <c r="B3588" s="1" t="s">
        <v>4</v>
      </c>
      <c r="C3588" s="10" t="s">
        <v>4</v>
      </c>
      <c r="D3588" s="5" t="s">
        <v>3212</v>
      </c>
      <c r="E3588" s="1" t="str">
        <f ca="1">IFERROR(__xludf.DUMMYFUNCTION("GOOGLETRANSLATE(D3588, ""bn"", ""en"")"),"The identity of the person who burned the Koran, but no media in Bangladesh has published! Why? Because those who burned the Koran are Iraqi Muslims")</f>
        <v>The identity of the person who burned the Koran, but no media in Bangladesh has published! Why? Because those who burned the Koran are Iraqi Muslims</v>
      </c>
      <c r="F3588" s="1"/>
      <c r="G3588" s="1"/>
      <c r="H3588" s="1"/>
      <c r="I3588" s="1"/>
    </row>
    <row r="3589" spans="1:9" ht="15.6" x14ac:dyDescent="0.3">
      <c r="A3589" s="1" t="s">
        <v>4</v>
      </c>
      <c r="B3589" s="1" t="s">
        <v>4</v>
      </c>
      <c r="C3589" s="10" t="s">
        <v>4</v>
      </c>
      <c r="D3589" s="5" t="s">
        <v>3213</v>
      </c>
      <c r="E3589" s="1" t="str">
        <f ca="1">IFERROR(__xludf.DUMMYFUNCTION("GOOGLETRANSLATE(D3589, ""bn"", ""en"")"),"In a puja mandab near Nanua Dighi in Comilla, someone placed the world's greatest book, the Holy Quran, on the idol's feet, a direct blow to the Muslim religion.")</f>
        <v>In a puja mandab near Nanua Dighi in Comilla, someone placed the world's greatest book, the Holy Quran, on the idol's feet, a direct blow to the Muslim religion.</v>
      </c>
      <c r="F3589" s="1"/>
      <c r="G3589" s="1"/>
      <c r="H3589" s="1"/>
      <c r="I3589" s="1"/>
    </row>
    <row r="3590" spans="1:9" ht="15.6" x14ac:dyDescent="0.3">
      <c r="A3590" s="1" t="s">
        <v>9</v>
      </c>
      <c r="B3590" s="1" t="s">
        <v>9</v>
      </c>
      <c r="C3590" s="10" t="s">
        <v>9</v>
      </c>
      <c r="D3590" s="5" t="s">
        <v>3214</v>
      </c>
      <c r="E3590" s="1" t="str">
        <f ca="1">IFERROR(__xludf.DUMMYFUNCTION("GOOGLETRANSLATE(D3590, ""bn"", ""en"")"),"Shia-Sunni clashes often turn into deadly riots in various countries of the Middle East.")</f>
        <v>Shia-Sunni clashes often turn into deadly riots in various countries of the Middle East.</v>
      </c>
      <c r="F3590" s="1"/>
      <c r="G3590" s="1"/>
      <c r="H3590" s="1"/>
      <c r="I3590" s="1"/>
    </row>
    <row r="3591" spans="1:9" ht="15.6" x14ac:dyDescent="0.3">
      <c r="A3591" s="1" t="s">
        <v>5</v>
      </c>
      <c r="B3591" s="1" t="s">
        <v>5</v>
      </c>
      <c r="C3591" s="10" t="s">
        <v>5</v>
      </c>
      <c r="D3591" s="5" t="s">
        <v>3215</v>
      </c>
      <c r="E3591" s="1" t="str">
        <f ca="1">IFERROR(__xludf.DUMMYFUNCTION("GOOGLETRANSLATE(D3591, ""bn"", ""en"")"),"In 1809 William Carey translated the Bible into Bengali. Many upper-class Bengalis in Calcutta, the capital of British India, converted to Christianity during the renaissance, attracted by missionary preaching.")</f>
        <v>In 1809 William Carey translated the Bible into Bengali. Many upper-class Bengalis in Calcutta, the capital of British India, converted to Christianity during the renaissance, attracted by missionary preaching.</v>
      </c>
      <c r="F3591" s="1"/>
      <c r="G3591" s="1"/>
      <c r="H3591" s="1"/>
      <c r="I3591" s="1"/>
    </row>
    <row r="3592" spans="1:9" ht="15.6" x14ac:dyDescent="0.3">
      <c r="A3592" s="1" t="s">
        <v>7</v>
      </c>
      <c r="B3592" s="1" t="s">
        <v>7</v>
      </c>
      <c r="C3592" s="10" t="s">
        <v>7</v>
      </c>
      <c r="D3592" s="5" t="s">
        <v>3216</v>
      </c>
      <c r="E3592" s="1" t="str">
        <f ca="1">IFERROR(__xludf.DUMMYFUNCTION("GOOGLETRANSLATE(D3592, ""bn"", ""en"")"),"Pakistani soldiers burst into fiendish laughter and say that this is the consequence of voting for the ""Boat"" brand. The rest of the men were shot dead. It is known from the testimony of the witnesses that 80-100 people were killed at that time. ")</f>
        <v>Pakistani soldiers burst into fiendish laughter and say that this is the consequence of voting for the "Boat" brand. The rest of the men were shot dead. It is known from the testimony of the witnesses that 80-100 people were killed at that time. </v>
      </c>
      <c r="F3592" s="1"/>
      <c r="G3592" s="1"/>
      <c r="H3592" s="1"/>
      <c r="I3592" s="1"/>
    </row>
    <row r="3593" spans="1:9" ht="15.6" x14ac:dyDescent="0.3">
      <c r="A3593" s="1" t="s">
        <v>4</v>
      </c>
      <c r="B3593" s="1" t="s">
        <v>4</v>
      </c>
      <c r="C3593" s="10" t="s">
        <v>4</v>
      </c>
      <c r="D3593" s="5" t="s">
        <v>3217</v>
      </c>
      <c r="E3593" s="1" t="str">
        <f ca="1">IFERROR(__xludf.DUMMYFUNCTION("GOOGLETRANSLATE(D3593, ""bn"", ""en"")"),"As a Muslim, the recent events are extremely disappointing and deeply distressing to me.")</f>
        <v>As a Muslim, the recent events are extremely disappointing and deeply distressing to me.</v>
      </c>
      <c r="F3593" s="1"/>
      <c r="G3593" s="1"/>
      <c r="H3593" s="1"/>
      <c r="I3593" s="1"/>
    </row>
    <row r="3594" spans="1:9" ht="15.6" x14ac:dyDescent="0.3">
      <c r="A3594" s="1" t="s">
        <v>4</v>
      </c>
      <c r="B3594" s="1" t="s">
        <v>5</v>
      </c>
      <c r="C3594" s="10" t="s">
        <v>4</v>
      </c>
      <c r="D3594" s="5" t="s">
        <v>3218</v>
      </c>
      <c r="E3594" s="1" t="str">
        <f ca="1">IFERROR(__xludf.DUMMYFUNCTION("GOOGLETRANSLATE(D3594, ""bn"", ""en"")"),"Inhuman behavior has no access anywhere. No one likes it. If someone is not on the right path, explain it to them in a loving way. ")</f>
        <v>Inhuman behavior has no access anywhere. No one likes it. If someone is not on the right path, explain it to them in a loving way. </v>
      </c>
      <c r="F3594" s="1"/>
      <c r="G3594" s="1"/>
      <c r="H3594" s="1"/>
      <c r="I3594" s="1"/>
    </row>
    <row r="3595" spans="1:9" ht="15.6" x14ac:dyDescent="0.3">
      <c r="A3595" s="1" t="s">
        <v>4</v>
      </c>
      <c r="B3595" s="1" t="s">
        <v>5</v>
      </c>
      <c r="C3595" s="10" t="s">
        <v>4</v>
      </c>
      <c r="D3595" s="5" t="s">
        <v>3219</v>
      </c>
      <c r="E3595" s="1" t="str">
        <f ca="1">IFERROR(__xludf.DUMMYFUNCTION("GOOGLETRANSLATE(D3595, ""bn"", ""en"")"),"The sad thing is that most of those who have been beaten may have Md/Mohammed prefixed to their names.")</f>
        <v>The sad thing is that most of those who have been beaten may have Md/Mohammed prefixed to their names.</v>
      </c>
      <c r="F3595" s="1"/>
      <c r="G3595" s="1"/>
      <c r="H3595" s="1"/>
      <c r="I3595" s="1"/>
    </row>
    <row r="3596" spans="1:9" ht="15.6" x14ac:dyDescent="0.3">
      <c r="A3596" s="1" t="s">
        <v>9</v>
      </c>
      <c r="B3596" s="1" t="s">
        <v>5</v>
      </c>
      <c r="C3596" s="10" t="s">
        <v>9</v>
      </c>
      <c r="D3596" s="5" t="s">
        <v>3220</v>
      </c>
      <c r="E3596" s="1" t="str">
        <f ca="1">IFERROR(__xludf.DUMMYFUNCTION("GOOGLETRANSLATE(D3596, ""bn"", ""en"")"),"Khulna Dharmasabha temple ceremony bomb attack, constable injured,")</f>
        <v>Khulna Dharmasabha temple ceremony bomb attack, constable injured,</v>
      </c>
      <c r="F3596" s="1"/>
      <c r="G3596" s="1"/>
      <c r="H3596" s="1"/>
      <c r="I3596" s="1"/>
    </row>
    <row r="3597" spans="1:9" ht="15.6" x14ac:dyDescent="0.3">
      <c r="A3597" s="1" t="s">
        <v>7</v>
      </c>
      <c r="B3597" s="1" t="s">
        <v>7</v>
      </c>
      <c r="C3597" s="10" t="s">
        <v>7</v>
      </c>
      <c r="D3597" s="5" t="s">
        <v>3221</v>
      </c>
      <c r="E3597" s="1" t="str">
        <f ca="1">IFERROR(__xludf.DUMMYFUNCTION("GOOGLETRANSLATE(D3597, ""bn"", ""en"")"),"Raj Rajeshwari Kalibari Temple was also attacked. Dilip Kumar Das was injured by a brick. First he was taken to Comilla Medical College Hospital. Later he was taken to Dhaka Medical College Hospital as his condition worsened. He died there on 21 October.")</f>
        <v>Raj Rajeshwari Kalibari Temple was also attacked. Dilip Kumar Das was injured by a brick. First he was taken to Comilla Medical College Hospital. Later he was taken to Dhaka Medical College Hospital as his condition worsened. He died there on 21 October.</v>
      </c>
      <c r="F3597" s="1"/>
      <c r="G3597" s="1"/>
      <c r="H3597" s="1"/>
      <c r="I3597" s="1"/>
    </row>
    <row r="3598" spans="1:9" ht="15.6" x14ac:dyDescent="0.3">
      <c r="A3598" s="1" t="s">
        <v>9</v>
      </c>
      <c r="B3598" s="1" t="s">
        <v>9</v>
      </c>
      <c r="C3598" s="10" t="s">
        <v>9</v>
      </c>
      <c r="D3598" s="5" t="s">
        <v>3222</v>
      </c>
      <c r="E3598" s="1" t="str">
        <f ca="1">IFERROR(__xludf.DUMMYFUNCTION("GOOGLETRANSLATE(D3598, ""bn"", ""en"")"),"Muslims will live in the light of perfect Sunnah, from that day Allah will have mercy on us, if we go against it, we will have to endure the persecution of the pagans.")</f>
        <v>Muslims will live in the light of perfect Sunnah, from that day Allah will have mercy on us, if we go against it, we will have to endure the persecution of the pagans.</v>
      </c>
      <c r="F3598" s="1"/>
      <c r="G3598" s="1"/>
      <c r="H3598" s="1"/>
      <c r="I3598" s="1"/>
    </row>
    <row r="3599" spans="1:9" ht="15.6" x14ac:dyDescent="0.3">
      <c r="A3599" s="1" t="s">
        <v>9</v>
      </c>
      <c r="B3599" s="1" t="s">
        <v>9</v>
      </c>
      <c r="C3599" s="10" t="s">
        <v>9</v>
      </c>
      <c r="D3599" s="5" t="s">
        <v>3223</v>
      </c>
      <c r="E3599" s="1" t="str">
        <f ca="1">IFERROR(__xludf.DUMMYFUNCTION("GOOGLETRANSLATE(D3599, ""bn"", ""en"")"),"A Hindu temple in Indiana was attacked, desecrated with deities and scrawled with anti-Islamic slogans, a clear display of religious intolerance.")</f>
        <v>A Hindu temple in Indiana was attacked, desecrated with deities and scrawled with anti-Islamic slogans, a clear display of religious intolerance.</v>
      </c>
      <c r="F3599" s="1"/>
      <c r="G3599" s="1"/>
      <c r="H3599" s="1"/>
      <c r="I3599" s="1"/>
    </row>
    <row r="3600" spans="1:9" ht="15.6" x14ac:dyDescent="0.3">
      <c r="A3600" s="1" t="s">
        <v>7</v>
      </c>
      <c r="B3600" s="1" t="s">
        <v>7</v>
      </c>
      <c r="C3600" s="10" t="s">
        <v>7</v>
      </c>
      <c r="D3600" s="5" t="s">
        <v>3224</v>
      </c>
      <c r="E3600" s="1" t="str">
        <f ca="1">IFERROR(__xludf.DUMMYFUNCTION("GOOGLETRANSLATE(D3600, ""bn"", ""en"")"),"Konnagi, the chaste wife of her wayward husband Koblan, burns Madurai to the ground when her husband is unjustly killed, then ascends a mountain to join Koblan in heaven. ")</f>
        <v>Konnagi, the chaste wife of her wayward husband Koblan, burns Madurai to the ground when her husband is unjustly killed, then ascends a mountain to join Koblan in heaven. </v>
      </c>
      <c r="F3600" s="1"/>
      <c r="G3600" s="1"/>
      <c r="H3600" s="1"/>
      <c r="I3600" s="1"/>
    </row>
    <row r="3601" spans="1:9" ht="15.6" x14ac:dyDescent="0.3">
      <c r="A3601" s="1" t="s">
        <v>7</v>
      </c>
      <c r="B3601" s="1" t="s">
        <v>7</v>
      </c>
      <c r="C3601" s="10" t="s">
        <v>7</v>
      </c>
      <c r="D3601" s="5" t="s">
        <v>3225</v>
      </c>
      <c r="E3601" s="1" t="str">
        <f ca="1">IFERROR(__xludf.DUMMYFUNCTION("GOOGLETRANSLATE(D3601, ""bn"", ""en"")"),"Pakistan's Ahmadiyya Muslim community has long been subject to religious discrimination, resulting in the deaths of many in violent attacks.")</f>
        <v>Pakistan's Ahmadiyya Muslim community has long been subject to religious discrimination, resulting in the deaths of many in violent attacks.</v>
      </c>
      <c r="F3601" s="1"/>
      <c r="G3601" s="1"/>
      <c r="H3601" s="1"/>
      <c r="I3601" s="1"/>
    </row>
    <row r="3602" spans="1:9" ht="15.6" x14ac:dyDescent="0.3">
      <c r="A3602" s="1" t="s">
        <v>9</v>
      </c>
      <c r="B3602" s="1" t="s">
        <v>4</v>
      </c>
      <c r="C3602" s="10" t="s">
        <v>9</v>
      </c>
      <c r="D3602" s="5" t="s">
        <v>3226</v>
      </c>
      <c r="E3602" s="1" t="str">
        <f ca="1">IFERROR(__xludf.DUMMYFUNCTION("GOOGLETRANSLATE(D3602, ""bn"", ""en"")"),"Eve teasing rape killing Rahajani these are increasing it is not a sin. Indulging in homosexuality is a sin")</f>
        <v>Eve teasing rape killing Rahajani these are increasing it is not a sin. Indulging in homosexuality is a sin</v>
      </c>
      <c r="F3602" s="1"/>
      <c r="G3602" s="1"/>
      <c r="H3602" s="1"/>
      <c r="I3602" s="1"/>
    </row>
    <row r="3603" spans="1:9" ht="46.8" x14ac:dyDescent="0.3">
      <c r="A3603" s="1" t="s">
        <v>7</v>
      </c>
      <c r="B3603" s="1" t="s">
        <v>7</v>
      </c>
      <c r="C3603" s="10" t="s">
        <v>7</v>
      </c>
      <c r="D3603" s="6" t="s">
        <v>3659</v>
      </c>
      <c r="E3603" s="1" t="str">
        <f ca="1">IFERROR(__xludf.DUMMYFUNCTION("GOOGLETRANSLATE(D3603, ""bn"", ""en"")"),"At around eleven o'clock the army took the Hindu hostages to a place called Akhira, 100 meters south of Barihat, lined up men, women and children and killed them with machine gun brushfire. A number of children and teenagers, who survived the shooting, we"&amp;"re killed with bayonets.")</f>
        <v>At around eleven o'clock the army took the Hindu hostages to a place called Akhira, 100 meters south of Barihat, lined up men, women and children and killed them with machine gun brushfire. A number of children and teenagers, who survived the shooting, were killed with bayonets.</v>
      </c>
      <c r="F3603" s="1"/>
      <c r="G3603" s="1"/>
      <c r="H3603" s="1"/>
      <c r="I3603" s="1"/>
    </row>
    <row r="3604" spans="1:9" ht="15.6" x14ac:dyDescent="0.3">
      <c r="A3604" s="1" t="s">
        <v>4</v>
      </c>
      <c r="B3604" s="1" t="s">
        <v>4</v>
      </c>
      <c r="C3604" s="10" t="s">
        <v>4</v>
      </c>
      <c r="D3604" s="5" t="s">
        <v>3227</v>
      </c>
      <c r="E3604" s="1" t="str">
        <f ca="1">IFERROR(__xludf.DUMMYFUNCTION("GOOGLETRANSLATE(D3604, ""bn"", ""en"")"),"Why do you get so itchy when the Islamic Education Department organizes an Islamic workshop, the Islamic History and Culture Department organizes a workshop on Islam, or the Arabic Department organizes a Quran session?")</f>
        <v>Why do you get so itchy when the Islamic Education Department organizes an Islamic workshop, the Islamic History and Culture Department organizes a workshop on Islam, or the Arabic Department organizes a Quran session?</v>
      </c>
      <c r="F3604" s="1"/>
      <c r="G3604" s="1"/>
      <c r="H3604" s="1"/>
      <c r="I3604" s="1"/>
    </row>
    <row r="3605" spans="1:9" ht="15.6" x14ac:dyDescent="0.3">
      <c r="A3605" s="1" t="s">
        <v>5</v>
      </c>
      <c r="B3605" s="1" t="s">
        <v>5</v>
      </c>
      <c r="C3605" s="10" t="s">
        <v>5</v>
      </c>
      <c r="D3605" s="5" t="s">
        <v>3228</v>
      </c>
      <c r="E3605" s="1" t="str">
        <f ca="1">IFERROR(__xludf.DUMMYFUNCTION("GOOGLETRANSLATE(D3605, ""bn"", ""en"")"),"Whenever I look at injustice, tyranny, oppression, my mind is confused, broken, I get hope again after listening to the master's lecture, my heart opens, Alhamdulillah. ")</f>
        <v xml:space="preserve">Whenever I look at injustice, tyranny, oppression, my mind is confused, broken, I get hope again after listening to the master's lecture, my heart opens, Alhamdulillah. </v>
      </c>
      <c r="F3605" s="1"/>
      <c r="G3605" s="1"/>
      <c r="H3605" s="1"/>
      <c r="I3605" s="1"/>
    </row>
    <row r="3606" spans="1:9" ht="15.6" x14ac:dyDescent="0.3">
      <c r="A3606" s="1" t="s">
        <v>4</v>
      </c>
      <c r="B3606" s="1" t="s">
        <v>4</v>
      </c>
      <c r="C3606" s="10" t="s">
        <v>4</v>
      </c>
      <c r="D3606" s="5" t="s">
        <v>3229</v>
      </c>
      <c r="E3606" s="1" t="str">
        <f ca="1">IFERROR(__xludf.DUMMYFUNCTION("GOOGLETRANSLATE(D3606, ""bn"", ""en"")"),"Clearly anti-Islamic short film. Conspiracy against Islam and direct insult to the hadith of the Prophet (peace be upon him).")</f>
        <v>Clearly anti-Islamic short film. Conspiracy against Islam and direct insult to the hadith of the Prophet (peace be upon him).</v>
      </c>
      <c r="F3606" s="1"/>
      <c r="G3606" s="1"/>
      <c r="H3606" s="1"/>
      <c r="I3606" s="1"/>
    </row>
    <row r="3607" spans="1:9" ht="15.6" x14ac:dyDescent="0.3">
      <c r="A3607" s="1" t="s">
        <v>7</v>
      </c>
      <c r="B3607" s="1" t="s">
        <v>4</v>
      </c>
      <c r="C3607" s="10" t="s">
        <v>7</v>
      </c>
      <c r="D3607" s="5" t="s">
        <v>3230</v>
      </c>
      <c r="E3607" s="1" t="str">
        <f ca="1">IFERROR(__xludf.DUMMYFUNCTION("GOOGLETRANSLATE(D3607, ""bn"", ""en"")"),"There are religious reasons behind this killing. There is a lot of Islamophobia and anti-immigration written there. Those who resisted the Battle of Vienna in 1683, earlier those who defended Jerusalem from the Muslims in 1189, are also mentioned.")</f>
        <v>There are religious reasons behind this killing. There is a lot of Islamophobia and anti-immigration written there. Those who resisted the Battle of Vienna in 1683, earlier those who defended Jerusalem from the Muslims in 1189, are also mentioned.</v>
      </c>
      <c r="F3607" s="1"/>
      <c r="G3607" s="1"/>
      <c r="H3607" s="1"/>
      <c r="I3607" s="1"/>
    </row>
    <row r="3608" spans="1:9" ht="31.2" x14ac:dyDescent="0.3">
      <c r="A3608" s="1" t="s">
        <v>9</v>
      </c>
      <c r="B3608" s="1" t="s">
        <v>9</v>
      </c>
      <c r="C3608" s="10" t="s">
        <v>9</v>
      </c>
      <c r="D3608" s="6" t="s">
        <v>3658</v>
      </c>
      <c r="E3608" s="1" t="str">
        <f ca="1">IFERROR(__xludf.DUMMYFUNCTION("GOOGLETRANSLATE(D3608, ""bn"", ""en"")"),"There are some people on both the Hindu and Muslim sides who feel that they are the exploited and oppressed. Both sides feel that the other side is taking advantage of economic weakness to improve. The propagation of this misconception is also common amon"&amp;"g the common people.")</f>
        <v>There are some people on both the Hindu and Muslim sides who feel that they are the exploited and oppressed. Both sides feel that the other side is taking advantage of economic weakness to improve. The propagation of this misconception is also common among the common people.</v>
      </c>
      <c r="F3608" s="1"/>
      <c r="G3608" s="1"/>
      <c r="H3608" s="1"/>
      <c r="I3608" s="1"/>
    </row>
    <row r="3609" spans="1:9" ht="46.8" x14ac:dyDescent="0.3">
      <c r="A3609" s="1" t="s">
        <v>4</v>
      </c>
      <c r="B3609" s="1" t="s">
        <v>4</v>
      </c>
      <c r="C3609" s="10" t="s">
        <v>4</v>
      </c>
      <c r="D3609" s="6" t="s">
        <v>3657</v>
      </c>
      <c r="E3609" s="1" t="str">
        <f ca="1">IFERROR(__xludf.DUMMYFUNCTION("GOOGLETRANSLATE(D3609, ""bn"", ""en"")"),"Pegida also has branches in the Netherlands. The head of the organization in the country is Edwin Wegenswald. He has been doing various anti-Islamic activities one after another. One of his activities is insulting the Holy Quran. He has tried to insult th"&amp;"e Quran thrice so far with Saturday's incident.")</f>
        <v>Pegida also has branches in the Netherlands. The head of the organization in the country is Edwin Wegenswald. He has been doing various anti-Islamic activities one after another. One of his activities is insulting the Holy Quran. He has tried to insult the Quran thrice so far with Saturday's incident.</v>
      </c>
      <c r="F3609" s="1"/>
      <c r="G3609" s="1"/>
      <c r="H3609" s="1"/>
      <c r="I3609" s="1"/>
    </row>
    <row r="3610" spans="1:9" ht="15.6" x14ac:dyDescent="0.3">
      <c r="A3610" s="1" t="s">
        <v>9</v>
      </c>
      <c r="B3610" s="1" t="s">
        <v>9</v>
      </c>
      <c r="C3610" s="10" t="s">
        <v>9</v>
      </c>
      <c r="D3610" s="5" t="s">
        <v>3231</v>
      </c>
      <c r="E3610" s="1" t="str">
        <f ca="1">IFERROR(__xludf.DUMMYFUNCTION("GOOGLETRANSLATE(D3610, ""bn"", ""en"")"),"A group of people stormed a Gurdwara in Sydney, damaging the shrine and injuring several Sikhs.")</f>
        <v>A group of people stormed a Gurdwara in Sydney, damaging the shrine and injuring several Sikhs.</v>
      </c>
      <c r="F3610" s="1"/>
      <c r="G3610" s="1"/>
      <c r="H3610" s="1"/>
      <c r="I3610" s="1"/>
    </row>
    <row r="3611" spans="1:9" ht="15.6" x14ac:dyDescent="0.3">
      <c r="A3611" s="1" t="s">
        <v>5</v>
      </c>
      <c r="B3611" s="1" t="s">
        <v>5</v>
      </c>
      <c r="C3611" s="10" t="s">
        <v>5</v>
      </c>
      <c r="D3611" s="5" t="s">
        <v>3232</v>
      </c>
      <c r="E3611" s="1" t="str">
        <f ca="1">IFERROR(__xludf.DUMMYFUNCTION("GOOGLETRANSLATE(D3611, ""bn"", ""en"")"),"I don't remember ever seeing us arguing with our Hindu brothers about Puja vs Eid Ramzan. Etlist has never seen anything like this happen in Bangladesh.")</f>
        <v>I don't remember ever seeing us arguing with our Hindu brothers about Puja vs Eid Ramzan. Etlist has never seen anything like this happen in Bangladesh.</v>
      </c>
      <c r="F3611" s="1"/>
      <c r="G3611" s="1"/>
      <c r="H3611" s="1"/>
      <c r="I3611" s="1"/>
    </row>
    <row r="3612" spans="1:9" ht="15.6" x14ac:dyDescent="0.3">
      <c r="A3612" s="1" t="s">
        <v>7</v>
      </c>
      <c r="B3612" s="1" t="s">
        <v>7</v>
      </c>
      <c r="C3612" s="10" t="s">
        <v>7</v>
      </c>
      <c r="D3612" s="5" t="s">
        <v>3233</v>
      </c>
      <c r="E3612" s="1" t="str">
        <f ca="1">IFERROR(__xludf.DUMMYFUNCTION("GOOGLETRANSLATE(D3612, ""bn"", ""en"")"),"1 thousand 678 incidents of vandalism and arson have occurred in idols, pujamandap, temples. ASK says that 862 Hindus were injured in these attacks. 11 people were killed. ")</f>
        <v xml:space="preserve">1 thousand 678 incidents of vandalism and arson have occurred in idols, pujamandap, temples. ASK says that 862 Hindus were injured in these attacks. 11 people were killed. </v>
      </c>
      <c r="F3612" s="1"/>
      <c r="G3612" s="1"/>
      <c r="H3612" s="1"/>
      <c r="I3612" s="1"/>
    </row>
    <row r="3613" spans="1:9" ht="15.6" x14ac:dyDescent="0.3">
      <c r="A3613" s="1" t="s">
        <v>7</v>
      </c>
      <c r="B3613" s="1" t="s">
        <v>7</v>
      </c>
      <c r="C3613" s="10" t="s">
        <v>7</v>
      </c>
      <c r="D3613" s="5" t="s">
        <v>3234</v>
      </c>
      <c r="E3613" s="1" t="str">
        <f ca="1">IFERROR(__xludf.DUMMYFUNCTION("GOOGLETRANSLATE(D3613, ""bn"", ""en"")"),"The Chuknagar massacre was a military massacre committed by the Pakistan Army during the 1971 War of Independence. The massacre took place on May 20, 1971 in Chuknagar of Dumuria upazila of Khulna [1] which is the largest single massacre in the history of"&amp;" any liberation war in the world.")</f>
        <v>The Chuknagar massacre was a military massacre committed by the Pakistan Army during the 1971 War of Independence. The massacre took place on May 20, 1971 in Chuknagar of Dumuria upazila of Khulna [1] which is the largest single massacre in the history of any liberation war in the world.</v>
      </c>
      <c r="F3613" s="1"/>
      <c r="G3613" s="1"/>
      <c r="H3613" s="1"/>
      <c r="I3613" s="1"/>
    </row>
    <row r="3614" spans="1:9" ht="15.6" x14ac:dyDescent="0.3">
      <c r="A3614" s="1" t="s">
        <v>9</v>
      </c>
      <c r="B3614" s="1" t="s">
        <v>5</v>
      </c>
      <c r="C3614" s="10" t="s">
        <v>9</v>
      </c>
      <c r="D3614" s="5" t="s">
        <v>3235</v>
      </c>
      <c r="E3614" s="1" t="str">
        <f ca="1">IFERROR(__xludf.DUMMYFUNCTION("GOOGLETRANSLATE(D3614, ""bn"", ""en"")"),"The Methodist Church of Fiji specifically objected to the constitutional protection of the Hindu community. Fijian Hindus are under great threat from state favoritism to Christianity and systematic attacks on temples. Despite the formation of a Human Righ"&amp;"ts Commission, the plight of Hindus in Fiji continues.")</f>
        <v>The Methodist Church of Fiji specifically objected to the constitutional protection of the Hindu community. Fijian Hindus are under great threat from state favoritism to Christianity and systematic attacks on temples. Despite the formation of a Human Rights Commission, the plight of Hindus in Fiji continues.</v>
      </c>
      <c r="F3614" s="1"/>
      <c r="G3614" s="1"/>
      <c r="H3614" s="1"/>
      <c r="I3614" s="1"/>
    </row>
    <row r="3615" spans="1:9" ht="15.6" x14ac:dyDescent="0.3">
      <c r="A3615" s="1" t="s">
        <v>5</v>
      </c>
      <c r="B3615" s="1" t="s">
        <v>5</v>
      </c>
      <c r="C3615" s="10" t="s">
        <v>5</v>
      </c>
      <c r="D3615" s="5" t="s">
        <v>3236</v>
      </c>
      <c r="E3615" s="1" t="str">
        <f ca="1">IFERROR(__xludf.DUMMYFUNCTION("GOOGLETRANSLATE(D3615, ""bn"", ""en"")"),"At a two-day international conference on Buddhist heritage in 2015, Bangladesh Prime Minister Sheikh Hasina spoke about the development of Buddhist culture and heritage tourism in Bangladesh.")</f>
        <v>At a two-day international conference on Buddhist heritage in 2015, Bangladesh Prime Minister Sheikh Hasina spoke about the development of Buddhist culture and heritage tourism in Bangladesh.</v>
      </c>
      <c r="F3615" s="1"/>
      <c r="G3615" s="1"/>
      <c r="H3615" s="1"/>
      <c r="I3615" s="1"/>
    </row>
    <row r="3616" spans="1:9" ht="15.6" x14ac:dyDescent="0.3">
      <c r="A3616" s="1" t="s">
        <v>5</v>
      </c>
      <c r="B3616" s="1" t="s">
        <v>5</v>
      </c>
      <c r="C3616" s="10" t="s">
        <v>5</v>
      </c>
      <c r="D3616" s="5" t="s">
        <v>3237</v>
      </c>
      <c r="E3616" s="1" t="str">
        <f ca="1">IFERROR(__xludf.DUMMYFUNCTION("GOOGLETRANSLATE(D3616, ""bn"", ""en"")"),"Truth has come and falsehood has disappeared, surely falsehood will disappear.")</f>
        <v>Truth has come and falsehood has disappeared, surely falsehood will disappear.</v>
      </c>
      <c r="F3616" s="1"/>
      <c r="G3616" s="1"/>
      <c r="H3616" s="1"/>
      <c r="I3616" s="1"/>
    </row>
    <row r="3617" spans="1:9" ht="46.8" x14ac:dyDescent="0.3">
      <c r="A3617" s="1" t="s">
        <v>9</v>
      </c>
      <c r="B3617" s="1" t="s">
        <v>9</v>
      </c>
      <c r="C3617" s="10" t="s">
        <v>9</v>
      </c>
      <c r="D3617" s="6" t="s">
        <v>3656</v>
      </c>
      <c r="E3617" s="1" t="str">
        <f ca="1">IFERROR(__xludf.DUMMYFUNCTION("GOOGLETRANSLATE(D3617, ""bn"", ""en"")"),"The Muslims advanced as far as Dhul Ushaira. But the Quraysh caravan passed the place a few days ago. Muslims stay here for a few days of Jamadiul Awal and Jamadiul Akhir. Later, when the Quraysh caravan returned from Syria, the Muslims again advanced to "&amp;"lay siege and the Battle of Badr took place.")</f>
        <v>The Muslims advanced as far as Dhul Ushaira. But the Quraysh caravan passed the place a few days ago. Muslims stay here for a few days of Jamadiul Awal and Jamadiul Akhir. Later, when the Quraysh caravan returned from Syria, the Muslims again advanced to lay siege and the Battle of Badr took place.</v>
      </c>
      <c r="F3617" s="1"/>
      <c r="G3617" s="1"/>
      <c r="H3617" s="1"/>
      <c r="I3617" s="1"/>
    </row>
    <row r="3618" spans="1:9" ht="15.6" x14ac:dyDescent="0.3">
      <c r="A3618" s="1" t="s">
        <v>4</v>
      </c>
      <c r="B3618" s="1" t="s">
        <v>4</v>
      </c>
      <c r="C3618" s="10" t="s">
        <v>4</v>
      </c>
      <c r="D3618" s="5" t="s">
        <v>3238</v>
      </c>
      <c r="E3618" s="1" t="str">
        <f ca="1">IFERROR(__xludf.DUMMYFUNCTION("GOOGLETRANSLATE(D3618, ""bn"", ""en"")"),"North India (FASIM Powerhouse): A Muslim family was harassed with colored powder in public by India's socially-vicious extremist Hindu terrorist. ")</f>
        <v xml:space="preserve">North India (FASIM Powerhouse): A Muslim family was harassed with colored powder in public by India's socially-vicious extremist Hindu terrorist. </v>
      </c>
      <c r="F3618" s="1"/>
      <c r="G3618" s="1"/>
      <c r="H3618" s="1"/>
      <c r="I3618" s="1"/>
    </row>
    <row r="3619" spans="1:9" ht="15.6" x14ac:dyDescent="0.3">
      <c r="A3619" s="1" t="s">
        <v>7</v>
      </c>
      <c r="B3619" s="1" t="s">
        <v>7</v>
      </c>
      <c r="C3619" s="10" t="s">
        <v>7</v>
      </c>
      <c r="D3619" s="5" t="s">
        <v>3239</v>
      </c>
      <c r="E3619" s="1" t="str">
        <f ca="1">IFERROR(__xludf.DUMMYFUNCTION("GOOGLETRANSLATE(D3619, ""bn"", ""en"")"),"The tendency to prioritize religion over humanity has claimed many lives, which is a painful example of history.")</f>
        <v>The tendency to prioritize religion over humanity has claimed many lives, which is a painful example of history.</v>
      </c>
      <c r="F3619" s="1"/>
      <c r="G3619" s="1"/>
      <c r="H3619" s="1"/>
      <c r="I3619" s="1"/>
    </row>
    <row r="3620" spans="1:9" ht="15.6" x14ac:dyDescent="0.3">
      <c r="A3620" s="1" t="s">
        <v>7</v>
      </c>
      <c r="B3620" s="1" t="s">
        <v>7</v>
      </c>
      <c r="C3620" s="10" t="s">
        <v>7</v>
      </c>
      <c r="D3620" s="5" t="s">
        <v>3240</v>
      </c>
      <c r="E3620" s="1" t="str">
        <f ca="1">IFERROR(__xludf.DUMMYFUNCTION("GOOGLETRANSLATE(D3620, ""bn"", ""en"")"),"Many Kashmiri scholars have been killed by Islamist militants in incidents such as the Wandhama massacre and the 2000 Amarnath pilgrimage massacre. [217] [218] [219] Some observers have called the genocide and forced evictions ethnic cleansing. ")</f>
        <v>Many Kashmiri scholars have been killed by Islamist militants in incidents such as the Wandhama massacre and the 2000 Amarnath pilgrimage massacre. [217] [218] [219] Some observers have called the genocide and forced evictions ethnic cleansing. </v>
      </c>
      <c r="F3620" s="1"/>
      <c r="G3620" s="1"/>
      <c r="H3620" s="1"/>
      <c r="I3620" s="1"/>
    </row>
    <row r="3621" spans="1:9" ht="31.2" x14ac:dyDescent="0.3">
      <c r="A3621" s="1" t="s">
        <v>4</v>
      </c>
      <c r="B3621" s="1" t="s">
        <v>4</v>
      </c>
      <c r="C3621" s="10" t="s">
        <v>4</v>
      </c>
      <c r="D3621" s="6" t="s">
        <v>3655</v>
      </c>
      <c r="E3621" s="1" t="str">
        <f ca="1">IFERROR(__xludf.DUMMYFUNCTION("GOOGLETRANSLATE(D3621, ""bn"", ""en"")"),"The Gaza war could herald the beginning of the end. But that is not for Palestine, but for Israel. Just as South Africa's bloody hegemonic apartheid regime fell, Israel may soon fall too.")</f>
        <v>The Gaza war could herald the beginning of the end. But that is not for Palestine, but for Israel. Just as South Africa's bloody hegemonic apartheid regime fell, Israel may soon fall too.</v>
      </c>
      <c r="F3621" s="1"/>
      <c r="G3621" s="1"/>
      <c r="H3621" s="1"/>
      <c r="I3621" s="1"/>
    </row>
    <row r="3622" spans="1:9" ht="15.6" x14ac:dyDescent="0.3">
      <c r="A3622" s="1" t="s">
        <v>7</v>
      </c>
      <c r="B3622" s="1" t="s">
        <v>7</v>
      </c>
      <c r="C3622" s="10" t="s">
        <v>7</v>
      </c>
      <c r="D3622" s="5" t="s">
        <v>3241</v>
      </c>
      <c r="E3622" s="1" t="str">
        <f ca="1">IFERROR(__xludf.DUMMYFUNCTION("GOOGLETRANSLATE(D3622, ""bn"", ""en"")"),"Dr. Taj-ul-Islam Hashmi thinks that Hindu women were raped and converted several times more than the number of Hindus who were killed in the Noakhali Massacre.")</f>
        <v>Dr. Taj-ul-Islam Hashmi thinks that Hindu women were raped and converted several times more than the number of Hindus who were killed in the Noakhali Massacre.</v>
      </c>
      <c r="F3622" s="1"/>
      <c r="G3622" s="1"/>
      <c r="H3622" s="1"/>
      <c r="I3622" s="1"/>
    </row>
    <row r="3623" spans="1:9" ht="15.6" x14ac:dyDescent="0.3">
      <c r="A3623" s="1" t="s">
        <v>7</v>
      </c>
      <c r="B3623" s="1" t="s">
        <v>7</v>
      </c>
      <c r="C3623" s="10" t="s">
        <v>7</v>
      </c>
      <c r="D3623" s="5" t="s">
        <v>3242</v>
      </c>
      <c r="E3623" s="1" t="str">
        <f ca="1">IFERROR(__xludf.DUMMYFUNCTION("GOOGLETRANSLATE(D3623, ""bn"", ""en"")"),"In 2016, extremist groups killed a Hindu priest in Bogra, part of violence against religious minorities.")</f>
        <v>In 2016, extremist groups killed a Hindu priest in Bogra, part of violence against religious minorities.</v>
      </c>
      <c r="F3623" s="1"/>
      <c r="G3623" s="1"/>
      <c r="H3623" s="1"/>
      <c r="I3623" s="1"/>
    </row>
    <row r="3624" spans="1:9" ht="15.6" x14ac:dyDescent="0.3">
      <c r="A3624" s="1" t="s">
        <v>5</v>
      </c>
      <c r="B3624" s="1" t="s">
        <v>5</v>
      </c>
      <c r="C3624" s="10" t="s">
        <v>5</v>
      </c>
      <c r="D3624" s="5" t="s">
        <v>3243</v>
      </c>
      <c r="E3624" s="1" t="str">
        <f ca="1">IFERROR(__xludf.DUMMYFUNCTION("GOOGLETRANSLATE(D3624, ""bn"", ""en"")"),"When Hindus and Muslims live together peacefully, they establish peace, respect and love in their daily lives, which further strengthens the prosperity and unity of their society.")</f>
        <v>When Hindus and Muslims live together peacefully, they establish peace, respect and love in their daily lives, which further strengthens the prosperity and unity of their society.</v>
      </c>
      <c r="F3624" s="1"/>
      <c r="G3624" s="1"/>
      <c r="H3624" s="1"/>
      <c r="I3624" s="1"/>
    </row>
    <row r="3625" spans="1:9" ht="15.6" x14ac:dyDescent="0.3">
      <c r="A3625" s="1" t="s">
        <v>5</v>
      </c>
      <c r="B3625" s="1" t="s">
        <v>5</v>
      </c>
      <c r="C3625" s="10" t="s">
        <v>5</v>
      </c>
      <c r="D3625" s="5" t="s">
        <v>3244</v>
      </c>
      <c r="E3625" s="1" t="str">
        <f ca="1">IFERROR(__xludf.DUMMYFUNCTION("GOOGLETRANSLATE(D3625, ""bn"", ""en"")"),"My hopes of many years were fulfilled in one day, seeing your bright face, and how many times I saw you in my dreams. First I got the invitation of your love and I see you mostly during Ramadan and Rabiul Awal month and Miladun Nabi.")</f>
        <v>My hopes of many years were fulfilled in one day, seeing your bright face, and how many times I saw you in my dreams. First I got the invitation of your love and I see you mostly during Ramadan and Rabiul Awal month and Miladun Nabi.</v>
      </c>
      <c r="F3625" s="1"/>
      <c r="G3625" s="1"/>
      <c r="H3625" s="1"/>
      <c r="I3625" s="1"/>
    </row>
    <row r="3626" spans="1:9" ht="46.8" x14ac:dyDescent="0.3">
      <c r="A3626" s="1" t="s">
        <v>9</v>
      </c>
      <c r="B3626" s="1" t="s">
        <v>9</v>
      </c>
      <c r="C3626" s="10" t="s">
        <v>9</v>
      </c>
      <c r="D3626" s="6" t="s">
        <v>3654</v>
      </c>
      <c r="E3626" s="1" t="str">
        <f ca="1">IFERROR(__xludf.DUMMYFUNCTION("GOOGLETRANSLATE(D3626, ""bn"", ""en"")"),"The Rajakars also entered the village and started firing and looting the village. They went from house to house and looted cash and gold ornaments from the villagers at gunpoint. Instigated by the Razakars, Pakistani soldiers set fire to the entire villag"&amp;"e. Then they made 130 people stand in a circle in front of Kamalamii High School.")</f>
        <v>The Rajakars also entered the village and started firing and looting the village. They went from house to house and looted cash and gold ornaments from the villagers at gunpoint. Instigated by the Razakars, Pakistani soldiers set fire to the entire village. Then they made 130 people stand in a circle in front of Kamalamii High School.</v>
      </c>
      <c r="F3626" s="1"/>
      <c r="G3626" s="1"/>
      <c r="H3626" s="1"/>
      <c r="I3626" s="1"/>
    </row>
    <row r="3627" spans="1:9" ht="15.6" x14ac:dyDescent="0.3">
      <c r="A3627" s="1" t="s">
        <v>4</v>
      </c>
      <c r="B3627" s="1" t="s">
        <v>4</v>
      </c>
      <c r="C3627" s="10" t="s">
        <v>4</v>
      </c>
      <c r="D3627" s="5" t="s">
        <v>3245</v>
      </c>
      <c r="E3627" s="1" t="str">
        <f ca="1">IFERROR(__xludf.DUMMYFUNCTION("GOOGLETRANSLATE(D3627, ""bn"", ""en"")"),"The High Court has given an opinion that an accused has been granted bail through a bank guarantee of Tk.")</f>
        <v>The High Court has given an opinion that an accused has been granted bail through a bank guarantee of Tk.</v>
      </c>
      <c r="F3627" s="1"/>
      <c r="G3627" s="1"/>
      <c r="H3627" s="1"/>
      <c r="I3627" s="1"/>
    </row>
    <row r="3628" spans="1:9" ht="15.6" x14ac:dyDescent="0.3">
      <c r="A3628" s="1" t="s">
        <v>5</v>
      </c>
      <c r="B3628" s="1" t="s">
        <v>5</v>
      </c>
      <c r="C3628" s="10" t="s">
        <v>5</v>
      </c>
      <c r="D3628" s="5" t="s">
        <v>3246</v>
      </c>
      <c r="E3628" s="1" t="str">
        <f ca="1">IFERROR(__xludf.DUMMYFUNCTION("GOOGLETRANSLATE(D3628, ""bn"", ""en"")"),"Religion teaches man to realize the futility of the world, which helps him attain peace and comfort in the thought of the afterlife and encourages him to lead a normal life.")</f>
        <v>Religion teaches man to realize the futility of the world, which helps him attain peace and comfort in the thought of the afterlife and encourages him to lead a normal life.</v>
      </c>
      <c r="F3628" s="1"/>
      <c r="G3628" s="1"/>
      <c r="H3628" s="1"/>
      <c r="I3628" s="1"/>
    </row>
    <row r="3629" spans="1:9" ht="15.6" x14ac:dyDescent="0.3">
      <c r="A3629" s="1" t="s">
        <v>9</v>
      </c>
      <c r="B3629" s="1" t="s">
        <v>9</v>
      </c>
      <c r="C3629" s="10" t="s">
        <v>9</v>
      </c>
      <c r="D3629" s="5" t="s">
        <v>3247</v>
      </c>
      <c r="E3629" s="1" t="str">
        <f ca="1">IFERROR(__xludf.DUMMYFUNCTION("GOOGLETRANSLATE(D3629, ""bn"", ""en"")"),"Some windows of the embassy were smashed by Bangladeshi protesters in Colombo, Sri Lanka before the police arrived, the police arrived and dispersed the protesters.")</f>
        <v>Some windows of the embassy were smashed by Bangladeshi protesters in Colombo, Sri Lanka before the police arrived, the police arrived and dispersed the protesters.</v>
      </c>
      <c r="F3629" s="1"/>
      <c r="G3629" s="1"/>
      <c r="H3629" s="1"/>
      <c r="I3629" s="1"/>
    </row>
    <row r="3630" spans="1:9" ht="15.6" x14ac:dyDescent="0.3">
      <c r="A3630" s="1" t="s">
        <v>7</v>
      </c>
      <c r="B3630" s="1" t="s">
        <v>7</v>
      </c>
      <c r="C3630" s="10" t="s">
        <v>7</v>
      </c>
      <c r="D3630" s="5" t="s">
        <v>3248</v>
      </c>
      <c r="E3630" s="1" t="str">
        <f ca="1">IFERROR(__xludf.DUMMYFUNCTION("GOOGLETRANSLATE(D3630, ""bn"", ""en"")"),"Referring to the consequences of suicide in Hadith Sharif, Nabi Karim (SAW) said, There was a man among the people before you, he was injured and began to stagger. In this situation, he cut his own hand with a knife and caused profuse bleeding. He died in"&amp;" this")</f>
        <v>Referring to the consequences of suicide in Hadith Sharif, Nabi Karim (SAW) said, There was a man among the people before you, he was injured and began to stagger. In this situation, he cut his own hand with a knife and caused profuse bleeding. He died in this</v>
      </c>
      <c r="F3630" s="1"/>
      <c r="G3630" s="1"/>
      <c r="H3630" s="1"/>
      <c r="I3630" s="1"/>
    </row>
    <row r="3631" spans="1:9" ht="46.8" x14ac:dyDescent="0.3">
      <c r="A3631" s="1" t="s">
        <v>9</v>
      </c>
      <c r="B3631" s="1" t="s">
        <v>9</v>
      </c>
      <c r="C3631" s="10" t="s">
        <v>9</v>
      </c>
      <c r="D3631" s="6" t="s">
        <v>3653</v>
      </c>
      <c r="E3631" s="1" t="str">
        <f ca="1">IFERROR(__xludf.DUMMYFUNCTION("GOOGLETRANSLATE(D3631, ""bn"", ""en"")"),"On the morning of 31 October, a group of around 100 Muslim mobs broke curfew and attacked a Hindu temple and desecrated it.[8] On 2 November, the curfew was slightly relaxed for Friday prayers. But on this occasion, a group of around 500 Muslims attacked "&amp;"a temple in the suburbs armed with knives, rams, sticks, iron rods and homemade bombs.")</f>
        <v>On the morning of 31 October, a group of around 100 Muslim mobs broke curfew and attacked a Hindu temple and desecrated it.[8] On 2 November, the curfew was slightly relaxed for Friday prayers. But on this occasion, a group of around 500 Muslims attacked a temple in the suburbs armed with knives, rams, sticks, iron rods and homemade bombs.</v>
      </c>
      <c r="F3631" s="1"/>
      <c r="G3631" s="1"/>
      <c r="H3631" s="1"/>
      <c r="I3631" s="1"/>
    </row>
    <row r="3632" spans="1:9" ht="46.8" x14ac:dyDescent="0.3">
      <c r="A3632" s="1" t="s">
        <v>4</v>
      </c>
      <c r="B3632" s="1" t="s">
        <v>5</v>
      </c>
      <c r="C3632" s="10" t="s">
        <v>4</v>
      </c>
      <c r="D3632" s="6" t="s">
        <v>3652</v>
      </c>
      <c r="E3632" s="1" t="str">
        <f ca="1">IFERROR(__xludf.DUMMYFUNCTION("GOOGLETRANSLATE(D3632, ""bn"", ""en"")"),"A report published in West Bengal's influential Bengali daily Anandabazar said, ""Due to the derogatory comments made by BJP spokespersons regarding the Prophet, Modi's government has come under fire from Pakistan, Afghanistan and various countries in Wes"&amp;"t Asia and Islamic organizations and Muslim-majority countries, with the exception of neighboring Bangladesh.""")</f>
        <v>A report published in West Bengal's influential Bengali daily Anandabazar said, "Due to the derogatory comments made by BJP spokespersons regarding the Prophet, Modi's government has come under fire from Pakistan, Afghanistan and various countries in West Asia and Islamic organizations and Muslim-majority countries, with the exception of neighboring Bangladesh."</v>
      </c>
      <c r="F3632" s="1"/>
      <c r="G3632" s="1"/>
      <c r="H3632" s="1"/>
      <c r="I3632" s="1"/>
    </row>
    <row r="3633" spans="1:9" ht="15.6" x14ac:dyDescent="0.3">
      <c r="A3633" s="1" t="s">
        <v>5</v>
      </c>
      <c r="B3633" s="1" t="s">
        <v>5</v>
      </c>
      <c r="C3633" s="10" t="s">
        <v>5</v>
      </c>
      <c r="D3633" s="5" t="s">
        <v>3249</v>
      </c>
      <c r="E3633" s="1" t="str">
        <f ca="1">IFERROR(__xludf.DUMMYFUNCTION("GOOGLETRANSLATE(D3633, ""bn"", ""en"")"),"Religion teaches respect to all religions. Whoever goes against it will be punished! And standing against it as a Muslim is the biggest responsibility of our life.")</f>
        <v>Religion teaches respect to all religions. Whoever goes against it will be punished! And standing against it as a Muslim is the biggest responsibility of our life.</v>
      </c>
      <c r="F3633" s="1"/>
      <c r="G3633" s="1"/>
      <c r="H3633" s="1"/>
      <c r="I3633" s="1"/>
    </row>
    <row r="3634" spans="1:9" ht="15.6" x14ac:dyDescent="0.3">
      <c r="A3634" s="1" t="s">
        <v>9</v>
      </c>
      <c r="B3634" s="1" t="s">
        <v>4</v>
      </c>
      <c r="C3634" s="10" t="s">
        <v>9</v>
      </c>
      <c r="D3634" s="5" t="s">
        <v>3250</v>
      </c>
      <c r="E3634" s="1" t="str">
        <f ca="1">IFERROR(__xludf.DUMMYFUNCTION("GOOGLETRANSLATE(D3634, ""bn"", ""en"")"),"The attack took place in Ramur, but the Hindu community was attacked here. The complaint is the same old one - anti-Islamic pictures on Facebook.")</f>
        <v>The attack took place in Ramur, but the Hindu community was attacked here. The complaint is the same old one - anti-Islamic pictures on Facebook.</v>
      </c>
      <c r="F3634" s="1"/>
      <c r="G3634" s="1"/>
      <c r="H3634" s="1"/>
      <c r="I3634" s="1"/>
    </row>
    <row r="3635" spans="1:9" ht="46.8" x14ac:dyDescent="0.3">
      <c r="A3635" s="1" t="s">
        <v>7</v>
      </c>
      <c r="B3635" s="1" t="s">
        <v>7</v>
      </c>
      <c r="C3635" s="10" t="s">
        <v>7</v>
      </c>
      <c r="D3635" s="6" t="s">
        <v>3651</v>
      </c>
      <c r="E3635" s="1" t="str">
        <f ca="1">IFERROR(__xludf.DUMMYFUNCTION("GOOGLETRANSLATE(D3635, ""bn"", ""en"")"),"The Gava Narerkathi massacre was a premeditated massacre of Bengali Hindus in the village of Gava Narerkathi in Barisal on 2 May during the 1971 Bangladesh War of Independence by the Pakistani army and its local ally Rajakar Kartrik. [1][2][3][4] Accordin"&amp;"g to various sources, Pakistani forces and the Rajakars 95-100 Bengali Hindus were killed.")</f>
        <v>The Gava Narerkathi massacre was a premeditated massacre of Bengali Hindus in the village of Gava Narerkathi in Barisal on 2 May during the 1971 Bangladesh War of Independence by the Pakistani army and its local ally Rajakar Kartrik. [1][2][3][4] According to various sources, Pakistani forces and the Rajakars 95-100 Bengali Hindus were killed.</v>
      </c>
      <c r="F3635" s="1"/>
      <c r="G3635" s="1"/>
      <c r="H3635" s="1"/>
      <c r="I3635" s="1"/>
    </row>
    <row r="3636" spans="1:9" ht="15.6" x14ac:dyDescent="0.3">
      <c r="A3636" s="1" t="s">
        <v>4</v>
      </c>
      <c r="B3636" s="1" t="s">
        <v>4</v>
      </c>
      <c r="C3636" s="10" t="s">
        <v>4</v>
      </c>
      <c r="D3636" s="5" t="s">
        <v>3251</v>
      </c>
      <c r="E3636" s="1" t="str">
        <f ca="1">IFERROR(__xludf.DUMMYFUNCTION("GOOGLETRANSLATE(D3636, ""bn"", ""en"")"),"At least I can't have the same double standard as other secularists. Therefore, one should carry his ideology with pride without ever stepping into the trap of secularists.")</f>
        <v>At least I can't have the same double standard as other secularists. Therefore, one should carry his ideology with pride without ever stepping into the trap of secularists.</v>
      </c>
      <c r="F3636" s="1"/>
      <c r="G3636" s="1"/>
      <c r="H3636" s="1"/>
      <c r="I3636" s="1"/>
    </row>
    <row r="3637" spans="1:9" ht="15.6" x14ac:dyDescent="0.3">
      <c r="A3637" s="1" t="s">
        <v>4</v>
      </c>
      <c r="B3637" s="1" t="s">
        <v>4</v>
      </c>
      <c r="C3637" s="10" t="s">
        <v>4</v>
      </c>
      <c r="D3637" s="5" t="s">
        <v>3252</v>
      </c>
      <c r="E3637" s="1" t="str">
        <f ca="1">IFERROR(__xludf.DUMMYFUNCTION("GOOGLETRANSLATE(D3637, ""bn"", ""en"")"),"Those who are busy spreading propaganda against us in a very well-planned manner, are busy ruining our public image. ")</f>
        <v xml:space="preserve">Those who are busy spreading propaganda against us in a very well-planned manner, are busy ruining our public image. </v>
      </c>
      <c r="F3637" s="1"/>
      <c r="G3637" s="1"/>
      <c r="H3637" s="1"/>
      <c r="I3637" s="1"/>
    </row>
    <row r="3638" spans="1:9" ht="15.6" x14ac:dyDescent="0.3">
      <c r="A3638" s="1" t="s">
        <v>5</v>
      </c>
      <c r="B3638" s="1" t="s">
        <v>5</v>
      </c>
      <c r="C3638" s="10" t="s">
        <v>5</v>
      </c>
      <c r="D3638" s="5" t="s">
        <v>3253</v>
      </c>
      <c r="E3638" s="1" t="str">
        <f ca="1">IFERROR(__xludf.DUMMYFUNCTION("GOOGLETRANSLATE(D3638, ""bn"", ""en"")"),"The main religious texts of the world talk about the monotheistic creator. And it is also said that Prophet Muhammad (pbuh) will come as the last prophet. ")</f>
        <v xml:space="preserve">The main religious texts of the world talk about the monotheistic creator. And it is also said that Prophet Muhammad (pbuh) will come as the last prophet. </v>
      </c>
      <c r="F3638" s="1"/>
      <c r="G3638" s="1"/>
      <c r="H3638" s="1"/>
      <c r="I3638" s="1"/>
    </row>
    <row r="3639" spans="1:9" ht="15.6" x14ac:dyDescent="0.3">
      <c r="A3639" s="1" t="s">
        <v>9</v>
      </c>
      <c r="B3639" s="1" t="s">
        <v>9</v>
      </c>
      <c r="C3639" s="10" t="s">
        <v>9</v>
      </c>
      <c r="D3639" s="5" t="s">
        <v>3254</v>
      </c>
      <c r="E3639" s="1" t="str">
        <f ca="1">IFERROR(__xludf.DUMMYFUNCTION("GOOGLETRANSLATE(D3639, ""bn"", ""en"")"),"The SAARC four-nation cricket tournament could not be completed. On December 7, during a match between Bangladesh and India, a mob of about 5,000 Muslims attacked the Dhaka National Stadium (present-day Bangabandhu National Stadium) with iron rods, bamboo"&amp;" sticks, knives, ram da.[")</f>
        <v>The SAARC four-nation cricket tournament could not be completed. On December 7, during a match between Bangladesh and India, a mob of about 5,000 Muslims attacked the Dhaka National Stadium (present-day Bangabandhu National Stadium) with iron rods, bamboo sticks, knives, ram da.[</v>
      </c>
      <c r="F3639" s="1"/>
      <c r="G3639" s="1"/>
      <c r="H3639" s="1"/>
      <c r="I3639" s="1"/>
    </row>
    <row r="3640" spans="1:9" ht="15.6" x14ac:dyDescent="0.3">
      <c r="A3640" s="1" t="s">
        <v>7</v>
      </c>
      <c r="B3640" s="1" t="s">
        <v>7</v>
      </c>
      <c r="C3640" s="10" t="s">
        <v>7</v>
      </c>
      <c r="D3640" s="5" t="s">
        <v>3255</v>
      </c>
      <c r="E3640" s="1" t="str">
        <f ca="1">IFERROR(__xludf.DUMMYFUNCTION("GOOGLETRANSLATE(D3640, ""bn"", ""en"")"),"Phenyl is enough to kill germs and Israel is enough to kill jihadis.")</f>
        <v>Phenyl is enough to kill germs and Israel is enough to kill jihadis.</v>
      </c>
      <c r="F3640" s="1"/>
      <c r="G3640" s="1"/>
      <c r="H3640" s="1"/>
      <c r="I3640" s="1"/>
    </row>
    <row r="3641" spans="1:9" ht="15.6" x14ac:dyDescent="0.3">
      <c r="A3641" s="1" t="s">
        <v>7</v>
      </c>
      <c r="B3641" s="1" t="s">
        <v>7</v>
      </c>
      <c r="C3641" s="10" t="s">
        <v>7</v>
      </c>
      <c r="D3641" s="5" t="s">
        <v>3256</v>
      </c>
      <c r="E3641" s="1" t="str">
        <f ca="1">IFERROR(__xludf.DUMMYFUNCTION("GOOGLETRANSLATE(D3641, ""bn"", ""en"")"),"Police in Lalmonirhat say that 5 people have been arrested in connection with the beating and burning of a person named Shahidun Nabi Jewel in Patgram.")</f>
        <v>Police in Lalmonirhat say that 5 people have been arrested in connection with the beating and burning of a person named Shahidun Nabi Jewel in Patgram.</v>
      </c>
      <c r="F3641" s="1"/>
      <c r="G3641" s="1"/>
      <c r="H3641" s="1"/>
      <c r="I3641" s="1"/>
    </row>
    <row r="3642" spans="1:9" ht="15.6" x14ac:dyDescent="0.3">
      <c r="A3642" s="1" t="s">
        <v>4</v>
      </c>
      <c r="B3642" s="1" t="s">
        <v>5</v>
      </c>
      <c r="C3642" s="10" t="s">
        <v>4</v>
      </c>
      <c r="D3642" s="5" t="s">
        <v>3257</v>
      </c>
      <c r="E3642" s="1" t="str">
        <f ca="1">IFERROR(__xludf.DUMMYFUNCTION("GOOGLETRANSLATE(D3642, ""bn"", ""en"")"),"The government could suppress this fanatical group if it wanted to. But does the government think about the Hindus of Bangladesh at all? Their vote has no value to the government, so maybe the government is not taking any action today.'")</f>
        <v>The government could suppress this fanatical group if it wanted to. But does the government think about the Hindus of Bangladesh at all? Their vote has no value to the government, so maybe the government is not taking any action today.'</v>
      </c>
      <c r="F3642" s="1"/>
      <c r="G3642" s="1"/>
      <c r="H3642" s="1"/>
      <c r="I3642" s="1"/>
    </row>
    <row r="3643" spans="1:9" ht="15.6" x14ac:dyDescent="0.3">
      <c r="A3643" s="1" t="s">
        <v>4</v>
      </c>
      <c r="B3643" s="1" t="s">
        <v>4</v>
      </c>
      <c r="C3643" s="10" t="s">
        <v>4</v>
      </c>
      <c r="D3643" s="5" t="s">
        <v>3258</v>
      </c>
      <c r="E3643" s="1" t="str">
        <f ca="1">IFERROR(__xludf.DUMMYFUNCTION("GOOGLETRANSLATE(D3643, ""bn"", ""en"")"),"Amir Syed Rezaul Karim told BBC Bangla that President Macron should apologize unconditionally to Muslims for his comments, and the Bangladesh government should bring a proposal to the parliament to condemn France.")</f>
        <v>Amir Syed Rezaul Karim told BBC Bangla that President Macron should apologize unconditionally to Muslims for his comments, and the Bangladesh government should bring a proposal to the parliament to condemn France.</v>
      </c>
      <c r="F3643" s="1"/>
      <c r="G3643" s="1"/>
      <c r="H3643" s="1"/>
      <c r="I3643" s="1"/>
    </row>
    <row r="3644" spans="1:9" ht="15.6" x14ac:dyDescent="0.3">
      <c r="A3644" s="1" t="s">
        <v>7</v>
      </c>
      <c r="B3644" s="1" t="s">
        <v>7</v>
      </c>
      <c r="C3644" s="10" t="s">
        <v>7</v>
      </c>
      <c r="D3644" s="5" t="s">
        <v>3259</v>
      </c>
      <c r="E3644" s="1" t="str">
        <f ca="1">IFERROR(__xludf.DUMMYFUNCTION("GOOGLETRANSLATE(D3644, ""bn"", ""en"")"),"More than 40 Muslims were killed by police and extremists in Meerut, Uttar Pradesh, in one of the most brutal incidents in Indian history.")</f>
        <v>More than 40 Muslims were killed by police and extremists in Meerut, Uttar Pradesh, in one of the most brutal incidents in Indian history.</v>
      </c>
      <c r="F3644" s="1"/>
      <c r="G3644" s="1"/>
      <c r="H3644" s="1"/>
      <c r="I3644" s="1"/>
    </row>
    <row r="3645" spans="1:9" ht="15.6" x14ac:dyDescent="0.3">
      <c r="A3645" s="1" t="s">
        <v>7</v>
      </c>
      <c r="B3645" s="1" t="s">
        <v>7</v>
      </c>
      <c r="C3645" s="10" t="s">
        <v>7</v>
      </c>
      <c r="D3645" s="5" t="s">
        <v>3260</v>
      </c>
      <c r="E3645" s="1" t="str">
        <f ca="1">IFERROR(__xludf.DUMMYFUNCTION("GOOGLETRANSLATE(D3645, ""bn"", ""en"")"),"IS and Taliban have carried out a series of attacks on Shia Hazara Muslims, killing many people.")</f>
        <v>IS and Taliban have carried out a series of attacks on Shia Hazara Muslims, killing many people.</v>
      </c>
      <c r="F3645" s="1"/>
      <c r="G3645" s="1"/>
      <c r="H3645" s="1"/>
      <c r="I3645" s="1"/>
    </row>
    <row r="3646" spans="1:9" ht="15.6" x14ac:dyDescent="0.3">
      <c r="A3646" s="1" t="s">
        <v>7</v>
      </c>
      <c r="B3646" s="1" t="s">
        <v>7</v>
      </c>
      <c r="C3646" s="10" t="s">
        <v>7</v>
      </c>
      <c r="D3646" s="5" t="s">
        <v>3261</v>
      </c>
      <c r="E3646" s="1" t="str">
        <f ca="1">IFERROR(__xludf.DUMMYFUNCTION("GOOGLETRANSLATE(D3646, ""bn"", ""en"")"),"The rise of Sheikh Mujibur Rahman's Awami League party in the Pakistani elections in December 1970 marked the beginning of the rise of Bangladesh. As a result, the Pakistani army massacred Hindus in East Pakistan and Bangladesh.")</f>
        <v>The rise of Sheikh Mujibur Rahman's Awami League party in the Pakistani elections in December 1970 marked the beginning of the rise of Bangladesh. As a result, the Pakistani army massacred Hindus in East Pakistan and Bangladesh.</v>
      </c>
      <c r="F3646" s="1"/>
      <c r="G3646" s="1"/>
      <c r="H3646" s="1"/>
      <c r="I3646" s="1"/>
    </row>
    <row r="3647" spans="1:9" ht="15.6" x14ac:dyDescent="0.3">
      <c r="A3647" s="1" t="s">
        <v>4</v>
      </c>
      <c r="B3647" s="1" t="s">
        <v>5</v>
      </c>
      <c r="C3647" s="10" t="s">
        <v>4</v>
      </c>
      <c r="D3647" s="5" t="s">
        <v>3262</v>
      </c>
      <c r="E3647" s="1" t="str">
        <f ca="1">IFERROR(__xludf.DUMMYFUNCTION("GOOGLETRANSLATE(D3647, ""bn"", ""en"")"),"Although various Satanic dramas and movies portray the practice of black mass or wearing black clothing as evil, these Satan worshipers admit that none of them believe in Satan as a spiritual being.")</f>
        <v>Although various Satanic dramas and movies portray the practice of black mass or wearing black clothing as evil, these Satan worshipers admit that none of them believe in Satan as a spiritual being.</v>
      </c>
      <c r="F3647" s="1"/>
      <c r="G3647" s="1"/>
      <c r="H3647" s="1"/>
      <c r="I3647" s="1"/>
    </row>
    <row r="3648" spans="1:9" ht="15.6" x14ac:dyDescent="0.3">
      <c r="A3648" s="1" t="s">
        <v>9</v>
      </c>
      <c r="B3648" s="1" t="s">
        <v>9</v>
      </c>
      <c r="C3648" s="10" t="s">
        <v>9</v>
      </c>
      <c r="D3648" s="5" t="s">
        <v>3221</v>
      </c>
      <c r="E3648" s="1" t="str">
        <f ca="1">IFERROR(__xludf.DUMMYFUNCTION("GOOGLETRANSLATE(D3648, ""bn"", ""en"")"),"Raj Rajeshwari Kalibari Temple was also attacked. Dilip Kumar Das was injured by a brick. First he was taken to Comilla Medical College Hospital. Later he was taken to Dhaka Medical College Hospital as his condition worsened. He died there on 21 October.")</f>
        <v>Raj Rajeshwari Kalibari Temple was also attacked. Dilip Kumar Das was injured by a brick. First he was taken to Comilla Medical College Hospital. Later he was taken to Dhaka Medical College Hospital as his condition worsened. He died there on 21 October.</v>
      </c>
      <c r="F3648" s="1"/>
      <c r="G3648" s="1"/>
      <c r="H3648" s="1"/>
      <c r="I3648" s="1"/>
    </row>
    <row r="3649" spans="1:9" ht="15.6" x14ac:dyDescent="0.3">
      <c r="A3649" s="1" t="s">
        <v>5</v>
      </c>
      <c r="B3649" s="1" t="s">
        <v>5</v>
      </c>
      <c r="C3649" s="10" t="s">
        <v>5</v>
      </c>
      <c r="D3649" s="5" t="s">
        <v>3263</v>
      </c>
      <c r="E3649" s="1" t="str">
        <f ca="1">IFERROR(__xludf.DUMMYFUNCTION("GOOGLETRANSLATE(D3649, ""bn"", ""en"")")," From morning, there is a buzz of making bahari pitha, puli, pies from neighborhood to neighborhood. Apart from this, the main attraction of the Wagyoi Poye festival is the Mangal Rath Yatra. ")</f>
        <v> From morning, there is a buzz of making bahari pitha, puli, pies from neighborhood to neighborhood. Apart from this, the main attraction of the Wagyoi Poye festival is the Mangal Rath Yatra. </v>
      </c>
      <c r="F3649" s="1"/>
      <c r="G3649" s="1"/>
      <c r="H3649" s="1"/>
      <c r="I3649" s="1"/>
    </row>
    <row r="3650" spans="1:9" ht="31.2" x14ac:dyDescent="0.3">
      <c r="A3650" s="1" t="s">
        <v>7</v>
      </c>
      <c r="B3650" s="1" t="s">
        <v>7</v>
      </c>
      <c r="C3650" s="10" t="s">
        <v>7</v>
      </c>
      <c r="D3650" s="6" t="s">
        <v>3650</v>
      </c>
      <c r="E3650" s="1" t="str">
        <f ca="1">IFERROR(__xludf.DUMMYFUNCTION("GOOGLETRANSLATE(D3650, ""bn"", ""en"")"),"When the appointed time of death comes, no ruler of the world can escape from it even if he wants to. Allah Ta'ala has clearly said in the Holy Qur'an, 'No matter where you are, death will overtake you; Although you stay in a high and strong fort. ")</f>
        <v>When the appointed time of death comes, no ruler of the world can escape from it even if he wants to. Allah Ta'ala has clearly said in the Holy Qur'an, 'No matter where you are, death will overtake you; Although you stay in a high and strong fort. </v>
      </c>
      <c r="F3650" s="1"/>
      <c r="G3650" s="1"/>
      <c r="H3650" s="1"/>
      <c r="I3650" s="1"/>
    </row>
    <row r="3651" spans="1:9" ht="31.2" x14ac:dyDescent="0.3">
      <c r="A3651" s="1" t="s">
        <v>9</v>
      </c>
      <c r="B3651" s="1" t="s">
        <v>9</v>
      </c>
      <c r="C3651" s="10" t="s">
        <v>9</v>
      </c>
      <c r="D3651" s="6" t="s">
        <v>3649</v>
      </c>
      <c r="E3651" s="1" t="str">
        <f ca="1">IFERROR(__xludf.DUMMYFUNCTION("GOOGLETRANSLATE(D3651, ""bn"", ""en"")"),"Jeevan Krishna Chandra Chakraborty, the priest of West Kaludanga Brahmanpara Durga Temple, said that around 10:30 p.m., around 1,000 to 1,200 people attacked and set fire to the temple. It destroys everything including idols.")</f>
        <v>Jeevan Krishna Chandra Chakraborty, the priest of West Kaludanga Brahmanpara Durga Temple, said that around 10:30 p.m., around 1,000 to 1,200 people attacked and set fire to the temple. It destroys everything including idols.</v>
      </c>
      <c r="F3651" s="1"/>
      <c r="G3651" s="1"/>
      <c r="H3651" s="1"/>
      <c r="I3651" s="1"/>
    </row>
    <row r="3652" spans="1:9" ht="62.4" x14ac:dyDescent="0.3">
      <c r="A3652" s="1" t="s">
        <v>7</v>
      </c>
      <c r="B3652" s="1" t="s">
        <v>7</v>
      </c>
      <c r="C3652" s="10" t="s">
        <v>7</v>
      </c>
      <c r="D3652" s="6" t="s">
        <v>3648</v>
      </c>
      <c r="E3652" s="1" t="str">
        <f ca="1">IFERROR(__xludf.DUMMYFUNCTION("GOOGLETRANSLATE(D3652, ""bn"", ""en"")"),"On 28 February 2013, the International Criminal Tribunal sentenced Jamaat-e-Islami vice-president Delawar Hossain Saeedi to death for war crimes committed during the 1971 Bangladesh Liberation War. After this sentence, activists of Jamaat-e-Islami and its"&amp;" student organization Islami Chhatra Shibir attacked Hindus in different parts of the country. Hindu property was looted, Hindu houses were burnt to ashes and Hindu temples were vandalized and set on fire.")</f>
        <v>On 28 February 2013, the International Criminal Tribunal sentenced Jamaat-e-Islami vice-president Delawar Hossain Saeedi to death for war crimes committed during the 1971 Bangladesh Liberation War. After this sentence, activists of Jamaat-e-Islami and its student organization Islami Chhatra Shibir attacked Hindus in different parts of the country. Hindu property was looted, Hindu houses were burnt to ashes and Hindu temples were vandalized and set on fire.</v>
      </c>
      <c r="F3652" s="1"/>
      <c r="G3652" s="1"/>
      <c r="H3652" s="1"/>
      <c r="I3652" s="1"/>
    </row>
    <row r="3653" spans="1:9" ht="15.6" x14ac:dyDescent="0.3">
      <c r="A3653" s="1" t="s">
        <v>4</v>
      </c>
      <c r="B3653" s="1" t="s">
        <v>5</v>
      </c>
      <c r="C3653" s="10" t="s">
        <v>4</v>
      </c>
      <c r="D3653" s="5" t="s">
        <v>3264</v>
      </c>
      <c r="E3653" s="1" t="str">
        <f ca="1">IFERROR(__xludf.DUMMYFUNCTION("GOOGLETRANSLATE(D3653, ""bn"", ""en"")"),"People today are ignorant of the Qur'an because of the deeds of these religious merchants. There is no news of obeying the Koran, I will give my life for the Koran.")</f>
        <v>People today are ignorant of the Qur'an because of the deeds of these religious merchants. There is no news of obeying the Koran, I will give my life for the Koran.</v>
      </c>
      <c r="F3653" s="1"/>
      <c r="G3653" s="1"/>
      <c r="H3653" s="1"/>
      <c r="I3653" s="1"/>
    </row>
    <row r="3654" spans="1:9" ht="46.8" x14ac:dyDescent="0.3">
      <c r="A3654" s="1" t="s">
        <v>9</v>
      </c>
      <c r="B3654" s="1" t="s">
        <v>9</v>
      </c>
      <c r="C3654" s="10" t="s">
        <v>9</v>
      </c>
      <c r="D3654" s="6" t="s">
        <v>3647</v>
      </c>
      <c r="E3654" s="1" t="str">
        <f ca="1">IFERROR(__xludf.DUMMYFUNCTION("GOOGLETRANSLATE(D3654, ""bn"", ""en"")"),"On October 10, when the Durga idol was being transported in a truck in Firingabazar area of ​​Kotwali police station in Chittagong, a grapefruit was thrown from a fruit stand located there, as a result of which one of the arms of the Durga idol was broken"&amp;". Police told the media that if there is a protest in Chittagong, they will investigate whether the incident was intentional or an accident.")</f>
        <v>On October 10, when the Durga idol was being transported in a truck in Firingabazar area of ​​Kotwali police station in Chittagong, a grapefruit was thrown from a fruit stand located there, as a result of which one of the arms of the Durga idol was broken. Police told the media that if there is a protest in Chittagong, they will investigate whether the incident was intentional or an accident.</v>
      </c>
      <c r="F3654" s="1"/>
      <c r="G3654" s="1"/>
      <c r="H3654" s="1"/>
      <c r="I3654" s="1"/>
    </row>
    <row r="3655" spans="1:9" ht="15.6" x14ac:dyDescent="0.3">
      <c r="A3655" s="1" t="s">
        <v>5</v>
      </c>
      <c r="B3655" s="1" t="s">
        <v>5</v>
      </c>
      <c r="C3655" s="10" t="s">
        <v>5</v>
      </c>
      <c r="D3655" s="5" t="s">
        <v>3265</v>
      </c>
      <c r="E3655" s="1" t="str">
        <f ca="1">IFERROR(__xludf.DUMMYFUNCTION("GOOGLETRANSLATE(D3655, ""bn"", ""en"")"),"The Rigveda is the most important text as a source for all aspects of antiquity and syncretism in Hinduism. Therefore, re-reading and up-to-date analysis of this book is necessary for authenticity. ")</f>
        <v>The Rigveda is the most important text as a source for all aspects of antiquity and syncretism in Hinduism. Therefore, re-reading and up-to-date analysis of this book is necessary for authenticity. </v>
      </c>
      <c r="F3655" s="1"/>
      <c r="G3655" s="1"/>
      <c r="H3655" s="1"/>
      <c r="I3655" s="1"/>
    </row>
    <row r="3656" spans="1:9" ht="15.6" x14ac:dyDescent="0.3">
      <c r="A3656" s="1" t="s">
        <v>5</v>
      </c>
      <c r="B3656" s="1" t="s">
        <v>5</v>
      </c>
      <c r="C3656" s="10" t="s">
        <v>5</v>
      </c>
      <c r="D3656" s="5" t="s">
        <v>3266</v>
      </c>
      <c r="E3656" s="1" t="str">
        <f ca="1">IFERROR(__xludf.DUMMYFUNCTION("GOOGLETRANSLATE(D3656, ""bn"", ""en"")"),"It is nothing but a delusion and practice of communal mentality to consider Pakistanis of own religion (foreigners) as our own and Bengalis of other religion as foreign and distant.")</f>
        <v>It is nothing but a delusion and practice of communal mentality to consider Pakistanis of own religion (foreigners) as our own and Bengalis of other religion as foreign and distant.</v>
      </c>
      <c r="F3656" s="1"/>
      <c r="G3656" s="1"/>
      <c r="H3656" s="1"/>
      <c r="I3656" s="1"/>
    </row>
    <row r="3657" spans="1:9" ht="46.8" x14ac:dyDescent="0.3">
      <c r="A3657" s="1" t="s">
        <v>9</v>
      </c>
      <c r="B3657" s="1" t="s">
        <v>9</v>
      </c>
      <c r="C3657" s="10" t="s">
        <v>9</v>
      </c>
      <c r="D3657" s="6" t="s">
        <v>3646</v>
      </c>
      <c r="E3657" s="1" t="str">
        <f ca="1">IFERROR(__xludf.DUMMYFUNCTION("GOOGLETRANSLATE(D3657, ""bn"", ""en"")"),"After the terrible terrorist attack in the concert hall of the capital of Russia, Moscow, the whole country is in mourning. After the most brutal attack in the history of Russia, the situation has normalized but the panic has not ended. The terrorist grou"&amp;"p Islamic State (IS) claimed responsibility for the attack, but Russia claimed that Ukraine was involved in the attack. However, Kiev has denied Russia's allegations.")</f>
        <v>After the terrible terrorist attack in the concert hall of the capital of Russia, Moscow, the whole country is in mourning. After the most brutal attack in the history of Russia, the situation has normalized but the panic has not ended. The terrorist group Islamic State (IS) claimed responsibility for the attack, but Russia claimed that Ukraine was involved in the attack. However, Kiev has denied Russia's allegations.</v>
      </c>
      <c r="F3657" s="1"/>
      <c r="G3657" s="1"/>
      <c r="H3657" s="1"/>
      <c r="I3657" s="1"/>
    </row>
    <row r="3658" spans="1:9" ht="15.6" x14ac:dyDescent="0.3">
      <c r="A3658" s="1" t="s">
        <v>5</v>
      </c>
      <c r="B3658" s="1" t="s">
        <v>5</v>
      </c>
      <c r="C3658" s="10" t="s">
        <v>5</v>
      </c>
      <c r="D3658" s="5" t="s">
        <v>3267</v>
      </c>
      <c r="E3658" s="1" t="str">
        <f ca="1">IFERROR(__xludf.DUMMYFUNCTION("GOOGLETRANSLATE(D3658, ""bn"", ""en"")"),"Followers of Jainism believe in soul-searching through various spiritual practices and sacrifices, to purify one's body and mind.")</f>
        <v>Followers of Jainism believe in soul-searching through various spiritual practices and sacrifices, to purify one's body and mind.</v>
      </c>
      <c r="F3658" s="1"/>
      <c r="G3658" s="1"/>
      <c r="H3658" s="1"/>
      <c r="I3658" s="1"/>
    </row>
    <row r="3659" spans="1:9" ht="15.6" x14ac:dyDescent="0.3">
      <c r="A3659" s="1" t="s">
        <v>4</v>
      </c>
      <c r="B3659" s="1" t="s">
        <v>4</v>
      </c>
      <c r="C3659" s="10" t="s">
        <v>4</v>
      </c>
      <c r="D3659" s="5" t="s">
        <v>3268</v>
      </c>
      <c r="E3659" s="1" t="str">
        <f ca="1">IFERROR(__xludf.DUMMYFUNCTION("GOOGLETRANSLATE(D3659, ""bn"", ""en"")"),"Shahzada Dara Shukoh was killed by Aurangzeb for practicing the Upanishads. Hinduism is not like that. I will read that verse and take your word for granted.")</f>
        <v>Shahzada Dara Shukoh was killed by Aurangzeb for practicing the Upanishads. Hinduism is not like that. I will read that verse and take your word for granted.</v>
      </c>
      <c r="F3659" s="1"/>
      <c r="G3659" s="1"/>
      <c r="H3659" s="1"/>
      <c r="I3659" s="1"/>
    </row>
    <row r="3660" spans="1:9" ht="15.6" x14ac:dyDescent="0.3">
      <c r="A3660" s="1" t="s">
        <v>4</v>
      </c>
      <c r="B3660" s="1" t="s">
        <v>4</v>
      </c>
      <c r="C3660" s="10" t="s">
        <v>4</v>
      </c>
      <c r="D3660" s="5" t="s">
        <v>3269</v>
      </c>
      <c r="E3660" s="1" t="str">
        <f ca="1">IFERROR(__xludf.DUMMYFUNCTION("GOOGLETRANSLATE(D3660, ""bn"", ""en"")"),"What did a group of atheist children do with our Al Quran, just for political reasons, Hindu brothers were innocent then. ")</f>
        <v xml:space="preserve">What did a group of atheist children do with our Al Quran, just for political reasons, Hindu brothers were innocent then. </v>
      </c>
      <c r="F3660" s="1"/>
      <c r="G3660" s="1"/>
      <c r="H3660" s="1"/>
      <c r="I3660" s="1"/>
    </row>
    <row r="3661" spans="1:9" ht="15.6" x14ac:dyDescent="0.3">
      <c r="A3661" s="1" t="s">
        <v>4</v>
      </c>
      <c r="B3661" s="1" t="s">
        <v>5</v>
      </c>
      <c r="C3661" s="10" t="s">
        <v>4</v>
      </c>
      <c r="D3661" s="5" t="s">
        <v>3270</v>
      </c>
      <c r="E3661" s="1" t="str">
        <f ca="1">IFERROR(__xludf.DUMMYFUNCTION("GOOGLETRANSLATE(D3661, ""bn"", ""en"")"),"Bengali Muslims were angry about Calcutta University long before the formation of East Bengal and Assam in 1905.")</f>
        <v>Bengali Muslims were angry about Calcutta University long before the formation of East Bengal and Assam in 1905.</v>
      </c>
      <c r="F3661" s="1"/>
      <c r="G3661" s="1"/>
      <c r="H3661" s="1"/>
      <c r="I3661" s="1"/>
    </row>
    <row r="3662" spans="1:9" ht="15.6" x14ac:dyDescent="0.3">
      <c r="A3662" s="1" t="s">
        <v>4</v>
      </c>
      <c r="B3662" s="1" t="s">
        <v>4</v>
      </c>
      <c r="C3662" s="10" t="s">
        <v>4</v>
      </c>
      <c r="D3662" s="5" t="s">
        <v>3271</v>
      </c>
      <c r="E3662" s="1" t="str">
        <f ca="1">IFERROR(__xludf.DUMMYFUNCTION("GOOGLETRANSLATE(D3662, ""bn"", ""en"")"),"""You are Muslim. Malauns are conspiring against you"" Yes! You will soon see that this nation will take the shield and sword and cut the Hindu community. On your behalf, they will give a status on Facebook again by writing Hadith.")</f>
        <v>"You are Muslim. Malauns are conspiring against you" Yes! You will soon see that this nation will take the shield and sword and cut the Hindu community. On your behalf, they will give a status on Facebook again by writing Hadith.</v>
      </c>
      <c r="F3662" s="1"/>
      <c r="G3662" s="1"/>
      <c r="H3662" s="1"/>
      <c r="I3662" s="1"/>
    </row>
    <row r="3663" spans="1:9" ht="62.4" x14ac:dyDescent="0.3">
      <c r="A3663" s="1" t="s">
        <v>9</v>
      </c>
      <c r="B3663" s="1" t="s">
        <v>4</v>
      </c>
      <c r="C3663" s="10" t="s">
        <v>9</v>
      </c>
      <c r="D3663" s="6" t="s">
        <v>3645</v>
      </c>
      <c r="E3663" s="1" t="str">
        <f ca="1">IFERROR(__xludf.DUMMYFUNCTION("GOOGLETRANSLATE(D3663, ""bn"", ""en"")"),"A Hindu family's mother, her daughter and her niece were raped by Muslim fanatics in Hajiganj, Chandpur, according to social media reports. [32][33] However, the local puja celebration council told the media that such an incident did not happen and that i"&amp;"t was a rumour. [34] Hajiganj Upazila Hindu-Christian-Buddhist Oikya Parishad General Secretary Satya Brata Bhadra Mithun told BanglaNews, ""There has been no incident of rape in any family of the Hindu community in Hajiganj. Completely false propaganda i"&amp;"s being spread on social media. It is a rumour."" [34]")</f>
        <v>A Hindu family's mother, her daughter and her niece were raped by Muslim fanatics in Hajiganj, Chandpur, according to social media reports. [32][33] However, the local puja celebration council told the media that such an incident did not happen and that it was a rumour. [34] Hajiganj Upazila Hindu-Christian-Buddhist Oikya Parishad General Secretary Satya Brata Bhadra Mithun told BanglaNews, "There has been no incident of rape in any family of the Hindu community in Hajiganj. Completely false propaganda is being spread on social media. It is a rumour." [34]</v>
      </c>
      <c r="F3663" s="1"/>
      <c r="G3663" s="1"/>
      <c r="H3663" s="1"/>
      <c r="I3663" s="1"/>
    </row>
    <row r="3664" spans="1:9" ht="15.6" x14ac:dyDescent="0.3">
      <c r="A3664" s="1" t="s">
        <v>9</v>
      </c>
      <c r="B3664" s="1" t="s">
        <v>9</v>
      </c>
      <c r="C3664" s="10" t="s">
        <v>9</v>
      </c>
      <c r="D3664" s="5" t="s">
        <v>3272</v>
      </c>
      <c r="E3664" s="1" t="str">
        <f ca="1">IFERROR(__xludf.DUMMYFUNCTION("GOOGLETRANSLATE(D3664, ""bn"", ""en"")"),"OC of Muradnagar police station SM Badiuzzaman confirmed the truth of the incident and said that Jatrapur temple committee president Bimal Das has filed a case against unknown persons in Muradnagar police station. Police are investigating the incident. Ca"&amp;"ption: Vandalized idol of Jatrapur village.")</f>
        <v>OC of Muradnagar police station SM Badiuzzaman confirmed the truth of the incident and said that Jatrapur temple committee president Bimal Das has filed a case against unknown persons in Muradnagar police station. Police are investigating the incident. Caption: Vandalized idol of Jatrapur village.</v>
      </c>
      <c r="F3664" s="1"/>
      <c r="G3664" s="1"/>
      <c r="H3664" s="1"/>
      <c r="I3664" s="1"/>
    </row>
    <row r="3665" spans="1:9" ht="46.8" x14ac:dyDescent="0.3">
      <c r="A3665" s="1" t="s">
        <v>9</v>
      </c>
      <c r="B3665" s="1" t="s">
        <v>9</v>
      </c>
      <c r="C3665" s="10" t="s">
        <v>9</v>
      </c>
      <c r="D3665" s="6" t="s">
        <v>3644</v>
      </c>
      <c r="E3665" s="1" t="str">
        <f ca="1">IFERROR(__xludf.DUMMYFUNCTION("GOOGLETRANSLATE(D3665, ""bn"", ""en"")"),"On the afternoon of October 16, Hindus were holding a peaceful procession in Feni district to protest against the attack on the puja mandap in Comilla. But at that time the Muslims who came out of the Feni Central Jame Masjid after Asr prayers were attack"&amp;"ed with various Islamic slogans. [56] Hindus were pelted with bricks and attacked with bamboos. Many temples including Banshpara Durga Mandir, Jaykali Temple, Kalipal Ghaziganj Ashram were attacked.")</f>
        <v>On the afternoon of October 16, Hindus were holding a peaceful procession in Feni district to protest against the attack on the puja mandap in Comilla. But at that time the Muslims who came out of the Feni Central Jame Masjid after Asr prayers were attacked with various Islamic slogans. [56] Hindus were pelted with bricks and attacked with bamboos. Many temples including Banshpara Durga Mandir, Jaykali Temple, Kalipal Ghaziganj Ashram were attacked.</v>
      </c>
      <c r="F3665" s="1"/>
      <c r="G3665" s="1"/>
      <c r="H3665" s="1"/>
      <c r="I3665" s="1"/>
    </row>
    <row r="3666" spans="1:9" ht="15.6" x14ac:dyDescent="0.3">
      <c r="A3666" s="1" t="s">
        <v>9</v>
      </c>
      <c r="B3666" s="1" t="s">
        <v>9</v>
      </c>
      <c r="C3666" s="10" t="s">
        <v>9</v>
      </c>
      <c r="D3666" s="5" t="s">
        <v>3273</v>
      </c>
      <c r="E3666" s="1" t="str">
        <f ca="1">IFERROR(__xludf.DUMMYFUNCTION("GOOGLETRANSLATE(D3666, ""bn"", ""en"")"),"The Bangladesh Program of 1992 was a series of well-planned persecution and torture of Islamic-minded Muslims against the minority Hindus and other communities of Bangladesh using the Babri Masjid issue in India.")</f>
        <v>The Bangladesh Program of 1992 was a series of well-planned persecution and torture of Islamic-minded Muslims against the minority Hindus and other communities of Bangladesh using the Babri Masjid issue in India.</v>
      </c>
      <c r="F3666" s="1"/>
      <c r="G3666" s="1"/>
      <c r="H3666" s="1"/>
      <c r="I3666" s="1"/>
    </row>
    <row r="3667" spans="1:9" ht="15.6" x14ac:dyDescent="0.3">
      <c r="A3667" s="1" t="s">
        <v>7</v>
      </c>
      <c r="B3667" s="1" t="s">
        <v>7</v>
      </c>
      <c r="C3667" s="10" t="s">
        <v>7</v>
      </c>
      <c r="D3667" s="5" t="s">
        <v>3274</v>
      </c>
      <c r="E3667" s="1" t="str">
        <f ca="1">IFERROR(__xludf.DUMMYFUNCTION("GOOGLETRANSLATE(D3667, ""bn"", ""en"")"),"Innocent lives have been lost due to the spread of hatred between different religious groups, posing a threat to social harmony.")</f>
        <v>Innocent lives have been lost due to the spread of hatred between different religious groups, posing a threat to social harmony.</v>
      </c>
      <c r="F3667" s="1"/>
      <c r="G3667" s="1"/>
      <c r="H3667" s="1"/>
      <c r="I3667" s="1"/>
    </row>
    <row r="3668" spans="1:9" ht="15.6" x14ac:dyDescent="0.3">
      <c r="A3668" s="1" t="s">
        <v>5</v>
      </c>
      <c r="B3668" s="1" t="s">
        <v>7</v>
      </c>
      <c r="C3668" s="10" t="s">
        <v>5</v>
      </c>
      <c r="D3668" s="5" t="s">
        <v>3275</v>
      </c>
      <c r="E3668" s="1" t="str">
        <f ca="1">IFERROR(__xludf.DUMMYFUNCTION("GOOGLETRANSLATE(D3668, ""bn"", ""en"")"),"A complete introduction and philosophy of the creation of Muslims, the ancestors, how Muslims appeared on earth, is found in the history of Islam. That is basically the history of human creation, namely the history of Muslim creation. Muslims are people m"&amp;"ade of clay made of light.")</f>
        <v>A complete introduction and philosophy of the creation of Muslims, the ancestors, how Muslims appeared on earth, is found in the history of Islam. That is basically the history of human creation, namely the history of Muslim creation. Muslims are people made of clay made of light.</v>
      </c>
      <c r="F3668" s="1"/>
      <c r="G3668" s="1"/>
      <c r="H3668" s="1"/>
      <c r="I3668" s="1"/>
    </row>
    <row r="3669" spans="1:9" ht="15.6" x14ac:dyDescent="0.3">
      <c r="A3669" s="1" t="s">
        <v>4</v>
      </c>
      <c r="B3669" s="1" t="s">
        <v>4</v>
      </c>
      <c r="C3669" s="10" t="s">
        <v>4</v>
      </c>
      <c r="D3669" s="5" t="s">
        <v>3276</v>
      </c>
      <c r="E3669" s="1" t="str">
        <f ca="1">IFERROR(__xludf.DUMMYFUNCTION("GOOGLETRANSLATE(D3669, ""bn"", ""en"")"),"A case was filed against Nupur about two weeks after making insulting remarks about the Holy Prophet (PBUH). He was also temporarily expelled from the party. Navin Kumar Jindal, the then media chief of BJP's Delhi unit, was also named in the same complain"&amp;"t. He has also been permanently expelled from the party by the BJP.")</f>
        <v>A case was filed against Nupur about two weeks after making insulting remarks about the Holy Prophet (PBUH). He was also temporarily expelled from the party. Navin Kumar Jindal, the then media chief of BJP's Delhi unit, was also named in the same complaint. He has also been permanently expelled from the party by the BJP.</v>
      </c>
      <c r="F3669" s="1"/>
      <c r="G3669" s="1"/>
      <c r="H3669" s="1"/>
      <c r="I3669" s="1"/>
    </row>
    <row r="3670" spans="1:9" ht="46.8" x14ac:dyDescent="0.3">
      <c r="A3670" s="1" t="s">
        <v>9</v>
      </c>
      <c r="B3670" s="1" t="s">
        <v>4</v>
      </c>
      <c r="C3670" s="10" t="s">
        <v>9</v>
      </c>
      <c r="D3670" s="6" t="s">
        <v>3643</v>
      </c>
      <c r="E3670" s="1" t="str">
        <f ca="1">IFERROR(__xludf.DUMMYFUNCTION("GOOGLETRANSLATE(D3670, ""bn"", ""en"")"),"Fed up with the indiscriminate persecution of Bengali Hindus, the minority Hindus gathered in the mango garden on the banks of Dhapdhup Bill in Islampur village to come to India. Pakistani invasion forces and Razakars chased those who set off after sunris"&amp;"e, barricaded their way and gathered the deserted huts along the bank of the bank, including those who had taken shelter in mango orchards. ")</f>
        <v>Fed up with the indiscriminate persecution of Bengali Hindus, the minority Hindus gathered in the mango garden on the banks of Dhapdhup Bill in Islampur village to come to India. Pakistani invasion forces and Razakars chased those who set off after sunrise, barricaded their way and gathered the deserted huts along the bank of the bank, including those who had taken shelter in mango orchards. </v>
      </c>
      <c r="F3670" s="1"/>
      <c r="G3670" s="1"/>
      <c r="H3670" s="1"/>
      <c r="I3670" s="1"/>
    </row>
    <row r="3671" spans="1:9" ht="15.6" x14ac:dyDescent="0.3">
      <c r="A3671" s="1" t="s">
        <v>7</v>
      </c>
      <c r="B3671" s="1" t="s">
        <v>7</v>
      </c>
      <c r="C3671" s="10" t="s">
        <v>7</v>
      </c>
      <c r="D3671" s="5" t="s">
        <v>3277</v>
      </c>
      <c r="E3671" s="1" t="str">
        <f ca="1">IFERROR(__xludf.DUMMYFUNCTION("GOOGLETRANSLATE(D3671, ""bn"", ""en"")"),"In 1993, the student movement was attacked by settlers and members of law enforcement.[33][34] Then 100 people were killed in the Naniyachar massacre.")</f>
        <v>In 1993, the student movement was attacked by settlers and members of law enforcement.[33][34] Then 100 people were killed in the Naniyachar massacre.</v>
      </c>
      <c r="F3671" s="1"/>
      <c r="G3671" s="1"/>
      <c r="H3671" s="1"/>
      <c r="I3671" s="1"/>
    </row>
    <row r="3672" spans="1:9" ht="15.6" x14ac:dyDescent="0.3">
      <c r="A3672" s="1" t="s">
        <v>9</v>
      </c>
      <c r="B3672" s="1" t="s">
        <v>9</v>
      </c>
      <c r="C3672" s="10" t="s">
        <v>9</v>
      </c>
      <c r="D3672" s="5" t="s">
        <v>3278</v>
      </c>
      <c r="E3672" s="1" t="str">
        <f ca="1">IFERROR(__xludf.DUMMYFUNCTION("GOOGLETRANSLATE(D3672, ""bn"", ""en"")"),"In 2018, Buddhist extremist groups attacked and destroyed Muslim businesses, mosques and homes in Kandy and other areas of Sri Lanka.")</f>
        <v>In 2018, Buddhist extremist groups attacked and destroyed Muslim businesses, mosques and homes in Kandy and other areas of Sri Lanka.</v>
      </c>
      <c r="F3672" s="1"/>
      <c r="G3672" s="1"/>
      <c r="H3672" s="1"/>
      <c r="I3672" s="1"/>
    </row>
    <row r="3673" spans="1:9" ht="15.6" x14ac:dyDescent="0.3">
      <c r="A3673" s="1" t="s">
        <v>4</v>
      </c>
      <c r="B3673" s="1" t="s">
        <v>4</v>
      </c>
      <c r="C3673" s="10" t="s">
        <v>4</v>
      </c>
      <c r="D3673" s="5" t="s">
        <v>3279</v>
      </c>
      <c r="E3673" s="1" t="str">
        <f ca="1">IFERROR(__xludf.DUMMYFUNCTION("GOOGLETRANSLATE(D3673, ""bn"", ""en"")"),"Former Foreign Secretary of Bangladesh Touhid Hossain also does not think that the Nabi cartoon controversy and some of President Macron's comments will cause a big collapse in the image of France in Bangladesh.")</f>
        <v>Former Foreign Secretary of Bangladesh Touhid Hossain also does not think that the Nabi cartoon controversy and some of President Macron's comments will cause a big collapse in the image of France in Bangladesh.</v>
      </c>
      <c r="F3673" s="1"/>
      <c r="G3673" s="1"/>
      <c r="H3673" s="1"/>
      <c r="I3673" s="1"/>
    </row>
    <row r="3674" spans="1:9" ht="15.6" x14ac:dyDescent="0.3">
      <c r="A3674" s="1" t="s">
        <v>5</v>
      </c>
      <c r="B3674" s="1" t="s">
        <v>5</v>
      </c>
      <c r="C3674" s="10" t="s">
        <v>5</v>
      </c>
      <c r="D3674" s="5" t="s">
        <v>3280</v>
      </c>
      <c r="E3674" s="1" t="str">
        <f ca="1">IFERROR(__xludf.DUMMYFUNCTION("GOOGLETRANSLATE(D3674, ""bn"", ""en"")"),"Hinduism believes that God exists within all living beings, and therefore respect should be shown to all.")</f>
        <v>Hinduism believes that God exists within all living beings, and therefore respect should be shown to all.</v>
      </c>
      <c r="F3674" s="1"/>
      <c r="G3674" s="1"/>
      <c r="H3674" s="1"/>
      <c r="I3674" s="1"/>
    </row>
    <row r="3675" spans="1:9" ht="15.6" x14ac:dyDescent="0.3">
      <c r="A3675" s="1" t="s">
        <v>5</v>
      </c>
      <c r="B3675" s="1" t="s">
        <v>5</v>
      </c>
      <c r="C3675" s="10" t="s">
        <v>5</v>
      </c>
      <c r="D3675" s="5" t="s">
        <v>3281</v>
      </c>
      <c r="E3675" s="1" t="str">
        <f ca="1">IFERROR(__xludf.DUMMYFUNCTION("GOOGLETRANSLATE(D3675, ""bn"", ""en"")"),"Archangel Gabriel brought the black stone from Paradise to be attached to the Kaaba.")</f>
        <v>Archangel Gabriel brought the black stone from Paradise to be attached to the Kaaba.</v>
      </c>
      <c r="F3675" s="1"/>
      <c r="G3675" s="1"/>
      <c r="H3675" s="1"/>
      <c r="I3675" s="1"/>
    </row>
    <row r="3676" spans="1:9" ht="15.6" x14ac:dyDescent="0.3">
      <c r="A3676" s="1" t="s">
        <v>4</v>
      </c>
      <c r="B3676" s="1" t="s">
        <v>4</v>
      </c>
      <c r="C3676" s="10" t="s">
        <v>4</v>
      </c>
      <c r="D3676" s="5" t="s">
        <v>3282</v>
      </c>
      <c r="E3676" s="1" t="str">
        <f ca="1">IFERROR(__xludf.DUMMYFUNCTION("GOOGLETRANSLATE(D3676, ""bn"", ""en"")"),"Hypocrisy has a limit, there is a mole within a mole and a bark within them.")</f>
        <v>Hypocrisy has a limit, there is a mole within a mole and a bark within them.</v>
      </c>
      <c r="F3676" s="1"/>
      <c r="G3676" s="1"/>
      <c r="H3676" s="1"/>
      <c r="I3676" s="1"/>
    </row>
    <row r="3677" spans="1:9" ht="46.8" x14ac:dyDescent="0.3">
      <c r="A3677" s="1" t="s">
        <v>5</v>
      </c>
      <c r="B3677" s="1" t="s">
        <v>5</v>
      </c>
      <c r="C3677" s="10" t="s">
        <v>5</v>
      </c>
      <c r="D3677" s="6" t="s">
        <v>3642</v>
      </c>
      <c r="E3677" s="1" t="str">
        <f ca="1">IFERROR(__xludf.DUMMYFUNCTION("GOOGLETRANSLATE(D3677, ""bn"", ""en"")"),"Almighty Allah said, ""Surely I sent it down on 'Lailatul Qadr.' Do you know what is the night of Qadr? The Night of Qadr is better than a thousand months. On this night the angels and Ruh (Jibril) descend with all decisions by the permission of their Lor"&amp;"d. (This night prevails) in peace and tranquility - until dawn.' (Surah Qadr)")</f>
        <v>Almighty Allah said, "Surely I sent it down on 'Lailatul Qadr.' Do you know what is the night of Qadr? The Night of Qadr is better than a thousand months. On this night the angels and Ruh (Jibril) descend with all decisions by the permission of their Lord. (This night prevails) in peace and tranquility - until dawn.' (Surah Qadr)</v>
      </c>
      <c r="F3677" s="1"/>
      <c r="G3677" s="1"/>
      <c r="H3677" s="1"/>
      <c r="I3677" s="1"/>
    </row>
    <row r="3678" spans="1:9" ht="15.6" x14ac:dyDescent="0.3">
      <c r="A3678" s="1" t="s">
        <v>4</v>
      </c>
      <c r="B3678" s="1" t="s">
        <v>4</v>
      </c>
      <c r="C3678" s="10" t="s">
        <v>4</v>
      </c>
      <c r="D3678" s="5" t="s">
        <v>3283</v>
      </c>
      <c r="E3678" s="1" t="str">
        <f ca="1">IFERROR(__xludf.DUMMYFUNCTION("GOOGLETRANSLATE(D3678, ""bn"", ""en"")"),"Every time I saw the picture of Quran Sharif in the video and mandap, I was emotionally hurt. I was offended. Tears flowed. Whenever there is a storm of protest against the group or person who insulted the Quran in the desert of the world. Because Muslims"&amp;" can never tolerate the insult of Al Quran.")</f>
        <v>Every time I saw the picture of Quran Sharif in the video and mandap, I was emotionally hurt. I was offended. Tears flowed. Whenever there is a storm of protest against the group or person who insulted the Quran in the desert of the world. Because Muslims can never tolerate the insult of Al Quran.</v>
      </c>
      <c r="F3678" s="1"/>
      <c r="G3678" s="1"/>
      <c r="H3678" s="1"/>
      <c r="I3678" s="1"/>
    </row>
    <row r="3679" spans="1:9" ht="15.6" x14ac:dyDescent="0.3">
      <c r="A3679" s="1" t="s">
        <v>9</v>
      </c>
      <c r="B3679" s="1" t="s">
        <v>9</v>
      </c>
      <c r="C3679" s="10" t="s">
        <v>9</v>
      </c>
      <c r="D3679" s="5" t="s">
        <v>3284</v>
      </c>
      <c r="E3679" s="1" t="str">
        <f ca="1">IFERROR(__xludf.DUMMYFUNCTION("GOOGLETRANSLATE(D3679, ""bn"", ""en"")"),"A Harivasar temple, a Krishna Tagore temple, five Mansa temples, a Lakshmi temple and a Kali temple were vandalized from Sindurpindi to Takahara in Dhantala union.")</f>
        <v>A Harivasar temple, a Krishna Tagore temple, five Mansa temples, a Lakshmi temple and a Kali temple were vandalized from Sindurpindi to Takahara in Dhantala union.</v>
      </c>
      <c r="F3679" s="1"/>
      <c r="G3679" s="1"/>
      <c r="H3679" s="1"/>
      <c r="I3679" s="1"/>
    </row>
    <row r="3680" spans="1:9" ht="15.6" x14ac:dyDescent="0.3">
      <c r="A3680" s="1" t="s">
        <v>7</v>
      </c>
      <c r="B3680" s="1" t="s">
        <v>7</v>
      </c>
      <c r="C3680" s="10" t="s">
        <v>7</v>
      </c>
      <c r="D3680" s="5" t="s">
        <v>3285</v>
      </c>
      <c r="E3680" s="1" t="str">
        <f ca="1">IFERROR(__xludf.DUMMYFUNCTION("GOOGLETRANSLATE(D3680, ""bn"", ""en"")"),"Not supporting suicide at all. If someone commits suicide out of helplessness, it seems unreasonable to send him to hell. Read the post again what I am writing.")</f>
        <v>Not supporting suicide at all. If someone commits suicide out of helplessness, it seems unreasonable to send him to hell. Read the post again what I am writing.</v>
      </c>
      <c r="F3680" s="1"/>
      <c r="G3680" s="1"/>
      <c r="H3680" s="1"/>
      <c r="I3680" s="1"/>
    </row>
    <row r="3681" spans="1:9" ht="15.6" x14ac:dyDescent="0.3">
      <c r="A3681" s="1" t="s">
        <v>4</v>
      </c>
      <c r="B3681" s="1" t="s">
        <v>4</v>
      </c>
      <c r="C3681" s="10" t="s">
        <v>4</v>
      </c>
      <c r="D3681" s="5" t="s">
        <v>3286</v>
      </c>
      <c r="E3681" s="1" t="str">
        <f ca="1">IFERROR(__xludf.DUMMYFUNCTION("GOOGLETRANSLATE(D3681, ""bn"", ""en"")"),"No country can be kept free from radicalism and militancy for long from outside. The death of this coward is appropriate for those whose country lacks nationalist heroes and heroes.")</f>
        <v>No country can be kept free from radicalism and militancy for long from outside. The death of this coward is appropriate for those whose country lacks nationalist heroes and heroes.</v>
      </c>
      <c r="F3681" s="1"/>
      <c r="G3681" s="1"/>
      <c r="H3681" s="1"/>
      <c r="I3681" s="1"/>
    </row>
    <row r="3682" spans="1:9" ht="15.6" x14ac:dyDescent="0.3">
      <c r="A3682" s="1" t="s">
        <v>4</v>
      </c>
      <c r="B3682" s="1" t="s">
        <v>4</v>
      </c>
      <c r="C3682" s="10" t="s">
        <v>4</v>
      </c>
      <c r="D3682" s="5" t="s">
        <v>3287</v>
      </c>
      <c r="E3682" s="1" t="str">
        <f ca="1">IFERROR(__xludf.DUMMYFUNCTION("GOOGLETRANSLATE(D3682, ""bn"", ""en"")"),"Pakistan China has already supported the Taliban regime! What do those who represent the people still want to work for the people? If there are hundreds of thousands of militant modules, will it move? Why did the procession of intellectuals stop?")</f>
        <v>Pakistan China has already supported the Taliban regime! What do those who represent the people still want to work for the people? If there are hundreds of thousands of militant modules, will it move? Why did the procession of intellectuals stop?</v>
      </c>
      <c r="F3682" s="1"/>
      <c r="G3682" s="1"/>
      <c r="H3682" s="1"/>
      <c r="I3682" s="1"/>
    </row>
    <row r="3683" spans="1:9" ht="15.6" x14ac:dyDescent="0.3">
      <c r="A3683" s="1" t="s">
        <v>5</v>
      </c>
      <c r="B3683" s="1" t="s">
        <v>5</v>
      </c>
      <c r="C3683" s="10" t="s">
        <v>5</v>
      </c>
      <c r="D3683" s="5" t="s">
        <v>3288</v>
      </c>
      <c r="E3683" s="1" t="str">
        <f ca="1">IFERROR(__xludf.DUMMYFUNCTION("GOOGLETRANSLATE(D3683, ""bn"", ""en"")"),"Surely Islam is the (only chosen) religion with Allah. ")</f>
        <v xml:space="preserve">Surely Islam is the (only chosen) religion with Allah. </v>
      </c>
      <c r="F3683" s="1"/>
      <c r="G3683" s="1"/>
      <c r="H3683" s="1"/>
      <c r="I3683" s="1"/>
    </row>
    <row r="3684" spans="1:9" ht="46.8" x14ac:dyDescent="0.3">
      <c r="A3684" s="1" t="s">
        <v>9</v>
      </c>
      <c r="B3684" s="1" t="s">
        <v>9</v>
      </c>
      <c r="C3684" s="10" t="s">
        <v>9</v>
      </c>
      <c r="D3684" s="6" t="s">
        <v>3641</v>
      </c>
      <c r="E3684" s="1" t="str">
        <f ca="1">IFERROR(__xludf.DUMMYFUNCTION("GOOGLETRANSLATE(D3684, ""bn"", ""en"")"),"Violence against Muslims is often perpetrated by Hindus in the form of aggressive attacks on Muslims. [11] [12] These attacks are characterized as communal riots in India and are seen as part of sporadic sectarian violence between majority Hindu and minor"&amp;"ity Muslim communities, and have also been linked to the rise of Islamophobia throughout the world in the 20th century. ")</f>
        <v>Violence against Muslims is often perpetrated by Hindus in the form of aggressive attacks on Muslims. [11] [12] These attacks are characterized as communal riots in India and are seen as part of sporadic sectarian violence between majority Hindu and minority Muslim communities, and have also been linked to the rise of Islamophobia throughout the world in the 20th century. </v>
      </c>
      <c r="F3684" s="1"/>
      <c r="G3684" s="1"/>
      <c r="H3684" s="1"/>
      <c r="I3684" s="1"/>
    </row>
    <row r="3685" spans="1:9" ht="15.6" x14ac:dyDescent="0.3">
      <c r="A3685" s="1" t="s">
        <v>4</v>
      </c>
      <c r="B3685" s="1" t="s">
        <v>5</v>
      </c>
      <c r="C3685" s="10" t="s">
        <v>4</v>
      </c>
      <c r="D3685" s="5" t="s">
        <v>3289</v>
      </c>
      <c r="E3685" s="1" t="str">
        <f ca="1">IFERROR(__xludf.DUMMYFUNCTION("GOOGLETRANSLATE(D3685, ""bn"", ""en"")"),"Dr. According to Khan, the backlash in some parts of the Muslim world has to do with some of the offensive words Turkish President Erdogan has said about President Macron.")</f>
        <v>Dr. According to Khan, the backlash in some parts of the Muslim world has to do with some of the offensive words Turkish President Erdogan has said about President Macron.</v>
      </c>
      <c r="F3685" s="1"/>
      <c r="G3685" s="1"/>
      <c r="H3685" s="1"/>
      <c r="I3685" s="1"/>
    </row>
    <row r="3686" spans="1:9" ht="15.6" x14ac:dyDescent="0.3">
      <c r="A3686" s="1" t="s">
        <v>9</v>
      </c>
      <c r="B3686" s="1" t="s">
        <v>9</v>
      </c>
      <c r="C3686" s="10" t="s">
        <v>9</v>
      </c>
      <c r="D3686" s="5" t="s">
        <v>3290</v>
      </c>
      <c r="E3686" s="1" t="str">
        <f ca="1">IFERROR(__xludf.DUMMYFUNCTION("GOOGLETRANSLATE(D3686, ""bn"", ""en"")"),"The burnt ruins of Govinda Restaurant in Subha. On May 19, more than 100 Hindu shops and businesses were vandalized in the central business district of Suva.")</f>
        <v>The burnt ruins of Govinda Restaurant in Subha. On May 19, more than 100 Hindu shops and businesses were vandalized in the central business district of Suva.</v>
      </c>
      <c r="F3686" s="1"/>
      <c r="G3686" s="1"/>
      <c r="H3686" s="1"/>
      <c r="I3686" s="1"/>
    </row>
    <row r="3687" spans="1:9" ht="31.2" x14ac:dyDescent="0.3">
      <c r="A3687" s="1" t="s">
        <v>9</v>
      </c>
      <c r="B3687" s="1" t="s">
        <v>9</v>
      </c>
      <c r="C3687" s="10" t="s">
        <v>9</v>
      </c>
      <c r="D3687" s="6" t="s">
        <v>3640</v>
      </c>
      <c r="E3687" s="1" t="str">
        <f ca="1">IFERROR(__xludf.DUMMYFUNCTION("GOOGLETRANSLATE(D3687, ""bn"", ""en"")"),"Gautama Buddha spoke out against Brahminical oppression, yet Buddhists had little influence on the Bharatvarsha state until the Hindu king Ashoka's conversion to Buddhism in 236 BC after one of the most brutal massacres in ancient history.")</f>
        <v>Gautama Buddha spoke out against Brahminical oppression, yet Buddhists had little influence on the Bharatvarsha state until the Hindu king Ashoka's conversion to Buddhism in 236 BC after one of the most brutal massacres in ancient history.</v>
      </c>
      <c r="F3687" s="1"/>
      <c r="G3687" s="1"/>
      <c r="H3687" s="1"/>
      <c r="I3687" s="1"/>
    </row>
    <row r="3688" spans="1:9" ht="15.6" x14ac:dyDescent="0.3">
      <c r="A3688" s="1" t="s">
        <v>4</v>
      </c>
      <c r="B3688" s="1" t="s">
        <v>5</v>
      </c>
      <c r="C3688" s="10" t="s">
        <v>4</v>
      </c>
      <c r="D3688" s="5" t="s">
        <v>3291</v>
      </c>
      <c r="E3688" s="1" t="str">
        <f ca="1">IFERROR(__xludf.DUMMYFUNCTION("GOOGLETRANSLATE(D3688, ""bn"", ""en"")"),"Putting everything on girls. There is no such thing as personal freedom. There is no fault in getting married.")</f>
        <v>Putting everything on girls. There is no such thing as personal freedom. There is no fault in getting married.</v>
      </c>
      <c r="F3688" s="1"/>
      <c r="G3688" s="1"/>
      <c r="H3688" s="1"/>
      <c r="I3688" s="1"/>
    </row>
    <row r="3689" spans="1:9" ht="15.6" x14ac:dyDescent="0.3">
      <c r="A3689" s="1" t="s">
        <v>9</v>
      </c>
      <c r="B3689" s="1" t="s">
        <v>9</v>
      </c>
      <c r="C3689" s="10" t="s">
        <v>9</v>
      </c>
      <c r="D3689" s="5" t="s">
        <v>3292</v>
      </c>
      <c r="E3689" s="1" t="str">
        <f ca="1">IFERROR(__xludf.DUMMYFUNCTION("GOOGLETRANSLATE(D3689, ""bn"", ""en"")"),"In Singapore in 2020, unidentified men broke into an Islamic center and ransacked it, injuring students as they fled in panic.")</f>
        <v>In Singapore in 2020, unidentified men broke into an Islamic center and ransacked it, injuring students as they fled in panic.</v>
      </c>
      <c r="F3689" s="1"/>
      <c r="G3689" s="1"/>
      <c r="H3689" s="1"/>
      <c r="I3689" s="1"/>
    </row>
    <row r="3690" spans="1:9" ht="15.6" x14ac:dyDescent="0.3">
      <c r="A3690" s="1" t="s">
        <v>5</v>
      </c>
      <c r="B3690" s="1" t="s">
        <v>5</v>
      </c>
      <c r="C3690" s="10" t="s">
        <v>5</v>
      </c>
      <c r="D3690" s="5" t="s">
        <v>3293</v>
      </c>
      <c r="E3690" s="1" t="str">
        <f ca="1">IFERROR(__xludf.DUMMYFUNCTION("GOOGLETRANSLATE(D3690, ""bn"", ""en"")"),". My headache is caused by the most respected man of your religion who, 1400 years before your birth, stood up in prayer all night and wept for your forgiveness. ")</f>
        <v xml:space="preserve">. My headache is caused by the most respected man of your religion who, 1400 years before your birth, stood up in prayer all night and wept for your forgiveness. </v>
      </c>
      <c r="F3690" s="1"/>
      <c r="G3690" s="1"/>
      <c r="H3690" s="1"/>
      <c r="I3690" s="1"/>
    </row>
    <row r="3691" spans="1:9" ht="31.2" x14ac:dyDescent="0.3">
      <c r="A3691" s="1" t="s">
        <v>9</v>
      </c>
      <c r="B3691" s="1" t="s">
        <v>5</v>
      </c>
      <c r="C3691" s="10" t="s">
        <v>9</v>
      </c>
      <c r="D3691" s="6" t="s">
        <v>3639</v>
      </c>
      <c r="E3691" s="1" t="str">
        <f ca="1">IFERROR(__xludf.DUMMYFUNCTION("GOOGLETRANSLATE(D3691, ""bn"", ""en"")"),"This war could only be won because of tactics. Prophet SAW never considered himself big. He was a man with a pure heart. If someone's opinion was acceptable in the war, he would accept it without hesitation. This was also a sign of the Prophet's (PBUH) fo"&amp;"resight.")</f>
        <v>This war could only be won because of tactics. Prophet SAW never considered himself big. He was a man with a pure heart. If someone's opinion was acceptable in the war, he would accept it without hesitation. This was also a sign of the Prophet's (PBUH) foresight.</v>
      </c>
      <c r="F3691" s="1"/>
      <c r="G3691" s="1"/>
      <c r="H3691" s="1"/>
      <c r="I3691" s="1"/>
    </row>
    <row r="3692" spans="1:9" ht="15.6" x14ac:dyDescent="0.3">
      <c r="A3692" s="1" t="s">
        <v>7</v>
      </c>
      <c r="B3692" s="1" t="s">
        <v>7</v>
      </c>
      <c r="C3692" s="10" t="s">
        <v>7</v>
      </c>
      <c r="D3692" s="5" t="s">
        <v>3294</v>
      </c>
      <c r="E3692" s="1" t="str">
        <f ca="1">IFERROR(__xludf.DUMMYFUNCTION("GOOGLETRANSLATE(D3692, ""bn"", ""en"")"),"America ruled Afghanistan and took away everything from the country and shot and killed many ordinary people. Where was your speech then?")</f>
        <v>America ruled Afghanistan and took away everything from the country and shot and killed many ordinary people. Where was your speech then?</v>
      </c>
      <c r="F3692" s="1"/>
      <c r="G3692" s="1"/>
      <c r="H3692" s="1"/>
      <c r="I3692" s="1"/>
    </row>
    <row r="3693" spans="1:9" ht="17.399999999999999" x14ac:dyDescent="0.3">
      <c r="A3693" s="1" t="s">
        <v>5</v>
      </c>
      <c r="B3693" s="1" t="s">
        <v>5</v>
      </c>
      <c r="C3693" s="10" t="s">
        <v>5</v>
      </c>
      <c r="D3693" s="5" t="s">
        <v>3519</v>
      </c>
      <c r="E3693" s="1" t="str">
        <f ca="1">IFERROR(__xludf.DUMMYFUNCTION("GOOGLETRANSLATE(D3693, ""bn"", ""en"")"),"It is the second largest religious festival among Buddhists.[2] The festival is celebrated on the full moon day of the month of Ashwin.[3]")</f>
        <v>It is the second largest religious festival among Buddhists.[2] The festival is celebrated on the full moon day of the month of Ashwin.[3]</v>
      </c>
      <c r="F3693" s="1"/>
      <c r="G3693" s="1"/>
      <c r="H3693" s="1"/>
      <c r="I3693" s="1"/>
    </row>
    <row r="3694" spans="1:9" ht="15.6" x14ac:dyDescent="0.3">
      <c r="A3694" s="1" t="s">
        <v>5</v>
      </c>
      <c r="B3694" s="1" t="s">
        <v>5</v>
      </c>
      <c r="C3694" s="10" t="s">
        <v>5</v>
      </c>
      <c r="D3694" s="5" t="s">
        <v>3295</v>
      </c>
      <c r="E3694" s="1" t="str">
        <f ca="1">IFERROR(__xludf.DUMMYFUNCTION("GOOGLETRANSLATE(D3694, ""bn"", ""en"")"),"According to Islamic tradition, Abraham was commanded by Allah to leave his (Abraham) wife Hajar and his infant son Ishmael alone in the desert of ancient Mecca. ")</f>
        <v>According to Islamic tradition, Abraham was commanded by Allah to leave his (Abraham) wife Hajar and his infant son Ishmael alone in the desert of ancient Mecca. </v>
      </c>
      <c r="F3694" s="1"/>
      <c r="G3694" s="1"/>
      <c r="H3694" s="1"/>
      <c r="I3694" s="1"/>
    </row>
    <row r="3695" spans="1:9" ht="15.6" x14ac:dyDescent="0.3">
      <c r="A3695" s="1" t="s">
        <v>9</v>
      </c>
      <c r="B3695" s="1" t="s">
        <v>9</v>
      </c>
      <c r="C3695" s="10" t="s">
        <v>9</v>
      </c>
      <c r="D3695" s="5" t="s">
        <v>3296</v>
      </c>
      <c r="E3695" s="1" t="str">
        <f ca="1">IFERROR(__xludf.DUMMYFUNCTION("GOOGLETRANSLATE(D3695, ""bn"", ""en"")"),"There are many discussions about the attacks and vandalism of houses and places of worship of Sanatan religious followers in Muradnagar of Comilla near Dhaka.")</f>
        <v>There are many discussions about the attacks and vandalism of houses and places of worship of Sanatan religious followers in Muradnagar of Comilla near Dhaka.</v>
      </c>
      <c r="F3695" s="1"/>
      <c r="G3695" s="1"/>
      <c r="H3695" s="1"/>
      <c r="I3695" s="1"/>
    </row>
    <row r="3696" spans="1:9" ht="15.6" x14ac:dyDescent="0.3">
      <c r="A3696" s="1" t="s">
        <v>5</v>
      </c>
      <c r="B3696" s="1" t="s">
        <v>5</v>
      </c>
      <c r="C3696" s="10" t="s">
        <v>5</v>
      </c>
      <c r="D3696" s="5" t="s">
        <v>3297</v>
      </c>
      <c r="E3696" s="1" t="str">
        <f ca="1">IFERROR(__xludf.DUMMYFUNCTION("GOOGLETRANSLATE(D3696, ""bn"", ""en"")"),"We do not want to fight religion in any way. We hope that everyone can practice their religion freely ")</f>
        <v xml:space="preserve">We do not want to fight religion in any way. We hope that everyone can practice their religion freely </v>
      </c>
      <c r="F3696" s="1"/>
      <c r="G3696" s="1"/>
      <c r="H3696" s="1"/>
      <c r="I3696" s="1"/>
    </row>
    <row r="3697" spans="1:9" ht="15.6" x14ac:dyDescent="0.3">
      <c r="A3697" s="1" t="s">
        <v>9</v>
      </c>
      <c r="B3697" s="1" t="s">
        <v>4</v>
      </c>
      <c r="C3697" s="10" t="s">
        <v>9</v>
      </c>
      <c r="D3697" s="5" t="s">
        <v>3298</v>
      </c>
      <c r="E3697" s="1" t="str">
        <f ca="1">IFERROR(__xludf.DUMMYFUNCTION("GOOGLETRANSLATE(D3697, ""bn"", ""en"")"),"Long before the ongoing war in Gaza began, renowned Israeli journalist Ari Shaviv predicted that if Israel continued on such a destructive path, the country would destroy itself. ")</f>
        <v>Long before the ongoing war in Gaza began, renowned Israeli journalist Ari Shaviv predicted that if Israel continued on such a destructive path, the country would destroy itself. </v>
      </c>
      <c r="F3697" s="1"/>
      <c r="G3697" s="1"/>
      <c r="H3697" s="1"/>
      <c r="I3697" s="1"/>
    </row>
    <row r="3698" spans="1:9" ht="15.6" x14ac:dyDescent="0.3">
      <c r="A3698" s="1" t="s">
        <v>9</v>
      </c>
      <c r="B3698" s="1" t="s">
        <v>9</v>
      </c>
      <c r="C3698" s="10" t="s">
        <v>9</v>
      </c>
      <c r="D3698" s="5" t="s">
        <v>3299</v>
      </c>
      <c r="E3698" s="1" t="str">
        <f ca="1">IFERROR(__xludf.DUMMYFUNCTION("GOOGLETRANSLATE(D3698, ""bn"", ""en"")"),"The area of ​​harmony between the local Muslim and Buddhist communities has been affected the most in that incident. Even after 10 years, it still hasn't fully recovered.")</f>
        <v>The area of ​​harmony between the local Muslim and Buddhist communities has been affected the most in that incident. Even after 10 years, it still hasn't fully recovered.</v>
      </c>
      <c r="F3698" s="1"/>
      <c r="G3698" s="1"/>
      <c r="H3698" s="1"/>
      <c r="I3698" s="1"/>
    </row>
    <row r="3699" spans="1:9" ht="15.6" x14ac:dyDescent="0.3">
      <c r="A3699" s="1" t="s">
        <v>9</v>
      </c>
      <c r="B3699" s="1" t="s">
        <v>9</v>
      </c>
      <c r="C3699" s="10" t="s">
        <v>9</v>
      </c>
      <c r="D3699" s="5" t="s">
        <v>3300</v>
      </c>
      <c r="E3699" s="1" t="str">
        <f ca="1">IFERROR(__xludf.DUMMYFUNCTION("GOOGLETRANSLATE(D3699, ""bn"", ""en"")"),"Terrorist attack on Hindu family in Savar, threat of eviction,")</f>
        <v>Terrorist attack on Hindu family in Savar, threat of eviction,</v>
      </c>
      <c r="F3699" s="1"/>
      <c r="G3699" s="1"/>
      <c r="H3699" s="1"/>
      <c r="I3699" s="1"/>
    </row>
    <row r="3700" spans="1:9" ht="46.8" x14ac:dyDescent="0.3">
      <c r="A3700" s="1" t="s">
        <v>5</v>
      </c>
      <c r="B3700" s="1" t="s">
        <v>9</v>
      </c>
      <c r="C3700" s="10" t="s">
        <v>5</v>
      </c>
      <c r="D3700" s="6" t="s">
        <v>3638</v>
      </c>
      <c r="E3700" s="1" t="str">
        <f ca="1">IFERROR(__xludf.DUMMYFUNCTION("GOOGLETRANSLATE(D3700, ""bn"", ""en"")"),"International Society for Human Rights — A non-governmental organization based in Frankfurt, Germany with 30,000 members in 38 countries that monitors human rights. In September 2009, then-chairman Martin Lesenthin, [106] issued a report estimating that 8"&amp;"0% of acts of religious persecution around the world were aimed at Christians at the time.")</f>
        <v>International Society for Human Rights — A non-governmental organization based in Frankfurt, Germany with 30,000 members in 38 countries that monitors human rights. In September 2009, then-chairman Martin Lesenthin, [106] issued a report estimating that 80% of acts of religious persecution around the world were aimed at Christians at the time.</v>
      </c>
      <c r="F3700" s="1"/>
      <c r="G3700" s="1"/>
      <c r="H3700" s="1"/>
      <c r="I3700" s="1"/>
    </row>
    <row r="3701" spans="1:9" ht="15.6" x14ac:dyDescent="0.3">
      <c r="A3701" s="1" t="s">
        <v>5</v>
      </c>
      <c r="B3701" s="1" t="s">
        <v>5</v>
      </c>
      <c r="C3701" s="10" t="s">
        <v>5</v>
      </c>
      <c r="D3701" s="5" t="s">
        <v>3301</v>
      </c>
      <c r="E3701" s="1" t="str">
        <f ca="1">IFERROR(__xludf.DUMMYFUNCTION("GOOGLETRANSLATE(D3701, ""bn"", ""en"")"),"By obeying Allah's guidance, we understand the purpose and goal of life, and Allah brings happiness and peace in our lives.")</f>
        <v>By obeying Allah's guidance, we understand the purpose and goal of life, and Allah brings happiness and peace in our lives.</v>
      </c>
      <c r="F3701" s="1"/>
      <c r="G3701" s="1"/>
      <c r="H3701" s="1"/>
      <c r="I3701" s="1"/>
    </row>
    <row r="3702" spans="1:9" ht="15.6" x14ac:dyDescent="0.3">
      <c r="A3702" s="1" t="s">
        <v>9</v>
      </c>
      <c r="B3702" s="1" t="s">
        <v>5</v>
      </c>
      <c r="C3702" s="10" t="s">
        <v>9</v>
      </c>
      <c r="D3702" s="5" t="s">
        <v>3302</v>
      </c>
      <c r="E3702" s="1" t="str">
        <f ca="1">IFERROR(__xludf.DUMMYFUNCTION("GOOGLETRANSLATE(D3702, ""bn"", ""en"")"),"The incident in which 2 police officers were killed in a gunfight in Queensland, Australia on December 12 has been declared as a 'religious extremist terrorist attack'.")</f>
        <v>The incident in which 2 police officers were killed in a gunfight in Queensland, Australia on December 12 has been declared as a 'religious extremist terrorist attack'.</v>
      </c>
      <c r="F3702" s="1"/>
      <c r="G3702" s="1"/>
      <c r="H3702" s="1"/>
      <c r="I3702" s="1"/>
    </row>
    <row r="3703" spans="1:9" ht="15.6" x14ac:dyDescent="0.3">
      <c r="A3703" s="1" t="s">
        <v>5</v>
      </c>
      <c r="B3703" s="1" t="s">
        <v>5</v>
      </c>
      <c r="C3703" s="10" t="s">
        <v>5</v>
      </c>
      <c r="D3703" s="5" t="s">
        <v>3303</v>
      </c>
      <c r="E3703" s="1" t="str">
        <f ca="1">IFERROR(__xludf.DUMMYFUNCTION("GOOGLETRANSLATE(D3703, ""bn"", ""en"")"),"Despite the general personal commitment of Muslims in Bangladesh to Islam, the observance of Islamic customs varies according to social status, locality and personal considerations.")</f>
        <v>Despite the general personal commitment of Muslims in Bangladesh to Islam, the observance of Islamic customs varies according to social status, locality and personal considerations.</v>
      </c>
      <c r="F3703" s="1"/>
      <c r="G3703" s="1"/>
      <c r="H3703" s="1"/>
      <c r="I3703" s="1"/>
    </row>
    <row r="3704" spans="1:9" ht="15.6" x14ac:dyDescent="0.3">
      <c r="A3704" s="1" t="s">
        <v>9</v>
      </c>
      <c r="B3704" s="1" t="s">
        <v>4</v>
      </c>
      <c r="C3704" s="10" t="s">
        <v>9</v>
      </c>
      <c r="D3704" s="5" t="s">
        <v>3304</v>
      </c>
      <c r="E3704" s="1" t="str">
        <f ca="1">IFERROR(__xludf.DUMMYFUNCTION("GOOGLETRANSLATE(D3704, ""bn"", ""en"")"),"The ""Hindu Rights Action Force"", a coalition of several NGOs, protested the demolition by filing a complaint with the Prime Minister of Malaysia. [44] Many Hindu advocacy groups protested this as a planned plan to destroy temples in Malaysia.")</f>
        <v>The "Hindu Rights Action Force", a coalition of several NGOs, protested the demolition by filing a complaint with the Prime Minister of Malaysia. [44] Many Hindu advocacy groups protested this as a planned plan to destroy temples in Malaysia.</v>
      </c>
      <c r="F3704" s="1"/>
      <c r="G3704" s="1"/>
      <c r="H3704" s="1"/>
      <c r="I3704" s="1"/>
    </row>
    <row r="3705" spans="1:9" ht="46.8" x14ac:dyDescent="0.3">
      <c r="A3705" s="1" t="s">
        <v>7</v>
      </c>
      <c r="B3705" s="1" t="s">
        <v>7</v>
      </c>
      <c r="C3705" s="10" t="s">
        <v>7</v>
      </c>
      <c r="D3705" s="6" t="s">
        <v>3637</v>
      </c>
      <c r="E3705" s="1" t="str">
        <f ca="1">IFERROR(__xludf.DUMMYFUNCTION("GOOGLETRANSLATE(D3705, ""bn"", ""en"")"),"Advocate Dipankar Ghosh, the organizing secretary of Bangladesh Hindu Buddhist Christian Oikya Parishad, denied the allegations and told Deutsche Welle, ""We have given an accurate factual account."" We think they were killed because they were Hindus We w"&amp;"ill investigate further and publish a more detailed report.”")</f>
        <v>Advocate Dipankar Ghosh, the organizing secretary of Bangladesh Hindu Buddhist Christian Oikya Parishad, denied the allegations and told Deutsche Welle, "We have given an accurate factual account." We think they were killed because they were Hindus We will investigate further and publish a more detailed report.”</v>
      </c>
      <c r="F3705" s="1"/>
      <c r="G3705" s="1"/>
      <c r="H3705" s="1"/>
      <c r="I3705" s="1"/>
    </row>
    <row r="3706" spans="1:9" ht="15.6" x14ac:dyDescent="0.3">
      <c r="A3706" s="1" t="s">
        <v>7</v>
      </c>
      <c r="B3706" s="1" t="s">
        <v>7</v>
      </c>
      <c r="C3706" s="10" t="s">
        <v>7</v>
      </c>
      <c r="D3706" s="5" t="s">
        <v>3305</v>
      </c>
      <c r="E3706" s="1" t="str">
        <f ca="1">IFERROR(__xludf.DUMMYFUNCTION("GOOGLETRANSLATE(D3706, ""bn"", ""en"")"),"While such killings and rampages were going on, the Ramana Kali temple and Mother Anandamayi's ashram were burning fiercely.")</f>
        <v>While such killings and rampages were going on, the Ramana Kali temple and Mother Anandamayi's ashram were burning fiercely.</v>
      </c>
      <c r="F3706" s="1"/>
      <c r="G3706" s="1"/>
      <c r="H3706" s="1"/>
      <c r="I3706" s="1"/>
    </row>
    <row r="3707" spans="1:9" ht="15.6" x14ac:dyDescent="0.3">
      <c r="A3707" s="1" t="s">
        <v>9</v>
      </c>
      <c r="B3707" s="1" t="s">
        <v>9</v>
      </c>
      <c r="C3707" s="10" t="s">
        <v>9</v>
      </c>
      <c r="D3707" s="5" t="s">
        <v>3306</v>
      </c>
      <c r="E3707" s="1" t="str">
        <f ca="1">IFERROR(__xludf.DUMMYFUNCTION("GOOGLETRANSLATE(D3707, ""bn"", ""en"")"),"Denies or restricts the religious freedom of Hindus. This includes state-sponsored acts such as desecration of religious symbols, destruction of temples, idols and arson.")</f>
        <v>Denies or restricts the religious freedom of Hindus. This includes state-sponsored acts such as desecration of religious symbols, destruction of temples, idols and arson.</v>
      </c>
      <c r="F3707" s="1"/>
      <c r="G3707" s="1"/>
      <c r="H3707" s="1"/>
      <c r="I3707" s="1"/>
    </row>
    <row r="3708" spans="1:9" ht="15.6" x14ac:dyDescent="0.3">
      <c r="A3708" s="1" t="s">
        <v>5</v>
      </c>
      <c r="B3708" s="1" t="s">
        <v>5</v>
      </c>
      <c r="C3708" s="10" t="s">
        <v>5</v>
      </c>
      <c r="D3708" s="5" t="s">
        <v>3307</v>
      </c>
      <c r="E3708" s="1" t="str">
        <f ca="1">IFERROR(__xludf.DUMMYFUNCTION("GOOGLETRANSLATE(D3708, ""bn"", ""en"")"),"The saplings planted by the British rulers who divided the country on the basis of religion, have been grown by the politicians with water and fertilizers and have now given it the shape of a mahiru. ")</f>
        <v>The saplings planted by the British rulers who divided the country on the basis of religion, have been grown by the politicians with water and fertilizers and have now given it the shape of a mahiru. </v>
      </c>
      <c r="F3708" s="1"/>
      <c r="G3708" s="1"/>
      <c r="H3708" s="1"/>
      <c r="I3708" s="1"/>
    </row>
    <row r="3709" spans="1:9" ht="31.2" x14ac:dyDescent="0.3">
      <c r="A3709" s="1" t="s">
        <v>9</v>
      </c>
      <c r="B3709" s="1" t="s">
        <v>9</v>
      </c>
      <c r="C3709" s="10" t="s">
        <v>9</v>
      </c>
      <c r="D3709" s="6" t="s">
        <v>3636</v>
      </c>
      <c r="E3709" s="1" t="str">
        <f ca="1">IFERROR(__xludf.DUMMYFUNCTION("GOOGLETRANSLATE(D3709, ""bn"", ""en"")"),"Many thanks to BBC Bengal for this bold initiative. It is very sad to note that our domestic media is surprisingly evasive when it comes to reporting communal violence.")</f>
        <v>Many thanks to BBC Bengal for this bold initiative. It is very sad to note that our domestic media is surprisingly evasive when it comes to reporting communal violence.</v>
      </c>
      <c r="F3709" s="1"/>
      <c r="G3709" s="1"/>
      <c r="H3709" s="1"/>
      <c r="I3709" s="1"/>
    </row>
    <row r="3710" spans="1:9" ht="46.8" x14ac:dyDescent="0.3">
      <c r="A3710" s="1" t="s">
        <v>5</v>
      </c>
      <c r="B3710" s="1" t="s">
        <v>5</v>
      </c>
      <c r="C3710" s="10" t="s">
        <v>5</v>
      </c>
      <c r="D3710" s="6" t="s">
        <v>3635</v>
      </c>
      <c r="E3710" s="1" t="str">
        <f ca="1">IFERROR(__xludf.DUMMYFUNCTION("GOOGLETRANSLATE(D3710, ""bn"", ""en"")"),"Centuries of Muslim rule laid the foundations of modern India. Now Muslims are the second largest manpower in India. The Muslims of India played an important role in building India as a unified state and in the struggle for freedom from British colonial r"&amp;"ule and exploitation.")</f>
        <v>Centuries of Muslim rule laid the foundations of modern India. Now Muslims are the second largest manpower in India. The Muslims of India played an important role in building India as a unified state and in the struggle for freedom from British colonial rule and exploitation.</v>
      </c>
      <c r="F3710" s="1"/>
      <c r="G3710" s="1"/>
      <c r="H3710" s="1"/>
      <c r="I3710" s="1"/>
    </row>
    <row r="3711" spans="1:9" ht="15.6" x14ac:dyDescent="0.3">
      <c r="A3711" s="1" t="s">
        <v>4</v>
      </c>
      <c r="B3711" s="1" t="s">
        <v>4</v>
      </c>
      <c r="C3711" s="10" t="s">
        <v>4</v>
      </c>
      <c r="D3711" s="5" t="s">
        <v>3308</v>
      </c>
      <c r="E3711" s="1" t="str">
        <f ca="1">IFERROR(__xludf.DUMMYFUNCTION("GOOGLETRANSLATE(D3711, ""bn"", ""en"")"),"Our Lord has told us to respect your mother even if she is a heathen, not only that, but smiling after meeting your brother is equivalent to giving charity.")</f>
        <v>Our Lord has told us to respect your mother even if she is a heathen, not only that, but smiling after meeting your brother is equivalent to giving charity.</v>
      </c>
      <c r="F3711" s="1"/>
      <c r="G3711" s="1"/>
      <c r="H3711" s="1"/>
      <c r="I3711" s="1"/>
    </row>
    <row r="3712" spans="1:9" ht="46.8" x14ac:dyDescent="0.3">
      <c r="A3712" s="1" t="s">
        <v>9</v>
      </c>
      <c r="B3712" s="1" t="s">
        <v>9</v>
      </c>
      <c r="C3712" s="10" t="s">
        <v>9</v>
      </c>
      <c r="D3712" s="6" t="s">
        <v>3634</v>
      </c>
      <c r="E3712" s="1" t="str">
        <f ca="1">IFERROR(__xludf.DUMMYFUNCTION("GOOGLETRANSLATE(D3712, ""bn"", ""en"")"),"The Muslim invasion of the Indian subcontinent was the first great iconoclastic invasion of the Indian subcontinent. [73] According to William Johnston, during the 12th and 13th centuries in the Indo-Gangetic plain region, Muslim armies killed hundreds of"&amp;" Buddhist monasteries and temples, killing monks and nuns, burning Buddhist texts.")</f>
        <v>The Muslim invasion of the Indian subcontinent was the first great iconoclastic invasion of the Indian subcontinent. [73] According to William Johnston, during the 12th and 13th centuries in the Indo-Gangetic plain region, Muslim armies killed hundreds of Buddhist monasteries and temples, killing monks and nuns, burning Buddhist texts.</v>
      </c>
      <c r="F3712" s="1"/>
      <c r="G3712" s="1"/>
      <c r="H3712" s="1"/>
      <c r="I3712" s="1"/>
    </row>
    <row r="3713" spans="1:9" ht="31.2" x14ac:dyDescent="0.3">
      <c r="A3713" s="1" t="s">
        <v>9</v>
      </c>
      <c r="B3713" s="1" t="s">
        <v>4</v>
      </c>
      <c r="C3713" s="10" t="s">
        <v>9</v>
      </c>
      <c r="D3713" s="6" t="s">
        <v>3633</v>
      </c>
      <c r="E3713" s="1" t="str">
        <f ca="1">IFERROR(__xludf.DUMMYFUNCTION("GOOGLETRANSLATE(D3713, ""bn"", ""en"")"),"In Bangladesh again there were complaints of vandalizing the idols of Hindu gods. Miscreants vandalized the idols under construction in the public Kali and Durga temple in Tambulkhana market of Faridpur upazila of Bangladesh on Monday night. ")</f>
        <v xml:space="preserve">In Bangladesh again there were complaints of vandalizing the idols of Hindu gods. Miscreants vandalized the idols under construction in the public Kali and Durga temple in Tambulkhana market of Faridpur upazila of Bangladesh on Monday night. </v>
      </c>
      <c r="F3713" s="1"/>
      <c r="G3713" s="1"/>
      <c r="H3713" s="1"/>
      <c r="I3713" s="1"/>
    </row>
    <row r="3714" spans="1:9" ht="15.6" x14ac:dyDescent="0.3">
      <c r="A3714" s="1" t="s">
        <v>4</v>
      </c>
      <c r="B3714" s="1" t="s">
        <v>4</v>
      </c>
      <c r="C3714" s="10" t="s">
        <v>4</v>
      </c>
      <c r="D3714" s="5" t="s">
        <v>3309</v>
      </c>
      <c r="E3714" s="1" t="str">
        <f ca="1">IFERROR(__xludf.DUMMYFUNCTION("GOOGLETRANSLATE(D3714, ""bn"", ""en"")"),"In the name of Hindu rights, forcing the majority of Muslims to follow small religious and Hindu rituals is a serious injustice and conduct against the constitution of Bangladesh. ")</f>
        <v xml:space="preserve">In the name of Hindu rights, forcing the majority of Muslims to follow small religious and Hindu rituals is a serious injustice and conduct against the constitution of Bangladesh. </v>
      </c>
      <c r="F3714" s="1"/>
      <c r="G3714" s="1"/>
      <c r="H3714" s="1"/>
      <c r="I3714" s="1"/>
    </row>
    <row r="3715" spans="1:9" ht="46.8" x14ac:dyDescent="0.3">
      <c r="A3715" s="1" t="s">
        <v>9</v>
      </c>
      <c r="B3715" s="1" t="s">
        <v>9</v>
      </c>
      <c r="C3715" s="10" t="s">
        <v>9</v>
      </c>
      <c r="D3715" s="6" t="s">
        <v>3632</v>
      </c>
      <c r="E3715" s="1" t="str">
        <f ca="1">IFERROR(__xludf.DUMMYFUNCTION("GOOGLETRANSLATE(D3715, ""bn"", ""en"")"),"Gopal Saha, a businessman of Dighlia village in Lohagara upazila of Narail, said, ""The attackers did not find fault with anyone. If you are a Hindu, you are beaten. Our family was in this village during the liberation war in 1971. I felt safe then, but n"&amp;"ow I can't feel safe anymore.")</f>
        <v>Gopal Saha, a businessman of Dighlia village in Lohagara upazila of Narail, said, "The attackers did not find fault with anyone. If you are a Hindu, you are beaten. Our family was in this village during the liberation war in 1971. I felt safe then, but now I can't feel safe anymore.</v>
      </c>
      <c r="F3715" s="1"/>
      <c r="G3715" s="1"/>
      <c r="H3715" s="1"/>
      <c r="I3715" s="1"/>
    </row>
    <row r="3716" spans="1:9" ht="46.8" x14ac:dyDescent="0.3">
      <c r="A3716" s="1" t="s">
        <v>7</v>
      </c>
      <c r="B3716" s="1" t="s">
        <v>7</v>
      </c>
      <c r="C3716" s="10" t="s">
        <v>7</v>
      </c>
      <c r="D3716" s="6" t="s">
        <v>3631</v>
      </c>
      <c r="E3716" s="1" t="str">
        <f ca="1">IFERROR(__xludf.DUMMYFUNCTION("GOOGLETRANSLATE(D3716, ""bn"", ""en"")"),"On the walls of various areas such as Tikatuli, Warri, Muslims wrote anti-Hindu slogans such as 'Kill Hindus, Kill Hindu Marwaris'. [25] On 18 January, the East Pakistan government issued a curfew until 8 pm. It was extended to 24 hours from January 19.")</f>
        <v>On the walls of various areas such as Tikatuli, Warri, Muslims wrote anti-Hindu slogans such as 'Kill Hindus, Kill Hindu Marwaris'. [25] On 18 January, the East Pakistan government issued a curfew until 8 pm. It was extended to 24 hours from January 19.</v>
      </c>
      <c r="F3716" s="1"/>
      <c r="G3716" s="1"/>
      <c r="H3716" s="1"/>
      <c r="I3716" s="1"/>
    </row>
    <row r="3717" spans="1:9" ht="15.6" x14ac:dyDescent="0.3">
      <c r="A3717" s="1" t="s">
        <v>4</v>
      </c>
      <c r="B3717" s="1" t="s">
        <v>4</v>
      </c>
      <c r="C3717" s="10" t="s">
        <v>4</v>
      </c>
      <c r="D3717" s="5" t="s">
        <v>3310</v>
      </c>
      <c r="E3717" s="1" t="str">
        <f ca="1">IFERROR(__xludf.DUMMYFUNCTION("GOOGLETRANSLATE(D3717, ""bn"", ""en"")"),"We urge the intelligence agencies to look into the matter. Why would a neo-Muslim be detained for no reason? Why not give him bail?")</f>
        <v>We urge the intelligence agencies to look into the matter. Why would a neo-Muslim be detained for no reason? Why not give him bail?</v>
      </c>
      <c r="F3717" s="1"/>
      <c r="G3717" s="1"/>
      <c r="H3717" s="1"/>
      <c r="I3717" s="1"/>
    </row>
    <row r="3718" spans="1:9" ht="31.2" x14ac:dyDescent="0.3">
      <c r="A3718" s="1" t="s">
        <v>7</v>
      </c>
      <c r="B3718" s="1" t="s">
        <v>7</v>
      </c>
      <c r="C3718" s="10" t="s">
        <v>7</v>
      </c>
      <c r="D3718" s="6" t="s">
        <v>3630</v>
      </c>
      <c r="E3718" s="1" t="str">
        <f ca="1">IFERROR(__xludf.DUMMYFUNCTION("GOOGLETRANSLATE(D3718, ""bn"", ""en"")"),"In February, Indian media correspondents in Feni sub-division of Noakhali were attacked several times. Dr. Dhirendra Kumar Dutt, younger brother of Press Trust of India (PTI) representative Yadugolap Dutt, was brutally hacked to death.")</f>
        <v>In February, Indian media correspondents in Feni sub-division of Noakhali were attacked several times. Dr. Dhirendra Kumar Dutt, younger brother of Press Trust of India (PTI) representative Yadugolap Dutt, was brutally hacked to death.</v>
      </c>
      <c r="F3718" s="1"/>
      <c r="G3718" s="1"/>
      <c r="H3718" s="1"/>
      <c r="I3718" s="1"/>
    </row>
    <row r="3719" spans="1:9" ht="15.6" x14ac:dyDescent="0.3">
      <c r="A3719" s="1" t="s">
        <v>7</v>
      </c>
      <c r="B3719" s="1" t="s">
        <v>7</v>
      </c>
      <c r="C3719" s="10" t="s">
        <v>7</v>
      </c>
      <c r="D3719" s="5" t="s">
        <v>3311</v>
      </c>
      <c r="E3719" s="1" t="str">
        <f ca="1">IFERROR(__xludf.DUMMYFUNCTION("GOOGLETRANSLATE(D3719, ""bn"", ""en"")"),"I will sacrifice you in the light of meaning.")</f>
        <v>I will sacrifice you in the light of meaning.</v>
      </c>
      <c r="F3719" s="1"/>
      <c r="G3719" s="1"/>
      <c r="H3719" s="1"/>
      <c r="I3719" s="1"/>
    </row>
    <row r="3720" spans="1:9" ht="46.8" x14ac:dyDescent="0.3">
      <c r="A3720" s="1" t="s">
        <v>4</v>
      </c>
      <c r="B3720" s="1" t="s">
        <v>5</v>
      </c>
      <c r="C3720" s="10" t="s">
        <v>4</v>
      </c>
      <c r="D3720" s="6" t="s">
        <v>3629</v>
      </c>
      <c r="E3720" s="1" t="str">
        <f ca="1">IFERROR(__xludf.DUMMYFUNCTION("GOOGLETRANSLATE(D3720, ""bn"", ""en"")"),"In reality, we are the traitors of the path, the guide, the crown of honor in this world and the hereafter, how dare to slander the prophet of our beloved soul, Hazrat Muhammad, may Allah bless him and grant him peace, leave it in the hands of the Muslim "&amp;"Ummah, then history. Never again will these born unknown sinners dare")</f>
        <v>In reality, we are the traitors of the path, the guide, the crown of honor in this world and the hereafter, how dare to slander the prophet of our beloved soul, Hazrat Muhammad, may Allah bless him and grant him peace, leave it in the hands of the Muslim Ummah, then history. Never again will these born unknown sinners dare</v>
      </c>
      <c r="F3720" s="1"/>
      <c r="G3720" s="1"/>
      <c r="H3720" s="1"/>
      <c r="I3720" s="1"/>
    </row>
    <row r="3721" spans="1:9" ht="15.6" x14ac:dyDescent="0.3">
      <c r="A3721" s="1" t="s">
        <v>4</v>
      </c>
      <c r="B3721" s="1" t="s">
        <v>5</v>
      </c>
      <c r="C3721" s="10" t="s">
        <v>4</v>
      </c>
      <c r="D3721" s="5" t="s">
        <v>3312</v>
      </c>
      <c r="E3721" s="1" t="str">
        <f ca="1">IFERROR(__xludf.DUMMYFUNCTION("GOOGLETRANSLATE(D3721, ""bn"", ""en"")"),"Just opposing India is like throwing stones in the dark. I opposed India but gave all the benefits as a brother of Hindus. To make them happy, I gave everything as Dada Dada. Then literally India did not oppose.")</f>
        <v>Just opposing India is like throwing stones in the dark. I opposed India but gave all the benefits as a brother of Hindus. To make them happy, I gave everything as Dada Dada. Then literally India did not oppose.</v>
      </c>
      <c r="F3721" s="1"/>
      <c r="G3721" s="1"/>
      <c r="H3721" s="1"/>
      <c r="I3721" s="1"/>
    </row>
    <row r="3722" spans="1:9" ht="15.6" x14ac:dyDescent="0.3">
      <c r="A3722" s="1" t="s">
        <v>4</v>
      </c>
      <c r="B3722" s="1" t="s">
        <v>5</v>
      </c>
      <c r="C3722" s="10" t="s">
        <v>4</v>
      </c>
      <c r="D3722" s="5" t="s">
        <v>3313</v>
      </c>
      <c r="E3722" s="1" t="str">
        <f ca="1">IFERROR(__xludf.DUMMYFUNCTION("GOOGLETRANSLATE(D3722, ""bn"", ""en"")"),"General Polapan is trying to make haram halal. Haram is considered a trend instead of haram, thinking to keep up with the times. This is the greatest fitnah, ")</f>
        <v xml:space="preserve">General Polapan is trying to make haram halal. Haram is considered a trend instead of haram, thinking to keep up with the times. This is the greatest fitnah, </v>
      </c>
      <c r="F3722" s="1"/>
      <c r="G3722" s="1"/>
      <c r="H3722" s="1"/>
      <c r="I3722" s="1"/>
    </row>
    <row r="3723" spans="1:9" ht="15.6" x14ac:dyDescent="0.3">
      <c r="A3723" s="1" t="s">
        <v>4</v>
      </c>
      <c r="B3723" s="1" t="s">
        <v>5</v>
      </c>
      <c r="C3723" s="10" t="s">
        <v>4</v>
      </c>
      <c r="D3723" s="5" t="s">
        <v>3314</v>
      </c>
      <c r="E3723" s="1" t="str">
        <f ca="1">IFERROR(__xludf.DUMMYFUNCTION("GOOGLETRANSLATE(D3723, ""bn"", ""en"")"),"Singing a beautiful farewell to burn in hell.")</f>
        <v>Singing a beautiful farewell to burn in hell.</v>
      </c>
      <c r="F3723" s="1"/>
      <c r="G3723" s="1"/>
      <c r="H3723" s="1"/>
      <c r="I3723" s="1"/>
    </row>
    <row r="3724" spans="1:9" ht="15.6" x14ac:dyDescent="0.3">
      <c r="A3724" s="1" t="s">
        <v>5</v>
      </c>
      <c r="B3724" s="1" t="s">
        <v>5</v>
      </c>
      <c r="C3724" s="10" t="s">
        <v>5</v>
      </c>
      <c r="D3724" s="5" t="s">
        <v>3315</v>
      </c>
      <c r="E3724" s="1" t="str">
        <f ca="1">IFERROR(__xludf.DUMMYFUNCTION("GOOGLETRANSLATE(D3724, ""bn"", ""en"")"),"If you give priority to the world over the hereafter, you will lose the world along with the hereafter. The world is the harvest field of the Hereafter. Those who do not produce crops in this crop field will lose the Hereafter. ")</f>
        <v>If you give priority to the world over the hereafter, you will lose the world along with the hereafter. The world is the harvest field of the Hereafter. Those who do not produce crops in this crop field will lose the Hereafter. </v>
      </c>
      <c r="F3724" s="1"/>
      <c r="G3724" s="1"/>
      <c r="H3724" s="1"/>
      <c r="I3724" s="1"/>
    </row>
    <row r="3725" spans="1:9" ht="15.6" x14ac:dyDescent="0.3">
      <c r="A3725" s="1" t="s">
        <v>4</v>
      </c>
      <c r="B3725" s="1" t="s">
        <v>5</v>
      </c>
      <c r="C3725" s="10" t="s">
        <v>4</v>
      </c>
      <c r="D3725" s="5" t="s">
        <v>3316</v>
      </c>
      <c r="E3725" s="1" t="str">
        <f ca="1">IFERROR(__xludf.DUMMYFUNCTION("GOOGLETRANSLATE(D3725, ""bn"", ""en"")"),"Rasulullah (SAW) picked up a piece of meat and gave it to his mouth. Immediately the meat said, O Messenger of Allah (PBUH), poison is mixed with me, you should not eat me. The Prophet (SAW) immediately threw the piece away. And immediately forbade the Co"&amp;"mpanions to eat this meat.")</f>
        <v>Rasulullah (SAW) picked up a piece of meat and gave it to his mouth. Immediately the meat said, O Messenger of Allah (PBUH), poison is mixed with me, you should not eat me. The Prophet (SAW) immediately threw the piece away. And immediately forbade the Companions to eat this meat.</v>
      </c>
      <c r="F3725" s="1"/>
      <c r="G3725" s="1"/>
      <c r="H3725" s="1"/>
      <c r="I3725" s="1"/>
    </row>
    <row r="3726" spans="1:9" ht="15.6" x14ac:dyDescent="0.3">
      <c r="A3726" s="1" t="s">
        <v>9</v>
      </c>
      <c r="B3726" s="1" t="s">
        <v>9</v>
      </c>
      <c r="C3726" s="10" t="s">
        <v>9</v>
      </c>
      <c r="D3726" s="5" t="s">
        <v>3317</v>
      </c>
      <c r="E3726" s="1" t="str">
        <f ca="1">IFERROR(__xludf.DUMMYFUNCTION("GOOGLETRANSLATE(D3726, ""bn"", ""en"")"),"A man named Ariful Islam came on a motorcycle and vandalized the idol in the temple with sticks and sharp weapons. The temple had two Lakshmi temples, a Kali temple and a Shiva temple.")</f>
        <v>A man named Ariful Islam came on a motorcycle and vandalized the idol in the temple with sticks and sharp weapons. The temple had two Lakshmi temples, a Kali temple and a Shiva temple.</v>
      </c>
      <c r="F3726" s="1"/>
      <c r="G3726" s="1"/>
      <c r="H3726" s="1"/>
      <c r="I3726" s="1"/>
    </row>
    <row r="3727" spans="1:9" ht="15.6" x14ac:dyDescent="0.3">
      <c r="A3727" s="1" t="s">
        <v>7</v>
      </c>
      <c r="B3727" s="1" t="s">
        <v>7</v>
      </c>
      <c r="C3727" s="10" t="s">
        <v>7</v>
      </c>
      <c r="D3727" s="5" t="s">
        <v>3318</v>
      </c>
      <c r="E3727" s="1" t="str">
        <f ca="1">IFERROR(__xludf.DUMMYFUNCTION("GOOGLETRANSLATE(D3727, ""bn"", ""en"")"),"Advocacy of satim, which involves forcing or forcing someone to die by way of satim, is punishable by the death penalty or life imprisonment, while glorifying satim is punishable by one to seven years in prison.")</f>
        <v>Advocacy of satim, which involves forcing or forcing someone to die by way of satim, is punishable by the death penalty or life imprisonment, while glorifying satim is punishable by one to seven years in prison.</v>
      </c>
      <c r="F3727" s="1"/>
      <c r="G3727" s="1"/>
      <c r="H3727" s="1"/>
      <c r="I3727" s="1"/>
    </row>
    <row r="3728" spans="1:9" ht="15.6" x14ac:dyDescent="0.3">
      <c r="A3728" s="1" t="s">
        <v>4</v>
      </c>
      <c r="B3728" s="1" t="s">
        <v>4</v>
      </c>
      <c r="C3728" s="10" t="s">
        <v>4</v>
      </c>
      <c r="D3728" s="5" t="s">
        <v>3319</v>
      </c>
      <c r="E3728" s="1" t="str">
        <f ca="1">IFERROR(__xludf.DUMMYFUNCTION("GOOGLETRANSLATE(D3728, ""bn"", ""en"")"),"Strongly condemn such heinous act. Burning the Holy Quran cannot be a means of free expression. No one should be allowed to do that in a civilized country irrespective of religion. Unfortunately, this happened in so called civilized countries..alas! Civil"&amp;"ized countries and people for freedom of expression.")</f>
        <v>Strongly condemn such heinous act. Burning the Holy Quran cannot be a means of free expression. No one should be allowed to do that in a civilized country irrespective of religion. Unfortunately, this happened in so called civilized countries..alas! Civilized countries and people for freedom of expression.</v>
      </c>
      <c r="F3728" s="1"/>
      <c r="G3728" s="1"/>
      <c r="H3728" s="1"/>
      <c r="I3728" s="1"/>
    </row>
    <row r="3729" spans="1:9" ht="15.6" x14ac:dyDescent="0.3">
      <c r="A3729" s="1" t="s">
        <v>4</v>
      </c>
      <c r="B3729" s="1" t="s">
        <v>5</v>
      </c>
      <c r="C3729" s="10" t="s">
        <v>4</v>
      </c>
      <c r="D3729" s="5" t="s">
        <v>3320</v>
      </c>
      <c r="E3729" s="1" t="str">
        <f ca="1">IFERROR(__xludf.DUMMYFUNCTION("GOOGLETRANSLATE(D3729, ""bn"", ""en"")"),"Harassing/insulting Chanchal Chowdhury in the comment box just because of his Hindu identity and calling Mahmudul Hasan Sohag bhai a militant for his ""dress-up"" or ""taking people to heaven as his life's purpose"" are similar crimes.")</f>
        <v>Harassing/insulting Chanchal Chowdhury in the comment box just because of his Hindu identity and calling Mahmudul Hasan Sohag bhai a militant for his "dress-up" or "taking people to heaven as his life's purpose" are similar crimes.</v>
      </c>
      <c r="F3729" s="1"/>
      <c r="G3729" s="1"/>
      <c r="H3729" s="1"/>
      <c r="I3729" s="1"/>
    </row>
    <row r="3730" spans="1:9" ht="15.6" x14ac:dyDescent="0.3">
      <c r="A3730" s="1" t="s">
        <v>5</v>
      </c>
      <c r="B3730" s="1" t="s">
        <v>5</v>
      </c>
      <c r="C3730" s="10" t="s">
        <v>5</v>
      </c>
      <c r="D3730" s="5" t="s">
        <v>3321</v>
      </c>
      <c r="E3730" s="1" t="str">
        <f ca="1">IFERROR(__xludf.DUMMYFUNCTION("GOOGLETRANSLATE(D3730, ""bn"", ""en"")"),"Although Hindu Shakti maintained its existence in various parts of India, it could not be permanently established on a larger scale. But Bengal was the stronghold of Brahminical power. After the Brahminical power finally receded from Bengal, the political"&amp;" structure evolved in a new way.")</f>
        <v>Although Hindu Shakti maintained its existence in various parts of India, it could not be permanently established on a larger scale. But Bengal was the stronghold of Brahminical power. After the Brahminical power finally receded from Bengal, the political structure evolved in a new way.</v>
      </c>
      <c r="F3730" s="1"/>
      <c r="G3730" s="1"/>
      <c r="H3730" s="1"/>
      <c r="I3730" s="1"/>
    </row>
    <row r="3731" spans="1:9" ht="15.6" x14ac:dyDescent="0.3">
      <c r="A3731" s="1" t="s">
        <v>9</v>
      </c>
      <c r="B3731" s="1" t="s">
        <v>9</v>
      </c>
      <c r="C3731" s="10" t="s">
        <v>9</v>
      </c>
      <c r="D3731" s="5" t="s">
        <v>3322</v>
      </c>
      <c r="E3731" s="1" t="str">
        <f ca="1">IFERROR(__xludf.DUMMYFUNCTION("GOOGLETRANSLATE(D3731, ""bn"", ""en"")"),"At noon, the Muslims took out a procession all over Khulna and shouts came from the procession, 'Kill the Hindus'. [7] The killing of Hindus in Khulna started at around four in the afternoon. [8] After four hours of this horrific situation, the evening la"&amp;"w was promulgated at eight in the night.")</f>
        <v>At noon, the Muslims took out a procession all over Khulna and shouts came from the procession, 'Kill the Hindus'. [7] The killing of Hindus in Khulna started at around four in the afternoon. [8] After four hours of this horrific situation, the evening law was promulgated at eight in the night.</v>
      </c>
      <c r="F3731" s="1"/>
      <c r="G3731" s="1"/>
      <c r="H3731" s="1"/>
      <c r="I3731" s="1"/>
    </row>
    <row r="3732" spans="1:9" ht="15.6" x14ac:dyDescent="0.3">
      <c r="A3732" s="1" t="s">
        <v>9</v>
      </c>
      <c r="B3732" s="1" t="s">
        <v>5</v>
      </c>
      <c r="C3732" s="10" t="s">
        <v>9</v>
      </c>
      <c r="D3732" s="5" t="s">
        <v>3323</v>
      </c>
      <c r="E3732" s="1" t="str">
        <f ca="1">IFERROR(__xludf.DUMMYFUNCTION("GOOGLETRANSLATE(D3732, ""bn"", ""en"")"),"Moreover, it can be seen that after the conquest of Bengal, especially in the northern and eastern regions, thousands of Buddhists and lower-class Hindus could not bear the brutal persecution of the neo-Brahmins and breathed a sigh of relief by accepting "&amp;"Islam.")</f>
        <v>Moreover, it can be seen that after the conquest of Bengal, especially in the northern and eastern regions, thousands of Buddhists and lower-class Hindus could not bear the brutal persecution of the neo-Brahmins and breathed a sigh of relief by accepting Islam.</v>
      </c>
      <c r="F3732" s="1"/>
      <c r="G3732" s="1"/>
      <c r="H3732" s="1"/>
      <c r="I3732" s="1"/>
    </row>
    <row r="3733" spans="1:9" ht="15.6" x14ac:dyDescent="0.3">
      <c r="A3733" s="1" t="s">
        <v>5</v>
      </c>
      <c r="B3733" s="1" t="s">
        <v>5</v>
      </c>
      <c r="C3733" s="10" t="s">
        <v>5</v>
      </c>
      <c r="D3733" s="5" t="s">
        <v>3324</v>
      </c>
      <c r="E3733" s="1" t="str">
        <f ca="1">IFERROR(__xludf.DUMMYFUNCTION("GOOGLETRANSLATE(D3733, ""bn"", ""en"")"),"If a person wants to enter the path of religion, if you don't want to support him, then give him the opportunity to follow his own path.")</f>
        <v>If a person wants to enter the path of religion, if you don't want to support him, then give him the opportunity to follow his own path.</v>
      </c>
      <c r="F3733" s="1"/>
      <c r="G3733" s="1"/>
      <c r="H3733" s="1"/>
      <c r="I3733" s="1"/>
    </row>
    <row r="3734" spans="1:9" ht="15.6" x14ac:dyDescent="0.3">
      <c r="A3734" s="1" t="s">
        <v>5</v>
      </c>
      <c r="B3734" s="1" t="s">
        <v>5</v>
      </c>
      <c r="C3734" s="10" t="s">
        <v>5</v>
      </c>
      <c r="D3734" s="5" t="s">
        <v>3325</v>
      </c>
      <c r="E3734" s="1" t="str">
        <f ca="1">IFERROR(__xludf.DUMMYFUNCTION("GOOGLETRANSLATE(D3734, ""bn"", ""en"")"),"The true nature of Allah was not very clear in their conception. They believed that Allah had other companions whom they worshiped as subordinate deities.")</f>
        <v>The true nature of Allah was not very clear in their conception. They believed that Allah had other companions whom they worshiped as subordinate deities.</v>
      </c>
      <c r="F3734" s="1"/>
      <c r="G3734" s="1"/>
      <c r="H3734" s="1"/>
      <c r="I3734" s="1"/>
    </row>
    <row r="3735" spans="1:9" ht="46.8" x14ac:dyDescent="0.3">
      <c r="A3735" s="1" t="s">
        <v>7</v>
      </c>
      <c r="B3735" s="1" t="s">
        <v>5</v>
      </c>
      <c r="C3735" s="10" t="s">
        <v>7</v>
      </c>
      <c r="D3735" s="6" t="s">
        <v>3628</v>
      </c>
      <c r="E3735" s="1" t="str">
        <f ca="1">IFERROR(__xludf.DUMMYFUNCTION("GOOGLETRANSLATE(D3735, ""bn"", ""en"")"),"Although death is normal, it is not easy for people to accept it. In between, the news of tragic deaths like road accidents, fire, electrocution hurt everyone. Due to accidental death, sometimes the relatives cannot even see the dead body of the loved one"&amp;". Only the relatives of the deceased can feel the pain of not being able to see the dead body of a loved one at the last moment.")</f>
        <v>Although death is normal, it is not easy for people to accept it. In between, the news of tragic deaths like road accidents, fire, electrocution hurt everyone. Due to accidental death, sometimes the relatives cannot even see the dead body of the loved one. Only the relatives of the deceased can feel the pain of not being able to see the dead body of a loved one at the last moment.</v>
      </c>
      <c r="F3735" s="1"/>
      <c r="G3735" s="1"/>
      <c r="H3735" s="1"/>
      <c r="I3735" s="1"/>
    </row>
    <row r="3736" spans="1:9" ht="15.6" x14ac:dyDescent="0.3">
      <c r="A3736" s="1" t="s">
        <v>4</v>
      </c>
      <c r="B3736" s="1" t="s">
        <v>4</v>
      </c>
      <c r="C3736" s="10" t="s">
        <v>4</v>
      </c>
      <c r="D3736" s="5" t="s">
        <v>3326</v>
      </c>
      <c r="E3736" s="1" t="str">
        <f ca="1">IFERROR(__xludf.DUMMYFUNCTION("GOOGLETRANSLATE(D3736, ""bn"", ""en"")"),"It is the Muslims who are doing Islam hatred, Muslims are being beaten by neighboring countries. There are no Hindu-Muslim fights or riots in our country. Muslims, Buddhists, Christians do not riot. ")</f>
        <v xml:space="preserve">It is the Muslims who are doing Islam hatred, Muslims are being beaten by neighboring countries. There are no Hindu-Muslim fights or riots in our country. Muslims, Buddhists, Christians do not riot. </v>
      </c>
      <c r="F3736" s="1"/>
      <c r="G3736" s="1"/>
      <c r="H3736" s="1"/>
      <c r="I3736" s="1"/>
    </row>
    <row r="3737" spans="1:9" ht="15.6" x14ac:dyDescent="0.3">
      <c r="A3737" s="1" t="s">
        <v>4</v>
      </c>
      <c r="B3737" s="1" t="s">
        <v>4</v>
      </c>
      <c r="C3737" s="10" t="s">
        <v>4</v>
      </c>
      <c r="D3737" s="5" t="s">
        <v>3327</v>
      </c>
      <c r="E3737" s="1" t="str">
        <f ca="1">IFERROR(__xludf.DUMMYFUNCTION("GOOGLETRANSLATE(D3737, ""bn"", ""en"")"),"I knew it was a religion-caste neutral state. Now I see day by day it is becoming an anti-Islamic state.")</f>
        <v>I knew it was a religion-caste neutral state. Now I see day by day it is becoming an anti-Islamic state.</v>
      </c>
      <c r="F3737" s="1"/>
      <c r="G3737" s="1"/>
      <c r="H3737" s="1"/>
      <c r="I3737" s="1"/>
    </row>
    <row r="3738" spans="1:9" ht="15.6" x14ac:dyDescent="0.3">
      <c r="A3738" s="1" t="s">
        <v>7</v>
      </c>
      <c r="B3738" s="1" t="s">
        <v>7</v>
      </c>
      <c r="C3738" s="10" t="s">
        <v>7</v>
      </c>
      <c r="D3738" s="5" t="s">
        <v>3328</v>
      </c>
      <c r="E3738" s="1" t="str">
        <f ca="1">IFERROR(__xludf.DUMMYFUNCTION("GOOGLETRANSLATE(D3738, ""bn"", ""en"")")," The use of petrol and kerosene suggests that this barbaric attack on Hindus was pre-planned and well-organised.")</f>
        <v> The use of petrol and kerosene suggests that this barbaric attack on Hindus was pre-planned and well-organised.</v>
      </c>
      <c r="F3738" s="1"/>
      <c r="G3738" s="1"/>
      <c r="H3738" s="1"/>
      <c r="I3738" s="1"/>
    </row>
    <row r="3739" spans="1:9" ht="15.6" x14ac:dyDescent="0.3">
      <c r="A3739" s="1" t="s">
        <v>7</v>
      </c>
      <c r="B3739" s="1" t="s">
        <v>7</v>
      </c>
      <c r="C3739" s="10" t="s">
        <v>7</v>
      </c>
      <c r="D3739" s="5" t="s">
        <v>3329</v>
      </c>
      <c r="E3739" s="1" t="str">
        <f ca="1">IFERROR(__xludf.DUMMYFUNCTION("GOOGLETRANSLATE(D3739, ""bn"", ""en"")"),"A steamer company in Fenchuganj was looted and set on fire. A Hindu named Pulin Dey was killed in Ilaspur. Muslims looted and burnt the residence of Ambika Kabiraj and Makhan Sen in Majigaon area under Fenchuganj police station.")</f>
        <v>A steamer company in Fenchuganj was looted and set on fire. A Hindu named Pulin Dey was killed in Ilaspur. Muslims looted and burnt the residence of Ambika Kabiraj and Makhan Sen in Majigaon area under Fenchuganj police station.</v>
      </c>
      <c r="F3739" s="1"/>
      <c r="G3739" s="1"/>
      <c r="H3739" s="1"/>
      <c r="I3739" s="1"/>
    </row>
    <row r="3740" spans="1:9" ht="15.6" x14ac:dyDescent="0.3">
      <c r="A3740" s="1" t="s">
        <v>9</v>
      </c>
      <c r="B3740" s="1" t="s">
        <v>4</v>
      </c>
      <c r="C3740" s="10" t="s">
        <v>9</v>
      </c>
      <c r="D3740" s="5" t="s">
        <v>3330</v>
      </c>
      <c r="E3740" s="1" t="str">
        <f ca="1">IFERROR(__xludf.DUMMYFUNCTION("GOOGLETRANSLATE(D3740, ""bn"", ""en"")"),"The organization of religious minorities in Bangladesh has complained that by spreading rumors of insulting religion in Bangladesh, the houses of minorities have been vandalized and set on fire in various parts of the country, creating an alarming situati"&amp;"on.")</f>
        <v>The organization of religious minorities in Bangladesh has complained that by spreading rumors of insulting religion in Bangladesh, the houses of minorities have been vandalized and set on fire in various parts of the country, creating an alarming situation.</v>
      </c>
      <c r="F3740" s="1"/>
      <c r="G3740" s="1"/>
      <c r="H3740" s="1"/>
      <c r="I3740" s="1"/>
    </row>
    <row r="3741" spans="1:9" ht="15.6" x14ac:dyDescent="0.3">
      <c r="A3741" s="1" t="s">
        <v>5</v>
      </c>
      <c r="B3741" s="1" t="s">
        <v>5</v>
      </c>
      <c r="C3741" s="10" t="s">
        <v>5</v>
      </c>
      <c r="D3741" s="5" t="s">
        <v>3331</v>
      </c>
      <c r="E3741" s="1" t="str">
        <f ca="1">IFERROR(__xludf.DUMMYFUNCTION("GOOGLETRANSLATE(D3741, ""bn"", ""en"")"),"In 2011, the government passed the Religious Welfare Trusts (Amendment) Act, which provides funding for newly formed Christian Religious Welfare Trusts under the Christian Religious Welfare Trusts Ordinance, 1983.")</f>
        <v>In 2011, the government passed the Religious Welfare Trusts (Amendment) Act, which provides funding for newly formed Christian Religious Welfare Trusts under the Christian Religious Welfare Trusts Ordinance, 1983.</v>
      </c>
      <c r="F3741" s="1"/>
      <c r="G3741" s="1"/>
      <c r="H3741" s="1"/>
      <c r="I3741" s="1"/>
    </row>
    <row r="3742" spans="1:9" ht="15.6" x14ac:dyDescent="0.3">
      <c r="A3742" s="1" t="s">
        <v>4</v>
      </c>
      <c r="B3742" s="1" t="s">
        <v>4</v>
      </c>
      <c r="C3742" s="10" t="s">
        <v>4</v>
      </c>
      <c r="D3742" s="5" t="s">
        <v>3332</v>
      </c>
      <c r="E3742" s="1" t="str">
        <f ca="1">IFERROR(__xludf.DUMMYFUNCTION("GOOGLETRANSLATE(D3742, ""bn"", ""en"")"),"Munawar did not become famous by doing standup comedy Became famous for making provocative speeches about religion")</f>
        <v>Munawar did not become famous by doing standup comedy Became famous for making provocative speeches about religion</v>
      </c>
      <c r="F3742" s="1"/>
      <c r="G3742" s="1"/>
      <c r="H3742" s="1"/>
      <c r="I3742" s="1"/>
    </row>
    <row r="3743" spans="1:9" ht="15.6" x14ac:dyDescent="0.3">
      <c r="A3743" s="1" t="s">
        <v>9</v>
      </c>
      <c r="B3743" s="1" t="s">
        <v>9</v>
      </c>
      <c r="C3743" s="10" t="s">
        <v>9</v>
      </c>
      <c r="D3743" s="5" t="s">
        <v>3333</v>
      </c>
      <c r="E3743" s="1" t="str">
        <f ca="1">IFERROR(__xludf.DUMMYFUNCTION("GOOGLETRANSLATE(D3743, ""bn"", ""en"")"),"On April 11, a Hindu house was set on fire and a temple located half a kilometer away from the house was also vandalized in Ambarbunia village of Bagerhat Morelganj on charges of blasphemy on Facebook. Police arrested seven people involved in the incident"&amp;" on April 12.[")</f>
        <v>On April 11, a Hindu house was set on fire and a temple located half a kilometer away from the house was also vandalized in Ambarbunia village of Bagerhat Morelganj on charges of blasphemy on Facebook. Police arrested seven people involved in the incident on April 12.[</v>
      </c>
      <c r="F3743" s="1"/>
      <c r="G3743" s="1"/>
      <c r="H3743" s="1"/>
      <c r="I3743" s="1"/>
    </row>
    <row r="3744" spans="1:9" ht="15.6" x14ac:dyDescent="0.3">
      <c r="A3744" s="1" t="s">
        <v>9</v>
      </c>
      <c r="B3744" s="1" t="s">
        <v>9</v>
      </c>
      <c r="C3744" s="10" t="s">
        <v>9</v>
      </c>
      <c r="D3744" s="5" t="s">
        <v>3334</v>
      </c>
      <c r="E3744" s="1" t="str">
        <f ca="1">IFERROR(__xludf.DUMMYFUNCTION("GOOGLETRANSLATE(D3744, ""bn"", ""en"")"),"Everything about the Pooja Mandapam incident in Comilla and what has happened since then is deplorable. Indiscriminate attacks in various districts have affected, scared or demoralized Hindu people, the sense of self-esteem has definitely been hurt.")</f>
        <v>Everything about the Pooja Mandapam incident in Comilla and what has happened since then is deplorable. Indiscriminate attacks in various districts have affected, scared or demoralized Hindu people, the sense of self-esteem has definitely been hurt.</v>
      </c>
      <c r="F3744" s="1"/>
      <c r="G3744" s="1"/>
      <c r="H3744" s="1"/>
      <c r="I3744" s="1"/>
    </row>
    <row r="3745" spans="1:9" ht="15.6" x14ac:dyDescent="0.3">
      <c r="A3745" s="1" t="s">
        <v>9</v>
      </c>
      <c r="B3745" s="1" t="s">
        <v>9</v>
      </c>
      <c r="C3745" s="10" t="s">
        <v>9</v>
      </c>
      <c r="D3745" s="5" t="s">
        <v>3335</v>
      </c>
      <c r="E3745" s="1" t="str">
        <f ca="1">IFERROR(__xludf.DUMMYFUNCTION("GOOGLETRANSLATE(D3745, ""bn"", ""en"")"),"Although there are frequent conflicts, the country is now somewhat supportive of the Hindu minority. [69] Here Hindus were subjected to forced conversion by Christian missionaries.")</f>
        <v>Although there are frequent conflicts, the country is now somewhat supportive of the Hindu minority. [69] Here Hindus were subjected to forced conversion by Christian missionaries.</v>
      </c>
      <c r="F3745" s="1"/>
      <c r="G3745" s="1"/>
      <c r="H3745" s="1"/>
      <c r="I3745" s="1"/>
    </row>
    <row r="3746" spans="1:9" ht="15.6" x14ac:dyDescent="0.3">
      <c r="A3746" s="1" t="s">
        <v>5</v>
      </c>
      <c r="B3746" s="1" t="s">
        <v>5</v>
      </c>
      <c r="C3746" s="10" t="s">
        <v>5</v>
      </c>
      <c r="D3746" s="5" t="s">
        <v>3336</v>
      </c>
      <c r="E3746" s="1" t="str">
        <f ca="1">IFERROR(__xludf.DUMMYFUNCTION("GOOGLETRANSLATE(D3746, ""bn"", ""en"")"),"By obeying Allah's instructions, we achieve true success, thereby paving the way for our salvation in the Hereafter.")</f>
        <v>By obeying Allah's instructions, we achieve true success, thereby paving the way for our salvation in the Hereafter.</v>
      </c>
      <c r="F3746" s="1"/>
      <c r="G3746" s="1"/>
      <c r="H3746" s="1"/>
      <c r="I3746" s="1"/>
    </row>
    <row r="3747" spans="1:9" ht="15.6" x14ac:dyDescent="0.3">
      <c r="A3747" s="1" t="s">
        <v>4</v>
      </c>
      <c r="B3747" s="1" t="s">
        <v>5</v>
      </c>
      <c r="C3747" s="10" t="s">
        <v>4</v>
      </c>
      <c r="D3747" s="5" t="s">
        <v>3337</v>
      </c>
      <c r="E3747" s="1" t="str">
        <f ca="1">IFERROR(__xludf.DUMMYFUNCTION("GOOGLETRANSLATE(D3747, ""bn"", ""en"")"),"May Allah preserve our holy Al-Qur'an, turn Sweden into a city like Italy, Ameen.")</f>
        <v>May Allah preserve our holy Al-Qur'an, turn Sweden into a city like Italy, Ameen.</v>
      </c>
      <c r="F3747" s="1"/>
      <c r="G3747" s="1"/>
      <c r="H3747" s="1"/>
      <c r="I3747" s="1"/>
    </row>
    <row r="3748" spans="1:9" ht="15.6" x14ac:dyDescent="0.3">
      <c r="A3748" s="1" t="s">
        <v>5</v>
      </c>
      <c r="B3748" s="1" t="s">
        <v>5</v>
      </c>
      <c r="C3748" s="10" t="s">
        <v>5</v>
      </c>
      <c r="D3748" s="5" t="s">
        <v>3338</v>
      </c>
      <c r="E3748" s="1" t="str">
        <f ca="1">IFERROR(__xludf.DUMMYFUNCTION("GOOGLETRANSLATE(D3748, ""bn"", ""en"")"),"Whatever the religion, the purpose of practicing religion is to gain the pleasure of the Creator. ")</f>
        <v xml:space="preserve">Whatever the religion, the purpose of practicing religion is to gain the pleasure of the Creator. </v>
      </c>
      <c r="F3748" s="1"/>
      <c r="G3748" s="1"/>
      <c r="H3748" s="1"/>
      <c r="I3748" s="1"/>
    </row>
    <row r="3749" spans="1:9" ht="15.6" x14ac:dyDescent="0.3">
      <c r="A3749" s="1" t="s">
        <v>9</v>
      </c>
      <c r="B3749" s="1" t="s">
        <v>9</v>
      </c>
      <c r="C3749" s="10" t="s">
        <v>9</v>
      </c>
      <c r="D3749" s="5" t="s">
        <v>3339</v>
      </c>
      <c r="E3749" s="1" t="str">
        <f ca="1">IFERROR(__xludf.DUMMYFUNCTION("GOOGLETRANSLATE(D3749, ""bn"", ""en"")"),"Apostate behavior is a very unrecognized incarnation before humanity. We are bound to be able to take protection against tyranny and bigotry in the name of religion.")</f>
        <v>Apostate behavior is a very unrecognized incarnation before humanity. We are bound to be able to take protection against tyranny and bigotry in the name of religion.</v>
      </c>
      <c r="F3749" s="1"/>
      <c r="G3749" s="1"/>
      <c r="H3749" s="1"/>
      <c r="I3749" s="1"/>
    </row>
    <row r="3750" spans="1:9" ht="15.6" x14ac:dyDescent="0.3">
      <c r="A3750" s="1" t="s">
        <v>5</v>
      </c>
      <c r="B3750" s="1" t="s">
        <v>5</v>
      </c>
      <c r="C3750" s="10" t="s">
        <v>5</v>
      </c>
      <c r="D3750" s="5" t="s">
        <v>3340</v>
      </c>
      <c r="E3750" s="1" t="str">
        <f ca="1">IFERROR(__xludf.DUMMYFUNCTION("GOOGLETRANSLATE(D3750, ""bn"", ""en"")"),"Good and bad destiny of man is determined by Allah. Allah says, 'I have created everything in measure, My command is complete in a word, like the twinkling of an eye.")</f>
        <v>Good and bad destiny of man is determined by Allah. Allah says, 'I have created everything in measure, My command is complete in a word, like the twinkling of an eye.</v>
      </c>
      <c r="F3750" s="1"/>
      <c r="G3750" s="1"/>
      <c r="H3750" s="1"/>
      <c r="I3750" s="1"/>
    </row>
    <row r="3751" spans="1:9" ht="15.6" x14ac:dyDescent="0.3">
      <c r="A3751" s="1" t="s">
        <v>7</v>
      </c>
      <c r="B3751" s="1" t="s">
        <v>7</v>
      </c>
      <c r="C3751" s="10" t="s">
        <v>7</v>
      </c>
      <c r="D3751" s="5" t="s">
        <v>3341</v>
      </c>
      <c r="E3751" s="1" t="str">
        <f ca="1">IFERROR(__xludf.DUMMYFUNCTION("GOOGLETRANSLATE(D3751, ""bn"", ""en"")"),"Where suicide is a great sin, how can good be gained by committing this great sin?")</f>
        <v>Where suicide is a great sin, how can good be gained by committing this great sin?</v>
      </c>
      <c r="F3751" s="1"/>
      <c r="G3751" s="1"/>
      <c r="H3751" s="1"/>
      <c r="I3751" s="1"/>
    </row>
    <row r="3752" spans="1:9" ht="15.6" x14ac:dyDescent="0.3">
      <c r="A3752" s="1" t="s">
        <v>4</v>
      </c>
      <c r="B3752" s="1" t="s">
        <v>5</v>
      </c>
      <c r="C3752" s="10" t="s">
        <v>4</v>
      </c>
      <c r="D3752" s="5" t="s">
        <v>3342</v>
      </c>
      <c r="E3752" s="1" t="str">
        <f ca="1">IFERROR(__xludf.DUMMYFUNCTION("GOOGLETRANSLATE(D3752, ""bn"", ""en"")"),"How bad are they? What can I say? I heard again that they are not Muslims. Seriously, how bad is anyone?")</f>
        <v>How bad are they? What can I say? I heard again that they are not Muslims. Seriously, how bad is anyone?</v>
      </c>
      <c r="F3752" s="1"/>
      <c r="G3752" s="1"/>
      <c r="H3752" s="1"/>
      <c r="I3752" s="1"/>
    </row>
    <row r="3753" spans="1:9" ht="15.6" x14ac:dyDescent="0.3">
      <c r="A3753" s="1" t="s">
        <v>4</v>
      </c>
      <c r="B3753" s="1" t="s">
        <v>4</v>
      </c>
      <c r="C3753" s="10" t="s">
        <v>4</v>
      </c>
      <c r="D3753" s="5" t="s">
        <v>3343</v>
      </c>
      <c r="E3753" s="1" t="str">
        <f ca="1">IFERROR(__xludf.DUMMYFUNCTION("GOOGLETRANSLATE(D3753, ""bn"", ""en"")"),"1 person arrested on the charge of occupying the property of Shiva temple in Jessore")</f>
        <v>1 person arrested on the charge of occupying the property of Shiva temple in Jessore</v>
      </c>
      <c r="F3753" s="1"/>
      <c r="G3753" s="1"/>
      <c r="H3753" s="1"/>
      <c r="I3753" s="1"/>
    </row>
    <row r="3754" spans="1:9" ht="15.6" x14ac:dyDescent="0.3">
      <c r="A3754" s="4" t="s">
        <v>7</v>
      </c>
      <c r="B3754" s="4" t="s">
        <v>7</v>
      </c>
      <c r="C3754" s="11" t="s">
        <v>7</v>
      </c>
      <c r="D3754" s="5" t="s">
        <v>3344</v>
      </c>
      <c r="E3754" s="1" t="str">
        <f ca="1">IFERROR(__xludf.DUMMYFUNCTION("GOOGLETRANSLATE(D3754, ""bn"", ""en"")"),"The number of people killed and property destroyed in the explosion of violence between Hindus and Muslims in Calcutta on August 16 that year was unprecedented in the past.")</f>
        <v>The number of people killed and property destroyed in the explosion of violence between Hindus and Muslims in Calcutta on August 16 that year was unprecedented in the past.</v>
      </c>
      <c r="F3754" s="1"/>
      <c r="G3754" s="1"/>
      <c r="H3754" s="1"/>
      <c r="I3754" s="1"/>
    </row>
    <row r="3755" spans="1:9" ht="46.8" x14ac:dyDescent="0.3">
      <c r="A3755" s="1" t="s">
        <v>9</v>
      </c>
      <c r="B3755" s="1" t="s">
        <v>9</v>
      </c>
      <c r="C3755" s="10" t="s">
        <v>9</v>
      </c>
      <c r="D3755" s="6" t="s">
        <v>3627</v>
      </c>
      <c r="E3755" s="1" t="str">
        <f ca="1">IFERROR(__xludf.DUMMYFUNCTION("GOOGLETRANSLATE(D3755, ""bn"", ""en"")"),"The new section of the law makes it illegal to make insulting comments against a prominent figure in Islam, 'deliberately' desecrating the Koran is punishable by life imprisonment and, later, insulting the Prophet Muhammad is punishable by life imprisonme"&amp;"nt or the death penalty.")</f>
        <v>The new section of the law makes it illegal to make insulting comments against a prominent figure in Islam, 'deliberately' desecrating the Koran is punishable by life imprisonment and, later, insulting the Prophet Muhammad is punishable by life imprisonment or the death penalty.</v>
      </c>
      <c r="F3755" s="1"/>
      <c r="G3755" s="1"/>
      <c r="H3755" s="1"/>
      <c r="I3755" s="1"/>
    </row>
    <row r="3756" spans="1:9" ht="15.6" x14ac:dyDescent="0.3">
      <c r="A3756" s="1" t="s">
        <v>7</v>
      </c>
      <c r="B3756" s="1" t="s">
        <v>7</v>
      </c>
      <c r="C3756" s="10" t="s">
        <v>7</v>
      </c>
      <c r="D3756" s="5" t="s">
        <v>3345</v>
      </c>
      <c r="E3756" s="1" t="str">
        <f ca="1">IFERROR(__xludf.DUMMYFUNCTION("GOOGLETRANSLATE(D3756, ""bn"", ""en"")"),"The Jathivhanga massacre was a massacre of Bengali Hindus and Rajvanshi communities by the Pakistani Army and their local allies, the Rajakars, on 23 April 1971 in the Jathibhanga area of ​​Thakurgaon Sub-Division of Greater Dinajpur District.")</f>
        <v>The Jathivhanga massacre was a massacre of Bengali Hindus and Rajvanshi communities by the Pakistani Army and their local allies, the Rajakars, on 23 April 1971 in the Jathibhanga area of ​​Thakurgaon Sub-Division of Greater Dinajpur District.</v>
      </c>
      <c r="F3756" s="1"/>
      <c r="G3756" s="1"/>
      <c r="H3756" s="1"/>
      <c r="I3756" s="1"/>
    </row>
    <row r="3757" spans="1:9" ht="31.2" x14ac:dyDescent="0.3">
      <c r="A3757" s="1" t="s">
        <v>5</v>
      </c>
      <c r="B3757" s="1" t="s">
        <v>5</v>
      </c>
      <c r="C3757" s="10" t="s">
        <v>5</v>
      </c>
      <c r="D3757" s="6" t="s">
        <v>3626</v>
      </c>
      <c r="E3757" s="1" t="str">
        <f ca="1">IFERROR(__xludf.DUMMYFUNCTION("GOOGLETRANSLATE(D3757, ""bn"", ""en"")"),"His government has always tried to maintain the religious and communal harmony of Bangladesh and to maintain a social harmony - where one does not violate the rights of another and all people enjoy equal rights.")</f>
        <v>His government has always tried to maintain the religious and communal harmony of Bangladesh and to maintain a social harmony - where one does not violate the rights of another and all people enjoy equal rights.</v>
      </c>
      <c r="F3757" s="1"/>
      <c r="G3757" s="1"/>
      <c r="H3757" s="1"/>
      <c r="I3757" s="1"/>
    </row>
    <row r="3758" spans="1:9" ht="15.6" x14ac:dyDescent="0.3">
      <c r="A3758" s="1" t="s">
        <v>9</v>
      </c>
      <c r="B3758" s="1" t="s">
        <v>9</v>
      </c>
      <c r="C3758" s="10" t="s">
        <v>9</v>
      </c>
      <c r="D3758" s="5" t="s">
        <v>3346</v>
      </c>
      <c r="E3758" s="1" t="str">
        <f ca="1">IFERROR(__xludf.DUMMYFUNCTION("GOOGLETRANSLATE(D3758, ""bn"", ""en"")"),"Hezbollah has warned that if attacks on civilians in Gaza do not stop, the war will spread across the region.")</f>
        <v>Hezbollah has warned that if attacks on civilians in Gaza do not stop, the war will spread across the region.</v>
      </c>
      <c r="F3758" s="1"/>
      <c r="G3758" s="1"/>
      <c r="H3758" s="1"/>
      <c r="I3758" s="1"/>
    </row>
    <row r="3759" spans="1:9" ht="15.6" x14ac:dyDescent="0.3">
      <c r="A3759" s="1" t="s">
        <v>9</v>
      </c>
      <c r="B3759" s="1" t="s">
        <v>9</v>
      </c>
      <c r="C3759" s="10" t="s">
        <v>9</v>
      </c>
      <c r="D3759" s="5" t="s">
        <v>3347</v>
      </c>
      <c r="E3759" s="1" t="str">
        <f ca="1">IFERROR(__xludf.DUMMYFUNCTION("GOOGLETRANSLATE(D3759, ""bn"", ""en"")"),"In 1962, due to Hindu-Muslim riots in Darusa village of neighboring Paba police station, five-six Hindu houses were burnt in Yugisho village. After this incident, a peace committee consisting of individuals from both Hindu and Muslim communities was forme"&amp;"d to prevent attacks on Hindus.")</f>
        <v>In 1962, due to Hindu-Muslim riots in Darusa village of neighboring Paba police station, five-six Hindu houses were burnt in Yugisho village. After this incident, a peace committee consisting of individuals from both Hindu and Muslim communities was formed to prevent attacks on Hindus.</v>
      </c>
      <c r="F3759" s="1"/>
      <c r="G3759" s="1"/>
      <c r="H3759" s="1"/>
      <c r="I3759" s="1"/>
    </row>
    <row r="3760" spans="1:9" ht="46.8" x14ac:dyDescent="0.3">
      <c r="A3760" s="1" t="s">
        <v>9</v>
      </c>
      <c r="B3760" s="1" t="s">
        <v>4</v>
      </c>
      <c r="C3760" s="10" t="s">
        <v>9</v>
      </c>
      <c r="D3760" s="6" t="s">
        <v>3625</v>
      </c>
      <c r="E3760" s="1" t="str">
        <f ca="1">IFERROR(__xludf.DUMMYFUNCTION("GOOGLETRANSLATE(D3760, ""bn"", ""en"")"),"Islam and its culture are more of a headache for people of Muslim origin. If Islam is expelled from this country, Muslims are responsible. It is the Muslims who are doing Islam hatred, Muslims are being beaten by neighboring countries. There are no Hindu-"&amp;"Muslim fights or riots in our country. Muslims, Buddhists, Christians do not riot. ")</f>
        <v xml:space="preserve">Islam and its culture are more of a headache for people of Muslim origin. If Islam is expelled from this country, Muslims are responsible. It is the Muslims who are doing Islam hatred, Muslims are being beaten by neighboring countries. There are no Hindu-Muslim fights or riots in our country. Muslims, Buddhists, Christians do not riot. </v>
      </c>
      <c r="F3760" s="1"/>
      <c r="G3760" s="1"/>
      <c r="H3760" s="1"/>
      <c r="I3760" s="1"/>
    </row>
    <row r="3761" spans="1:9" ht="62.4" x14ac:dyDescent="0.3">
      <c r="A3761" s="1" t="s">
        <v>7</v>
      </c>
      <c r="B3761" s="1" t="s">
        <v>7</v>
      </c>
      <c r="C3761" s="10" t="s">
        <v>7</v>
      </c>
      <c r="D3761" s="6" t="s">
        <v>3624</v>
      </c>
      <c r="E3761" s="1" t="str">
        <f ca="1">IFERROR(__xludf.DUMMYFUNCTION("GOOGLETRANSLATE(D3761, ""bn"", ""en"")")," When some of the women started screaming after witnessing the brutal killing, they were beaten with guns and injured. Many of them fainted. The Pakistanis piled the bodies together and set them on fire with petrol. Those who were injured also died in the"&amp;" fire. Witnesses mentioned that some women and children were burnt in the fire. Pakistani soldiers asked some to say ""Jai Bangla"" and then shot them in the face")</f>
        <v> When some of the women started screaming after witnessing the brutal killing, they were beaten with guns and injured. Many of them fainted. The Pakistanis piled the bodies together and set them on fire with petrol. Those who were injured also died in the fire. Witnesses mentioned that some women and children were burnt in the fire. Pakistani soldiers asked some to say "Jai Bangla" and then shot them in the face</v>
      </c>
      <c r="F3761" s="1"/>
      <c r="G3761" s="1"/>
      <c r="H3761" s="1"/>
      <c r="I3761" s="1"/>
    </row>
    <row r="3762" spans="1:9" ht="15.6" x14ac:dyDescent="0.3">
      <c r="A3762" s="4" t="s">
        <v>7</v>
      </c>
      <c r="B3762" s="4" t="s">
        <v>7</v>
      </c>
      <c r="C3762" s="11" t="s">
        <v>7</v>
      </c>
      <c r="D3762" s="5" t="s">
        <v>3348</v>
      </c>
      <c r="E3762" s="1" t="str">
        <f ca="1">IFERROR(__xludf.DUMMYFUNCTION("GOOGLETRANSLATE(D3762, ""bn"", ""en"")"),"Six days later the same court acquitted five non-Christians, who were being tried for rioting and burning a Christian house after the murder. Sajan George, president of the Global Council of Indian Christians, alleged that the court was biased against the"&amp;" Christian minority.")</f>
        <v>Six days later the same court acquitted five non-Christians, who were being tried for rioting and burning a Christian house after the murder. Sajan George, president of the Global Council of Indian Christians, alleged that the court was biased against the Christian minority.</v>
      </c>
      <c r="F3762" s="1"/>
      <c r="G3762" s="1"/>
      <c r="H3762" s="1"/>
      <c r="I3762" s="1"/>
    </row>
    <row r="3763" spans="1:9" ht="15.6" x14ac:dyDescent="0.3">
      <c r="A3763" s="1" t="s">
        <v>4</v>
      </c>
      <c r="B3763" s="1" t="s">
        <v>4</v>
      </c>
      <c r="C3763" s="10" t="s">
        <v>4</v>
      </c>
      <c r="D3763" s="5" t="s">
        <v>3349</v>
      </c>
      <c r="E3763" s="1" t="str">
        <f ca="1">IFERROR(__xludf.DUMMYFUNCTION("GOOGLETRANSLATE(D3763, ""bn"", ""en"")"),"A group of Razakas forcibly converted about 200 Hindus to Islam in the Shankharikathi market. [2] Hindus were given Islamic names and forced to eat beef, considered a religious practice by Hindus.")</f>
        <v>A group of Razakas forcibly converted about 200 Hindus to Islam in the Shankharikathi market. [2] Hindus were given Islamic names and forced to eat beef, considered a religious practice by Hindus.</v>
      </c>
      <c r="F3763" s="1"/>
      <c r="G3763" s="1"/>
      <c r="H3763" s="1"/>
      <c r="I3763" s="1"/>
    </row>
    <row r="3764" spans="1:9" ht="15.6" x14ac:dyDescent="0.3">
      <c r="A3764" s="1" t="s">
        <v>5</v>
      </c>
      <c r="B3764" s="1" t="s">
        <v>5</v>
      </c>
      <c r="C3764" s="10" t="s">
        <v>5</v>
      </c>
      <c r="D3764" s="5" t="s">
        <v>3350</v>
      </c>
      <c r="E3764" s="1" t="str">
        <f ca="1">IFERROR(__xludf.DUMMYFUNCTION("GOOGLETRANSLATE(D3764, ""bn"", ""en"")"),"Christianity came to Bangladesh through Portuguese traders and missionaries between the 16th and early 17th centuries. Christians constitute about 0.4 percent of the total population ")</f>
        <v>Christianity came to Bangladesh through Portuguese traders and missionaries between the 16th and early 17th centuries. Christians constitute about 0.4 percent of the total population </v>
      </c>
      <c r="F3764" s="1"/>
      <c r="G3764" s="1"/>
      <c r="H3764" s="1"/>
      <c r="I3764" s="1"/>
    </row>
    <row r="3765" spans="1:9" ht="15.6" x14ac:dyDescent="0.3">
      <c r="A3765" s="1" t="s">
        <v>5</v>
      </c>
      <c r="B3765" s="1" t="s">
        <v>5</v>
      </c>
      <c r="C3765" s="10" t="s">
        <v>5</v>
      </c>
      <c r="D3765" s="5" t="s">
        <v>3351</v>
      </c>
      <c r="E3765" s="1" t="str">
        <f ca="1">IFERROR(__xludf.DUMMYFUNCTION("GOOGLETRANSLATE(D3765, ""bn"", ""en"")"),"I greatly appreciated them. Because they did not alienate. But today I am very sad.")</f>
        <v>I greatly appreciated them. Because they did not alienate. But today I am very sad.</v>
      </c>
      <c r="F3765" s="1"/>
      <c r="G3765" s="1"/>
      <c r="H3765" s="1"/>
      <c r="I3765" s="1"/>
    </row>
    <row r="3766" spans="1:9" ht="15.6" x14ac:dyDescent="0.3">
      <c r="A3766" s="1" t="s">
        <v>9</v>
      </c>
      <c r="B3766" s="1" t="s">
        <v>9</v>
      </c>
      <c r="C3766" s="10" t="s">
        <v>9</v>
      </c>
      <c r="D3766" s="5" t="s">
        <v>3352</v>
      </c>
      <c r="E3766" s="1" t="str">
        <f ca="1">IFERROR(__xludf.DUMMYFUNCTION("GOOGLETRANSLATE(D3766, ""bn"", ""en"")"),"On Monday, October 24, around 11:30 pm, a clash took place over gambling at North Gobindpur Crematorium Kalimandir in Chehelgazi Union of Dinajpur Sadar Upazila. An idol installed on the occasion of Kali Puja was vandalized.")</f>
        <v>On Monday, October 24, around 11:30 pm, a clash took place over gambling at North Gobindpur Crematorium Kalimandir in Chehelgazi Union of Dinajpur Sadar Upazila. An idol installed on the occasion of Kali Puja was vandalized.</v>
      </c>
      <c r="F3766" s="1"/>
      <c r="G3766" s="1"/>
      <c r="H3766" s="1"/>
      <c r="I3766" s="1"/>
    </row>
    <row r="3767" spans="1:9" ht="15.6" x14ac:dyDescent="0.3">
      <c r="A3767" s="1" t="s">
        <v>5</v>
      </c>
      <c r="B3767" s="1" t="s">
        <v>5</v>
      </c>
      <c r="C3767" s="10" t="s">
        <v>5</v>
      </c>
      <c r="D3767" s="5" t="s">
        <v>3353</v>
      </c>
      <c r="E3767" s="1" t="str">
        <f ca="1">IFERROR(__xludf.DUMMYFUNCTION("GOOGLETRANSLATE(D3767, ""bn"", ""en"")"),"Religion has always been a very sensitive subject in India. Religion has played a very important role in the history of human civilization.")</f>
        <v>Religion has always been a very sensitive subject in India. Religion has played a very important role in the history of human civilization.</v>
      </c>
      <c r="F3767" s="1"/>
      <c r="G3767" s="1"/>
      <c r="H3767" s="1"/>
      <c r="I3767" s="1"/>
    </row>
    <row r="3768" spans="1:9" ht="15.6" x14ac:dyDescent="0.3">
      <c r="A3768" s="1" t="s">
        <v>4</v>
      </c>
      <c r="B3768" s="1" t="s">
        <v>4</v>
      </c>
      <c r="C3768" s="10" t="s">
        <v>4</v>
      </c>
      <c r="D3768" s="5" t="s">
        <v>3354</v>
      </c>
      <c r="E3768" s="1" t="str">
        <f ca="1">IFERROR(__xludf.DUMMYFUNCTION("GOOGLETRANSLATE(D3768, ""bn"", ""en"")"),"Not only Türkiye, but the entire Muslim world must unite and respond to Sweden's warning.")</f>
        <v>Not only Türkiye, but the entire Muslim world must unite and respond to Sweden's warning.</v>
      </c>
      <c r="F3768" s="1"/>
      <c r="G3768" s="1"/>
      <c r="H3768" s="1"/>
      <c r="I3768" s="1"/>
    </row>
    <row r="3769" spans="1:9" ht="62.4" x14ac:dyDescent="0.3">
      <c r="A3769" s="1" t="s">
        <v>9</v>
      </c>
      <c r="B3769" s="1" t="s">
        <v>5</v>
      </c>
      <c r="C3769" s="10" t="s">
        <v>9</v>
      </c>
      <c r="D3769" s="6" t="s">
        <v>3623</v>
      </c>
      <c r="E3769" s="1" t="str">
        <f ca="1">IFERROR(__xludf.DUMMYFUNCTION("GOOGLETRANSLATE(D3769, ""bn"", ""en"")"),"The government blamed Jamaat-e-Islami for the attacks on minorities, but the Jamaat-e-Islami leadership denied any involvement. Minority leaders protested the attack and demanded justice. The Bangladesh Supreme Court ordered law enforcement to begin inves"&amp;"tigating the attack. US ambassador to Bangladesh expressed concern over Jamaat's attack on Bengali Hindu community.")</f>
        <v>The government blamed Jamaat-e-Islami for the attacks on minorities, but the Jamaat-e-Islami leadership denied any involvement. Minority leaders protested the attack and demanded justice. The Bangladesh Supreme Court ordered law enforcement to begin investigating the attack. US ambassador to Bangladesh expressed concern over Jamaat's attack on Bengali Hindu community.</v>
      </c>
      <c r="F3769" s="1"/>
      <c r="G3769" s="1"/>
      <c r="H3769" s="1"/>
      <c r="I3769" s="1"/>
    </row>
    <row r="3770" spans="1:9" ht="15.6" x14ac:dyDescent="0.3">
      <c r="A3770" s="1" t="s">
        <v>7</v>
      </c>
      <c r="B3770" s="1" t="s">
        <v>4</v>
      </c>
      <c r="C3770" s="10" t="s">
        <v>7</v>
      </c>
      <c r="D3770" s="5" t="s">
        <v>3355</v>
      </c>
      <c r="E3770" s="1" t="str">
        <f ca="1">IFERROR(__xludf.DUMMYFUNCTION("GOOGLETRANSLATE(D3770, ""bn"", ""en"")"),"Understanding that who dies, it is a suicide and then farewell to the song, what a terrible situation!")</f>
        <v>Understanding that who dies, it is a suicide and then farewell to the song, what a terrible situation!</v>
      </c>
      <c r="F3770" s="1"/>
      <c r="G3770" s="1"/>
      <c r="H3770" s="1"/>
      <c r="I3770" s="1"/>
    </row>
    <row r="3771" spans="1:9" ht="15.6" x14ac:dyDescent="0.3">
      <c r="A3771" s="1" t="s">
        <v>4</v>
      </c>
      <c r="B3771" s="1" t="s">
        <v>4</v>
      </c>
      <c r="C3771" s="10" t="s">
        <v>4</v>
      </c>
      <c r="D3771" s="5" t="s">
        <v>3356</v>
      </c>
      <c r="E3771" s="1" t="str">
        <f ca="1">IFERROR(__xludf.DUMMYFUNCTION("GOOGLETRANSLATE(D3771, ""bn"", ""en"")"),"We strongly condemn and protest and it is our demand that the culprit be brought under the law and punished severely")</f>
        <v>We strongly condemn and protest and it is our demand that the culprit be brought under the law and punished severely</v>
      </c>
      <c r="F3771" s="1"/>
      <c r="G3771" s="1"/>
      <c r="H3771" s="1"/>
      <c r="I3771" s="1"/>
    </row>
    <row r="3772" spans="1:9" ht="15.6" x14ac:dyDescent="0.3">
      <c r="A3772" s="1" t="s">
        <v>5</v>
      </c>
      <c r="B3772" s="1" t="s">
        <v>5</v>
      </c>
      <c r="C3772" s="10" t="s">
        <v>5</v>
      </c>
      <c r="D3772" s="5" t="s">
        <v>3357</v>
      </c>
      <c r="E3772" s="1" t="str">
        <f ca="1">IFERROR(__xludf.DUMMYFUNCTION("GOOGLETRANSLATE(D3772, ""bn"", ""en"")"),"As many political parties based on Islam speak of an Islamic state, some neo-Nazi groups in Europe also believe in their theory of racial purity.")</f>
        <v>As many political parties based on Islam speak of an Islamic state, some neo-Nazi groups in Europe also believe in their theory of racial purity.</v>
      </c>
      <c r="F3772" s="1"/>
      <c r="G3772" s="1"/>
      <c r="H3772" s="1"/>
      <c r="I3772" s="1"/>
    </row>
    <row r="3773" spans="1:9" ht="15.6" x14ac:dyDescent="0.3">
      <c r="A3773" s="1" t="s">
        <v>4</v>
      </c>
      <c r="B3773" s="1" t="s">
        <v>5</v>
      </c>
      <c r="C3773" s="10" t="s">
        <v>4</v>
      </c>
      <c r="D3773" s="5" t="s">
        <v>3358</v>
      </c>
      <c r="E3773" s="1" t="str">
        <f ca="1">IFERROR(__xludf.DUMMYFUNCTION("GOOGLETRANSLATE(D3773, ""bn"", ""en"")"),"Drawing pictures of people or animals is shown with reference to haram hadith. Again they are saying that all that is beautiful in the world is halal; What is not beautiful is haram. ")</f>
        <v xml:space="preserve">Drawing pictures of people or animals is shown with reference to haram hadith. Again they are saying that all that is beautiful in the world is halal; What is not beautiful is haram. </v>
      </c>
      <c r="F3773" s="1"/>
      <c r="G3773" s="1"/>
      <c r="H3773" s="1"/>
      <c r="I3773" s="1"/>
    </row>
    <row r="3774" spans="1:9" ht="15.6" x14ac:dyDescent="0.3">
      <c r="A3774" s="1" t="s">
        <v>4</v>
      </c>
      <c r="B3774" s="1" t="s">
        <v>5</v>
      </c>
      <c r="C3774" s="10" t="s">
        <v>4</v>
      </c>
      <c r="D3774" s="5" t="s">
        <v>3359</v>
      </c>
      <c r="E3774" s="1" t="str">
        <f ca="1">IFERROR(__xludf.DUMMYFUNCTION("GOOGLETRANSLATE(D3774, ""bn"", ""en"")"),"Where the Prophet (pbuh) himself said that the innocent or small number of infidels will suffer, I myself will complain to Allah against him or move against him.")</f>
        <v>Where the Prophet (pbuh) himself said that the innocent or small number of infidels will suffer, I myself will complain to Allah against him or move against him.</v>
      </c>
      <c r="F3774" s="1"/>
      <c r="G3774" s="1"/>
      <c r="H3774" s="1"/>
      <c r="I3774" s="1"/>
    </row>
    <row r="3775" spans="1:9" ht="15.6" x14ac:dyDescent="0.3">
      <c r="A3775" s="1" t="s">
        <v>5</v>
      </c>
      <c r="B3775" s="1" t="s">
        <v>5</v>
      </c>
      <c r="C3775" s="10" t="s">
        <v>5</v>
      </c>
      <c r="D3775" s="5" t="s">
        <v>3360</v>
      </c>
      <c r="E3775" s="1" t="str">
        <f ca="1">IFERROR(__xludf.DUMMYFUNCTION("GOOGLETRANSLATE(D3775, ""bn"", ""en"")"),"No one should attack the temple while showing the strength of Muslimness. Do not do any injustice to your Hindu brothers. Yes, this is the beauty of our Islam. ")</f>
        <v xml:space="preserve">No one should attack the temple while showing the strength of Muslimness. Do not do any injustice to your Hindu brothers. Yes, this is the beauty of our Islam. </v>
      </c>
      <c r="F3775" s="1"/>
      <c r="G3775" s="1"/>
      <c r="H3775" s="1"/>
      <c r="I3775" s="1"/>
    </row>
    <row r="3776" spans="1:9" ht="31.2" x14ac:dyDescent="0.3">
      <c r="A3776" s="1" t="s">
        <v>5</v>
      </c>
      <c r="B3776" s="1" t="s">
        <v>5</v>
      </c>
      <c r="C3776" s="10" t="s">
        <v>5</v>
      </c>
      <c r="D3776" s="6" t="s">
        <v>3622</v>
      </c>
      <c r="E3776" s="1" t="str">
        <f ca="1">IFERROR(__xludf.DUMMYFUNCTION("GOOGLETRANSLATE(D3776, ""bn"", ""en"")"),"The main objective of every religion is to guide man on the path of his spiritual development, so that he can live peacefully in the society, and never the followers of any religion try to force others into their religious faith.")</f>
        <v>The main objective of every religion is to guide man on the path of his spiritual development, so that he can live peacefully in the society, and never the followers of any religion try to force others into their religious faith.</v>
      </c>
      <c r="F3776" s="1"/>
      <c r="G3776" s="1"/>
      <c r="H3776" s="1"/>
      <c r="I3776" s="1"/>
    </row>
    <row r="3777" spans="1:9" ht="31.2" x14ac:dyDescent="0.3">
      <c r="A3777" s="1" t="s">
        <v>7</v>
      </c>
      <c r="B3777" s="1" t="s">
        <v>7</v>
      </c>
      <c r="C3777" s="10" t="s">
        <v>7</v>
      </c>
      <c r="D3777" s="6" t="s">
        <v>3621</v>
      </c>
      <c r="E3777" s="1" t="str">
        <f ca="1">IFERROR(__xludf.DUMMYFUNCTION("GOOGLETRANSLATE(D3777, ""bn"", ""en"")"),"Suicide is basically the name of self-deception. Because giving up one's life is not a solution to any problem; Not even a success but an utter and utter failure. Nothing is gained by it; Rather, both have to lose everything. ")</f>
        <v xml:space="preserve">Suicide is basically the name of self-deception. Because giving up one's life is not a solution to any problem; Not even a success but an utter and utter failure. Nothing is gained by it; Rather, both have to lose everything. </v>
      </c>
      <c r="F3777" s="1"/>
      <c r="G3777" s="1"/>
      <c r="H3777" s="1"/>
      <c r="I3777" s="1"/>
    </row>
    <row r="3778" spans="1:9" ht="15.6" x14ac:dyDescent="0.3">
      <c r="A3778" s="1" t="s">
        <v>9</v>
      </c>
      <c r="B3778" s="1" t="s">
        <v>9</v>
      </c>
      <c r="C3778" s="10" t="s">
        <v>9</v>
      </c>
      <c r="D3778" s="5" t="s">
        <v>3361</v>
      </c>
      <c r="E3778" s="1" t="str">
        <f ca="1">IFERROR(__xludf.DUMMYFUNCTION("GOOGLETRANSLATE(D3778, ""bn"", ""en"")"),"Indescribable torture of the followers of the Prophet sallallaahu alayhi wasallam, boycotting him and his followers, these incidents happened.")</f>
        <v>Indescribable torture of the followers of the Prophet sallallaahu alayhi wasallam, boycotting him and his followers, these incidents happened.</v>
      </c>
      <c r="F3778" s="1"/>
      <c r="G3778" s="1"/>
      <c r="H3778" s="1"/>
      <c r="I3778" s="1"/>
    </row>
    <row r="3779" spans="1:9" ht="46.8" x14ac:dyDescent="0.3">
      <c r="A3779" s="1" t="s">
        <v>4</v>
      </c>
      <c r="B3779" s="1" t="s">
        <v>4</v>
      </c>
      <c r="C3779" s="10" t="s">
        <v>4</v>
      </c>
      <c r="D3779" s="6" t="s">
        <v>3620</v>
      </c>
      <c r="E3779" s="1" t="str">
        <f ca="1">IFERROR(__xludf.DUMMYFUNCTION("GOOGLETRANSLATE(D3779, ""bn"", ""en"")"),"A group of armed Razakars from Dabagyahati Razaka camp led by Commander Mujibur Rahman Mollah arrived at Alukdia village with Mahadev Saha in captivity. They surrounded Shankharikathi market from three sides and captured about 90 Hindu men of various ages"&amp;".")</f>
        <v>A group of armed Razakars from Dabagyahati Razaka camp led by Commander Mujibur Rahman Mollah arrived at Alukdia village with Mahadev Saha in captivity. They surrounded Shankharikathi market from three sides and captured about 90 Hindu men of various ages.</v>
      </c>
      <c r="F3779" s="1"/>
      <c r="G3779" s="1"/>
      <c r="H3779" s="1"/>
      <c r="I3779" s="1"/>
    </row>
    <row r="3780" spans="1:9" ht="62.4" x14ac:dyDescent="0.3">
      <c r="A3780" s="1" t="s">
        <v>4</v>
      </c>
      <c r="B3780" s="1" t="s">
        <v>4</v>
      </c>
      <c r="C3780" s="10" t="s">
        <v>4</v>
      </c>
      <c r="D3780" s="6" t="s">
        <v>3619</v>
      </c>
      <c r="E3780" s="1" t="str">
        <f ca="1">IFERROR(__xludf.DUMMYFUNCTION("GOOGLETRANSLATE(D3780, ""bn"", ""en"")"),"Even on the part of the Buddhists, the incident of desecration of the Koran on Facebook was not denied; On the contrary, after the incident, a Buddhist scholar demanded the trial of the young man in a weak voice, then ""our"" writers, researchers, editors"&amp;" became desperate to prove the possibility that Uttam Barua had no hand in the incident, maybe someone else would have added the picture to his account? The question is, why should these words not come from the accused person himself or his community? Sur"&amp;"prise!")</f>
        <v>Even on the part of the Buddhists, the incident of desecration of the Koran on Facebook was not denied; On the contrary, after the incident, a Buddhist scholar demanded the trial of the young man in a weak voice, then "our" writers, researchers, editors became desperate to prove the possibility that Uttam Barua had no hand in the incident, maybe someone else would have added the picture to his account? The question is, why should these words not come from the accused person himself or his community? Surprise!</v>
      </c>
      <c r="F3780" s="1"/>
      <c r="G3780" s="1"/>
      <c r="H3780" s="1"/>
      <c r="I3780" s="1"/>
    </row>
    <row r="3781" spans="1:9" ht="15.6" x14ac:dyDescent="0.3">
      <c r="A3781" s="1" t="s">
        <v>5</v>
      </c>
      <c r="B3781" s="1" t="s">
        <v>5</v>
      </c>
      <c r="C3781" s="10" t="s">
        <v>5</v>
      </c>
      <c r="D3781" s="5" t="s">
        <v>3362</v>
      </c>
      <c r="E3781" s="1" t="str">
        <f ca="1">IFERROR(__xludf.DUMMYFUNCTION("GOOGLETRANSLATE(D3781, ""bn"", ""en"")"),"Queen Victoria ruled over more Muslims than there were under the Ottoman Empire in Turkey.")</f>
        <v>Queen Victoria ruled over more Muslims than there were under the Ottoman Empire in Turkey.</v>
      </c>
      <c r="F3781" s="1"/>
      <c r="G3781" s="1"/>
      <c r="H3781" s="1"/>
      <c r="I3781" s="1"/>
    </row>
    <row r="3782" spans="1:9" ht="15.6" x14ac:dyDescent="0.3">
      <c r="A3782" s="1" t="s">
        <v>5</v>
      </c>
      <c r="B3782" s="1" t="s">
        <v>5</v>
      </c>
      <c r="C3782" s="10" t="s">
        <v>5</v>
      </c>
      <c r="D3782" s="5" t="s">
        <v>3363</v>
      </c>
      <c r="E3782" s="1" t="str">
        <f ca="1">IFERROR(__xludf.DUMMYFUNCTION("GOOGLETRANSLATE(D3782, ""bn"", ""en"")"),"Very few people have the ability to say it so beautifully. May Allah grant you a good life and guide you to the right path, Ameen.")</f>
        <v>Very few people have the ability to say it so beautifully. May Allah grant you a good life and guide you to the right path, Ameen.</v>
      </c>
      <c r="F3782" s="1"/>
      <c r="G3782" s="1"/>
      <c r="H3782" s="1"/>
      <c r="I3782" s="1"/>
    </row>
    <row r="3783" spans="1:9" ht="15.6" x14ac:dyDescent="0.3">
      <c r="A3783" s="1" t="s">
        <v>4</v>
      </c>
      <c r="B3783" s="1" t="s">
        <v>4</v>
      </c>
      <c r="C3783" s="10" t="s">
        <v>4</v>
      </c>
      <c r="D3783" s="5" t="s">
        <v>3364</v>
      </c>
      <c r="E3783" s="1" t="str">
        <f ca="1">IFERROR(__xludf.DUMMYFUNCTION("GOOGLETRANSLATE(D3783, ""bn"", ""en"")"),"It's not right to sleep if you let the brutal brother sit!! It is doubtful that there is so much enthusiasm for the construction of a mosque and madrasa on God's property!!!??")</f>
        <v>It's not right to sleep if you let the brutal brother sit!! It is doubtful that there is so much enthusiasm for the construction of a mosque and madrasa on God's property!!!??</v>
      </c>
      <c r="F3783" s="1"/>
      <c r="G3783" s="1"/>
      <c r="H3783" s="1"/>
      <c r="I3783" s="1"/>
    </row>
    <row r="3784" spans="1:9" ht="31.2" x14ac:dyDescent="0.3">
      <c r="A3784" s="1" t="s">
        <v>7</v>
      </c>
      <c r="B3784" s="1" t="s">
        <v>7</v>
      </c>
      <c r="C3784" s="10" t="s">
        <v>7</v>
      </c>
      <c r="D3784" s="6" t="s">
        <v>3618</v>
      </c>
      <c r="E3784" s="1" t="str">
        <f ca="1">IFERROR(__xludf.DUMMYFUNCTION("GOOGLETRANSLATE(D3784, ""bn"", ""en"")"),"According to Annemarie Schimmel, the Mughal emperor Akbar (1556–1605) was against sati-immolation; However, he expressed appreciation for ""widows who wanted to be cremated with their dead husbands"".")</f>
        <v>According to Annemarie Schimmel, the Mughal emperor Akbar (1556–1605) was against sati-immolation; However, he expressed appreciation for "widows who wanted to be cremated with their dead husbands".</v>
      </c>
      <c r="F3784" s="1"/>
      <c r="G3784" s="1"/>
      <c r="H3784" s="1"/>
      <c r="I3784" s="1"/>
    </row>
    <row r="3785" spans="1:9" ht="31.2" x14ac:dyDescent="0.3">
      <c r="A3785" s="1" t="s">
        <v>7</v>
      </c>
      <c r="B3785" s="1" t="s">
        <v>7</v>
      </c>
      <c r="C3785" s="10" t="s">
        <v>7</v>
      </c>
      <c r="D3785" s="6" t="s">
        <v>3617</v>
      </c>
      <c r="E3785" s="1" t="str">
        <f ca="1">IFERROR(__xludf.DUMMYFUNCTION("GOOGLETRANSLATE(D3785, ""bn"", ""en"")"),"We found on investigation, the girl was a minor. Neither her marriage nor her conversion as a minor girl is valid. As such his legal guardian is his father. So we explained the dead body of the girl to him.")</f>
        <v>We found on investigation, the girl was a minor. Neither her marriage nor her conversion as a minor girl is valid. As such his legal guardian is his father. So we explained the dead body of the girl to him.</v>
      </c>
      <c r="F3785" s="1"/>
      <c r="G3785" s="1"/>
      <c r="H3785" s="1"/>
      <c r="I3785" s="1"/>
    </row>
    <row r="3786" spans="1:9" ht="15.6" x14ac:dyDescent="0.3">
      <c r="A3786" s="1" t="s">
        <v>9</v>
      </c>
      <c r="B3786" s="1" t="s">
        <v>9</v>
      </c>
      <c r="C3786" s="10" t="s">
        <v>9</v>
      </c>
      <c r="D3786" s="5" t="s">
        <v>1757</v>
      </c>
      <c r="E3786" s="1" t="str">
        <f ca="1">IFERROR(__xludf.DUMMYFUNCTION("GOOGLETRANSLATE(D3786, ""bn"", ""en"")"),"All the incidents of temple attacks and vandalism of idols in the country have been done to sideline BNP's movement and to file cases in the name of BNP's leaders and activists.")</f>
        <v>All the incidents of temple attacks and vandalism of idols in the country have been done to sideline BNP's movement and to file cases in the name of BNP's leaders and activists.</v>
      </c>
      <c r="F3786" s="1"/>
      <c r="G3786" s="1"/>
      <c r="H3786" s="1"/>
      <c r="I3786" s="1"/>
    </row>
    <row r="3787" spans="1:9" ht="15.6" x14ac:dyDescent="0.3">
      <c r="A3787" s="1" t="s">
        <v>7</v>
      </c>
      <c r="B3787" s="1" t="s">
        <v>7</v>
      </c>
      <c r="C3787" s="10" t="s">
        <v>7</v>
      </c>
      <c r="D3787" s="5" t="s">
        <v>3365</v>
      </c>
      <c r="E3787" s="1" t="str">
        <f ca="1">IFERROR(__xludf.DUMMYFUNCTION("GOOGLETRANSLATE(D3787, ""bn"", ""en"")"),"A far-right gunman opened fire at a synagogue in the German city of Halle, killing two and raising levels of anti-Semitic hatred in the country.")</f>
        <v>A far-right gunman opened fire at a synagogue in the German city of Halle, killing two and raising levels of anti-Semitic hatred in the country.</v>
      </c>
      <c r="F3787" s="1"/>
      <c r="G3787" s="1"/>
      <c r="H3787" s="1"/>
      <c r="I3787" s="1"/>
    </row>
    <row r="3788" spans="1:9" ht="15.6" x14ac:dyDescent="0.3">
      <c r="A3788" s="1" t="s">
        <v>9</v>
      </c>
      <c r="B3788" s="1" t="s">
        <v>9</v>
      </c>
      <c r="C3788" s="10" t="s">
        <v>9</v>
      </c>
      <c r="D3788" s="5" t="s">
        <v>3366</v>
      </c>
      <c r="E3788" s="1" t="str">
        <f ca="1">IFERROR(__xludf.DUMMYFUNCTION("GOOGLETRANSLATE(D3788, ""bn"", ""en"")"),"Think how patient God Almighty is, still bearing with us, not destroying us yet")</f>
        <v>Think how patient God Almighty is, still bearing with us, not destroying us yet</v>
      </c>
      <c r="F3788" s="1"/>
      <c r="G3788" s="1"/>
      <c r="H3788" s="1"/>
      <c r="I3788" s="1"/>
    </row>
    <row r="3789" spans="1:9" ht="15.6" x14ac:dyDescent="0.3">
      <c r="A3789" s="1" t="s">
        <v>4</v>
      </c>
      <c r="B3789" s="1" t="s">
        <v>5</v>
      </c>
      <c r="C3789" s="10" t="s">
        <v>4</v>
      </c>
      <c r="D3789" s="5" t="s">
        <v>3367</v>
      </c>
      <c r="E3789" s="1" t="str">
        <f ca="1">IFERROR(__xludf.DUMMYFUNCTION("GOOGLETRANSLATE(D3789, ""bn"", ""en"")"),"If you marry a university educated girl, no shameless mother can give gifts to her child. ")</f>
        <v xml:space="preserve">If you marry a university educated girl, no shameless mother can give gifts to her child. </v>
      </c>
      <c r="F3789" s="1"/>
      <c r="G3789" s="1"/>
      <c r="H3789" s="1"/>
      <c r="I3789" s="1"/>
    </row>
    <row r="3790" spans="1:9" ht="15.6" x14ac:dyDescent="0.3">
      <c r="A3790" s="1" t="s">
        <v>7</v>
      </c>
      <c r="B3790" s="1" t="s">
        <v>7</v>
      </c>
      <c r="C3790" s="10" t="s">
        <v>7</v>
      </c>
      <c r="D3790" s="5" t="s">
        <v>3368</v>
      </c>
      <c r="E3790" s="1" t="str">
        <f ca="1">IFERROR(__xludf.DUMMYFUNCTION("GOOGLETRANSLATE(D3790, ""bn"", ""en"")"),"In the city of Dhaka alone, 1,00,000 Hindus lost their shelter and took shelter under the open sky. On January 23, The Hindu reported that over 1,000 Hindus had been killed in the city of Dhaka in the past week, according to the Pakistani government.[")</f>
        <v>In the city of Dhaka alone, 1,00,000 Hindus lost their shelter and took shelter under the open sky. On January 23, The Hindu reported that over 1,000 Hindus had been killed in the city of Dhaka in the past week, according to the Pakistani government.[</v>
      </c>
      <c r="F3790" s="1"/>
      <c r="G3790" s="1"/>
      <c r="H3790" s="1"/>
      <c r="I3790" s="1"/>
    </row>
    <row r="3791" spans="1:9" ht="15.6" x14ac:dyDescent="0.3">
      <c r="A3791" s="1" t="s">
        <v>7</v>
      </c>
      <c r="B3791" s="1" t="s">
        <v>7</v>
      </c>
      <c r="C3791" s="10" t="s">
        <v>7</v>
      </c>
      <c r="D3791" s="5" t="s">
        <v>3369</v>
      </c>
      <c r="E3791" s="1" t="str">
        <f ca="1">IFERROR(__xludf.DUMMYFUNCTION("GOOGLETRANSLATE(D3791, ""bn"", ""en"")"),"On 21 March 2015, a Tis Hazari court acquitted all 16 accused in the 1987 Hashimpura massacre case on sufficient evidence. ")</f>
        <v>On 21 March 2015, a Tis Hazari court acquitted all 16 accused in the 1987 Hashimpura massacre case on sufficient evidence. </v>
      </c>
      <c r="F3791" s="1"/>
      <c r="G3791" s="1"/>
      <c r="H3791" s="1"/>
      <c r="I3791" s="1"/>
    </row>
    <row r="3792" spans="1:9" ht="15.6" x14ac:dyDescent="0.3">
      <c r="A3792" s="1" t="s">
        <v>7</v>
      </c>
      <c r="B3792" s="1" t="s">
        <v>7</v>
      </c>
      <c r="C3792" s="10" t="s">
        <v>7</v>
      </c>
      <c r="D3792" s="5" t="s">
        <v>3370</v>
      </c>
      <c r="E3792" s="1" t="str">
        <f ca="1">IFERROR(__xludf.DUMMYFUNCTION("GOOGLETRANSLATE(D3792, ""bn"", ""en"")")," The train was stopped at Pahartali and all the Hindu passengers were killed. [30] Nellie Sengupta, a member of the Constituent Assembly of East Bengal, wrote to the then Prime Minister of Pakistan, Liaquat Ali Khan, about the Hindu massacre in Chittagong"&amp;".")</f>
        <v> The train was stopped at Pahartali and all the Hindu passengers were killed. [30] Nellie Sengupta, a member of the Constituent Assembly of East Bengal, wrote to the then Prime Minister of Pakistan, Liaquat Ali Khan, about the Hindu massacre in Chittagong.</v>
      </c>
      <c r="F3792" s="1"/>
      <c r="G3792" s="1"/>
      <c r="H3792" s="1"/>
      <c r="I3792" s="1"/>
    </row>
    <row r="3793" spans="1:9" ht="15.6" x14ac:dyDescent="0.3">
      <c r="A3793" s="1" t="s">
        <v>4</v>
      </c>
      <c r="B3793" s="1" t="s">
        <v>4</v>
      </c>
      <c r="C3793" s="10" t="s">
        <v>4</v>
      </c>
      <c r="D3793" s="5" t="s">
        <v>3371</v>
      </c>
      <c r="E3793" s="1" t="str">
        <f ca="1">IFERROR(__xludf.DUMMYFUNCTION("GOOGLETRANSLATE(D3793, ""bn"", ""en"")"),"When religious businessmen in the name of religion reach a dead end, opportunistic people of certain political ideologies take on the armor of religion to make them relevant.")</f>
        <v>When religious businessmen in the name of religion reach a dead end, opportunistic people of certain political ideologies take on the armor of religion to make them relevant.</v>
      </c>
      <c r="F3793" s="1"/>
      <c r="G3793" s="1"/>
      <c r="H3793" s="1"/>
      <c r="I3793" s="1"/>
    </row>
    <row r="3794" spans="1:9" ht="15.6" x14ac:dyDescent="0.3">
      <c r="A3794" s="1" t="s">
        <v>5</v>
      </c>
      <c r="B3794" s="1" t="s">
        <v>5</v>
      </c>
      <c r="C3794" s="10" t="s">
        <v>5</v>
      </c>
      <c r="D3794" s="5" t="s">
        <v>3372</v>
      </c>
      <c r="E3794" s="1" t="str">
        <f ca="1">IFERROR(__xludf.DUMMYFUNCTION("GOOGLETRANSLATE(D3794, ""bn"", ""en"")"),"We all want to be guests of Jannatul Ferdous. We will all meet in heaven. Inshallah")</f>
        <v>We all want to be guests of Jannatul Ferdous. We will all meet in heaven. Inshallah</v>
      </c>
      <c r="F3794" s="1"/>
      <c r="G3794" s="1"/>
      <c r="H3794" s="1"/>
      <c r="I3794" s="1"/>
    </row>
    <row r="3795" spans="1:9" ht="31.2" x14ac:dyDescent="0.3">
      <c r="A3795" s="1" t="s">
        <v>9</v>
      </c>
      <c r="B3795" s="1" t="s">
        <v>9</v>
      </c>
      <c r="C3795" s="10" t="s">
        <v>9</v>
      </c>
      <c r="D3795" s="6" t="s">
        <v>3616</v>
      </c>
      <c r="E3795" s="1" t="str">
        <f ca="1">IFERROR(__xludf.DUMMYFUNCTION("GOOGLETRANSLATE(D3795, ""bn"", ""en"")"),"Later, a Facebook account was opened in the name of a person from the Hindu community and some posts were made, which angered a section of Muslims. As a result, several houses were attacked.")</f>
        <v>Later, a Facebook account was opened in the name of a person from the Hindu community and some posts were made, which angered a section of Muslims. As a result, several houses were attacked.</v>
      </c>
      <c r="F3795" s="1"/>
      <c r="G3795" s="1"/>
      <c r="H3795" s="1"/>
      <c r="I3795" s="1"/>
    </row>
    <row r="3796" spans="1:9" ht="31.2" x14ac:dyDescent="0.3">
      <c r="A3796" s="1" t="s">
        <v>5</v>
      </c>
      <c r="B3796" s="1" t="s">
        <v>9</v>
      </c>
      <c r="C3796" s="10" t="s">
        <v>5</v>
      </c>
      <c r="D3796" s="6" t="s">
        <v>3615</v>
      </c>
      <c r="E3796" s="1" t="str">
        <f ca="1">IFERROR(__xludf.DUMMYFUNCTION("GOOGLETRANSLATE(D3796, ""bn"", ""en"")"),"According to historians, 27 ghazwa, 60 sarias were conducted during his lifetime. In another narration, 23 ghazwa, 43 saria occur. All the words and deeds of the Prophet's life were symbols of the highest level of heroism.")</f>
        <v>According to historians, 27 ghazwa, 60 sarias were conducted during his lifetime. In another narration, 23 ghazwa, 43 saria occur. All the words and deeds of the Prophet's life were symbols of the highest level of heroism.</v>
      </c>
      <c r="F3796" s="1"/>
      <c r="G3796" s="1"/>
      <c r="H3796" s="1"/>
      <c r="I3796" s="1"/>
    </row>
    <row r="3797" spans="1:9" ht="15.6" x14ac:dyDescent="0.3">
      <c r="A3797" s="1" t="s">
        <v>5</v>
      </c>
      <c r="B3797" s="1" t="s">
        <v>5</v>
      </c>
      <c r="C3797" s="10" t="s">
        <v>5</v>
      </c>
      <c r="D3797" s="5" t="s">
        <v>3373</v>
      </c>
      <c r="E3797" s="1" t="str">
        <f ca="1">IFERROR(__xludf.DUMMYFUNCTION("GOOGLETRANSLATE(D3797, ""bn"", ""en"")"),"O Allah, have mercy on the people of Palestine")</f>
        <v>O Allah, have mercy on the people of Palestine</v>
      </c>
      <c r="F3797" s="1"/>
      <c r="G3797" s="1"/>
      <c r="H3797" s="1"/>
      <c r="I3797" s="1"/>
    </row>
    <row r="3798" spans="1:9" ht="46.8" x14ac:dyDescent="0.3">
      <c r="A3798" s="1" t="s">
        <v>5</v>
      </c>
      <c r="B3798" s="1" t="s">
        <v>5</v>
      </c>
      <c r="C3798" s="10" t="s">
        <v>5</v>
      </c>
      <c r="D3798" s="6" t="s">
        <v>3614</v>
      </c>
      <c r="E3798" s="1" t="str">
        <f ca="1">IFERROR(__xludf.DUMMYFUNCTION("GOOGLETRANSLATE(D3798, ""bn"", ""en"")"),"Some abal marca people are everywhere, if he is so hurt by their comments then I would say he is not as generous and intelligent as I thought he is, and all other civilized celebrities including the media are doing a bit too much because of some abal marc"&amp;"a comments.")</f>
        <v>Some abal marca people are everywhere, if he is so hurt by their comments then I would say he is not as generous and intelligent as I thought he is, and all other civilized celebrities including the media are doing a bit too much because of some abal marca comments.</v>
      </c>
      <c r="F3798" s="1"/>
      <c r="G3798" s="1"/>
      <c r="H3798" s="1"/>
      <c r="I3798" s="1"/>
    </row>
    <row r="3799" spans="1:9" ht="31.2" x14ac:dyDescent="0.3">
      <c r="A3799" s="1" t="s">
        <v>7</v>
      </c>
      <c r="B3799" s="1" t="s">
        <v>7</v>
      </c>
      <c r="C3799" s="10" t="s">
        <v>7</v>
      </c>
      <c r="D3799" s="6" t="s">
        <v>3613</v>
      </c>
      <c r="E3799" s="1" t="str">
        <f ca="1">IFERROR(__xludf.DUMMYFUNCTION("GOOGLETRANSLATE(D3799, ""bn"", ""en"")"),"At the death of a virtuous person we will be saddened according to the rules, we will express our grief, we will continue to respond by heart. And in this world, the glory and pain of the heart of the deceased will remain like useless things. ")</f>
        <v xml:space="preserve">At the death of a virtuous person we will be saddened according to the rules, we will express our grief, we will continue to respond by heart. And in this world, the glory and pain of the heart of the deceased will remain like useless things. </v>
      </c>
      <c r="F3799" s="1"/>
      <c r="G3799" s="1"/>
      <c r="H3799" s="1"/>
      <c r="I3799" s="1"/>
    </row>
    <row r="3800" spans="1:9" ht="31.2" x14ac:dyDescent="0.3">
      <c r="A3800" s="1" t="s">
        <v>4</v>
      </c>
      <c r="B3800" s="1" t="s">
        <v>4</v>
      </c>
      <c r="C3800" s="10" t="s">
        <v>4</v>
      </c>
      <c r="D3800" s="6" t="s">
        <v>3612</v>
      </c>
      <c r="E3800" s="1" t="str">
        <f ca="1">IFERROR(__xludf.DUMMYFUNCTION("GOOGLETRANSLATE(D3800, ""bn"", ""en"")"),"Strongly condemn Strongly condemn Construction of mosque on the site of Kantiji temple in Dinajpur. Who is doing this? Certainly not the so-called radical groups. Its purpose is not noble. So who is doing this crime? ")</f>
        <v xml:space="preserve">Strongly condemn Strongly condemn Construction of mosque on the site of Kantiji temple in Dinajpur. Who is doing this? Certainly not the so-called radical groups. Its purpose is not noble. So who is doing this crime? </v>
      </c>
      <c r="F3800" s="1"/>
      <c r="G3800" s="1"/>
      <c r="H3800" s="1"/>
      <c r="I3800" s="1"/>
    </row>
    <row r="3801" spans="1:9" ht="15.6" x14ac:dyDescent="0.3">
      <c r="A3801" s="1" t="s">
        <v>4</v>
      </c>
      <c r="B3801" s="1" t="s">
        <v>5</v>
      </c>
      <c r="C3801" s="10" t="s">
        <v>4</v>
      </c>
      <c r="D3801" s="5" t="s">
        <v>3374</v>
      </c>
      <c r="E3801" s="1" t="str">
        <f ca="1">IFERROR(__xludf.DUMMYFUNCTION("GOOGLETRANSLATE(D3801, ""bn"", ""en"")"),"Those Muslims who are belittling their own Islam in the name of non-community, those who are keeping pace with them are right in their religion. ")</f>
        <v xml:space="preserve">Those Muslims who are belittling their own Islam in the name of non-community, those who are keeping pace with them are right in their religion. </v>
      </c>
      <c r="F3801" s="1"/>
      <c r="G3801" s="1"/>
      <c r="H3801" s="1"/>
      <c r="I3801" s="1"/>
    </row>
    <row r="3802" spans="1:9" ht="31.2" x14ac:dyDescent="0.3">
      <c r="A3802" s="1" t="s">
        <v>5</v>
      </c>
      <c r="B3802" s="1" t="s">
        <v>5</v>
      </c>
      <c r="C3802" s="10" t="s">
        <v>5</v>
      </c>
      <c r="D3802" s="6" t="s">
        <v>3611</v>
      </c>
      <c r="E3802" s="1" t="str">
        <f ca="1">IFERROR(__xludf.DUMMYFUNCTION("GOOGLETRANSLATE(D3802, ""bn"", ""en"")"),"May Allah grant you Jannatul Ferdous for giving such videos, I am learning a lot through these videos. No more time to sit around, have to meet Rob one day.")</f>
        <v>May Allah grant you Jannatul Ferdous for giving such videos, I am learning a lot through these videos. No more time to sit around, have to meet Rob one day.</v>
      </c>
      <c r="F3802" s="1"/>
      <c r="G3802" s="1"/>
      <c r="H3802" s="1"/>
      <c r="I3802" s="1"/>
    </row>
    <row r="3803" spans="1:9" ht="31.2" x14ac:dyDescent="0.3">
      <c r="A3803" s="1" t="s">
        <v>9</v>
      </c>
      <c r="B3803" s="1" t="s">
        <v>9</v>
      </c>
      <c r="C3803" s="10" t="s">
        <v>9</v>
      </c>
      <c r="D3803" s="6" t="s">
        <v>3610</v>
      </c>
      <c r="E3803" s="1" t="str">
        <f ca="1">IFERROR(__xludf.DUMMYFUNCTION("GOOGLETRANSLATE(D3803, ""bn"", ""en"")"),"Religion should be a means of building good relationships between ourselves and others, not a creator of order and confusion. Insulting in the name of religion, it is the destruction of our relationship with human values.")</f>
        <v>Religion should be a means of building good relationships between ourselves and others, not a creator of order and confusion. Insulting in the name of religion, it is the destruction of our relationship with human values.</v>
      </c>
      <c r="F3803" s="1"/>
      <c r="G3803" s="1"/>
      <c r="H3803" s="1"/>
      <c r="I3803" s="1"/>
    </row>
    <row r="3804" spans="1:9" ht="15.6" x14ac:dyDescent="0.3">
      <c r="A3804" s="1" t="s">
        <v>4</v>
      </c>
      <c r="B3804" s="1" t="s">
        <v>4</v>
      </c>
      <c r="C3804" s="10" t="s">
        <v>4</v>
      </c>
      <c r="D3804" s="5" t="s">
        <v>3375</v>
      </c>
      <c r="E3804" s="1" t="str">
        <f ca="1">IFERROR(__xludf.DUMMYFUNCTION("GOOGLETRANSLATE(D3804, ""bn"", ""en"")"),"I respect the Bible, the Gita, all religious books, and regretfully condemning Muslims for burning the Qur'an and creating a different paradigm.")</f>
        <v>I respect the Bible, the Gita, all religious books, and regretfully condemning Muslims for burning the Qur'an and creating a different paradigm.</v>
      </c>
      <c r="F3804" s="1"/>
      <c r="G3804" s="1"/>
      <c r="H3804" s="1"/>
      <c r="I3804" s="1"/>
    </row>
    <row r="3805" spans="1:9" ht="31.2" x14ac:dyDescent="0.3">
      <c r="A3805" s="1" t="s">
        <v>5</v>
      </c>
      <c r="B3805" s="1" t="s">
        <v>5</v>
      </c>
      <c r="C3805" s="10" t="s">
        <v>5</v>
      </c>
      <c r="D3805" s="6" t="s">
        <v>3609</v>
      </c>
      <c r="E3805" s="1" t="str">
        <f ca="1">IFERROR(__xludf.DUMMYFUNCTION("GOOGLETRANSLATE(D3805, ""bn"", ""en"")"),"However, see many. Although opposed to India, Hindus are not opposed to one cheetah. However, it is these Hindus who are swinging the hammer on Bangladesh and it is the Hindus who are making Rabindranath away from Muslim nationalism.")</f>
        <v>However, see many. Although opposed to India, Hindus are not opposed to one cheetah. However, it is these Hindus who are swinging the hammer on Bangladesh and it is the Hindus who are making Rabindranath away from Muslim nationalism.</v>
      </c>
      <c r="F3805" s="1"/>
      <c r="G3805" s="1"/>
      <c r="H3805" s="1"/>
      <c r="I3805" s="1"/>
    </row>
    <row r="3806" spans="1:9" ht="31.2" x14ac:dyDescent="0.3">
      <c r="A3806" s="1" t="s">
        <v>9</v>
      </c>
      <c r="B3806" s="1" t="s">
        <v>9</v>
      </c>
      <c r="C3806" s="10" t="s">
        <v>9</v>
      </c>
      <c r="D3806" s="6" t="s">
        <v>3608</v>
      </c>
      <c r="E3806" s="1" t="str">
        <f ca="1">IFERROR(__xludf.DUMMYFUNCTION("GOOGLETRANSLATE(D3806, ""bn"", ""en"")")," Villagers were about to organize a puja. In the century-old Chandi Mandap on the west side of the village, devotees were cleaning and rubbing the brass idols. Young children were collecting flowers for worship. Suddenly, Pakistani soldiers started firing"&amp;" from the boats.")</f>
        <v> Villagers were about to organize a puja. In the century-old Chandi Mandap on the west side of the village, devotees were cleaning and rubbing the brass idols. Young children were collecting flowers for worship. Suddenly, Pakistani soldiers started firing from the boats.</v>
      </c>
      <c r="F3806" s="1"/>
      <c r="G3806" s="1"/>
      <c r="H3806" s="1"/>
      <c r="I3806" s="1"/>
    </row>
    <row r="3807" spans="1:9" ht="15.6" x14ac:dyDescent="0.3">
      <c r="A3807" s="1" t="s">
        <v>9</v>
      </c>
      <c r="B3807" s="1" t="s">
        <v>9</v>
      </c>
      <c r="C3807" s="10" t="s">
        <v>9</v>
      </c>
      <c r="D3807" s="5" t="s">
        <v>3376</v>
      </c>
      <c r="E3807" s="1" t="str">
        <f ca="1">IFERROR(__xludf.DUMMYFUNCTION("GOOGLETRANSLATE(D3807, ""bn"", ""en"")"),"They marched with indigenous weapons and vandalized and looted all the houses of this Hindu-dominated village. At this time, about 80 houses were vandalized and looted.")</f>
        <v>They marched with indigenous weapons and vandalized and looted all the houses of this Hindu-dominated village. At this time, about 80 houses were vandalized and looted.</v>
      </c>
      <c r="F3807" s="1"/>
      <c r="G3807" s="1"/>
      <c r="H3807" s="1"/>
      <c r="I3807" s="1"/>
    </row>
    <row r="3808" spans="1:9" ht="31.2" x14ac:dyDescent="0.3">
      <c r="A3808" s="1" t="s">
        <v>9</v>
      </c>
      <c r="B3808" s="1" t="s">
        <v>5</v>
      </c>
      <c r="C3808" s="10" t="s">
        <v>9</v>
      </c>
      <c r="D3808" s="6" t="s">
        <v>3607</v>
      </c>
      <c r="E3808" s="1" t="str">
        <f ca="1">IFERROR(__xludf.DUMMYFUNCTION("GOOGLETRANSLATE(D3808, ""bn"", ""en"")"),"Al Qaeda has already threatened to attack India and Bangladesh. The government has to value the sentiments of the people, considering that no ulterior motive can push the country under the threat of extremism by exploiting the sentiments of the people.")</f>
        <v>Al Qaeda has already threatened to attack India and Bangladesh. The government has to value the sentiments of the people, considering that no ulterior motive can push the country under the threat of extremism by exploiting the sentiments of the people.</v>
      </c>
      <c r="F3808" s="1"/>
      <c r="G3808" s="1"/>
      <c r="H3808" s="1"/>
      <c r="I3808" s="1"/>
    </row>
    <row r="3809" spans="1:9" ht="15.6" x14ac:dyDescent="0.3">
      <c r="A3809" s="1" t="s">
        <v>9</v>
      </c>
      <c r="B3809" s="1" t="s">
        <v>7</v>
      </c>
      <c r="C3809" s="10" t="s">
        <v>9</v>
      </c>
      <c r="D3809" s="5" t="s">
        <v>3377</v>
      </c>
      <c r="E3809" s="1" t="str">
        <f ca="1">IFERROR(__xludf.DUMMYFUNCTION("GOOGLETRANSLATE(D3809, ""bn"", ""en"")"),"When I came to the temple in the morning, I found the head of Ganesha idol, two arms of Lakshmi and left arm of Goddess Durga broken. The matter has been reported to the administration.")</f>
        <v>When I came to the temple in the morning, I found the head of Ganesha idol, two arms of Lakshmi and left arm of Goddess Durga broken. The matter has been reported to the administration.</v>
      </c>
      <c r="F3809" s="1"/>
      <c r="G3809" s="1"/>
      <c r="H3809" s="1"/>
      <c r="I3809" s="1"/>
    </row>
    <row r="3810" spans="1:9" ht="15.6" x14ac:dyDescent="0.3">
      <c r="A3810" s="1" t="s">
        <v>9</v>
      </c>
      <c r="B3810" s="1" t="s">
        <v>9</v>
      </c>
      <c r="C3810" s="10" t="s">
        <v>9</v>
      </c>
      <c r="D3810" s="5" t="s">
        <v>3378</v>
      </c>
      <c r="E3810" s="1" t="str">
        <f ca="1">IFERROR(__xludf.DUMMYFUNCTION("GOOGLETRANSLATE(D3810, ""bn"", ""en"")"),"Early Thursday morning, a group of Iraqi citizens attacked and vandalized the Swedish embassy in Baghdad to protest against the burning of the Quran in Sweden. ")</f>
        <v>Early Thursday morning, a group of Iraqi citizens attacked and vandalized the Swedish embassy in Baghdad to protest against the burning of the Quran in Sweden. </v>
      </c>
      <c r="F3810" s="1"/>
      <c r="G3810" s="1"/>
      <c r="H3810" s="1"/>
      <c r="I3810" s="1"/>
    </row>
    <row r="3811" spans="1:9" ht="15.6" x14ac:dyDescent="0.3">
      <c r="A3811" s="1" t="s">
        <v>7</v>
      </c>
      <c r="B3811" s="1" t="s">
        <v>7</v>
      </c>
      <c r="C3811" s="10" t="s">
        <v>7</v>
      </c>
      <c r="D3811" s="5" t="s">
        <v>3379</v>
      </c>
      <c r="E3811" s="1" t="str">
        <f ca="1">IFERROR(__xludf.DUMMYFUNCTION("GOOGLETRANSLATE(D3811, ""bn"", ""en"")"),"According to human rights organization Law and Arbitration Center (ASK), three people were killed in communal violence across the country in the five months from August to December 2024. ")</f>
        <v>According to human rights organization Law and Arbitration Center (ASK), three people were killed in communal violence across the country in the five months from August to December 2024. </v>
      </c>
      <c r="F3811" s="1"/>
      <c r="G3811" s="1"/>
      <c r="H3811" s="1"/>
      <c r="I3811" s="1"/>
    </row>
    <row r="3812" spans="1:9" ht="15.6" x14ac:dyDescent="0.3">
      <c r="A3812" s="1" t="s">
        <v>4</v>
      </c>
      <c r="B3812" s="1" t="s">
        <v>4</v>
      </c>
      <c r="C3812" s="10" t="s">
        <v>4</v>
      </c>
      <c r="D3812" s="5" t="s">
        <v>3380</v>
      </c>
      <c r="E3812" s="1" t="str">
        <f ca="1">IFERROR(__xludf.DUMMYFUNCTION("GOOGLETRANSLATE(D3812, ""bn"", ""en"")"),"Junaid Hafeez, 33, was arrested in March 2013. He was accused of making disrespectful comments about Prophet Muhammad on social media.")</f>
        <v>Junaid Hafeez, 33, was arrested in March 2013. He was accused of making disrespectful comments about Prophet Muhammad on social media.</v>
      </c>
      <c r="F3812" s="1"/>
      <c r="G3812" s="1"/>
      <c r="H3812" s="1"/>
      <c r="I3812" s="1"/>
    </row>
    <row r="3813" spans="1:9" ht="31.2" x14ac:dyDescent="0.3">
      <c r="A3813" s="1" t="s">
        <v>9</v>
      </c>
      <c r="B3813" s="1" t="s">
        <v>9</v>
      </c>
      <c r="C3813" s="10" t="s">
        <v>9</v>
      </c>
      <c r="D3813" s="6" t="s">
        <v>3606</v>
      </c>
      <c r="E3813" s="1" t="str">
        <f ca="1">IFERROR(__xludf.DUMMYFUNCTION("GOOGLETRANSLATE(D3813, ""bn"", ""en"")"),"Hindu Buddhist Christian Unity Council statistics claim 2010 incidents of communal violence. In a contemporary investigation, 135 out of 296 complaints were found to be true. However, many Hindu families whose names did not appear in the list were persecu"&amp;"ted")</f>
        <v>Hindu Buddhist Christian Unity Council statistics claim 2010 incidents of communal violence. In a contemporary investigation, 135 out of 296 complaints were found to be true. However, many Hindu families whose names did not appear in the list were persecuted</v>
      </c>
      <c r="F3813" s="1"/>
      <c r="G3813" s="1"/>
      <c r="H3813" s="1"/>
      <c r="I3813" s="1"/>
    </row>
    <row r="3814" spans="1:9" ht="31.2" x14ac:dyDescent="0.3">
      <c r="A3814" s="1" t="s">
        <v>9</v>
      </c>
      <c r="B3814" s="1" t="s">
        <v>9</v>
      </c>
      <c r="C3814" s="10" t="s">
        <v>9</v>
      </c>
      <c r="D3814" s="6" t="s">
        <v>3605</v>
      </c>
      <c r="E3814" s="1" t="str">
        <f ca="1">IFERROR(__xludf.DUMMYFUNCTION("GOOGLETRANSLATE(D3814, ""bn"", ""en"")"),"Muslims also set fire to Chittagong Medical College. 50 fishermen set fire to the straw house of the family. A Hindu-owned garage was attacked and five cars looted. ")</f>
        <v>Muslims also set fire to Chittagong Medical College. 50 fishermen set fire to the straw house of the family. A Hindu-owned garage was attacked and five cars looted. </v>
      </c>
      <c r="F3814" s="1"/>
      <c r="G3814" s="1"/>
      <c r="H3814" s="1"/>
      <c r="I3814" s="1"/>
    </row>
    <row r="3815" spans="1:9" ht="15.6" x14ac:dyDescent="0.3">
      <c r="A3815" s="1" t="s">
        <v>4</v>
      </c>
      <c r="B3815" s="1" t="s">
        <v>4</v>
      </c>
      <c r="C3815" s="10" t="s">
        <v>4</v>
      </c>
      <c r="D3815" s="5" t="s">
        <v>3381</v>
      </c>
      <c r="E3815" s="1" t="str">
        <f ca="1">IFERROR(__xludf.DUMMYFUNCTION("GOOGLETRANSLATE(D3815, ""bn"", ""en"")"),"In Sylhet, all Hindu shops and business establishments were forced to close during the month of Ramadan. Kirtan and other religious ceremonies were prohibited, and the Muslims expressed non-stop violence.")</f>
        <v>In Sylhet, all Hindu shops and business establishments were forced to close during the month of Ramadan. Kirtan and other religious ceremonies were prohibited, and the Muslims expressed non-stop violence.</v>
      </c>
      <c r="F3815" s="1"/>
      <c r="G3815" s="1"/>
      <c r="H3815" s="1"/>
      <c r="I3815" s="1"/>
    </row>
    <row r="3816" spans="1:9" ht="31.2" x14ac:dyDescent="0.3">
      <c r="A3816" s="1" t="s">
        <v>7</v>
      </c>
      <c r="B3816" s="1" t="s">
        <v>7</v>
      </c>
      <c r="C3816" s="10" t="s">
        <v>7</v>
      </c>
      <c r="D3816" s="6" t="s">
        <v>3604</v>
      </c>
      <c r="E3816" s="1" t="str">
        <f ca="1">IFERROR(__xludf.DUMMYFUNCTION("GOOGLETRANSLATE(D3816, ""bn"", ""en"")"),"Descriptions of symbolic sati-immolation have been found in some Hindu sects. The widow lies beside her dead husband, and parts of both the marriage ceremony and the funeral ceremony are enacted, but without his death.")</f>
        <v>Descriptions of symbolic sati-immolation have been found in some Hindu sects. The widow lies beside her dead husband, and parts of both the marriage ceremony and the funeral ceremony are enacted, but without his death.</v>
      </c>
      <c r="F3816" s="1"/>
      <c r="G3816" s="1"/>
      <c r="H3816" s="1"/>
      <c r="I3816" s="1"/>
    </row>
    <row r="3817" spans="1:9" ht="15.6" x14ac:dyDescent="0.3">
      <c r="A3817" s="1" t="s">
        <v>9</v>
      </c>
      <c r="B3817" s="1" t="s">
        <v>9</v>
      </c>
      <c r="C3817" s="10" t="s">
        <v>9</v>
      </c>
      <c r="D3817" s="5" t="s">
        <v>3382</v>
      </c>
      <c r="E3817" s="1" t="str">
        <f ca="1">IFERROR(__xludf.DUMMYFUNCTION("GOOGLETRANSLATE(D3817, ""bn"", ""en"")"),"The forced eviction of several thousand Hindu scholars from the Kashmir Valley in 1990 remains a controversial issue.")</f>
        <v>The forced eviction of several thousand Hindu scholars from the Kashmir Valley in 1990 remains a controversial issue.</v>
      </c>
      <c r="F3817" s="1"/>
      <c r="G3817" s="1"/>
      <c r="H3817" s="1"/>
      <c r="I3817" s="1"/>
    </row>
    <row r="3818" spans="1:9" ht="15.6" x14ac:dyDescent="0.3">
      <c r="A3818" s="1" t="s">
        <v>7</v>
      </c>
      <c r="B3818" s="1" t="s">
        <v>7</v>
      </c>
      <c r="C3818" s="10" t="s">
        <v>7</v>
      </c>
      <c r="D3818" s="5" t="s">
        <v>3383</v>
      </c>
      <c r="E3818" s="1" t="str">
        <f ca="1">IFERROR(__xludf.DUMMYFUNCTION("GOOGLETRANSLATE(D3818, ""bn"", ""en"")"),"The villagers who were in hiding were divided into separate groups by the Razakars while the Pakistani occupation forces were carrying out the killings. Ask the villagers to recite the Kalima to check whether they are Hindus or Muslims. When they failed, "&amp;"they were slaughtered. ")</f>
        <v>The villagers who were in hiding were divided into separate groups by the Razakars while the Pakistani occupation forces were carrying out the killings. Ask the villagers to recite the Kalima to check whether they are Hindus or Muslims. When they failed, they were slaughtered. </v>
      </c>
      <c r="F3818" s="1"/>
      <c r="G3818" s="1"/>
      <c r="H3818" s="1"/>
      <c r="I3818" s="1"/>
    </row>
    <row r="3819" spans="1:9" ht="15.6" x14ac:dyDescent="0.3">
      <c r="A3819" s="1" t="s">
        <v>7</v>
      </c>
      <c r="B3819" s="1" t="s">
        <v>7</v>
      </c>
      <c r="C3819" s="10" t="s">
        <v>7</v>
      </c>
      <c r="D3819" s="5" t="s">
        <v>3384</v>
      </c>
      <c r="E3819" s="1" t="str">
        <f ca="1">IFERROR(__xludf.DUMMYFUNCTION("GOOGLETRANSLATE(D3819, ""bn"", ""en"")"),"Whoever commits suicide by poisoning, his poison will be in his hand, he will commit suicide by poisoning forever in hell. And this will be his permanent residence.")</f>
        <v>Whoever commits suicide by poisoning, his poison will be in his hand, he will commit suicide by poisoning forever in hell. And this will be his permanent residence.</v>
      </c>
      <c r="F3819" s="1"/>
      <c r="G3819" s="1"/>
      <c r="H3819" s="1"/>
      <c r="I3819" s="1"/>
    </row>
    <row r="3820" spans="1:9" ht="46.8" x14ac:dyDescent="0.3">
      <c r="A3820" s="1" t="s">
        <v>9</v>
      </c>
      <c r="B3820" s="1" t="s">
        <v>9</v>
      </c>
      <c r="C3820" s="10" t="s">
        <v>9</v>
      </c>
      <c r="D3820" s="6" t="s">
        <v>3603</v>
      </c>
      <c r="E3820" s="1" t="str">
        <f ca="1">IFERROR(__xludf.DUMMYFUNCTION("GOOGLETRANSLATE(D3820, ""bn"", ""en"")"),"Hundreds of Hindu women were brutally raped and cheered. [30] At around seven in the morning, about 2,000-3,000 Hindu men and women gathered at Lakshminarayan Cotton Mill Square. All mill operations were closed and the asylum seekers continued to gather o"&amp;"utside the mill gates. At least 10,000 Hindus took shelter within the mill premises when the mill gates were opened at 9 am.")</f>
        <v>Hundreds of Hindu women were brutally raped and cheered. [30] At around seven in the morning, about 2,000-3,000 Hindu men and women gathered at Lakshminarayan Cotton Mill Square. All mill operations were closed and the asylum seekers continued to gather outside the mill gates. At least 10,000 Hindus took shelter within the mill premises when the mill gates were opened at 9 am.</v>
      </c>
      <c r="F3820" s="1"/>
      <c r="G3820" s="1"/>
      <c r="H3820" s="1"/>
      <c r="I3820" s="1"/>
    </row>
    <row r="3821" spans="1:9" ht="31.2" x14ac:dyDescent="0.3">
      <c r="A3821" s="1" t="s">
        <v>4</v>
      </c>
      <c r="B3821" s="1" t="s">
        <v>4</v>
      </c>
      <c r="C3821" s="10" t="s">
        <v>4</v>
      </c>
      <c r="D3821" s="6" t="s">
        <v>3602</v>
      </c>
      <c r="E3821" s="1" t="str">
        <f ca="1">IFERROR(__xludf.DUMMYFUNCTION("GOOGLETRANSLATE(D3821, ""bn"", ""en"")"),"As Muslims, we will not pray with the Gita in front of the prayer! Similarly, no true Hindu should worship by placing our Quran in front of their idols. However, their own religion is neglected. ")</f>
        <v>As Muslims, we will not pray with the Gita in front of the prayer! Similarly, no true Hindu should worship by placing our Quran in front of their idols. However, their own religion is neglected. </v>
      </c>
      <c r="F3821" s="1"/>
      <c r="G3821" s="1"/>
      <c r="H3821" s="1"/>
      <c r="I3821" s="1"/>
    </row>
    <row r="3822" spans="1:9" ht="31.2" x14ac:dyDescent="0.3">
      <c r="A3822" s="1" t="s">
        <v>9</v>
      </c>
      <c r="B3822" s="1" t="s">
        <v>9</v>
      </c>
      <c r="C3822" s="10" t="s">
        <v>9</v>
      </c>
      <c r="D3822" s="6" t="s">
        <v>3601</v>
      </c>
      <c r="E3822" s="1" t="str">
        <f ca="1">IFERROR(__xludf.DUMMYFUNCTION("GOOGLETRANSLATE(D3822, ""bn"", ""en"")"),"All the terror, all the Jihad, all the riots, 99% of them after the advent of Islam, brother, read the record book, you had no civilization on earth, so you had no history.")</f>
        <v>All the terror, all the Jihad, all the riots, 99% of them after the advent of Islam, brother, read the record book, you had no civilization on earth, so you had no history.</v>
      </c>
      <c r="F3822" s="1"/>
      <c r="G3822" s="1"/>
      <c r="H3822" s="1"/>
      <c r="I3822" s="1"/>
    </row>
    <row r="3823" spans="1:9" ht="31.2" x14ac:dyDescent="0.3">
      <c r="A3823" s="1" t="s">
        <v>5</v>
      </c>
      <c r="B3823" s="1" t="s">
        <v>5</v>
      </c>
      <c r="C3823" s="10" t="s">
        <v>5</v>
      </c>
      <c r="D3823" s="6" t="s">
        <v>3600</v>
      </c>
      <c r="E3823" s="1" t="str">
        <f ca="1">IFERROR(__xludf.DUMMYFUNCTION("GOOGLETRANSLATE(D3823, ""bn"", ""en"")"),"Buddha Purnima or Vaishakhi Purnima is the holiest festival of Buddhists. This auspicious festival is celebrated on the full moon day of the month of Vaishakh. The full moon day of Vaishakhi commemorates Buddha's memory. ")</f>
        <v>Buddha Purnima or Vaishakhi Purnima is the holiest festival of Buddhists. This auspicious festival is celebrated on the full moon day of the month of Vaishakh. The full moon day of Vaishakhi commemorates Buddha's memory. </v>
      </c>
      <c r="F3823" s="1"/>
      <c r="G3823" s="1"/>
      <c r="H3823" s="1"/>
      <c r="I3823" s="1"/>
    </row>
    <row r="3824" spans="1:9" ht="46.8" x14ac:dyDescent="0.3">
      <c r="A3824" s="1" t="s">
        <v>9</v>
      </c>
      <c r="B3824" s="1" t="s">
        <v>4</v>
      </c>
      <c r="C3824" s="10" t="s">
        <v>9</v>
      </c>
      <c r="D3824" s="6" t="s">
        <v>3599</v>
      </c>
      <c r="E3824" s="1" t="str">
        <f ca="1">IFERROR(__xludf.DUMMYFUNCTION("GOOGLETRANSLATE(D3824, ""bn"", ""en"")"),"Kashem's army advanced from Narayanpur towards Surendranath Bose's 'Zamindar's Office'. Another group of riotous Muslims from Kalyanagar joined Kashem's forces. Along with them, many more hired Muslim goons attacked the Zamindar's office.")</f>
        <v>Kashem's army advanced from Narayanpur towards Surendranath Bose's 'Zamindar's Office'. Another group of riotous Muslims from Kalyanagar joined Kashem's forces. Along with them, many more hired Muslim goons attacked the Zamindar's office.</v>
      </c>
      <c r="F3824" s="1"/>
      <c r="G3824" s="1"/>
      <c r="H3824" s="1"/>
      <c r="I3824" s="1"/>
    </row>
    <row r="3825" spans="1:9" ht="31.2" x14ac:dyDescent="0.3">
      <c r="A3825" s="1" t="s">
        <v>9</v>
      </c>
      <c r="B3825" s="1" t="s">
        <v>9</v>
      </c>
      <c r="C3825" s="10" t="s">
        <v>9</v>
      </c>
      <c r="D3825" s="6" t="s">
        <v>3598</v>
      </c>
      <c r="E3825" s="1" t="str">
        <f ca="1">IFERROR(__xludf.DUMMYFUNCTION("GOOGLETRANSLATE(D3825, ""bn"", ""en"")"),"We got a call from 999 about the idol breaking incident at Kali Mandir in Sialkole and we reached the spot and arrested the young man. At this time, a stone and a broken brick used for breaking idols have been seized from him.")</f>
        <v>We got a call from 999 about the idol breaking incident at Kali Mandir in Sialkole and we reached the spot and arrested the young man. At this time, a stone and a broken brick used for breaking idols have been seized from him.</v>
      </c>
      <c r="F3825" s="1"/>
      <c r="G3825" s="1"/>
      <c r="H3825" s="1"/>
      <c r="I3825" s="1"/>
    </row>
    <row r="3826" spans="1:9" ht="15.6" x14ac:dyDescent="0.3">
      <c r="A3826" s="1" t="s">
        <v>5</v>
      </c>
      <c r="B3826" s="1" t="s">
        <v>5</v>
      </c>
      <c r="C3826" s="10" t="s">
        <v>5</v>
      </c>
      <c r="D3826" s="5" t="s">
        <v>3385</v>
      </c>
      <c r="E3826" s="1" t="str">
        <f ca="1">IFERROR(__xludf.DUMMYFUNCTION("GOOGLETRANSLATE(D3826, ""bn"", ""en"")"),"Masha Allah Alhamdulillah. Very nicely explained. If you understand and try to read it in this way, it is definitely possible to recite the Qur'an Majeed inshAllah.")</f>
        <v>Masha Allah Alhamdulillah. Very nicely explained. If you understand and try to read it in this way, it is definitely possible to recite the Qur'an Majeed inshAllah.</v>
      </c>
      <c r="F3826" s="1"/>
      <c r="G3826" s="1"/>
      <c r="H3826" s="1"/>
      <c r="I3826" s="1"/>
    </row>
    <row r="3827" spans="1:9" ht="15.6" x14ac:dyDescent="0.3">
      <c r="A3827" s="1" t="s">
        <v>7</v>
      </c>
      <c r="B3827" s="1" t="s">
        <v>7</v>
      </c>
      <c r="C3827" s="10" t="s">
        <v>7</v>
      </c>
      <c r="D3827" s="5" t="s">
        <v>3386</v>
      </c>
      <c r="E3827" s="1" t="str">
        <f ca="1">IFERROR(__xludf.DUMMYFUNCTION("GOOGLETRANSLATE(D3827, ""bn"", ""en"")"),"In Lalmonirhat, a man was beaten to death on charges of blasphemy and his body was later burnt.")</f>
        <v>In Lalmonirhat, a man was beaten to death on charges of blasphemy and his body was later burnt.</v>
      </c>
      <c r="F3827" s="1"/>
      <c r="G3827" s="1"/>
      <c r="H3827" s="1"/>
      <c r="I3827" s="1"/>
    </row>
    <row r="3828" spans="1:9" ht="31.2" x14ac:dyDescent="0.3">
      <c r="A3828" s="1" t="s">
        <v>7</v>
      </c>
      <c r="B3828" s="1" t="s">
        <v>7</v>
      </c>
      <c r="C3828" s="10" t="s">
        <v>7</v>
      </c>
      <c r="D3828" s="6" t="s">
        <v>3597</v>
      </c>
      <c r="E3828" s="1" t="str">
        <f ca="1">IFERROR(__xludf.DUMMYFUNCTION("GOOGLETRANSLATE(D3828, ""bn"", ""en"")"),"Condolences to the families of the deceased devotees. From the Gangasagar Mela I learned that in large gatherings where the lives of devotees are involved, planning and service must be supreme. Wishing peace for the souls of the dead.")</f>
        <v>Condolences to the families of the deceased devotees. From the Gangasagar Mela I learned that in large gatherings where the lives of devotees are involved, planning and service must be supreme. Wishing peace for the souls of the dead.</v>
      </c>
      <c r="F3828" s="1"/>
      <c r="G3828" s="1"/>
      <c r="H3828" s="1"/>
      <c r="I3828" s="1"/>
    </row>
    <row r="3829" spans="1:9" ht="31.2" x14ac:dyDescent="0.3">
      <c r="A3829" s="1" t="s">
        <v>4</v>
      </c>
      <c r="B3829" s="1" t="s">
        <v>5</v>
      </c>
      <c r="C3829" s="10" t="s">
        <v>4</v>
      </c>
      <c r="D3829" s="6" t="s">
        <v>3596</v>
      </c>
      <c r="E3829" s="1" t="str">
        <f ca="1">IFERROR(__xludf.DUMMYFUNCTION("GOOGLETRANSLATE(D3829, ""bn"", ""en"")"),"Pakistan's Counter-Terrorism Department-CTD has taken into custody 2 accused of desecrating the Holy Quran. On Thursday, Punjab Chief Minister Mohsin Naqvi confirmed the matter.")</f>
        <v>Pakistan's Counter-Terrorism Department-CTD has taken into custody 2 accused of desecrating the Holy Quran. On Thursday, Punjab Chief Minister Mohsin Naqvi confirmed the matter.</v>
      </c>
      <c r="F3829" s="1"/>
      <c r="G3829" s="1"/>
      <c r="H3829" s="1"/>
      <c r="I3829" s="1"/>
    </row>
    <row r="3830" spans="1:9" ht="31.2" x14ac:dyDescent="0.3">
      <c r="A3830" s="1" t="s">
        <v>5</v>
      </c>
      <c r="B3830" s="1" t="s">
        <v>5</v>
      </c>
      <c r="C3830" s="10" t="s">
        <v>5</v>
      </c>
      <c r="D3830" s="6" t="s">
        <v>3595</v>
      </c>
      <c r="E3830" s="1" t="str">
        <f ca="1">IFERROR(__xludf.DUMMYFUNCTION("GOOGLETRANSLATE(D3830, ""bn"", ""en"")"),"On this day, Buddhists perform Panchasheela, Ashtasheela, Sutrapatha, Sutrashravana, Samaveta prayer in addition to Buddha Puja[1]. This day is very important to Buddhists as well as Hindus. Because Gautama Buddha is considered as the ninth incarnation of"&amp;" Lord Vishnu according to Hinduism.")</f>
        <v>On this day, Buddhists perform Panchasheela, Ashtasheela, Sutrapatha, Sutrashravana, Samaveta prayer in addition to Buddha Puja[1]. This day is very important to Buddhists as well as Hindus. Because Gautama Buddha is considered as the ninth incarnation of Lord Vishnu according to Hinduism.</v>
      </c>
      <c r="F3830" s="1"/>
      <c r="G3830" s="1"/>
      <c r="H3830" s="1"/>
      <c r="I3830" s="1"/>
    </row>
    <row r="3831" spans="1:9" ht="15.6" x14ac:dyDescent="0.3">
      <c r="A3831" s="1" t="s">
        <v>4</v>
      </c>
      <c r="B3831" s="1" t="s">
        <v>4</v>
      </c>
      <c r="C3831" s="10" t="s">
        <v>4</v>
      </c>
      <c r="D3831" s="5" t="s">
        <v>3387</v>
      </c>
      <c r="E3831" s="1" t="str">
        <f ca="1">IFERROR(__xludf.DUMMYFUNCTION("GOOGLETRANSLATE(D3831, ""bn"", ""en"")"),"Practices like Tabligh, Tanjim, Shuddhi (Hindu-Muslim communal practice) have started and as a result we have reached this abysmal state."" - Bhagat Singh - ")</f>
        <v xml:space="preserve">Practices like Tabligh, Tanjim, Shuddhi (Hindu-Muslim communal practice) have started and as a result we have reached this abysmal state." - Bhagat Singh - </v>
      </c>
      <c r="F3831" s="1"/>
      <c r="G3831" s="1"/>
      <c r="H3831" s="1"/>
      <c r="I3831" s="1"/>
    </row>
    <row r="3832" spans="1:9" ht="33" x14ac:dyDescent="0.3">
      <c r="A3832" s="1" t="s">
        <v>5</v>
      </c>
      <c r="B3832" s="1" t="s">
        <v>5</v>
      </c>
      <c r="C3832" s="10" t="s">
        <v>5</v>
      </c>
      <c r="D3832" s="6" t="s">
        <v>3594</v>
      </c>
      <c r="E3832" s="1" t="str">
        <f ca="1">IFERROR(__xludf.DUMMYFUNCTION("GOOGLETRANSLATE(D3832, ""bn"", ""en"")"),"The Catholic Church is the largest denomination or branch of Christianity in terms of membership.[7] As of 2016, approximately 1.3 billion people worldwide are considered to be initiated into the Roman Catholic Church.")</f>
        <v>The Catholic Church is the largest denomination or branch of Christianity in terms of membership.[7] As of 2016, approximately 1.3 billion people worldwide are considered to be initiated into the Roman Catholic Church.</v>
      </c>
      <c r="F3832" s="1"/>
      <c r="G3832" s="1"/>
      <c r="H3832" s="1"/>
      <c r="I3832" s="1"/>
    </row>
    <row r="3833" spans="1:9" ht="15.6" x14ac:dyDescent="0.3">
      <c r="A3833" s="1" t="s">
        <v>7</v>
      </c>
      <c r="B3833" s="1" t="s">
        <v>7</v>
      </c>
      <c r="C3833" s="10" t="s">
        <v>7</v>
      </c>
      <c r="D3833" s="5" t="s">
        <v>3388</v>
      </c>
      <c r="E3833" s="1" t="str">
        <f ca="1">IFERROR(__xludf.DUMMYFUNCTION("GOOGLETRANSLATE(D3833, ""bn"", ""en"")"),"Three Hindu temples in Bhagalpur Lane of Hazaribagh were looted and vandalized. 17 innocent Hindus were hacked and injured in Beltali Lane.")</f>
        <v>Three Hindu temples in Bhagalpur Lane of Hazaribagh were looted and vandalized. 17 innocent Hindus were hacked and injured in Beltali Lane.</v>
      </c>
      <c r="F3833" s="1"/>
      <c r="G3833" s="1"/>
      <c r="H3833" s="1"/>
      <c r="I3833" s="1"/>
    </row>
    <row r="3834" spans="1:9" ht="15.6" x14ac:dyDescent="0.3">
      <c r="A3834" s="1" t="s">
        <v>5</v>
      </c>
      <c r="B3834" s="1" t="s">
        <v>5</v>
      </c>
      <c r="C3834" s="10" t="s">
        <v>5</v>
      </c>
      <c r="D3834" s="5" t="s">
        <v>3389</v>
      </c>
      <c r="E3834" s="1" t="str">
        <f ca="1">IFERROR(__xludf.DUMMYFUNCTION("GOOGLETRANSLATE(D3834, ""bn"", ""en"")"),"When Buddha talks about rebirth, soul, nirvana, he is indirectly talking about God.")</f>
        <v>When Buddha talks about rebirth, soul, nirvana, he is indirectly talking about God.</v>
      </c>
      <c r="F3834" s="1"/>
      <c r="G3834" s="1"/>
      <c r="H3834" s="1"/>
      <c r="I3834" s="1"/>
    </row>
    <row r="3835" spans="1:9" ht="31.2" x14ac:dyDescent="0.3">
      <c r="A3835" s="1" t="s">
        <v>9</v>
      </c>
      <c r="B3835" s="1" t="s">
        <v>9</v>
      </c>
      <c r="C3835" s="10" t="s">
        <v>9</v>
      </c>
      <c r="D3835" s="6" t="s">
        <v>3593</v>
      </c>
      <c r="E3835" s="1" t="str">
        <f ca="1">IFERROR(__xludf.DUMMYFUNCTION("GOOGLETRANSLATE(D3835, ""bn"", ""en"")"),"The destruction of Muslim architecture, the existence of shrines in mosques and the indifference of erasing Muslim historical sites and landmarks have angered the Muslims of India.")</f>
        <v>The destruction of Muslim architecture, the existence of shrines in mosques and the indifference of erasing Muslim historical sites and landmarks have angered the Muslims of India.</v>
      </c>
      <c r="F3835" s="1"/>
      <c r="G3835" s="1"/>
      <c r="H3835" s="1"/>
      <c r="I3835" s="1"/>
    </row>
    <row r="3836" spans="1:9" ht="15.6" x14ac:dyDescent="0.3">
      <c r="A3836" s="1" t="s">
        <v>9</v>
      </c>
      <c r="B3836" s="1" t="s">
        <v>9</v>
      </c>
      <c r="C3836" s="10" t="s">
        <v>9</v>
      </c>
      <c r="D3836" s="5" t="s">
        <v>3390</v>
      </c>
      <c r="E3836" s="1" t="str">
        <f ca="1">IFERROR(__xludf.DUMMYFUNCTION("GOOGLETRANSLATE(D3836, ""bn"", ""en"")"),"As the day progressed, the conflict also increased. The angry Islamic crowd clashed with the police at various places. A group of people set fire to the Air India office in Motijheel in the afternoon.")</f>
        <v>As the day progressed, the conflict also increased. The angry Islamic crowd clashed with the police at various places. A group of people set fire to the Air India office in Motijheel in the afternoon.</v>
      </c>
      <c r="F3836" s="1"/>
      <c r="G3836" s="1"/>
      <c r="H3836" s="1"/>
      <c r="I3836" s="1"/>
    </row>
    <row r="3837" spans="1:9" ht="31.2" x14ac:dyDescent="0.3">
      <c r="A3837" s="1" t="s">
        <v>4</v>
      </c>
      <c r="B3837" s="1" t="s">
        <v>5</v>
      </c>
      <c r="C3837" s="10" t="s">
        <v>4</v>
      </c>
      <c r="D3837" s="6" t="s">
        <v>3592</v>
      </c>
      <c r="E3837" s="1" t="str">
        <f ca="1">IFERROR(__xludf.DUMMYFUNCTION("GOOGLETRANSLATE(D3837, ""bn"", ""en"")"),"It is up to him whether he will practice religion or not. Why pressure brother to accept religion. You do not practice religion. Everyone can eat food. It is written on the cigarette that boys will eat it. Ask the government to write it first.")</f>
        <v>It is up to him whether he will practice religion or not. Why pressure brother to accept religion. You do not practice religion. Everyone can eat food. It is written on the cigarette that boys will eat it. Ask the government to write it first.</v>
      </c>
      <c r="F3837" s="1"/>
      <c r="G3837" s="1"/>
      <c r="H3837" s="1"/>
      <c r="I3837" s="1"/>
    </row>
    <row r="3838" spans="1:9" ht="15.6" x14ac:dyDescent="0.3">
      <c r="A3838" s="1" t="s">
        <v>7</v>
      </c>
      <c r="B3838" s="1" t="s">
        <v>7</v>
      </c>
      <c r="C3838" s="10" t="s">
        <v>7</v>
      </c>
      <c r="D3838" s="5" t="s">
        <v>3391</v>
      </c>
      <c r="E3838" s="1" t="str">
        <f ca="1">IFERROR(__xludf.DUMMYFUNCTION("GOOGLETRANSLATE(D3838, ""bn"", ""en"")"),"It is important to present the teachings of Islam clearly and comprehensibly in the Friday sermon of the mosque, or in the waj mahfil, to overcome these social problems and suicide.")</f>
        <v>It is important to present the teachings of Islam clearly and comprehensibly in the Friday sermon of the mosque, or in the waj mahfil, to overcome these social problems and suicide.</v>
      </c>
      <c r="F3838" s="1"/>
      <c r="G3838" s="1"/>
      <c r="H3838" s="1"/>
      <c r="I3838" s="1"/>
    </row>
    <row r="3839" spans="1:9" ht="46.8" x14ac:dyDescent="0.3">
      <c r="A3839" s="1" t="s">
        <v>4</v>
      </c>
      <c r="B3839" s="1" t="s">
        <v>5</v>
      </c>
      <c r="C3839" s="10" t="s">
        <v>4</v>
      </c>
      <c r="D3839" s="6" t="s">
        <v>3591</v>
      </c>
      <c r="E3839" s="1" t="str">
        <f ca="1">IFERROR(__xludf.DUMMYFUNCTION("GOOGLETRANSLATE(D3839, ""bn"", ""en"")"),"I demand that the real culprits be quickly arrested and brought under the law through a fair investigation and the maximum punishment. You should practice your religion, but not by insulting other religions. Maintain communal harmony, show respect to othe"&amp;"r religions.")</f>
        <v>I demand that the real culprits be quickly arrested and brought under the law through a fair investigation and the maximum punishment. You should practice your religion, but not by insulting other religions. Maintain communal harmony, show respect to other religions.</v>
      </c>
      <c r="F3839" s="1"/>
      <c r="G3839" s="1"/>
      <c r="H3839" s="1"/>
      <c r="I3839" s="1"/>
    </row>
    <row r="3840" spans="1:9" ht="15.6" x14ac:dyDescent="0.3">
      <c r="A3840" s="1" t="s">
        <v>7</v>
      </c>
      <c r="B3840" s="1" t="s">
        <v>7</v>
      </c>
      <c r="C3840" s="10" t="s">
        <v>7</v>
      </c>
      <c r="D3840" s="5" t="s">
        <v>3392</v>
      </c>
      <c r="E3840" s="1" t="str">
        <f ca="1">IFERROR(__xludf.DUMMYFUNCTION("GOOGLETRANSLATE(D3840, ""bn"", ""en"")"),"Countless families have suffered the loss of their loved ones as discord and violence erupted in the name of religion.")</f>
        <v>Countless families have suffered the loss of their loved ones as discord and violence erupted in the name of religion.</v>
      </c>
      <c r="F3840" s="1"/>
      <c r="G3840" s="1"/>
      <c r="H3840" s="1"/>
      <c r="I3840" s="1"/>
    </row>
    <row r="3841" spans="1:9" ht="15.6" x14ac:dyDescent="0.3">
      <c r="A3841" s="1" t="s">
        <v>5</v>
      </c>
      <c r="B3841" s="1" t="s">
        <v>5</v>
      </c>
      <c r="C3841" s="10" t="s">
        <v>5</v>
      </c>
      <c r="D3841" s="5" t="s">
        <v>3393</v>
      </c>
      <c r="E3841" s="1" t="str">
        <f ca="1">IFERROR(__xludf.DUMMYFUNCTION("GOOGLETRANSLATE(D3841, ""bn"", ""en"")"),"Ummah Muhammad will be rewarded with a thousand months of worship and deeds. This night is referred to as the blessed night in another place of the Quran")</f>
        <v>Ummah Muhammad will be rewarded with a thousand months of worship and deeds. This night is referred to as the blessed night in another place of the Quran</v>
      </c>
      <c r="F3841" s="1"/>
      <c r="G3841" s="1"/>
      <c r="H3841" s="1"/>
      <c r="I3841" s="1"/>
    </row>
    <row r="3842" spans="1:9" ht="15.6" x14ac:dyDescent="0.3">
      <c r="A3842" s="1" t="s">
        <v>5</v>
      </c>
      <c r="B3842" s="1" t="s">
        <v>5</v>
      </c>
      <c r="C3842" s="10" t="s">
        <v>5</v>
      </c>
      <c r="D3842" s="5" t="s">
        <v>3394</v>
      </c>
      <c r="E3842" s="1" t="str">
        <f ca="1">IFERROR(__xludf.DUMMYFUNCTION("GOOGLETRANSLATE(D3842, ""bn"", ""en"")"),"May Allah protect the mothers and sisters of Palestine from the hands of the cursed Jewish nation")</f>
        <v>May Allah protect the mothers and sisters of Palestine from the hands of the cursed Jewish nation</v>
      </c>
      <c r="F3842" s="1"/>
      <c r="G3842" s="1"/>
      <c r="H3842" s="1"/>
      <c r="I3842" s="1"/>
    </row>
    <row r="3843" spans="1:9" ht="31.2" x14ac:dyDescent="0.3">
      <c r="A3843" s="1" t="s">
        <v>5</v>
      </c>
      <c r="B3843" s="1" t="s">
        <v>5</v>
      </c>
      <c r="C3843" s="10" t="s">
        <v>5</v>
      </c>
      <c r="D3843" s="6" t="s">
        <v>3590</v>
      </c>
      <c r="E3843" s="1" t="str">
        <f ca="1">IFERROR(__xludf.DUMMYFUNCTION("GOOGLETRANSLATE(D3843, ""bn"", ""en"")"),"Christianity says that in the heart of man is the love of God, and through this love we can serve one another with compassion and love, so that the world becomes a peaceful and united place.")</f>
        <v>Christianity says that in the heart of man is the love of God, and through this love we can serve one another with compassion and love, so that the world becomes a peaceful and united place.</v>
      </c>
      <c r="F3843" s="1"/>
      <c r="G3843" s="1"/>
      <c r="H3843" s="1"/>
      <c r="I3843" s="1"/>
    </row>
    <row r="3844" spans="1:9" ht="15.6" x14ac:dyDescent="0.3">
      <c r="A3844" s="1" t="s">
        <v>5</v>
      </c>
      <c r="B3844" s="1" t="s">
        <v>5</v>
      </c>
      <c r="C3844" s="10" t="s">
        <v>5</v>
      </c>
      <c r="D3844" s="5" t="s">
        <v>3395</v>
      </c>
      <c r="E3844" s="1" t="str">
        <f ca="1">IFERROR(__xludf.DUMMYFUNCTION("GOOGLETRANSLATE(D3844, ""bn"", ""en"")"),"Civilians can directly say, ""We are against Islam.""")</f>
        <v>Civilians can directly say, "We are against Islam."</v>
      </c>
      <c r="F3844" s="1"/>
      <c r="G3844" s="1"/>
      <c r="H3844" s="1"/>
      <c r="I3844" s="1"/>
    </row>
    <row r="3845" spans="1:9" ht="31.2" x14ac:dyDescent="0.3">
      <c r="A3845" s="1" t="s">
        <v>5</v>
      </c>
      <c r="B3845" s="1" t="s">
        <v>5</v>
      </c>
      <c r="C3845" s="10" t="s">
        <v>5</v>
      </c>
      <c r="D3845" s="6" t="s">
        <v>3589</v>
      </c>
      <c r="E3845" s="1" t="str">
        <f ca="1">IFERROR(__xludf.DUMMYFUNCTION("GOOGLETRANSLATE(D3845, ""bn"", ""en"")"),"The core teaching of Christianity is to serve humanity through love, kindness and compassion, where they believe that God's love is what gives the world the power to create compassion and love for one another.")</f>
        <v>The core teaching of Christianity is to serve humanity through love, kindness and compassion, where they believe that God's love is what gives the world the power to create compassion and love for one another.</v>
      </c>
      <c r="F3845" s="1"/>
      <c r="G3845" s="1"/>
      <c r="H3845" s="1"/>
      <c r="I3845" s="1"/>
    </row>
    <row r="3846" spans="1:9" ht="46.8" x14ac:dyDescent="0.3">
      <c r="A3846" s="1" t="s">
        <v>9</v>
      </c>
      <c r="B3846" s="1" t="s">
        <v>7</v>
      </c>
      <c r="C3846" s="10" t="s">
        <v>9</v>
      </c>
      <c r="D3846" s="6" t="s">
        <v>3588</v>
      </c>
      <c r="E3846" s="1" t="str">
        <f ca="1">IFERROR(__xludf.DUMMYFUNCTION("GOOGLETRANSLATE(D3846, ""bn"", ""en"")"),"Hindu women were forced to wear the Islamic hijab. What the Taliban try to cover up is a mechanism to ""protect"" them from harassment. This was part of the Taliban's plan to separate the ""un-Islamic"" and ""idolatrous"" Hindus from the Muslim community.")</f>
        <v>Hindu women were forced to wear the Islamic hijab. What the Taliban try to cover up is a mechanism to "protect" them from harassment. This was part of the Taliban's plan to separate the "un-Islamic" and "idolatrous" Hindus from the Muslim community.</v>
      </c>
      <c r="F3846" s="1"/>
      <c r="G3846" s="1"/>
      <c r="H3846" s="1"/>
      <c r="I3846" s="1"/>
    </row>
    <row r="3847" spans="1:9" ht="31.2" x14ac:dyDescent="0.3">
      <c r="A3847" s="1" t="s">
        <v>5</v>
      </c>
      <c r="B3847" s="1" t="s">
        <v>5</v>
      </c>
      <c r="C3847" s="10" t="s">
        <v>5</v>
      </c>
      <c r="D3847" s="6" t="s">
        <v>3587</v>
      </c>
      <c r="E3847" s="1" t="str">
        <f ca="1">IFERROR(__xludf.DUMMYFUNCTION("GOOGLETRANSLATE(D3847, ""bn"", ""en"")"),"Can't quite be certain that it's actually this night. However, various indications in the hadith make it possible that Shab Qadr is on the 27th of Ramadan. Means 26th fasting day night. Because in Hijri the night is counted before the day.")</f>
        <v>Can't quite be certain that it's actually this night. However, various indications in the hadith make it possible that Shab Qadr is on the 27th of Ramadan. Means 26th fasting day night. Because in Hijri the night is counted before the day.</v>
      </c>
      <c r="F3847" s="1"/>
      <c r="G3847" s="1"/>
      <c r="H3847" s="1"/>
      <c r="I3847" s="1"/>
    </row>
    <row r="3848" spans="1:9" ht="31.2" x14ac:dyDescent="0.3">
      <c r="A3848" s="1" t="s">
        <v>7</v>
      </c>
      <c r="B3848" s="1" t="s">
        <v>7</v>
      </c>
      <c r="C3848" s="10" t="s">
        <v>7</v>
      </c>
      <c r="D3848" s="6" t="s">
        <v>3586</v>
      </c>
      <c r="E3848" s="1" t="str">
        <f ca="1">IFERROR(__xludf.DUMMYFUNCTION("GOOGLETRANSLATE(D3848, ""bn"", ""en"")"),"After the riots in Noakhali stopped, the Muslim League claimed that only 500 Hindus had died in the conflict, but survivors believe that more than 50,000 Hindus were killed. Some claim that this almost destroyed the Hindu population in Noakhali.")</f>
        <v>After the riots in Noakhali stopped, the Muslim League claimed that only 500 Hindus had died in the conflict, but survivors believe that more than 50,000 Hindus were killed. Some claim that this almost destroyed the Hindu population in Noakhali.</v>
      </c>
      <c r="F3848" s="1"/>
      <c r="G3848" s="1"/>
      <c r="H3848" s="1"/>
      <c r="I3848" s="1"/>
    </row>
    <row r="3849" spans="1:9" ht="15.6" x14ac:dyDescent="0.3">
      <c r="A3849" s="1" t="s">
        <v>5</v>
      </c>
      <c r="B3849" s="1" t="s">
        <v>5</v>
      </c>
      <c r="C3849" s="10" t="s">
        <v>5</v>
      </c>
      <c r="D3849" s="5" t="s">
        <v>3396</v>
      </c>
      <c r="E3849" s="1" t="str">
        <f ca="1">IFERROR(__xludf.DUMMYFUNCTION("GOOGLETRANSLATE(D3849, ""bn"", ""en"")"),"A secular state is a concept related to secularism, where a state seeks to be officially neutral on religion and does not support religion or religions. [")</f>
        <v>A secular state is a concept related to secularism, where a state seeks to be officially neutral on religion and does not support religion or religions. [</v>
      </c>
      <c r="F3849" s="1"/>
      <c r="G3849" s="1"/>
      <c r="H3849" s="1"/>
      <c r="I3849" s="1"/>
    </row>
    <row r="3850" spans="1:9" ht="31.2" x14ac:dyDescent="0.3">
      <c r="A3850" s="1" t="s">
        <v>4</v>
      </c>
      <c r="B3850" s="1" t="s">
        <v>4</v>
      </c>
      <c r="C3850" s="10" t="s">
        <v>4</v>
      </c>
      <c r="D3850" s="6" t="s">
        <v>3585</v>
      </c>
      <c r="E3850" s="1" t="str">
        <f ca="1">IFERROR(__xludf.DUMMYFUNCTION("GOOGLETRANSLATE(D3850, ""bn"", ""en"")"),"The Islamic parties are also constantly reacting, but the government is silent. People's anger is increasing due to the government's silence. As one of the largest Muslim-majority countries in the world and a member of the Muslim Ummah, the government of "&amp;"Bangladesh must respond appropriately.")</f>
        <v>The Islamic parties are also constantly reacting, but the government is silent. People's anger is increasing due to the government's silence. As one of the largest Muslim-majority countries in the world and a member of the Muslim Ummah, the government of Bangladesh must respond appropriately.</v>
      </c>
      <c r="F3850" s="1"/>
      <c r="G3850" s="1"/>
      <c r="H3850" s="1"/>
      <c r="I3850" s="1"/>
    </row>
    <row r="3851" spans="1:9" ht="15.6" x14ac:dyDescent="0.3">
      <c r="A3851" s="1" t="s">
        <v>7</v>
      </c>
      <c r="B3851" s="1" t="s">
        <v>7</v>
      </c>
      <c r="C3851" s="10" t="s">
        <v>7</v>
      </c>
      <c r="D3851" s="5" t="s">
        <v>3397</v>
      </c>
      <c r="E3851" s="1" t="str">
        <f ca="1">IFERROR(__xludf.DUMMYFUNCTION("GOOGLETRANSLATE(D3851, ""bn"", ""en"")"),"According to Rabindranath Trivedi, Captain Jamshed ordered the murder. He mentions the subsequent desecration and destruction of the temple by Pak invaders. ")</f>
        <v>According to Rabindranath Trivedi, Captain Jamshed ordered the murder. He mentions the subsequent desecration and destruction of the temple by Pak invaders. </v>
      </c>
      <c r="F3851" s="1"/>
      <c r="G3851" s="1"/>
      <c r="H3851" s="1"/>
      <c r="I3851" s="1"/>
    </row>
    <row r="3852" spans="1:9" ht="15.6" x14ac:dyDescent="0.3">
      <c r="A3852" s="1" t="s">
        <v>7</v>
      </c>
      <c r="B3852" s="1" t="s">
        <v>5</v>
      </c>
      <c r="C3852" s="10" t="s">
        <v>7</v>
      </c>
      <c r="D3852" s="5" t="s">
        <v>3398</v>
      </c>
      <c r="E3852" s="1" t="str">
        <f ca="1">IFERROR(__xludf.DUMMYFUNCTION("GOOGLETRANSLATE(D3852, ""bn"", ""en"")"),"They think death is a joke, but if they had this knowledge, they would never have done such a thing thinking about their existence after death.")</f>
        <v>They think death is a joke, but if they had this knowledge, they would never have done such a thing thinking about their existence after death.</v>
      </c>
      <c r="F3852" s="1"/>
      <c r="G3852" s="1"/>
      <c r="H3852" s="1"/>
      <c r="I3852" s="1"/>
    </row>
    <row r="3853" spans="1:9" ht="46.8" x14ac:dyDescent="0.3">
      <c r="A3853" s="1" t="s">
        <v>7</v>
      </c>
      <c r="B3853" s="1" t="s">
        <v>7</v>
      </c>
      <c r="C3853" s="10" t="s">
        <v>7</v>
      </c>
      <c r="D3853" s="6" t="s">
        <v>3584</v>
      </c>
      <c r="E3853" s="1" t="str">
        <f ca="1">IFERROR(__xludf.DUMMYFUNCTION("GOOGLETRANSLATE(D3853, ""bn"", ""en"")"),"Failing to capture Zafar, the army, with the help of Abul Kalam Azad, arrested 33 persons from the villages of Hasamdia, Rajapur, Ramnagar, Poail, Srinagar and Moindia, of whom 32 were Bengali Hindus. The captives were taken to Ramnagar village and killed"&amp;". Besides, the army set fire to Hasamdia market.")</f>
        <v>Failing to capture Zafar, the army, with the help of Abul Kalam Azad, arrested 33 persons from the villages of Hasamdia, Rajapur, Ramnagar, Poail, Srinagar and Moindia, of whom 32 were Bengali Hindus. The captives were taken to Ramnagar village and killed. Besides, the army set fire to Hasamdia market.</v>
      </c>
      <c r="F3853" s="1"/>
      <c r="G3853" s="1"/>
      <c r="H3853" s="1"/>
      <c r="I3853" s="1"/>
    </row>
    <row r="3854" spans="1:9" ht="31.2" x14ac:dyDescent="0.3">
      <c r="A3854" s="1" t="s">
        <v>9</v>
      </c>
      <c r="B3854" s="1" t="s">
        <v>9</v>
      </c>
      <c r="C3854" s="10" t="s">
        <v>9</v>
      </c>
      <c r="D3854" s="6" t="s">
        <v>3583</v>
      </c>
      <c r="E3854" s="1" t="str">
        <f ca="1">IFERROR(__xludf.DUMMYFUNCTION("GOOGLETRANSLATE(D3854, ""bn"", ""en"")"),"Hundreds of Hindu villages around Dhaka were burned to ashes by Muslims. [16] On January 18, Daily Ittefaq reported that Muslims destroyed 95 percent of the houses of the Hindu community in Old Dhaka.")</f>
        <v>Hundreds of Hindu villages around Dhaka were burned to ashes by Muslims. [16] On January 18, Daily Ittefaq reported that Muslims destroyed 95 percent of the houses of the Hindu community in Old Dhaka.</v>
      </c>
      <c r="F3854" s="1"/>
      <c r="G3854" s="1"/>
      <c r="H3854" s="1"/>
      <c r="I3854" s="1"/>
    </row>
    <row r="3855" spans="1:9" ht="31.2" x14ac:dyDescent="0.3">
      <c r="A3855" s="1" t="s">
        <v>7</v>
      </c>
      <c r="B3855" s="1" t="s">
        <v>7</v>
      </c>
      <c r="C3855" s="10" t="s">
        <v>7</v>
      </c>
      <c r="D3855" s="6" t="s">
        <v>3582</v>
      </c>
      <c r="E3855" s="1" t="str">
        <f ca="1">IFERROR(__xludf.DUMMYFUNCTION("GOOGLETRANSLATE(D3855, ""bn"", ""en"")"),"The head office of the Ramakrishna Mission in Rabbanga, three buildings of the monastery, seven half-baked houses, a temple, a charitable hospital, a rich library, a well-known hostel were completely destroyed by the violence of the violent Muslim mob. [1"&amp;"8] They killed two people there.")</f>
        <v>The head office of the Ramakrishna Mission in Rabbanga, three buildings of the monastery, seven half-baked houses, a temple, a charitable hospital, a rich library, a well-known hostel were completely destroyed by the violence of the violent Muslim mob. [18] They killed two people there.</v>
      </c>
      <c r="F3855" s="1"/>
      <c r="G3855" s="1"/>
      <c r="H3855" s="1"/>
      <c r="I3855" s="1"/>
    </row>
    <row r="3856" spans="1:9" ht="31.2" x14ac:dyDescent="0.3">
      <c r="A3856" s="1" t="s">
        <v>9</v>
      </c>
      <c r="B3856" s="1" t="s">
        <v>9</v>
      </c>
      <c r="C3856" s="10" t="s">
        <v>9</v>
      </c>
      <c r="D3856" s="6" t="s">
        <v>3581</v>
      </c>
      <c r="E3856" s="1" t="str">
        <f ca="1">IFERROR(__xludf.DUMMYFUNCTION("GOOGLETRANSLATE(D3856, ""bn"", ""en"")"),"Those who want to make Fiji a Christian state. This intolerance towards Hindus manifested itself in anti-Hindu rhetoric and destruction of temples. which is the most common form of direct violence against Hindus.")</f>
        <v>Those who want to make Fiji a Christian state. This intolerance towards Hindus manifested itself in anti-Hindu rhetoric and destruction of temples. which is the most common form of direct violence against Hindus.</v>
      </c>
      <c r="F3856" s="1"/>
      <c r="G3856" s="1"/>
      <c r="H3856" s="1"/>
      <c r="I3856" s="1"/>
    </row>
    <row r="3857" spans="1:9" ht="15.6" x14ac:dyDescent="0.3">
      <c r="A3857" s="1" t="s">
        <v>4</v>
      </c>
      <c r="B3857" s="1" t="s">
        <v>5</v>
      </c>
      <c r="C3857" s="10" t="s">
        <v>4</v>
      </c>
      <c r="D3857" s="5" t="s">
        <v>3399</v>
      </c>
      <c r="E3857" s="1" t="str">
        <f ca="1">IFERROR(__xludf.DUMMYFUNCTION("GOOGLETRANSLATE(D3857, ""bn"", ""en"")"),"It is not a discussion about individuals. That is why we abuse, our intellectual practice can be called a kind of riot. And Facebook is its last arena. ")</f>
        <v xml:space="preserve">It is not a discussion about individuals. That is why we abuse, our intellectual practice can be called a kind of riot. And Facebook is its last arena. </v>
      </c>
      <c r="F3857" s="1"/>
      <c r="G3857" s="1"/>
      <c r="H3857" s="1"/>
      <c r="I3857" s="1"/>
    </row>
    <row r="3858" spans="1:9" ht="46.8" x14ac:dyDescent="0.3">
      <c r="A3858" s="1" t="s">
        <v>7</v>
      </c>
      <c r="B3858" s="1" t="s">
        <v>7</v>
      </c>
      <c r="C3858" s="10" t="s">
        <v>7</v>
      </c>
      <c r="D3858" s="6" t="s">
        <v>3580</v>
      </c>
      <c r="E3858" s="1" t="str">
        <f ca="1">IFERROR(__xludf.DUMMYFUNCTION("GOOGLETRANSLATE(D3858, ""bn"", ""en"")"),"Several acts of violence have been directed against the Rakhine community in the Chittagong Hill Tracts. It is said that the Bangladeshi military and people stationed with the support of the Bangladeshi government were involved. [28] 1980 Bengali Muslims "&amp;"and members of the armed forces attacked the village of Kakjali and killed 300 people.")</f>
        <v>Several acts of violence have been directed against the Rakhine community in the Chittagong Hill Tracts. It is said that the Bangladeshi military and people stationed with the support of the Bangladeshi government were involved. [28] 1980 Bengali Muslims and members of the armed forces attacked the village of Kakjali and killed 300 people.</v>
      </c>
      <c r="F3858" s="1"/>
      <c r="G3858" s="1"/>
      <c r="H3858" s="1"/>
      <c r="I3858" s="1"/>
    </row>
    <row r="3859" spans="1:9" ht="31.2" x14ac:dyDescent="0.3">
      <c r="A3859" s="1" t="s">
        <v>5</v>
      </c>
      <c r="B3859" s="1" t="s">
        <v>4</v>
      </c>
      <c r="C3859" s="10" t="s">
        <v>5</v>
      </c>
      <c r="D3859" s="6" t="s">
        <v>3579</v>
      </c>
      <c r="E3859" s="1" t="str">
        <f ca="1">IFERROR(__xludf.DUMMYFUNCTION("GOOGLETRANSLATE(D3859, ""bn"", ""en"")"),"Many old Buddhist monasteries still exist in Bengal. Buddhists were the first to compose some religious songs in Bengali language known as 'Charyapad'. Charyapadai is the oldest writing in Bengali language.")</f>
        <v>Many old Buddhist monasteries still exist in Bengal. Buddhists were the first to compose some religious songs in Bengali language known as 'Charyapad'. Charyapadai is the oldest writing in Bengali language.</v>
      </c>
      <c r="F3859" s="1"/>
      <c r="G3859" s="1"/>
      <c r="H3859" s="1"/>
      <c r="I3859" s="1"/>
    </row>
    <row r="3860" spans="1:9" ht="15.6" x14ac:dyDescent="0.3">
      <c r="A3860" s="1" t="s">
        <v>4</v>
      </c>
      <c r="B3860" s="1" t="s">
        <v>5</v>
      </c>
      <c r="C3860" s="10" t="s">
        <v>4</v>
      </c>
      <c r="D3860" s="5" t="s">
        <v>3400</v>
      </c>
      <c r="E3860" s="1" t="str">
        <f ca="1">IFERROR(__xludf.DUMMYFUNCTION("GOOGLETRANSLATE(D3860, ""bn"", ""en"")"),"When talking about Islamic rules and principles, many people get angry, many Muslims consider it as giving additional knowledge.")</f>
        <v>When talking about Islamic rules and principles, many people get angry, many Muslims consider it as giving additional knowledge.</v>
      </c>
      <c r="F3860" s="1"/>
      <c r="G3860" s="1"/>
      <c r="H3860" s="1"/>
      <c r="I3860" s="1"/>
    </row>
    <row r="3861" spans="1:9" ht="31.2" x14ac:dyDescent="0.3">
      <c r="A3861" s="1" t="s">
        <v>9</v>
      </c>
      <c r="B3861" s="1" t="s">
        <v>9</v>
      </c>
      <c r="C3861" s="10" t="s">
        <v>9</v>
      </c>
      <c r="D3861" s="6" t="s">
        <v>3578</v>
      </c>
      <c r="E3861" s="1" t="str">
        <f ca="1">IFERROR(__xludf.DUMMYFUNCTION("GOOGLETRANSLATE(D3861, ""bn"", ""en"")"),"They attacked, vandalized, set arson and looted Hindu homes, businesses and temples. A total of 66 families were affected. About 25 houses and shops including 7 tin houses, 9 brick houses, 4 mud houses, 2 shops of these families were burnt.")</f>
        <v>They attacked, vandalized, set arson and looted Hindu homes, businesses and temples. A total of 66 families were affected. About 25 houses and shops including 7 tin houses, 9 brick houses, 4 mud houses, 2 shops of these families were burnt.</v>
      </c>
      <c r="F3861" s="1"/>
      <c r="G3861" s="1"/>
      <c r="H3861" s="1"/>
      <c r="I3861" s="1"/>
    </row>
    <row r="3862" spans="1:9" ht="15.6" x14ac:dyDescent="0.3">
      <c r="A3862" s="1" t="s">
        <v>9</v>
      </c>
      <c r="B3862" s="1" t="s">
        <v>9</v>
      </c>
      <c r="C3862" s="10" t="s">
        <v>9</v>
      </c>
      <c r="D3862" s="5" t="s">
        <v>3401</v>
      </c>
      <c r="E3862" s="1" t="str">
        <f ca="1">IFERROR(__xludf.DUMMYFUNCTION("GOOGLETRANSLATE(D3862, ""bn"", ""en"")"),"Shouldn't the Koranic birds be allowed to vandalize and set fire to Hindu houses without firing a shot?")</f>
        <v>Shouldn't the Koranic birds be allowed to vandalize and set fire to Hindu houses without firing a shot?</v>
      </c>
      <c r="F3862" s="1"/>
      <c r="G3862" s="1"/>
      <c r="H3862" s="1"/>
      <c r="I3862" s="1"/>
    </row>
    <row r="3863" spans="1:9" ht="15.6" x14ac:dyDescent="0.3">
      <c r="A3863" s="1" t="s">
        <v>5</v>
      </c>
      <c r="B3863" s="1" t="s">
        <v>5</v>
      </c>
      <c r="C3863" s="10" t="s">
        <v>5</v>
      </c>
      <c r="D3863" s="5" t="s">
        <v>3402</v>
      </c>
      <c r="E3863" s="1" t="str">
        <f ca="1">IFERROR(__xludf.DUMMYFUNCTION("GOOGLETRANSLATE(D3863, ""bn"", ""en"")"),"Currently there are about 10 Gurdwaras in the country, 7 of them are well known. Especially Nanakshahi Gurdwara next to Dhaka University. It is the oldest Gurdwara in the country built in 1830")</f>
        <v>Currently there are about 10 Gurdwaras in the country, 7 of them are well known. Especially Nanakshahi Gurdwara next to Dhaka University. It is the oldest Gurdwara in the country built in 1830</v>
      </c>
      <c r="F3863" s="1"/>
      <c r="G3863" s="1"/>
      <c r="H3863" s="1"/>
      <c r="I3863" s="1"/>
    </row>
    <row r="3864" spans="1:9" ht="15.6" x14ac:dyDescent="0.3">
      <c r="A3864" s="1" t="s">
        <v>5</v>
      </c>
      <c r="B3864" s="1" t="s">
        <v>5</v>
      </c>
      <c r="C3864" s="10" t="s">
        <v>5</v>
      </c>
      <c r="D3864" s="5" t="s">
        <v>3403</v>
      </c>
      <c r="E3864" s="1" t="str">
        <f ca="1">IFERROR(__xludf.DUMMYFUNCTION("GOOGLETRANSLATE(D3864, ""bn"", ""en"")"),"Coronavirus: What will happen to prayers in mosques in Bangladesh?")</f>
        <v>Coronavirus: What will happen to prayers in mosques in Bangladesh?</v>
      </c>
      <c r="F3864" s="1"/>
      <c r="G3864" s="1"/>
      <c r="H3864" s="1"/>
      <c r="I3864" s="1"/>
    </row>
    <row r="3865" spans="1:9" ht="15.6" x14ac:dyDescent="0.3">
      <c r="A3865" s="1" t="s">
        <v>4</v>
      </c>
      <c r="B3865" s="1" t="s">
        <v>4</v>
      </c>
      <c r="C3865" s="10" t="s">
        <v>4</v>
      </c>
      <c r="D3865" s="5" t="s">
        <v>3404</v>
      </c>
      <c r="E3865" s="1" t="str">
        <f ca="1">IFERROR(__xludf.DUMMYFUNCTION("GOOGLETRANSLATE(D3865, ""bn"", ""en"")"),"However, several Islamic organizations held protests. But Rossraj did not know how to use Facebook. He has not given any status on Facebook His Facebook account was hacked and the status was given The post was also not found later.")</f>
        <v>However, several Islamic organizations held protests. But Rossraj did not know how to use Facebook. He has not given any status on Facebook His Facebook account was hacked and the status was given The post was also not found later.</v>
      </c>
      <c r="F3865" s="1"/>
      <c r="G3865" s="1"/>
      <c r="H3865" s="1"/>
      <c r="I3865" s="1"/>
    </row>
    <row r="3866" spans="1:9" ht="46.8" x14ac:dyDescent="0.3">
      <c r="A3866" s="1" t="s">
        <v>9</v>
      </c>
      <c r="B3866" s="1" t="s">
        <v>9</v>
      </c>
      <c r="C3866" s="10" t="s">
        <v>9</v>
      </c>
      <c r="D3866" s="6" t="s">
        <v>3577</v>
      </c>
      <c r="E3866" s="1" t="str">
        <f ca="1">IFERROR(__xludf.DUMMYFUNCTION("GOOGLETRANSLATE(D3866, ""bn"", ""en"")"),"On 7 February a group of 500-600 Muslims attacked Lokeshwar village under Chatak police station. There they looted the houses of Hindus especially Brahmins and brutally beat and injured two people. Here too they tore the sacred paita of the Brahmins and c"&amp;"ut off the tufts of hair or tiki placed on the head. They were also forcibly converted.")</f>
        <v>On 7 February a group of 500-600 Muslims attacked Lokeshwar village under Chatak police station. There they looted the houses of Hindus especially Brahmins and brutally beat and injured two people. Here too they tore the sacred paita of the Brahmins and cut off the tufts of hair or tiki placed on the head. They were also forcibly converted.</v>
      </c>
      <c r="F3866" s="1"/>
      <c r="G3866" s="1"/>
      <c r="H3866" s="1"/>
      <c r="I3866" s="1"/>
    </row>
    <row r="3867" spans="1:9" ht="31.2" x14ac:dyDescent="0.3">
      <c r="A3867" s="1" t="s">
        <v>4</v>
      </c>
      <c r="B3867" s="1" t="s">
        <v>5</v>
      </c>
      <c r="C3867" s="10" t="s">
        <v>4</v>
      </c>
      <c r="D3867" s="6" t="s">
        <v>3576</v>
      </c>
      <c r="E3867" s="1" t="str">
        <f ca="1">IFERROR(__xludf.DUMMYFUNCTION("GOOGLETRANSLATE(D3867, ""bn"", ""en"")"),"According to the notice, uttering words intended to hurt religious sentiments or any such offense is punishable by up to two years. People of all religions can take the benefits of this law equally. And insulting any religion is a punishable crime.")</f>
        <v>According to the notice, uttering words intended to hurt religious sentiments or any such offense is punishable by up to two years. People of all religions can take the benefits of this law equally. And insulting any religion is a punishable crime.</v>
      </c>
      <c r="F3867" s="1"/>
      <c r="G3867" s="1"/>
      <c r="H3867" s="1"/>
      <c r="I3867" s="1"/>
    </row>
    <row r="3868" spans="1:9" ht="31.2" x14ac:dyDescent="0.3">
      <c r="A3868" s="1" t="s">
        <v>9</v>
      </c>
      <c r="B3868" s="1" t="s">
        <v>9</v>
      </c>
      <c r="C3868" s="10" t="s">
        <v>9</v>
      </c>
      <c r="D3868" s="6" t="s">
        <v>3575</v>
      </c>
      <c r="E3868" s="1" t="str">
        <f ca="1">IFERROR(__xludf.DUMMYFUNCTION("GOOGLETRANSLATE(D3868, ""bn"", ""en"")"),"When people are excited about the rise in commodity prices in the country, communal riots broke out as a new issue and used the Holy Quran as a shield! We demand a fair investigation of the incident and exemplary punishment of the culprits.")</f>
        <v>When people are excited about the rise in commodity prices in the country, communal riots broke out as a new issue and used the Holy Quran as a shield! We demand a fair investigation of the incident and exemplary punishment of the culprits.</v>
      </c>
      <c r="F3868" s="1"/>
      <c r="G3868" s="1"/>
      <c r="H3868" s="1"/>
      <c r="I3868" s="1"/>
    </row>
    <row r="3869" spans="1:9" ht="15.6" x14ac:dyDescent="0.3">
      <c r="A3869" s="1" t="s">
        <v>5</v>
      </c>
      <c r="B3869" s="1" t="s">
        <v>5</v>
      </c>
      <c r="C3869" s="10" t="s">
        <v>5</v>
      </c>
      <c r="D3869" s="5" t="s">
        <v>3405</v>
      </c>
      <c r="E3869" s="1" t="str">
        <f ca="1">IFERROR(__xludf.DUMMYFUNCTION("GOOGLETRANSLATE(D3869, ""bn"", ""en"")"),"When Hindus and Muslims live together in peace, they show respect for each other's religious festivals and customs, which conveys a strong message of unity and brotherhood.")</f>
        <v>When Hindus and Muslims live together in peace, they show respect for each other's religious festivals and customs, which conveys a strong message of unity and brotherhood.</v>
      </c>
      <c r="F3869" s="1"/>
      <c r="G3869" s="1"/>
      <c r="H3869" s="1"/>
      <c r="I3869" s="1"/>
    </row>
    <row r="3870" spans="1:9" ht="15.6" x14ac:dyDescent="0.3">
      <c r="A3870" s="1" t="s">
        <v>4</v>
      </c>
      <c r="B3870" s="1" t="s">
        <v>9</v>
      </c>
      <c r="C3870" s="10" t="s">
        <v>4</v>
      </c>
      <c r="D3870" s="5" t="s">
        <v>3406</v>
      </c>
      <c r="E3870" s="1" t="str">
        <f ca="1">IFERROR(__xludf.DUMMYFUNCTION("GOOGLETRANSLATE(D3870, ""bn"", ""en"")"),"We do not hate people of any religion. We will practice our religion peacefully.")</f>
        <v>We do not hate people of any religion. We will practice our religion peacefully.</v>
      </c>
      <c r="F3870" s="1"/>
      <c r="G3870" s="1"/>
      <c r="H3870" s="1"/>
      <c r="I3870" s="1"/>
    </row>
    <row r="3871" spans="1:9" ht="15.6" x14ac:dyDescent="0.3">
      <c r="A3871" s="1" t="s">
        <v>4</v>
      </c>
      <c r="B3871" s="1" t="s">
        <v>4</v>
      </c>
      <c r="C3871" s="10" t="s">
        <v>4</v>
      </c>
      <c r="D3871" s="5" t="s">
        <v>3407</v>
      </c>
      <c r="E3871" s="1" t="str">
        <f ca="1">IFERROR(__xludf.DUMMYFUNCTION("GOOGLETRANSLATE(D3871, ""bn"", ""en"")"),"Most of the people who make these comments are depressed. Fake ID's say this nonsense.")</f>
        <v>Most of the people who make these comments are depressed. Fake ID's say this nonsense.</v>
      </c>
      <c r="F3871" s="1"/>
      <c r="G3871" s="1"/>
      <c r="H3871" s="1"/>
      <c r="I3871" s="1"/>
    </row>
    <row r="3872" spans="1:9" ht="15.6" x14ac:dyDescent="0.3">
      <c r="A3872" s="1" t="s">
        <v>4</v>
      </c>
      <c r="B3872" s="1" t="s">
        <v>7</v>
      </c>
      <c r="C3872" s="10" t="s">
        <v>4</v>
      </c>
      <c r="D3872" s="5" t="s">
        <v>3408</v>
      </c>
      <c r="E3872" s="1" t="str">
        <f ca="1">IFERROR(__xludf.DUMMYFUNCTION("GOOGLETRANSLATE(D3872, ""bn"", ""en"")"),"Thousands of Hindus were forced to convert to Christianity during Portuguese rule. The passage of the Act made it difficult for Hindus to practice their religion.")</f>
        <v>Thousands of Hindus were forced to convert to Christianity during Portuguese rule. The passage of the Act made it difficult for Hindus to practice their religion.</v>
      </c>
      <c r="F3872" s="1"/>
      <c r="G3872" s="1"/>
      <c r="H3872" s="1"/>
      <c r="I3872" s="1"/>
    </row>
    <row r="3873" spans="1:9" ht="15.6" x14ac:dyDescent="0.3">
      <c r="A3873" s="1" t="s">
        <v>7</v>
      </c>
      <c r="B3873" s="1" t="s">
        <v>7</v>
      </c>
      <c r="C3873" s="10" t="s">
        <v>7</v>
      </c>
      <c r="D3873" s="5" t="s">
        <v>3409</v>
      </c>
      <c r="E3873" s="1" t="str">
        <f ca="1">IFERROR(__xludf.DUMMYFUNCTION("GOOGLETRANSLATE(D3873, ""bn"", ""en"")"),"Four people were killed in police firing in Hajiganj of Chandpur. My golden bangla. Islam is our state religion.")</f>
        <v>Four people were killed in police firing in Hajiganj of Chandpur. My golden bangla. Islam is our state religion.</v>
      </c>
      <c r="F3873" s="1"/>
      <c r="G3873" s="1"/>
      <c r="H3873" s="1"/>
      <c r="I3873" s="1"/>
    </row>
    <row r="3874" spans="1:9" ht="46.8" x14ac:dyDescent="0.3">
      <c r="A3874" s="1" t="s">
        <v>9</v>
      </c>
      <c r="B3874" s="1" t="s">
        <v>9</v>
      </c>
      <c r="C3874" s="10" t="s">
        <v>9</v>
      </c>
      <c r="D3874" s="6" t="s">
        <v>3574</v>
      </c>
      <c r="E3874" s="1" t="str">
        <f ca="1">IFERROR(__xludf.DUMMYFUNCTION("GOOGLETRANSLATE(D3874, ""bn"", ""en"")"),"From the beginning of the 19th century, due to this controversy, there were several conflicts between the Hindu-Muslim community and cases continued to be filed in the courts. The government then sealed off the entire mosque in an attempt to prevent riots"&amp;".[10] Both Hindus and Muslims filed court cases to gain access to the site.")</f>
        <v>From the beginning of the 19th century, due to this controversy, there were several conflicts between the Hindu-Muslim community and cases continued to be filed in the courts. The government then sealed off the entire mosque in an attempt to prevent riots.[10] Both Hindus and Muslims filed court cases to gain access to the site.</v>
      </c>
      <c r="F3874" s="1"/>
      <c r="G3874" s="1"/>
      <c r="H3874" s="1"/>
      <c r="I3874" s="1"/>
    </row>
    <row r="3875" spans="1:9" ht="31.2" x14ac:dyDescent="0.3">
      <c r="A3875" s="1" t="s">
        <v>4</v>
      </c>
      <c r="B3875" s="1" t="s">
        <v>4</v>
      </c>
      <c r="C3875" s="10" t="s">
        <v>4</v>
      </c>
      <c r="D3875" s="6" t="s">
        <v>3573</v>
      </c>
      <c r="E3875" s="1" t="str">
        <f ca="1">IFERROR(__xludf.DUMMYFUNCTION("GOOGLETRANSLATE(D3875, ""bn"", ""en"")"),"He needs to know more, he is skipping the topic, he didn't talk about the nag people, besides, there are many other things that are doubtful about Maa Kali, etc., he is saying a little bit about many other things, he is not saying the whole thing, let's k"&amp;"now better on the podcast.")</f>
        <v>He needs to know more, he is skipping the topic, he didn't talk about the nag people, besides, there are many other things that are doubtful about Maa Kali, etc., he is saying a little bit about many other things, he is not saying the whole thing, let's know better on the podcast.</v>
      </c>
      <c r="F3875" s="1"/>
      <c r="G3875" s="1"/>
      <c r="H3875" s="1"/>
      <c r="I3875" s="1"/>
    </row>
    <row r="3876" spans="1:9" ht="15.6" x14ac:dyDescent="0.3">
      <c r="A3876" s="1" t="s">
        <v>7</v>
      </c>
      <c r="B3876" s="1" t="s">
        <v>7</v>
      </c>
      <c r="C3876" s="10" t="s">
        <v>7</v>
      </c>
      <c r="D3876" s="5" t="s">
        <v>3410</v>
      </c>
      <c r="E3876" s="1" t="str">
        <f ca="1">IFERROR(__xludf.DUMMYFUNCTION("GOOGLETRANSLATE(D3876, ""bn"", ""en"")"),"Anderson Bridge Massacre refers to the massacre of Bengali Hindu pilgrims by the East Pakistan administration on February 12, 1950 at Anderson Bridge.")</f>
        <v>Anderson Bridge Massacre refers to the massacre of Bengali Hindu pilgrims by the East Pakistan administration on February 12, 1950 at Anderson Bridge.</v>
      </c>
      <c r="F3876" s="1"/>
      <c r="G3876" s="1"/>
      <c r="H3876" s="1"/>
      <c r="I3876" s="1"/>
    </row>
    <row r="3877" spans="1:9" ht="46.8" x14ac:dyDescent="0.3">
      <c r="A3877" s="1" t="s">
        <v>4</v>
      </c>
      <c r="B3877" s="1" t="s">
        <v>4</v>
      </c>
      <c r="C3877" s="10" t="s">
        <v>4</v>
      </c>
      <c r="D3877" s="6" t="s">
        <v>3572</v>
      </c>
      <c r="E3877" s="1" t="str">
        <f ca="1">IFERROR(__xludf.DUMMYFUNCTION("GOOGLETRANSLATE(D3877, ""bn"", ""en"")"),"There are different opinions about the exact cause of the direct struggle day riots. The Hindu press blamed the Suhrawardy government and the Muslim League. According to them, the Muslim League members and their affiliated volunteer forces were giving inf"&amp;"lammatory speeches to the Muslim people to implement the declaration of 'Direct Struggle'.")</f>
        <v>There are different opinions about the exact cause of the direct struggle day riots. The Hindu press blamed the Suhrawardy government and the Muslim League. According to them, the Muslim League members and their affiliated volunteer forces were giving inflammatory speeches to the Muslim people to implement the declaration of 'Direct Struggle'.</v>
      </c>
      <c r="F3877" s="1"/>
      <c r="G3877" s="1"/>
      <c r="H3877" s="1"/>
      <c r="I3877" s="1"/>
    </row>
    <row r="3878" spans="1:9" ht="46.8" x14ac:dyDescent="0.3">
      <c r="A3878" s="1" t="s">
        <v>4</v>
      </c>
      <c r="B3878" s="1" t="s">
        <v>4</v>
      </c>
      <c r="C3878" s="10" t="s">
        <v>4</v>
      </c>
      <c r="D3878" s="6" t="s">
        <v>3571</v>
      </c>
      <c r="E3878" s="1" t="str">
        <f ca="1">IFERROR(__xludf.DUMMYFUNCTION("GOOGLETRANSLATE(D3878, ""bn"", ""en"")")," Manvendra Narayan Larma's discussion with Sheikh Mujibur Rahman as the leader of the delegation of the Chittagong Hill Tracts revealed that the hill ethnic group agreed to be known as Bengali. [20][21] Also, Sheikh Mujib said that the forced settlement o"&amp;"f Muslim Bengalis in the hilly areas could not be accepted by the local Buddhist and minority Hindu population.")</f>
        <v> Manvendra Narayan Larma's discussion with Sheikh Mujibur Rahman as the leader of the delegation of the Chittagong Hill Tracts revealed that the hill ethnic group agreed to be known as Bengali. [20][21] Also, Sheikh Mujib said that the forced settlement of Muslim Bengalis in the hilly areas could not be accepted by the local Buddhist and minority Hindu population.</v>
      </c>
      <c r="F3878" s="1"/>
      <c r="G3878" s="1"/>
      <c r="H3878" s="1"/>
      <c r="I3878" s="1"/>
    </row>
    <row r="3879" spans="1:9" ht="15.6" x14ac:dyDescent="0.3">
      <c r="A3879" s="1" t="s">
        <v>9</v>
      </c>
      <c r="B3879" s="1" t="s">
        <v>9</v>
      </c>
      <c r="C3879" s="10" t="s">
        <v>9</v>
      </c>
      <c r="D3879" s="5" t="s">
        <v>3411</v>
      </c>
      <c r="E3879" s="1" t="str">
        <f ca="1">IFERROR(__xludf.DUMMYFUNCTION("GOOGLETRANSLATE(D3879, ""bn"", ""en"")"),"On December 27, 1963, the preserved hair of Hazrat Muhammad (PBUH) kept in Hazratbal Dargashrif in Srinagar, India was stolen. Because of this, massive protests were organized in Indian Jammu and Kashmir.")</f>
        <v>On December 27, 1963, the preserved hair of Hazrat Muhammad (PBUH) kept in Hazratbal Dargashrif in Srinagar, India was stolen. Because of this, massive protests were organized in Indian Jammu and Kashmir.</v>
      </c>
      <c r="F3879" s="1"/>
      <c r="G3879" s="1"/>
      <c r="H3879" s="1"/>
      <c r="I3879" s="1"/>
    </row>
    <row r="3880" spans="1:9" ht="15.6" x14ac:dyDescent="0.3">
      <c r="A3880" s="1" t="s">
        <v>7</v>
      </c>
      <c r="B3880" s="1" t="s">
        <v>7</v>
      </c>
      <c r="C3880" s="10" t="s">
        <v>7</v>
      </c>
      <c r="D3880" s="5" t="s">
        <v>3412</v>
      </c>
      <c r="E3880" s="1" t="str">
        <f ca="1">IFERROR(__xludf.DUMMYFUNCTION("GOOGLETRANSLATE(D3880, ""bn"", ""en"")"),"We should be tolerant of all religions and express religious beliefs at the time of death. Where the conditions of life are not easy, religious faith is very necessary.")</f>
        <v>We should be tolerant of all religions and express religious beliefs at the time of death. Where the conditions of life are not easy, religious faith is very necessary.</v>
      </c>
      <c r="F3880" s="1"/>
      <c r="G3880" s="1"/>
      <c r="H3880" s="1"/>
      <c r="I3880" s="1"/>
    </row>
    <row r="3881" spans="1:9" ht="15.6" x14ac:dyDescent="0.3">
      <c r="A3881" s="1" t="s">
        <v>7</v>
      </c>
      <c r="B3881" s="1" t="s">
        <v>7</v>
      </c>
      <c r="C3881" s="10" t="s">
        <v>7</v>
      </c>
      <c r="D3881" s="5" t="s">
        <v>3413</v>
      </c>
      <c r="E3881" s="1" t="str">
        <f ca="1">IFERROR(__xludf.DUMMYFUNCTION("GOOGLETRANSLATE(D3881, ""bn"", ""en"")"),"A white extremist gunman attacked two mosques, killing 51 worshippers, in what became a worldwide example of Islamophobia.")</f>
        <v>A white extremist gunman attacked two mosques, killing 51 worshippers, in what became a worldwide example of Islamophobia.</v>
      </c>
      <c r="F3881" s="1"/>
      <c r="G3881" s="1"/>
      <c r="H3881" s="1"/>
      <c r="I3881" s="1"/>
    </row>
    <row r="3882" spans="1:9" ht="15.6" x14ac:dyDescent="0.3">
      <c r="A3882" s="1" t="s">
        <v>4</v>
      </c>
      <c r="B3882" s="1" t="s">
        <v>4</v>
      </c>
      <c r="C3882" s="10" t="s">
        <v>4</v>
      </c>
      <c r="D3882" s="5" t="s">
        <v>3414</v>
      </c>
      <c r="E3882" s="1" t="str">
        <f ca="1">IFERROR(__xludf.DUMMYFUNCTION("GOOGLETRANSLATE(D3882, ""bn"", ""en"")"),"You cannot question and suppress Islam by making billions of conspiracies against Islam because this is the religion chosen by the divine Almighty Allah.")</f>
        <v>You cannot question and suppress Islam by making billions of conspiracies against Islam because this is the religion chosen by the divine Almighty Allah.</v>
      </c>
      <c r="F3882" s="1"/>
      <c r="G3882" s="1"/>
      <c r="H3882" s="1"/>
      <c r="I3882" s="1"/>
    </row>
    <row r="3883" spans="1:9" ht="15.6" x14ac:dyDescent="0.3">
      <c r="A3883" s="1" t="s">
        <v>5</v>
      </c>
      <c r="B3883" s="1" t="s">
        <v>5</v>
      </c>
      <c r="C3883" s="10" t="s">
        <v>5</v>
      </c>
      <c r="D3883" s="5" t="s">
        <v>3415</v>
      </c>
      <c r="E3883" s="1" t="str">
        <f ca="1">IFERROR(__xludf.DUMMYFUNCTION("GOOGLETRANSLATE(D3883, ""bn"", ""en"")"),"Our family provided security to Hindu families including nearby villages during the liberation war")</f>
        <v>Our family provided security to Hindu families including nearby villages during the liberation war</v>
      </c>
      <c r="F3883" s="1"/>
      <c r="G3883" s="1"/>
      <c r="H3883" s="1"/>
      <c r="I3883" s="1"/>
    </row>
    <row r="3884" spans="1:9" ht="15.6" x14ac:dyDescent="0.3">
      <c r="A3884" s="1" t="s">
        <v>7</v>
      </c>
      <c r="B3884" s="1" t="s">
        <v>7</v>
      </c>
      <c r="C3884" s="10" t="s">
        <v>7</v>
      </c>
      <c r="D3884" s="5" t="s">
        <v>3416</v>
      </c>
      <c r="E3884" s="1" t="str">
        <f ca="1">IFERROR(__xludf.DUMMYFUNCTION("GOOGLETRANSLATE(D3884, ""bn"", ""en"")"),"A Muslim man named Muhammad Akhlaq was killed in Dadri, Uttar Pradesh on rumors that he had eaten beef.")</f>
        <v>A Muslim man named Muhammad Akhlaq was killed in Dadri, Uttar Pradesh on rumors that he had eaten beef.</v>
      </c>
      <c r="F3884" s="1"/>
      <c r="G3884" s="1"/>
      <c r="H3884" s="1"/>
      <c r="I3884" s="1"/>
    </row>
    <row r="3885" spans="1:9" ht="15.6" x14ac:dyDescent="0.3">
      <c r="A3885" s="1" t="s">
        <v>7</v>
      </c>
      <c r="B3885" s="1" t="s">
        <v>7</v>
      </c>
      <c r="C3885" s="10" t="s">
        <v>7</v>
      </c>
      <c r="D3885" s="5" t="s">
        <v>3417</v>
      </c>
      <c r="E3885" s="1" t="str">
        <f ca="1">IFERROR(__xludf.DUMMYFUNCTION("GOOGLETRANSLATE(D3885, ""bn"", ""en"")"),"Hindus were brought out of their homes at gunpoint and assembled in front of the Adityapur Government School. Sixty-five people were intercepted and made to stand before the firing squad.")</f>
        <v>Hindus were brought out of their homes at gunpoint and assembled in front of the Adityapur Government School. Sixty-five people were intercepted and made to stand before the firing squad.</v>
      </c>
      <c r="F3885" s="1"/>
      <c r="G3885" s="1"/>
      <c r="H3885" s="1"/>
      <c r="I3885" s="1"/>
    </row>
    <row r="3886" spans="1:9" ht="15.6" x14ac:dyDescent="0.3">
      <c r="A3886" s="1" t="s">
        <v>4</v>
      </c>
      <c r="B3886" s="1" t="s">
        <v>4</v>
      </c>
      <c r="C3886" s="10" t="s">
        <v>4</v>
      </c>
      <c r="D3886" s="5" t="s">
        <v>3418</v>
      </c>
      <c r="E3886" s="1" t="str">
        <f ca="1">IFERROR(__xludf.DUMMYFUNCTION("GOOGLETRANSLATE(D3886, ""bn"", ""en"")"),"Which verse is there? Moreover, the religious book of the Jews is not the Qur'an, so, what is written in the Qur'an, what did the Jews come to?")</f>
        <v>Which verse is there? Moreover, the religious book of the Jews is not the Qur'an, so, what is written in the Qur'an, what did the Jews come to?</v>
      </c>
      <c r="F3886" s="1"/>
      <c r="G3886" s="1"/>
      <c r="H3886" s="1"/>
      <c r="I3886" s="1"/>
    </row>
    <row r="3887" spans="1:9" ht="15.6" x14ac:dyDescent="0.3">
      <c r="A3887" s="1" t="s">
        <v>7</v>
      </c>
      <c r="B3887" s="1" t="s">
        <v>7</v>
      </c>
      <c r="C3887" s="10" t="s">
        <v>7</v>
      </c>
      <c r="D3887" s="5" t="s">
        <v>3419</v>
      </c>
      <c r="E3887" s="1" t="str">
        <f ca="1">IFERROR(__xludf.DUMMYFUNCTION("GOOGLETRANSLATE(D3887, ""bn"", ""en"")"),"Extremist ideologies have led to religious riots that have endangered the lives of many innocent people.")</f>
        <v>Extremist ideologies have led to religious riots that have endangered the lives of many innocent people.</v>
      </c>
      <c r="F3887" s="1"/>
      <c r="G3887" s="1"/>
      <c r="H3887" s="1"/>
      <c r="I3887" s="1"/>
    </row>
    <row r="3888" spans="1:9" ht="15.6" x14ac:dyDescent="0.3">
      <c r="A3888" s="1" t="s">
        <v>7</v>
      </c>
      <c r="B3888" s="1" t="s">
        <v>7</v>
      </c>
      <c r="C3888" s="10" t="s">
        <v>7</v>
      </c>
      <c r="D3888" s="5" t="s">
        <v>3420</v>
      </c>
      <c r="E3888" s="1" t="str">
        <f ca="1">IFERROR(__xludf.DUMMYFUNCTION("GOOGLETRANSLATE(D3888, ""bn"", ""en"")"),"A stanza of the Mahabharata describes Madri's suicide by sati-dah, but perhaps given the projective addition it conflicts with later verses.")</f>
        <v>A stanza of the Mahabharata describes Madri's suicide by sati-dah, but perhaps given the projective addition it conflicts with later verses.</v>
      </c>
      <c r="F3888" s="1"/>
      <c r="G3888" s="1"/>
      <c r="H3888" s="1"/>
      <c r="I3888" s="1"/>
    </row>
    <row r="3889" spans="1:9" ht="31.2" x14ac:dyDescent="0.3">
      <c r="A3889" s="1" t="s">
        <v>5</v>
      </c>
      <c r="B3889" s="1" t="s">
        <v>5</v>
      </c>
      <c r="C3889" s="10" t="s">
        <v>5</v>
      </c>
      <c r="D3889" s="6" t="s">
        <v>3570</v>
      </c>
      <c r="E3889" s="1" t="str">
        <f ca="1">IFERROR(__xludf.DUMMYFUNCTION("GOOGLETRANSLATE(D3889, ""bn"", ""en"")"),"In your description, our solar system seems like nothing to the great creation in the highest sense of the small brain. We cannot think about our world and our existence there. It is impossible to imagine this immensity of creation. All praise is due to A"&amp;"llah.")</f>
        <v>In your description, our solar system seems like nothing to the great creation in the highest sense of the small brain. We cannot think about our world and our existence there. It is impossible to imagine this immensity of creation. All praise is due to Allah.</v>
      </c>
      <c r="F3889" s="1"/>
      <c r="G3889" s="1"/>
      <c r="H3889" s="1"/>
      <c r="I3889" s="1"/>
    </row>
    <row r="3890" spans="1:9" ht="31.2" x14ac:dyDescent="0.3">
      <c r="A3890" s="1" t="s">
        <v>7</v>
      </c>
      <c r="B3890" s="1" t="s">
        <v>7</v>
      </c>
      <c r="C3890" s="10" t="s">
        <v>7</v>
      </c>
      <c r="D3890" s="6" t="s">
        <v>3569</v>
      </c>
      <c r="E3890" s="1" t="str">
        <f ca="1">IFERROR(__xludf.DUMMYFUNCTION("GOOGLETRANSLATE(D3890, ""bn"", ""en"")"),"In front of everyone, the Pakistani soldiers forced the priest of the temple, Parmanand Giri, to recite the 'Kalema' and immediately after that, stabbed him in the stomach with a bayonet and shot him dead. Subsequently many were forced to recite the 'Kale"&amp;"ma' and later killed in the same way.")</f>
        <v>In front of everyone, the Pakistani soldiers forced the priest of the temple, Parmanand Giri, to recite the 'Kalema' and immediately after that, stabbed him in the stomach with a bayonet and shot him dead. Subsequently many were forced to recite the 'Kalema' and later killed in the same way.</v>
      </c>
      <c r="F3890" s="1"/>
      <c r="G3890" s="1"/>
      <c r="H3890" s="1"/>
      <c r="I3890" s="1"/>
    </row>
    <row r="3891" spans="1:9" ht="15.6" x14ac:dyDescent="0.3">
      <c r="A3891" s="1" t="s">
        <v>5</v>
      </c>
      <c r="B3891" s="1" t="s">
        <v>5</v>
      </c>
      <c r="C3891" s="10" t="s">
        <v>5</v>
      </c>
      <c r="D3891" s="5" t="s">
        <v>3421</v>
      </c>
      <c r="E3891" s="1" t="str">
        <f ca="1">IFERROR(__xludf.DUMMYFUNCTION("GOOGLETRANSLATE(D3891, ""bn"", ""en"")"),"In this world, the believer should live as if he were on a journey and packing for departure.")</f>
        <v>In this world, the believer should live as if he were on a journey and packing for departure.</v>
      </c>
      <c r="F3891" s="1"/>
      <c r="G3891" s="1"/>
      <c r="H3891" s="1"/>
      <c r="I3891" s="1"/>
    </row>
    <row r="3892" spans="1:9" ht="15.6" x14ac:dyDescent="0.3">
      <c r="A3892" s="1" t="s">
        <v>5</v>
      </c>
      <c r="B3892" s="1" t="s">
        <v>5</v>
      </c>
      <c r="C3892" s="10" t="s">
        <v>5</v>
      </c>
      <c r="D3892" s="5" t="s">
        <v>3422</v>
      </c>
      <c r="E3892" s="1" t="str">
        <f ca="1">IFERROR(__xludf.DUMMYFUNCTION("GOOGLETRANSLATE(D3892, ""bn"", ""en"")"),"If the Creator is in the seven heavens, then why do we bow to the Kaaba? Is there a creator in the Kaaba - is there any mention of this? I want to understand the matter better.")</f>
        <v>If the Creator is in the seven heavens, then why do we bow to the Kaaba? Is there a creator in the Kaaba - is there any mention of this? I want to understand the matter better.</v>
      </c>
      <c r="F3892" s="1"/>
      <c r="G3892" s="1"/>
      <c r="H3892" s="1"/>
      <c r="I3892" s="1"/>
    </row>
    <row r="3893" spans="1:9" ht="31.2" x14ac:dyDescent="0.3">
      <c r="A3893" s="1" t="s">
        <v>7</v>
      </c>
      <c r="B3893" s="1" t="s">
        <v>7</v>
      </c>
      <c r="C3893" s="10" t="s">
        <v>7</v>
      </c>
      <c r="D3893" s="6" t="s">
        <v>3568</v>
      </c>
      <c r="E3893" s="1" t="str">
        <f ca="1">IFERROR(__xludf.DUMMYFUNCTION("GOOGLETRANSLATE(D3893, ""bn"", ""en"")"),"They entered every compartment of the train and killed everyone.[1][3] Similarly, as the train entered the platform, the pilgrims seated in each were killed.[2] Many Hindu houses near the station were set on fire.")</f>
        <v>They entered every compartment of the train and killed everyone.[1][3] Similarly, as the train entered the platform, the pilgrims seated in each were killed.[2] Many Hindu houses near the station were set on fire.</v>
      </c>
      <c r="F3893" s="1"/>
      <c r="G3893" s="1"/>
      <c r="H3893" s="1"/>
      <c r="I3893" s="1"/>
    </row>
    <row r="3894" spans="1:9" ht="46.8" x14ac:dyDescent="0.3">
      <c r="A3894" s="1" t="s">
        <v>9</v>
      </c>
      <c r="B3894" s="1" t="s">
        <v>9</v>
      </c>
      <c r="C3894" s="10" t="s">
        <v>9</v>
      </c>
      <c r="D3894" s="6" t="s">
        <v>3567</v>
      </c>
      <c r="E3894" s="1" t="str">
        <f ca="1">IFERROR(__xludf.DUMMYFUNCTION("GOOGLETRANSLATE(D3894, ""bn"", ""en"")"),"There is no water even for ablution. On October 7, the Palestinian independence organization Hamas launched a sudden attack by entering the border of Israel. After that, the Israeli forces started the operation in Gaza. Innocent Palestinians are being att"&amp;"acked in the name of campaign to eliminate Hamas. Palestinian women, men and children are losing their lives every day.")</f>
        <v>There is no water even for ablution. On October 7, the Palestinian independence organization Hamas launched a sudden attack by entering the border of Israel. After that, the Israeli forces started the operation in Gaza. Innocent Palestinians are being attacked in the name of campaign to eliminate Hamas. Palestinian women, men and children are losing their lives every day.</v>
      </c>
      <c r="F3894" s="1"/>
      <c r="G3894" s="1"/>
      <c r="H3894" s="1"/>
      <c r="I3894" s="1"/>
    </row>
    <row r="3895" spans="1:9" ht="15.6" x14ac:dyDescent="0.3">
      <c r="A3895" s="1" t="s">
        <v>5</v>
      </c>
      <c r="B3895" s="1" t="s">
        <v>5</v>
      </c>
      <c r="C3895" s="10" t="s">
        <v>5</v>
      </c>
      <c r="D3895" s="5" t="s">
        <v>2932</v>
      </c>
      <c r="E3895" s="1" t="str">
        <f ca="1">IFERROR(__xludf.DUMMYFUNCTION("GOOGLETRANSLATE(D3895, ""bn"", ""en"")"),"Those who are aware of the complete peace, freedom and harmony of Islam can never post extremist views on Islam! ")</f>
        <v xml:space="preserve">Those who are aware of the complete peace, freedom and harmony of Islam can never post extremist views on Islam! </v>
      </c>
      <c r="F3895" s="1"/>
      <c r="G3895" s="1"/>
      <c r="H3895" s="1"/>
      <c r="I3895" s="1"/>
    </row>
    <row r="3896" spans="1:9" ht="15.6" x14ac:dyDescent="0.3">
      <c r="A3896" s="1" t="s">
        <v>4</v>
      </c>
      <c r="B3896" s="1" t="s">
        <v>4</v>
      </c>
      <c r="C3896" s="10" t="s">
        <v>4</v>
      </c>
      <c r="D3896" s="5" t="s">
        <v>3423</v>
      </c>
      <c r="E3896" s="1" t="str">
        <f ca="1">IFERROR(__xludf.DUMMYFUNCTION("GOOGLETRANSLATE(D3896, ""bn"", ""en"")"),"In the long-term plan, they want to establish a monolithic Hindutva society and state in India by erasing the socio-cultural identity of the Muslims of that country. It is completely against the democratic constitution and multiculturalism of India.")</f>
        <v>In the long-term plan, they want to establish a monolithic Hindutva society and state in India by erasing the socio-cultural identity of the Muslims of that country. It is completely against the democratic constitution and multiculturalism of India.</v>
      </c>
      <c r="F3896" s="1"/>
      <c r="G3896" s="1"/>
      <c r="H3896" s="1"/>
      <c r="I3896" s="1"/>
    </row>
    <row r="3897" spans="1:9" ht="46.8" x14ac:dyDescent="0.3">
      <c r="A3897" s="1" t="s">
        <v>5</v>
      </c>
      <c r="B3897" s="1" t="s">
        <v>5</v>
      </c>
      <c r="C3897" s="10" t="s">
        <v>5</v>
      </c>
      <c r="D3897" s="6" t="s">
        <v>3566</v>
      </c>
      <c r="E3897" s="1" t="str">
        <f ca="1">IFERROR(__xludf.DUMMYFUNCTION("GOOGLETRANSLATE(D3897, ""bn"", ""en"")"),"Questions about Islam kept coming back to my mind, trying to learn more about the religion. I read the life and history of Muhammad (PBUH). From his life I learned kindness, generosity and patience in difficult times. To himself, his life seems directionl"&amp;"ess and directionless. So I started reading more.")</f>
        <v>Questions about Islam kept coming back to my mind, trying to learn more about the religion. I read the life and history of Muhammad (PBUH). From his life I learned kindness, generosity and patience in difficult times. To himself, his life seems directionless and directionless. So I started reading more.</v>
      </c>
      <c r="F3897" s="1"/>
      <c r="G3897" s="1"/>
      <c r="H3897" s="1"/>
      <c r="I3897" s="1"/>
    </row>
    <row r="3898" spans="1:9" ht="15.6" x14ac:dyDescent="0.3">
      <c r="A3898" s="1" t="s">
        <v>4</v>
      </c>
      <c r="B3898" s="1" t="s">
        <v>4</v>
      </c>
      <c r="C3898" s="10" t="s">
        <v>4</v>
      </c>
      <c r="D3898" s="5" t="s">
        <v>3424</v>
      </c>
      <c r="E3898" s="1" t="str">
        <f ca="1">IFERROR(__xludf.DUMMYFUNCTION("GOOGLETRANSLATE(D3898, ""bn"", ""en"")"),"An amendment in 1927 added to Section 295(a) that intentional insult to the religious feelings of any citizen of the country, verbally, in writing or in any other way, shall be considered an insult to religion.")</f>
        <v>An amendment in 1927 added to Section 295(a) that intentional insult to the religious feelings of any citizen of the country, verbally, in writing or in any other way, shall be considered an insult to religion.</v>
      </c>
      <c r="F3898" s="1"/>
      <c r="G3898" s="1"/>
      <c r="H3898" s="1"/>
      <c r="I3898" s="1"/>
    </row>
    <row r="3899" spans="1:9" ht="15.6" x14ac:dyDescent="0.3">
      <c r="A3899" s="1" t="s">
        <v>7</v>
      </c>
      <c r="B3899" s="1" t="s">
        <v>7</v>
      </c>
      <c r="C3899" s="10" t="s">
        <v>7</v>
      </c>
      <c r="D3899" s="5" t="s">
        <v>3425</v>
      </c>
      <c r="E3899" s="1" t="str">
        <f ca="1">IFERROR(__xludf.DUMMYFUNCTION("GOOGLETRANSLATE(D3899, ""bn"", ""en"")"),"Once again the victory is the defeat of animality, humanity, religion! A man was pushed to commit suicide! I was very shocked to know the news.")</f>
        <v>Once again the victory is the defeat of animality, humanity, religion! A man was pushed to commit suicide! I was very shocked to know the news.</v>
      </c>
      <c r="F3899" s="1"/>
      <c r="G3899" s="1"/>
      <c r="H3899" s="1"/>
      <c r="I3899" s="1"/>
    </row>
    <row r="3900" spans="1:9" ht="15.6" x14ac:dyDescent="0.3">
      <c r="A3900" s="1" t="s">
        <v>9</v>
      </c>
      <c r="B3900" s="1" t="s">
        <v>9</v>
      </c>
      <c r="C3900" s="10" t="s">
        <v>9</v>
      </c>
      <c r="D3900" s="5" t="s">
        <v>3426</v>
      </c>
      <c r="E3900" s="1" t="str">
        <f ca="1">IFERROR(__xludf.DUMMYFUNCTION("GOOGLETRANSLATE(D3900, ""bn"", ""en"")"),"A few Muslims were injured in clashes during protests against plans to build mosques for Muslim immigrants. The incident is in South Korea.")</f>
        <v>A few Muslims were injured in clashes during protests against plans to build mosques for Muslim immigrants. The incident is in South Korea.</v>
      </c>
      <c r="F3900" s="1"/>
      <c r="G3900" s="1"/>
      <c r="H3900" s="1"/>
      <c r="I3900" s="1"/>
    </row>
    <row r="3901" spans="1:9" ht="15.6" x14ac:dyDescent="0.3">
      <c r="A3901" s="1" t="s">
        <v>7</v>
      </c>
      <c r="B3901" s="1" t="s">
        <v>7</v>
      </c>
      <c r="C3901" s="10" t="s">
        <v>7</v>
      </c>
      <c r="D3901" s="5" t="s">
        <v>3427</v>
      </c>
      <c r="E3901" s="1" t="str">
        <f ca="1">IFERROR(__xludf.DUMMYFUNCTION("GOOGLETRANSLATE(D3901, ""bn"", ""en"")"),"At least 38 people were killed in an Israeli airstrike in the northern Syrian city of Aleppo. ")</f>
        <v>At least 38 people were killed in an Israeli airstrike in the northern Syrian city of Aleppo. </v>
      </c>
      <c r="F3901" s="1"/>
      <c r="G3901" s="1"/>
      <c r="H3901" s="1"/>
      <c r="I3901" s="1"/>
    </row>
    <row r="3902" spans="1:9" ht="15.6" x14ac:dyDescent="0.3">
      <c r="A3902" s="1" t="s">
        <v>4</v>
      </c>
      <c r="B3902" s="1" t="s">
        <v>5</v>
      </c>
      <c r="C3902" s="10" t="s">
        <v>4</v>
      </c>
      <c r="D3902" s="5" t="s">
        <v>3428</v>
      </c>
      <c r="E3902" s="1" t="str">
        <f ca="1">IFERROR(__xludf.DUMMYFUNCTION("GOOGLETRANSLATE(D3902, ""bn"", ""en"")"),"Offline or in real life they are completely unsuccessful, there their arguments or claims do not survive, their lives are spent in the frustration of religion. ")</f>
        <v>Offline or in real life they are completely unsuccessful, there their arguments or claims do not survive, their lives are spent in the frustration of religion. </v>
      </c>
      <c r="F3902" s="1"/>
      <c r="G3902" s="1"/>
      <c r="H3902" s="1"/>
      <c r="I3902" s="1"/>
    </row>
    <row r="3903" spans="1:9" ht="15.6" x14ac:dyDescent="0.3">
      <c r="A3903" s="1" t="s">
        <v>5</v>
      </c>
      <c r="B3903" s="1" t="s">
        <v>5</v>
      </c>
      <c r="C3903" s="10" t="s">
        <v>5</v>
      </c>
      <c r="D3903" s="5" t="s">
        <v>3429</v>
      </c>
      <c r="E3903" s="1" t="str">
        <f ca="1">IFERROR(__xludf.DUMMYFUNCTION("GOOGLETRANSLATE(D3903, ""bn"", ""en"")"),"Whenever I am plunged into despair, break down, then I get hope again after listening to the master's lecture, my inner vision starts to open, Alhamdulillah. May Allah give good reward to all the dubbing including him.""")</f>
        <v>Whenever I am plunged into despair, break down, then I get hope again after listening to the master's lecture, my inner vision starts to open, Alhamdulillah. May Allah give good reward to all the dubbing including him."</v>
      </c>
      <c r="F3903" s="1"/>
      <c r="G3903" s="1"/>
      <c r="H3903" s="1"/>
      <c r="I3903" s="1"/>
    </row>
    <row r="3904" spans="1:9" ht="15.6" x14ac:dyDescent="0.3">
      <c r="A3904" s="1" t="s">
        <v>9</v>
      </c>
      <c r="B3904" s="1" t="s">
        <v>9</v>
      </c>
      <c r="C3904" s="10" t="s">
        <v>9</v>
      </c>
      <c r="D3904" s="5" t="s">
        <v>3430</v>
      </c>
      <c r="E3904" s="1" t="str">
        <f ca="1">IFERROR(__xludf.DUMMYFUNCTION("GOOGLETRANSLATE(D3904, ""bn"", ""en"")"),"Isn't it fun to break idols??? How does it feel now???")</f>
        <v>Isn't it fun to break idols??? How does it feel now???</v>
      </c>
      <c r="F3904" s="1"/>
      <c r="G3904" s="1"/>
      <c r="H3904" s="1"/>
      <c r="I3904" s="1"/>
    </row>
    <row r="3905" spans="1:9" ht="15.6" x14ac:dyDescent="0.3">
      <c r="A3905" s="4" t="s">
        <v>7</v>
      </c>
      <c r="B3905" s="4" t="s">
        <v>7</v>
      </c>
      <c r="C3905" s="11" t="s">
        <v>7</v>
      </c>
      <c r="D3905" s="5" t="s">
        <v>3431</v>
      </c>
      <c r="E3905" s="1" t="str">
        <f ca="1">IFERROR(__xludf.DUMMYFUNCTION("GOOGLETRANSLATE(D3905, ""bn"", ""en"")"),"Between 5 and 50 thousand Muslims were killed in the 1946 Calcutta riots")</f>
        <v>Between 5 and 50 thousand Muslims were killed in the 1946 Calcutta riots</v>
      </c>
      <c r="F3905" s="1"/>
      <c r="G3905" s="1"/>
      <c r="H3905" s="1"/>
      <c r="I3905" s="1"/>
    </row>
    <row r="3906" spans="1:9" ht="15.6" x14ac:dyDescent="0.3">
      <c r="A3906" s="1" t="s">
        <v>9</v>
      </c>
      <c r="B3906" s="1" t="s">
        <v>9</v>
      </c>
      <c r="C3906" s="10" t="s">
        <v>9</v>
      </c>
      <c r="D3906" s="5" t="s">
        <v>3432</v>
      </c>
      <c r="E3906" s="1" t="str">
        <f ca="1">IFERROR(__xludf.DUMMYFUNCTION("GOOGLETRANSLATE(D3906, ""bn"", ""en"")"),"A Sikh teenager mistaken for a Muslim was attacked in Michigan, an example of religious ignorance and hatred in the United States.")</f>
        <v>A Sikh teenager mistaken for a Muslim was attacked in Michigan, an example of religious ignorance and hatred in the United States.</v>
      </c>
      <c r="F3906" s="1"/>
      <c r="G3906" s="1"/>
      <c r="H3906" s="1"/>
      <c r="I3906" s="1"/>
    </row>
    <row r="3907" spans="1:9" ht="62.4" x14ac:dyDescent="0.3">
      <c r="A3907" s="1" t="s">
        <v>9</v>
      </c>
      <c r="B3907" s="1" t="s">
        <v>4</v>
      </c>
      <c r="C3907" s="10" t="s">
        <v>9</v>
      </c>
      <c r="D3907" s="6" t="s">
        <v>3565</v>
      </c>
      <c r="E3907" s="1" t="str">
        <f ca="1">IFERROR(__xludf.DUMMYFUNCTION("GOOGLETRANSLATE(D3907, ""bn"", ""en"")"),"On October 12, 2021, after the Saptami Puja, the Uttarpar Mandap of Nanua Dighi in Comilla was closed at 12 midnight. The mandap was guarded till 6 am the next morning. Then they leave. At around eight in the morning, the priest arrived at the pujamandap."&amp;" A Quran was placed on the knee of an idol in the shrine. After the recovery of the Quran, the news spread in different ways. Faiz Ahmed went live on Facebook about insulting the Qur'an. [28] After that, the mandap was attacked and the idol was vandalized"&amp;".")</f>
        <v>On October 12, 2021, after the Saptami Puja, the Uttarpar Mandap of Nanua Dighi in Comilla was closed at 12 midnight. The mandap was guarded till 6 am the next morning. Then they leave. At around eight in the morning, the priest arrived at the pujamandap. A Quran was placed on the knee of an idol in the shrine. After the recovery of the Quran, the news spread in different ways. Faiz Ahmed went live on Facebook about insulting the Qur'an. [28] After that, the mandap was attacked and the idol was vandalized.</v>
      </c>
      <c r="F3907" s="1"/>
      <c r="G3907" s="1"/>
      <c r="H3907" s="1"/>
      <c r="I3907" s="1"/>
    </row>
    <row r="3908" spans="1:9" ht="15.6" x14ac:dyDescent="0.3">
      <c r="A3908" s="1" t="s">
        <v>4</v>
      </c>
      <c r="B3908" s="1" t="s">
        <v>5</v>
      </c>
      <c r="C3908" s="10" t="s">
        <v>4</v>
      </c>
      <c r="D3908" s="5" t="s">
        <v>3433</v>
      </c>
      <c r="E3908" s="1" t="str">
        <f ca="1">IFERROR(__xludf.DUMMYFUNCTION("GOOGLETRANSLATE(D3908, ""bn"", ""en"")"),"When the ships reached the port of Deval on the Indus tributary, they were looted by a number of pirates and the families of the dead merchants were captured.")</f>
        <v>When the ships reached the port of Deval on the Indus tributary, they were looted by a number of pirates and the families of the dead merchants were captured.</v>
      </c>
      <c r="F3908" s="1"/>
      <c r="G3908" s="1"/>
      <c r="H3908" s="1"/>
      <c r="I3908" s="1"/>
    </row>
    <row r="3909" spans="1:9" ht="15.6" x14ac:dyDescent="0.3">
      <c r="A3909" s="1" t="s">
        <v>7</v>
      </c>
      <c r="B3909" s="1" t="s">
        <v>7</v>
      </c>
      <c r="C3909" s="10" t="s">
        <v>7</v>
      </c>
      <c r="D3909" s="5" t="s">
        <v>3434</v>
      </c>
      <c r="E3909" s="1" t="str">
        <f ca="1">IFERROR(__xludf.DUMMYFUNCTION("GOOGLETRANSLATE(D3909, ""bn"", ""en"")")," Clashes between Assam's Bodo community and Muslims killed around 100 people and forced millions to seek refuge in refugee camps.")</f>
        <v xml:space="preserve"> Clashes between Assam's Bodo community and Muslims killed around 100 people and forced millions to seek refuge in refugee camps.</v>
      </c>
      <c r="F3909" s="1"/>
      <c r="G3909" s="1"/>
      <c r="H3909" s="1"/>
      <c r="I3909" s="1"/>
    </row>
    <row r="3910" spans="1:9" ht="15.6" x14ac:dyDescent="0.3">
      <c r="A3910" s="1" t="s">
        <v>9</v>
      </c>
      <c r="B3910" s="1" t="s">
        <v>5</v>
      </c>
      <c r="C3910" s="10" t="s">
        <v>9</v>
      </c>
      <c r="D3910" s="5" t="s">
        <v>3435</v>
      </c>
      <c r="E3910" s="1" t="str">
        <f ca="1">IFERROR(__xludf.DUMMYFUNCTION("GOOGLETRANSLATE(D3910, ""bn"", ""en"")"),"I believe that those who keep religion in front and spread conflict between people, society, state, and the world and destroy God's creation and pursue their own interests are not religious.")</f>
        <v>I believe that those who keep religion in front and spread conflict between people, society, state, and the world and destroy God's creation and pursue their own interests are not religious.</v>
      </c>
      <c r="F3910" s="1"/>
      <c r="G3910" s="1"/>
      <c r="H3910" s="1"/>
      <c r="I3910" s="1"/>
    </row>
    <row r="3911" spans="1:9" ht="15.6" x14ac:dyDescent="0.3">
      <c r="A3911" s="1" t="s">
        <v>4</v>
      </c>
      <c r="B3911" s="1" t="s">
        <v>4</v>
      </c>
      <c r="C3911" s="10" t="s">
        <v>4</v>
      </c>
      <c r="D3911" s="5" t="s">
        <v>3436</v>
      </c>
      <c r="E3911" s="1" t="str">
        <f ca="1">IFERROR(__xludf.DUMMYFUNCTION("GOOGLETRANSLATE(D3911, ""bn"", ""en"")")," A Hindu student of Jagannath University in Dhaka was similarly accused of 'blasphemy' and could not be traced for days.")</f>
        <v> A Hindu student of Jagannath University in Dhaka was similarly accused of 'blasphemy' and could not be traced for days.</v>
      </c>
      <c r="F3911" s="1"/>
      <c r="G3911" s="1"/>
      <c r="H3911" s="1"/>
      <c r="I3911" s="1"/>
    </row>
    <row r="3912" spans="1:9" ht="15.6" x14ac:dyDescent="0.3">
      <c r="A3912" s="1" t="s">
        <v>7</v>
      </c>
      <c r="B3912" s="1" t="s">
        <v>7</v>
      </c>
      <c r="C3912" s="10" t="s">
        <v>7</v>
      </c>
      <c r="D3912" s="5" t="s">
        <v>3437</v>
      </c>
      <c r="E3912" s="1" t="str">
        <f ca="1">IFERROR(__xludf.DUMMYFUNCTION("GOOGLETRANSLATE(D3912, ""bn"", ""en"")"),"Religion is everyone's, everyone has the right to observe it, no one has the right to disrespect it. The High Court is of the opinion that death penalty should be given for hurting religious sentiments. ")</f>
        <v xml:space="preserve">Religion is everyone's, everyone has the right to observe it, no one has the right to disrespect it. The High Court is of the opinion that death penalty should be given for hurting religious sentiments. </v>
      </c>
      <c r="F3912" s="1"/>
      <c r="G3912" s="1"/>
      <c r="H3912" s="1"/>
      <c r="I3912" s="1"/>
    </row>
    <row r="3913" spans="1:9" ht="31.2" x14ac:dyDescent="0.3">
      <c r="A3913" s="1" t="s">
        <v>5</v>
      </c>
      <c r="B3913" s="1" t="s">
        <v>4</v>
      </c>
      <c r="C3913" s="10" t="s">
        <v>5</v>
      </c>
      <c r="D3913" s="6" t="s">
        <v>3564</v>
      </c>
      <c r="E3913" s="1" t="str">
        <f ca="1">IFERROR(__xludf.DUMMYFUNCTION("GOOGLETRANSLATE(D3913, ""bn"", ""en"")"),"I believe in Jesus as the Son of God and read the Bible daily. My life has completely changed and now I have happiness and peace in my life. Thank you ""Jesus"", for filling my life with joy.")</f>
        <v>I believe in Jesus as the Son of God and read the Bible daily. My life has completely changed and now I have happiness and peace in my life. Thank you "Jesus", for filling my life with joy.</v>
      </c>
      <c r="F3913" s="1"/>
      <c r="G3913" s="1"/>
      <c r="H3913" s="1"/>
      <c r="I3913" s="1"/>
    </row>
    <row r="3914" spans="1:9" ht="31.2" x14ac:dyDescent="0.3">
      <c r="A3914" s="1" t="s">
        <v>5</v>
      </c>
      <c r="B3914" s="1" t="s">
        <v>5</v>
      </c>
      <c r="C3914" s="10" t="s">
        <v>5</v>
      </c>
      <c r="D3914" s="6" t="s">
        <v>3563</v>
      </c>
      <c r="E3914" s="1" t="str">
        <f ca="1">IFERROR(__xludf.DUMMYFUNCTION("GOOGLETRANSLATE(D3914, ""bn"", ""en"")"),"Bangladesh needs a Muslim leader who is patriotic, brave and religious like Erdoğan. Hopefully today or tomorrow there will be a leader in Bangladesh who will take Bangladesh far and develop a lot")</f>
        <v>Bangladesh needs a Muslim leader who is patriotic, brave and religious like Erdoğan. Hopefully today or tomorrow there will be a leader in Bangladesh who will take Bangladesh far and develop a lot</v>
      </c>
      <c r="F3914" s="1"/>
      <c r="G3914" s="1"/>
      <c r="H3914" s="1"/>
      <c r="I3914" s="1"/>
    </row>
    <row r="3915" spans="1:9" ht="31.2" x14ac:dyDescent="0.3">
      <c r="A3915" s="1" t="s">
        <v>5</v>
      </c>
      <c r="B3915" s="1" t="s">
        <v>5</v>
      </c>
      <c r="C3915" s="10" t="s">
        <v>5</v>
      </c>
      <c r="D3915" s="6" t="s">
        <v>3562</v>
      </c>
      <c r="E3915" s="1" t="str">
        <f ca="1">IFERROR(__xludf.DUMMYFUNCTION("GOOGLETRANSLATE(D3915, ""bn"", ""en"")"),"Prince Siddhartha (later Gautama Buddha) left the world on the auspicious Asadhi Purnima Tithi, renouncing all kingdoms, kingdoms, pleasures, riches, in the hope of attaining liberation from all worldly miseries. ")</f>
        <v>Prince Siddhartha (later Gautama Buddha) left the world on the auspicious Asadhi Purnima Tithi, renouncing all kingdoms, kingdoms, pleasures, riches, in the hope of attaining liberation from all worldly miseries. </v>
      </c>
      <c r="F3915" s="1"/>
      <c r="G3915" s="1"/>
      <c r="H3915" s="1"/>
      <c r="I3915" s="1"/>
    </row>
    <row r="3916" spans="1:9" ht="46.8" x14ac:dyDescent="0.3">
      <c r="A3916" s="1" t="s">
        <v>7</v>
      </c>
      <c r="B3916" s="1" t="s">
        <v>7</v>
      </c>
      <c r="C3916" s="10" t="s">
        <v>7</v>
      </c>
      <c r="D3916" s="6" t="s">
        <v>3561</v>
      </c>
      <c r="E3916" s="1" t="str">
        <f ca="1">IFERROR(__xludf.DUMMYFUNCTION("GOOGLETRANSLATE(D3916, ""bn"", ""en"")"),"Every Hindu house in Murapara was burnt to ashes. 17 Hindu women were horribly burnt alive by throwing them into burning pyres. [32] 250 Hindu women were killed in Bhutla village and many were brutally killed by burning alive.")</f>
        <v>Every Hindu house in Murapara was burnt to ashes. 17 Hindu women were horribly burnt alive by throwing them into burning pyres. [32] 250 Hindu women were killed in Bhutla village and many were brutally killed by burning alive.</v>
      </c>
      <c r="F3916" s="1"/>
      <c r="G3916" s="1"/>
      <c r="H3916" s="1"/>
      <c r="I3916" s="1"/>
    </row>
    <row r="3917" spans="1:9" ht="31.2" x14ac:dyDescent="0.3">
      <c r="A3917" s="1" t="s">
        <v>4</v>
      </c>
      <c r="B3917" s="1" t="s">
        <v>4</v>
      </c>
      <c r="C3917" s="10" t="s">
        <v>4</v>
      </c>
      <c r="D3917" s="6" t="s">
        <v>3560</v>
      </c>
      <c r="E3917" s="1" t="str">
        <f ca="1">IFERROR(__xludf.DUMMYFUNCTION("GOOGLETRANSLATE(D3917, ""bn"", ""en"")"),"Where is the video of the tragic accident in Palestine? I want to show myself as a big fan of Ram by writing ""Jai Shri Ram"" in the comment of the video.")</f>
        <v>Where is the video of the tragic accident in Palestine? I want to show myself as a big fan of Ram by writing "Jai Shri Ram" in the comment of the video.</v>
      </c>
      <c r="F3917" s="1"/>
      <c r="G3917" s="1"/>
      <c r="H3917" s="1"/>
      <c r="I3917" s="1"/>
    </row>
    <row r="3918" spans="1:9" ht="46.8" x14ac:dyDescent="0.3">
      <c r="A3918" s="1" t="s">
        <v>5</v>
      </c>
      <c r="B3918" s="1" t="s">
        <v>5</v>
      </c>
      <c r="C3918" s="10" t="s">
        <v>5</v>
      </c>
      <c r="D3918" s="6" t="s">
        <v>3559</v>
      </c>
      <c r="E3918" s="1" t="str">
        <f ca="1">IFERROR(__xludf.DUMMYFUNCTION("GOOGLETRANSLATE(D3918, ""bn"", ""en"")"),"Islam is sensitive in Bangladesh, maybe there will be some isolated protests in the next few days about what is happening in France - but it is not yet time to say that the relationship between the two countries will deteriorate or that there will be a bi"&amp;"g negative attitude towards France in the public mind of Bangladesh.")</f>
        <v>Islam is sensitive in Bangladesh, maybe there will be some isolated protests in the next few days about what is happening in France - but it is not yet time to say that the relationship between the two countries will deteriorate or that there will be a big negative attitude towards France in the public mind of Bangladesh.</v>
      </c>
      <c r="F3918" s="1"/>
      <c r="G3918" s="1"/>
      <c r="H3918" s="1"/>
      <c r="I3918" s="1"/>
    </row>
    <row r="3919" spans="1:9" ht="31.2" x14ac:dyDescent="0.3">
      <c r="A3919" s="1" t="s">
        <v>4</v>
      </c>
      <c r="B3919" s="1" t="s">
        <v>4</v>
      </c>
      <c r="C3919" s="10" t="s">
        <v>4</v>
      </c>
      <c r="D3919" s="6" t="s">
        <v>3558</v>
      </c>
      <c r="E3919" s="1" t="str">
        <f ca="1">IFERROR(__xludf.DUMMYFUNCTION("GOOGLETRANSLATE(D3919, ""bn"", ""en"")"),"The aim is to stop the business of local Muslim meat traders. In the same way Bayezid Bostami went to the hill hotels ruled by radical Hindus, no beef can be sold here. ")</f>
        <v xml:space="preserve">The aim is to stop the business of local Muslim meat traders. In the same way Bayezid Bostami went to the hill hotels ruled by radical Hindus, no beef can be sold here. </v>
      </c>
      <c r="F3919" s="1"/>
      <c r="G3919" s="1"/>
      <c r="H3919" s="1"/>
      <c r="I3919" s="1"/>
    </row>
    <row r="3920" spans="1:9" ht="15.6" x14ac:dyDescent="0.3">
      <c r="A3920" s="1" t="s">
        <v>7</v>
      </c>
      <c r="B3920" s="1" t="s">
        <v>7</v>
      </c>
      <c r="C3920" s="10" t="s">
        <v>7</v>
      </c>
      <c r="D3920" s="5" t="s">
        <v>3438</v>
      </c>
      <c r="E3920" s="1" t="str">
        <f ca="1">IFERROR(__xludf.DUMMYFUNCTION("GOOGLETRANSLATE(D3920, ""bn"", ""en"")"),"Many people have lost their lives in terrorist attacks in the name of religious ideology, which has disrupted social peace and security.")</f>
        <v>Many people have lost their lives in terrorist attacks in the name of religious ideology, which has disrupted social peace and security.</v>
      </c>
      <c r="F3920" s="1"/>
      <c r="G3920" s="1"/>
      <c r="H3920" s="1"/>
      <c r="I3920" s="1"/>
    </row>
    <row r="3921" spans="1:9" ht="15.6" x14ac:dyDescent="0.3">
      <c r="A3921" s="1" t="s">
        <v>9</v>
      </c>
      <c r="B3921" s="1" t="s">
        <v>9</v>
      </c>
      <c r="C3921" s="10" t="s">
        <v>9</v>
      </c>
      <c r="D3921" s="5" t="s">
        <v>3439</v>
      </c>
      <c r="E3921" s="1" t="str">
        <f ca="1">IFERROR(__xludf.DUMMYFUNCTION("GOOGLETRANSLATE(D3921, ""bn"", ""en"")"),"Protests are ongoing in many countries over allegations of religious insults in France. A large protest rally has been held in Bangladesh.")</f>
        <v>Protests are ongoing in many countries over allegations of religious insults in France. A large protest rally has been held in Bangladesh.</v>
      </c>
      <c r="F3921" s="1"/>
      <c r="G3921" s="1"/>
      <c r="H3921" s="1"/>
      <c r="I3921" s="1"/>
    </row>
    <row r="3922" spans="1:9" ht="46.8" x14ac:dyDescent="0.3">
      <c r="A3922" s="1" t="s">
        <v>9</v>
      </c>
      <c r="B3922" s="1" t="s">
        <v>9</v>
      </c>
      <c r="C3922" s="10" t="s">
        <v>9</v>
      </c>
      <c r="D3922" s="6" t="s">
        <v>3557</v>
      </c>
      <c r="E3922" s="1" t="str">
        <f ca="1">IFERROR(__xludf.DUMMYFUNCTION("GOOGLETRANSLATE(D3922, ""bn"", ""en"")"),"20 Hindu shops were also attacked and looted and vandalized. The attack lasted from evening to 8 pm. Traffic and shops stopped on the trunk road. 29 people were injured in this incident. [58] The mastermind of this incident, Ahnaf Tausif Mahmud Labib, was"&amp;" arrested by RAB on the morning of October 17.")</f>
        <v>20 Hindu shops were also attacked and looted and vandalized. The attack lasted from evening to 8 pm. Traffic and shops stopped on the trunk road. 29 people were injured in this incident. [58] The mastermind of this incident, Ahnaf Tausif Mahmud Labib, was arrested by RAB on the morning of October 17.</v>
      </c>
      <c r="F3922" s="1"/>
      <c r="G3922" s="1"/>
      <c r="H3922" s="1"/>
      <c r="I3922" s="1"/>
    </row>
    <row r="3923" spans="1:9" ht="15.6" x14ac:dyDescent="0.3">
      <c r="A3923" s="1" t="s">
        <v>4</v>
      </c>
      <c r="B3923" s="1" t="s">
        <v>4</v>
      </c>
      <c r="C3923" s="10" t="s">
        <v>4</v>
      </c>
      <c r="D3923" s="5" t="s">
        <v>3440</v>
      </c>
      <c r="E3923" s="1" t="str">
        <f ca="1">IFERROR(__xludf.DUMMYFUNCTION("GOOGLETRANSLATE(D3923, ""bn"", ""en"")"),"They want to destroy the Hindu Muslim communal harmony of this country.")</f>
        <v>They want to destroy the Hindu Muslim communal harmony of this country.</v>
      </c>
      <c r="F3923" s="1"/>
      <c r="G3923" s="1"/>
      <c r="H3923" s="1"/>
      <c r="I3923" s="1"/>
    </row>
    <row r="3924" spans="1:9" ht="15.6" x14ac:dyDescent="0.3">
      <c r="A3924" s="1" t="s">
        <v>7</v>
      </c>
      <c r="B3924" s="1" t="s">
        <v>7</v>
      </c>
      <c r="C3924" s="10" t="s">
        <v>7</v>
      </c>
      <c r="D3924" s="5" t="s">
        <v>3441</v>
      </c>
      <c r="E3924" s="1" t="str">
        <f ca="1">IFERROR(__xludf.DUMMYFUNCTION("GOOGLETRANSLATE(D3924, ""bn"", ""en"")"),"An explosion near a mosque in Malegaon, Maharashtra, kills 31, later linked to Hindutva groups.")</f>
        <v>An explosion near a mosque in Malegaon, Maharashtra, kills 31, later linked to Hindutva groups.</v>
      </c>
      <c r="F3924" s="1"/>
      <c r="G3924" s="1"/>
      <c r="H3924" s="1"/>
      <c r="I3924" s="1"/>
    </row>
    <row r="3925" spans="1:9" ht="31.2" x14ac:dyDescent="0.3">
      <c r="A3925" s="1" t="s">
        <v>9</v>
      </c>
      <c r="B3925" s="1" t="s">
        <v>9</v>
      </c>
      <c r="C3925" s="10" t="s">
        <v>9</v>
      </c>
      <c r="D3925" s="6" t="s">
        <v>3556</v>
      </c>
      <c r="E3925" s="1" t="str">
        <f ca="1">IFERROR(__xludf.DUMMYFUNCTION("GOOGLETRANSLATE(D3925, ""bn"", ""en"")"),"At 8:30 in the night, Munsibazar Union's Moidail Pujamandap statue, Kamarchhara Cha Bagan Pujamandap statue and three other mandap idols were vandalized.")</f>
        <v>At 8:30 in the night, Munsibazar Union's Moidail Pujamandap statue, Kamarchhara Cha Bagan Pujamandap statue and three other mandap idols were vandalized.</v>
      </c>
      <c r="F3925" s="1"/>
      <c r="G3925" s="1"/>
      <c r="H3925" s="1"/>
      <c r="I3925" s="1"/>
    </row>
    <row r="3926" spans="1:9" ht="15.6" x14ac:dyDescent="0.3">
      <c r="A3926" s="1" t="s">
        <v>5</v>
      </c>
      <c r="B3926" s="1" t="s">
        <v>5</v>
      </c>
      <c r="C3926" s="10" t="s">
        <v>5</v>
      </c>
      <c r="D3926" s="5" t="s">
        <v>3442</v>
      </c>
      <c r="E3926" s="1" t="str">
        <f ca="1">IFERROR(__xludf.DUMMYFUNCTION("GOOGLETRANSLATE(D3926, ""bn"", ""en"")"),"If you want to say something to Allah then pray. If you want Allah to tell you something then read Quran.")</f>
        <v>If you want to say something to Allah then pray. If you want Allah to tell you something then read Quran.</v>
      </c>
      <c r="F3926" s="1"/>
      <c r="G3926" s="1"/>
      <c r="H3926" s="1"/>
      <c r="I3926" s="1"/>
    </row>
    <row r="3927" spans="1:9" ht="15.6" x14ac:dyDescent="0.3">
      <c r="A3927" s="1" t="s">
        <v>5</v>
      </c>
      <c r="B3927" s="1" t="s">
        <v>5</v>
      </c>
      <c r="C3927" s="10" t="s">
        <v>5</v>
      </c>
      <c r="D3927" s="5" t="s">
        <v>3443</v>
      </c>
      <c r="E3927" s="1" t="str">
        <f ca="1">IFERROR(__xludf.DUMMYFUNCTION("GOOGLETRANSLATE(D3927, ""bn"", ""en"")"),"Only Allah is the owner of the unseen. Immediately after the birth of the Prophet (PBUH), on the command of Allah, Gabriel (A.S.) toured all the creations of Allah. That is why the Prophet (PBUH) knows everything.")</f>
        <v>Only Allah is the owner of the unseen. Immediately after the birth of the Prophet (PBUH), on the command of Allah, Gabriel (A.S.) toured all the creations of Allah. That is why the Prophet (PBUH) knows everything.</v>
      </c>
      <c r="F3927" s="1"/>
      <c r="G3927" s="1"/>
      <c r="H3927" s="1"/>
      <c r="I3927" s="1"/>
    </row>
    <row r="3928" spans="1:9" ht="46.8" x14ac:dyDescent="0.3">
      <c r="A3928" s="1" t="s">
        <v>9</v>
      </c>
      <c r="B3928" s="1" t="s">
        <v>9</v>
      </c>
      <c r="C3928" s="10" t="s">
        <v>9</v>
      </c>
      <c r="D3928" s="6" t="s">
        <v>3555</v>
      </c>
      <c r="E3928" s="1" t="str">
        <f ca="1">IFERROR(__xludf.DUMMYFUNCTION("GOOGLETRANSLATE(D3928, ""bn"", ""en"")"),"The communal conflict continued for about a week. Bengal was finally placed under Viceroyal rule on 21st August. 5 battalions of British troops, 4 battalions supported by Indians and Gorkhas, were deployed in the city.[34] Lord Wavell later complained why"&amp;" troops were not called up earlier, despite having sufficient numbers. The riots subsided on 22 August.")</f>
        <v>The communal conflict continued for about a week. Bengal was finally placed under Viceroyal rule on 21st August. 5 battalions of British troops, 4 battalions supported by Indians and Gorkhas, were deployed in the city.[34] Lord Wavell later complained why troops were not called up earlier, despite having sufficient numbers. The riots subsided on 22 August.</v>
      </c>
      <c r="F3928" s="1"/>
      <c r="G3928" s="1"/>
      <c r="H3928" s="1"/>
      <c r="I3928" s="1"/>
    </row>
    <row r="3929" spans="1:9" ht="15.6" x14ac:dyDescent="0.3">
      <c r="A3929" s="1" t="s">
        <v>7</v>
      </c>
      <c r="B3929" s="1" t="s">
        <v>7</v>
      </c>
      <c r="C3929" s="10" t="s">
        <v>7</v>
      </c>
      <c r="D3929" s="5" t="s">
        <v>3444</v>
      </c>
      <c r="E3929" s="1" t="str">
        <f ca="1">IFERROR(__xludf.DUMMYFUNCTION("GOOGLETRANSLATE(D3929, ""bn"", ""en"")"),"Sehri was not eaten. 36 family members lost their lives while preparing food. He died brutally on March 15")</f>
        <v>Sehri was not eaten. 36 family members lost their lives while preparing food. He died brutally on March 15</v>
      </c>
      <c r="F3929" s="1"/>
      <c r="G3929" s="1"/>
      <c r="H3929" s="1"/>
      <c r="I3929" s="1"/>
    </row>
    <row r="3930" spans="1:9" ht="15.6" x14ac:dyDescent="0.3">
      <c r="A3930" s="1" t="s">
        <v>5</v>
      </c>
      <c r="B3930" s="1" t="s">
        <v>5</v>
      </c>
      <c r="C3930" s="10" t="s">
        <v>5</v>
      </c>
      <c r="D3930" s="5" t="s">
        <v>3445</v>
      </c>
      <c r="E3930" s="1" t="str">
        <f ca="1">IFERROR(__xludf.DUMMYFUNCTION("GOOGLETRANSLATE(D3930, ""bn"", ""en"")"),"Every time I hear my heart gets cold. Whenever I worry about worldly life, every time I watch this video, my worries are freed")</f>
        <v>Every time I hear my heart gets cold. Whenever I worry about worldly life, every time I watch this video, my worries are freed</v>
      </c>
      <c r="F3930" s="1"/>
      <c r="G3930" s="1"/>
      <c r="H3930" s="1"/>
      <c r="I3930" s="1"/>
    </row>
    <row r="3931" spans="1:9" ht="31.2" x14ac:dyDescent="0.3">
      <c r="A3931" s="1" t="s">
        <v>7</v>
      </c>
      <c r="B3931" s="1" t="s">
        <v>4</v>
      </c>
      <c r="C3931" s="10" t="s">
        <v>7</v>
      </c>
      <c r="D3931" s="6" t="s">
        <v>3554</v>
      </c>
      <c r="E3931" s="1" t="str">
        <f ca="1">IFERROR(__xludf.DUMMYFUNCTION("GOOGLETRANSLATE(D3931, ""bn"", ""en"")"),"According to Judeo-Christian and Muslim historical traditions, the maximum penalty for blasphemy is death. Despite its historical changes in Judeo-Christian societies, it is still a heinous crime in Islamic or Muslim-dominated countries.")</f>
        <v>According to Judeo-Christian and Muslim historical traditions, the maximum penalty for blasphemy is death. Despite its historical changes in Judeo-Christian societies, it is still a heinous crime in Islamic or Muslim-dominated countries.</v>
      </c>
      <c r="F3931" s="1"/>
      <c r="G3931" s="1"/>
      <c r="H3931" s="1"/>
      <c r="I3931" s="1"/>
    </row>
    <row r="3932" spans="1:9" ht="31.2" x14ac:dyDescent="0.3">
      <c r="A3932" s="1" t="s">
        <v>7</v>
      </c>
      <c r="B3932" s="1" t="s">
        <v>7</v>
      </c>
      <c r="C3932" s="10" t="s">
        <v>7</v>
      </c>
      <c r="D3932" s="6" t="s">
        <v>3553</v>
      </c>
      <c r="E3932" s="1" t="str">
        <f ca="1">IFERROR(__xludf.DUMMYFUNCTION("GOOGLETRANSLATE(D3932, ""bn"", ""en"")"),"Incidentally, in a press conference on January 30, the Hindu Buddhist Christian Unity Council said that between August 21 and December 31, 2024, 23 people from the minority community were killed in communal violence across the country.")</f>
        <v>Incidentally, in a press conference on January 30, the Hindu Buddhist Christian Unity Council said that between August 21 and December 31, 2024, 23 people from the minority community were killed in communal violence across the country.</v>
      </c>
      <c r="F3932" s="1"/>
      <c r="G3932" s="1"/>
      <c r="H3932" s="1"/>
      <c r="I3932" s="1"/>
    </row>
    <row r="3933" spans="1:9" ht="31.2" x14ac:dyDescent="0.3">
      <c r="A3933" s="1" t="s">
        <v>4</v>
      </c>
      <c r="B3933" s="1" t="s">
        <v>4</v>
      </c>
      <c r="C3933" s="10" t="s">
        <v>4</v>
      </c>
      <c r="D3933" s="6" t="s">
        <v>3552</v>
      </c>
      <c r="E3933" s="1" t="str">
        <f ca="1">IFERROR(__xludf.DUMMYFUNCTION("GOOGLETRANSLATE(D3933, ""bn"", ""en"")"),"There can be no mosque because there is a temple, this is the culmination of everyone's slogans. First they will introduce their festivals, their rituals by raising the smoke of non-sectarianism and coexistence.")</f>
        <v>There can be no mosque because there is a temple, this is the culmination of everyone's slogans. First they will introduce their festivals, their rituals by raising the smoke of non-sectarianism and coexistence.</v>
      </c>
      <c r="F3933" s="1"/>
      <c r="G3933" s="1"/>
      <c r="H3933" s="1"/>
      <c r="I3933" s="1"/>
    </row>
    <row r="3934" spans="1:9" ht="31.2" x14ac:dyDescent="0.3">
      <c r="A3934" s="1" t="s">
        <v>9</v>
      </c>
      <c r="B3934" s="1" t="s">
        <v>9</v>
      </c>
      <c r="C3934" s="10" t="s">
        <v>9</v>
      </c>
      <c r="D3934" s="6" t="s">
        <v>3551</v>
      </c>
      <c r="E3934" s="1" t="str">
        <f ca="1">IFERROR(__xludf.DUMMYFUNCTION("GOOGLETRANSLATE(D3934, ""bn"", ""en"")"),"At the same time, shops owned by the Hindu community, including jewelry shops, confectionary stores, hotels and restaurants, were attacked and set on fire in several areas including Shakaribazar, Tantibazar, Kotwali in old Dhaka.")</f>
        <v>At the same time, shops owned by the Hindu community, including jewelry shops, confectionary stores, hotels and restaurants, were attacked and set on fire in several areas including Shakaribazar, Tantibazar, Kotwali in old Dhaka.</v>
      </c>
      <c r="F3934" s="1"/>
      <c r="G3934" s="1"/>
      <c r="H3934" s="1"/>
      <c r="I3934" s="1"/>
    </row>
    <row r="3935" spans="1:9" ht="15.6" x14ac:dyDescent="0.3">
      <c r="A3935" s="1" t="s">
        <v>4</v>
      </c>
      <c r="B3935" s="1" t="s">
        <v>4</v>
      </c>
      <c r="C3935" s="10" t="s">
        <v>4</v>
      </c>
      <c r="D3935" s="5" t="s">
        <v>3446</v>
      </c>
      <c r="E3935" s="1" t="str">
        <f ca="1">IFERROR(__xludf.DUMMYFUNCTION("GOOGLETRANSLATE(D3935, ""bn"", ""en"")"),"Alfadanga has enjoyed communal harmony for hundreds of years. In the month of victory before the elections, evil forces conspire to destroy the communal harmony of Alfadanga.")</f>
        <v>Alfadanga has enjoyed communal harmony for hundreds of years. In the month of victory before the elections, evil forces conspire to destroy the communal harmony of Alfadanga.</v>
      </c>
      <c r="F3935" s="1"/>
      <c r="G3935" s="1"/>
      <c r="H3935" s="1"/>
      <c r="I3935" s="1"/>
    </row>
    <row r="3936" spans="1:9" ht="31.2" x14ac:dyDescent="0.3">
      <c r="A3936" s="4" t="s">
        <v>7</v>
      </c>
      <c r="B3936" s="4" t="s">
        <v>7</v>
      </c>
      <c r="C3936" s="11" t="s">
        <v>7</v>
      </c>
      <c r="D3936" s="6" t="s">
        <v>3550</v>
      </c>
      <c r="E3936" s="1" t="str">
        <f ca="1">IFERROR(__xludf.DUMMYFUNCTION("GOOGLETRANSLATE(D3936, ""bn"", ""en"")"),"In the midnight of August 23–24, hours after Vishva Hindu Parishad chief Laxmanananda Saraswati was killed, chaos broke out. The police suspected the role of Maoists and announced it to the media at 11:00 pm.")</f>
        <v>In the midnight of August 23–24, hours after Vishva Hindu Parishad chief Laxmanananda Saraswati was killed, chaos broke out. The police suspected the role of Maoists and announced it to the media at 11:00 pm.</v>
      </c>
      <c r="F3936" s="1"/>
      <c r="G3936" s="1"/>
      <c r="H3936" s="1"/>
      <c r="I3936" s="1"/>
    </row>
    <row r="3937" spans="1:9" ht="15.6" x14ac:dyDescent="0.3">
      <c r="A3937" s="1" t="s">
        <v>5</v>
      </c>
      <c r="B3937" s="1" t="s">
        <v>5</v>
      </c>
      <c r="C3937" s="10" t="s">
        <v>5</v>
      </c>
      <c r="D3937" s="5" t="s">
        <v>3447</v>
      </c>
      <c r="E3937" s="1" t="str">
        <f ca="1">IFERROR(__xludf.DUMMYFUNCTION("GOOGLETRANSLATE(D3937, ""bn"", ""en"")"),"Buddhist architecture in Cambodia, Indonesia and Thailand, Angkor Wat temple and Borobudur Vihara such as Sompur Vihara, an ancient monastery in Bangladesh. ")</f>
        <v>Buddhist architecture in Cambodia, Indonesia and Thailand, Angkor Wat temple and Borobudur Vihara such as Sompur Vihara, an ancient monastery in Bangladesh. </v>
      </c>
      <c r="F3937" s="1"/>
      <c r="G3937" s="1"/>
      <c r="H3937" s="1"/>
      <c r="I3937" s="1"/>
    </row>
    <row r="3938" spans="1:9" ht="31.2" x14ac:dyDescent="0.3">
      <c r="A3938" s="1" t="s">
        <v>5</v>
      </c>
      <c r="B3938" s="1" t="s">
        <v>5</v>
      </c>
      <c r="C3938" s="10" t="s">
        <v>5</v>
      </c>
      <c r="D3938" s="6" t="s">
        <v>3549</v>
      </c>
      <c r="E3938" s="1" t="str">
        <f ca="1">IFERROR(__xludf.DUMMYFUNCTION("GOOGLETRANSLATE(D3938, ""bn"", ""en"")"),"Go to Congress and learn their plans. When they trust you, I will show my confidence. Why do you think I will sit back? We are also ready for positive change.")</f>
        <v>Go to Congress and learn their plans. When they trust you, I will show my confidence. Why do you think I will sit back? We are also ready for positive change.</v>
      </c>
      <c r="F3938" s="1"/>
      <c r="G3938" s="1"/>
      <c r="H3938" s="1"/>
      <c r="I3938" s="1"/>
    </row>
    <row r="3939" spans="1:9" ht="46.8" x14ac:dyDescent="0.3">
      <c r="A3939" s="1" t="s">
        <v>4</v>
      </c>
      <c r="B3939" s="1" t="s">
        <v>4</v>
      </c>
      <c r="C3939" s="10" t="s">
        <v>4</v>
      </c>
      <c r="D3939" s="6" t="s">
        <v>3548</v>
      </c>
      <c r="E3939" s="1" t="str">
        <f ca="1">IFERROR(__xludf.DUMMYFUNCTION("GOOGLETRANSLATE(D3939, ""bn"", ""en"")"),"Those who oppose the existence of the state of Israel are called anti-Zionists. They oppose the Israeli occupation and criticize the policies of the country's government. Anti-Zionists are often seen as anti-Semitic, especially those who support Israel na"&amp;"tionalism and the state of Israel.")</f>
        <v>Those who oppose the existence of the state of Israel are called anti-Zionists. They oppose the Israeli occupation and criticize the policies of the country's government. Anti-Zionists are often seen as anti-Semitic, especially those who support Israel nationalism and the state of Israel.</v>
      </c>
      <c r="F3939" s="1"/>
      <c r="G3939" s="1"/>
      <c r="H3939" s="1"/>
      <c r="I3939" s="1"/>
    </row>
    <row r="3940" spans="1:9" ht="31.2" x14ac:dyDescent="0.3">
      <c r="A3940" s="1" t="s">
        <v>4</v>
      </c>
      <c r="B3940" s="1" t="s">
        <v>4</v>
      </c>
      <c r="C3940" s="10" t="s">
        <v>4</v>
      </c>
      <c r="D3940" s="6" t="s">
        <v>3547</v>
      </c>
      <c r="E3940" s="1" t="str">
        <f ca="1">IFERROR(__xludf.DUMMYFUNCTION("GOOGLETRANSLATE(D3940, ""bn"", ""en"")"),"Those of you who are trolling like this, remember that before a Hindu in India watches, a Bengali is watched by someone very close to you and this video is proof of that. ")</f>
        <v xml:space="preserve">Those of you who are trolling like this, remember that before a Hindu in India watches, a Bengali is watched by someone very close to you and this video is proof of that. </v>
      </c>
      <c r="F3940" s="1"/>
      <c r="G3940" s="1"/>
      <c r="H3940" s="1"/>
      <c r="I3940" s="1"/>
    </row>
    <row r="3941" spans="1:9" ht="15.6" x14ac:dyDescent="0.3">
      <c r="A3941" s="1" t="s">
        <v>5</v>
      </c>
      <c r="B3941" s="1" t="s">
        <v>5</v>
      </c>
      <c r="C3941" s="10" t="s">
        <v>5</v>
      </c>
      <c r="D3941" s="5" t="s">
        <v>3448</v>
      </c>
      <c r="E3941" s="1" t="str">
        <f ca="1">IFERROR(__xludf.DUMMYFUNCTION("GOOGLETRANSLATE(D3941, ""bn"", ""en"")"),"At the age of 35, Muhammad is said to have been instrumental in repairing the Kaaba, after parts of it were eroded and damaged by frequent floods in Mecca.")</f>
        <v>At the age of 35, Muhammad is said to have been instrumental in repairing the Kaaba, after parts of it were eroded and damaged by frequent floods in Mecca.</v>
      </c>
      <c r="F3941" s="1"/>
      <c r="G3941" s="1"/>
      <c r="H3941" s="1"/>
      <c r="I3941" s="1"/>
    </row>
    <row r="3942" spans="1:9" ht="31.2" x14ac:dyDescent="0.3">
      <c r="A3942" s="1" t="s">
        <v>7</v>
      </c>
      <c r="B3942" s="1" t="s">
        <v>7</v>
      </c>
      <c r="C3942" s="10" t="s">
        <v>7</v>
      </c>
      <c r="D3942" s="6" t="s">
        <v>3546</v>
      </c>
      <c r="E3942" s="1" t="str">
        <f ca="1">IFERROR(__xludf.DUMMYFUNCTION("GOOGLETRANSLATE(D3942, ""bn"", ""en"")"),"On March 17, Santal refugees were indiscriminately fired upon by Pakistani police and Ansar forces as they crossed Balurghat near India. 17 Santals were brutally shot dead and 14 others were mortally wounded.[")</f>
        <v>On March 17, Santal refugees were indiscriminately fired upon by Pakistani police and Ansar forces as they crossed Balurghat near India. 17 Santals were brutally shot dead and 14 others were mortally wounded.[</v>
      </c>
      <c r="F3942" s="1"/>
      <c r="G3942" s="1"/>
      <c r="H3942" s="1"/>
      <c r="I3942" s="1"/>
    </row>
    <row r="3943" spans="1:9" ht="15.6" x14ac:dyDescent="0.3">
      <c r="A3943" s="1" t="s">
        <v>5</v>
      </c>
      <c r="B3943" s="1" t="s">
        <v>5</v>
      </c>
      <c r="C3943" s="10" t="s">
        <v>5</v>
      </c>
      <c r="D3943" s="5" t="s">
        <v>3449</v>
      </c>
      <c r="E3943" s="1" t="str">
        <f ca="1">IFERROR(__xludf.DUMMYFUNCTION("GOOGLETRANSLATE(D3943, ""bn"", ""en"")"),"Allah says in the Qur'an that all human beings are the creation of Allah, and we should treat them with kindness and compassion, according to justice.")</f>
        <v>Allah says in the Qur'an that all human beings are the creation of Allah, and we should treat them with kindness and compassion, according to justice.</v>
      </c>
      <c r="F3943" s="1"/>
      <c r="G3943" s="1"/>
      <c r="H3943" s="1"/>
      <c r="I3943" s="1"/>
    </row>
    <row r="3944" spans="1:9" ht="15.6" x14ac:dyDescent="0.3">
      <c r="A3944" s="1" t="s">
        <v>7</v>
      </c>
      <c r="B3944" s="1" t="s">
        <v>7</v>
      </c>
      <c r="C3944" s="10" t="s">
        <v>7</v>
      </c>
      <c r="D3944" s="5" t="s">
        <v>3450</v>
      </c>
      <c r="E3944" s="1" t="str">
        <f ca="1">IFERROR(__xludf.DUMMYFUNCTION("GOOGLETRANSLATE(D3944, ""bn"", ""en"")"),"The Christchurch mosque attack was a terrorist mass shooting at the Al Noor Mosque and Linwood Islamic Center in Christchurch during Friday prayers on 15 March 2019.")</f>
        <v>The Christchurch mosque attack was a terrorist mass shooting at the Al Noor Mosque and Linwood Islamic Center in Christchurch during Friday prayers on 15 March 2019.</v>
      </c>
      <c r="F3944" s="1"/>
      <c r="G3944" s="1"/>
      <c r="H3944" s="1"/>
      <c r="I3944" s="1"/>
    </row>
    <row r="3945" spans="1:9" ht="15.6" x14ac:dyDescent="0.3">
      <c r="A3945" s="1" t="s">
        <v>7</v>
      </c>
      <c r="B3945" s="1" t="s">
        <v>7</v>
      </c>
      <c r="C3945" s="10" t="s">
        <v>7</v>
      </c>
      <c r="D3945" s="5" t="s">
        <v>3451</v>
      </c>
      <c r="E3945" s="1" t="str">
        <f ca="1">IFERROR(__xludf.DUMMYFUNCTION("GOOGLETRANSLATE(D3945, ""bn"", ""en"")"),"Many writers and journalists were threatened and attacked for speaking out against religious intolerance, including M. M. Kalburgi and Gauri Lankesh murders are notable.")</f>
        <v>Many writers and journalists were threatened and attacked for speaking out against religious intolerance, including M. M. Kalburgi and Gauri Lankesh murders are notable.</v>
      </c>
      <c r="F3945" s="1"/>
      <c r="G3945" s="1"/>
      <c r="H3945" s="1"/>
      <c r="I3945" s="1"/>
    </row>
    <row r="3946" spans="1:9" ht="31.2" x14ac:dyDescent="0.3">
      <c r="A3946" s="1" t="s">
        <v>4</v>
      </c>
      <c r="B3946" s="1" t="s">
        <v>4</v>
      </c>
      <c r="C3946" s="10" t="s">
        <v>4</v>
      </c>
      <c r="D3946" s="6" t="s">
        <v>3545</v>
      </c>
      <c r="E3946" s="1" t="str">
        <f ca="1">IFERROR(__xludf.DUMMYFUNCTION("GOOGLETRANSLATE(D3946, ""bn"", ""en"")"),"The web series released on Amazon Prime portrays Mirzapur as a city full of violence. Where Hindu-Muslim racial hatred is spreading terribly. In fact, it is not at all.")</f>
        <v>The web series released on Amazon Prime portrays Mirzapur as a city full of violence. Where Hindu-Muslim racial hatred is spreading terribly. In fact, it is not at all.</v>
      </c>
      <c r="F3946" s="1"/>
      <c r="G3946" s="1"/>
      <c r="H3946" s="1"/>
      <c r="I3946" s="1"/>
    </row>
    <row r="3947" spans="1:9" ht="15.6" x14ac:dyDescent="0.3">
      <c r="A3947" s="1" t="s">
        <v>7</v>
      </c>
      <c r="B3947" s="1" t="s">
        <v>7</v>
      </c>
      <c r="C3947" s="10" t="s">
        <v>7</v>
      </c>
      <c r="D3947" s="5" t="s">
        <v>2735</v>
      </c>
      <c r="E3947" s="1" t="str">
        <f ca="1">IFERROR(__xludf.DUMMYFUNCTION("GOOGLETRANSLATE(D3947, ""bn"", ""en"")"),"I demand the execution of those devils who burned the Quran, O Allah, protect our Quran, Amen.")</f>
        <v>I demand the execution of those devils who burned the Quran, O Allah, protect our Quran, Amen.</v>
      </c>
      <c r="F3947" s="1"/>
      <c r="G3947" s="1"/>
      <c r="H3947" s="1"/>
      <c r="I3947" s="1"/>
    </row>
    <row r="3948" spans="1:9" ht="31.2" x14ac:dyDescent="0.3">
      <c r="A3948" s="1" t="s">
        <v>9</v>
      </c>
      <c r="B3948" s="1" t="s">
        <v>9</v>
      </c>
      <c r="C3948" s="10" t="s">
        <v>9</v>
      </c>
      <c r="D3948" s="6" t="s">
        <v>3544</v>
      </c>
      <c r="E3948" s="1" t="str">
        <f ca="1">IFERROR(__xludf.DUMMYFUNCTION("GOOGLETRANSLATE(D3948, ""bn"", ""en"")"),"Muslims completely wiped out 203 Hindu villages and destroyed 800 Hindu temples. 500 Manipuri families of Dhamai, Baradhami, Pubghat, Baritli villages were affected by the Muslim attack.")</f>
        <v>Muslims completely wiped out 203 Hindu villages and destroyed 800 Hindu temples. 500 Manipuri families of Dhamai, Baradhami, Pubghat, Baritli villages were affected by the Muslim attack.</v>
      </c>
      <c r="F3948" s="1"/>
      <c r="G3948" s="1"/>
      <c r="H3948" s="1"/>
      <c r="I3948" s="1"/>
    </row>
    <row r="3949" spans="1:9" ht="15.6" x14ac:dyDescent="0.3">
      <c r="A3949" s="1" t="s">
        <v>7</v>
      </c>
      <c r="B3949" s="1" t="s">
        <v>7</v>
      </c>
      <c r="C3949" s="10" t="s">
        <v>7</v>
      </c>
      <c r="D3949" s="5" t="s">
        <v>3452</v>
      </c>
      <c r="E3949" s="1" t="str">
        <f ca="1">IFERROR(__xludf.DUMMYFUNCTION("GOOGLETRANSLATE(D3949, ""bn"", ""en"")"),"Look at the history of the world, great terror, brutality, massacres have been and are still being done by non-Muslims, what else can I say.")</f>
        <v>Look at the history of the world, great terror, brutality, massacres have been and are still being done by non-Muslims, what else can I say.</v>
      </c>
      <c r="F3949" s="1"/>
      <c r="G3949" s="1"/>
      <c r="H3949" s="1"/>
      <c r="I3949" s="1"/>
    </row>
    <row r="3950" spans="1:9" ht="15.6" x14ac:dyDescent="0.3">
      <c r="A3950" s="1" t="s">
        <v>9</v>
      </c>
      <c r="B3950" s="1" t="s">
        <v>9</v>
      </c>
      <c r="C3950" s="10" t="s">
        <v>9</v>
      </c>
      <c r="D3950" s="5" t="s">
        <v>3453</v>
      </c>
      <c r="E3950" s="1" t="str">
        <f ca="1">IFERROR(__xludf.DUMMYFUNCTION("GOOGLETRANSLATE(D3950, ""bn"", ""en"")"),"Does religion support killing. As far as I know no religion does. But what happens is what happens. Whom to believe? Those who can tell who caused the incident before it happens!")</f>
        <v>Does religion support killing. As far as I know no religion does. But what happens is what happens. Whom to believe? Those who can tell who caused the incident before it happens!</v>
      </c>
      <c r="F3950" s="1"/>
      <c r="G3950" s="1"/>
      <c r="H3950" s="1"/>
      <c r="I3950" s="1"/>
    </row>
    <row r="3951" spans="1:9" ht="15.6" x14ac:dyDescent="0.3">
      <c r="A3951" s="1" t="s">
        <v>5</v>
      </c>
      <c r="B3951" s="1" t="s">
        <v>5</v>
      </c>
      <c r="C3951" s="10" t="s">
        <v>5</v>
      </c>
      <c r="D3951" s="5" t="s">
        <v>3454</v>
      </c>
      <c r="E3951" s="1" t="str">
        <f ca="1">IFERROR(__xludf.DUMMYFUNCTION("GOOGLETRANSLATE(D3951, ""bn"", ""en"")"),"Hinduism is the second largest religion in Bangladesh. Out of 16.51 crore people, about 1.31 crore identify themselves as Hindus ")</f>
        <v>Hinduism is the second largest religion in Bangladesh. Out of 16.51 crore people, about 1.31 crore identify themselves as Hindus </v>
      </c>
      <c r="F3951" s="1"/>
      <c r="G3951" s="1"/>
      <c r="H3951" s="1"/>
      <c r="I3951" s="1"/>
    </row>
    <row r="3952" spans="1:9" ht="15.6" x14ac:dyDescent="0.3">
      <c r="A3952" s="1" t="s">
        <v>9</v>
      </c>
      <c r="B3952" s="1" t="s">
        <v>9</v>
      </c>
      <c r="C3952" s="10" t="s">
        <v>9</v>
      </c>
      <c r="D3952" s="5" t="s">
        <v>3455</v>
      </c>
      <c r="E3952" s="1" t="str">
        <f ca="1">IFERROR(__xludf.DUMMYFUNCTION("GOOGLETRANSLATE(D3952, ""bn"", ""en"")"),"A number of buildings were destroyed by Israel's renewed airstrikes.")</f>
        <v>A number of buildings were destroyed by Israel's renewed airstrikes.</v>
      </c>
      <c r="F3952" s="1"/>
      <c r="G3952" s="1"/>
      <c r="H3952" s="1"/>
      <c r="I3952" s="1"/>
    </row>
    <row r="3953" spans="1:9" ht="15.6" x14ac:dyDescent="0.3">
      <c r="A3953" s="1" t="s">
        <v>9</v>
      </c>
      <c r="B3953" s="1" t="s">
        <v>9</v>
      </c>
      <c r="C3953" s="10" t="s">
        <v>9</v>
      </c>
      <c r="D3953" s="5" t="s">
        <v>3456</v>
      </c>
      <c r="E3953" s="1" t="str">
        <f ca="1">IFERROR(__xludf.DUMMYFUNCTION("GOOGLETRANSLATE(D3953, ""bn"", ""en"")"),"A man attacked a synagogue in Poway, California, motivated by anti-Semitic ideology. Three people were injured in the incident, which is a reflection of growing religious intolerance in the United States.")</f>
        <v>A man attacked a synagogue in Poway, California, motivated by anti-Semitic ideology. Three people were injured in the incident, which is a reflection of growing religious intolerance in the United States.</v>
      </c>
      <c r="F3953" s="1"/>
      <c r="G3953" s="1"/>
      <c r="H3953" s="1"/>
      <c r="I3953" s="1"/>
    </row>
    <row r="3954" spans="1:9" ht="15.6" x14ac:dyDescent="0.3">
      <c r="A3954" s="1" t="s">
        <v>5</v>
      </c>
      <c r="B3954" s="1" t="s">
        <v>5</v>
      </c>
      <c r="C3954" s="10" t="s">
        <v>5</v>
      </c>
      <c r="D3954" s="5" t="s">
        <v>3457</v>
      </c>
      <c r="E3954" s="1" t="str">
        <f ca="1">IFERROR(__xludf.DUMMYFUNCTION("GOOGLETRANSLATE(D3954, ""bn"", ""en"")"),"I was born in a Muslim family, I used to read Quran every day. My life was difficult, but one day a brother told me that if I take refuge in Jesus Christ, all my troubles will end.")</f>
        <v>I was born in a Muslim family, I used to read Quran every day. My life was difficult, but one day a brother told me that if I take refuge in Jesus Christ, all my troubles will end.</v>
      </c>
      <c r="F3954" s="1"/>
      <c r="G3954" s="1"/>
      <c r="H3954" s="1"/>
      <c r="I3954" s="1"/>
    </row>
    <row r="3955" spans="1:9" ht="31.2" x14ac:dyDescent="0.3">
      <c r="A3955" s="1" t="s">
        <v>7</v>
      </c>
      <c r="B3955" s="1" t="s">
        <v>7</v>
      </c>
      <c r="C3955" s="10" t="s">
        <v>7</v>
      </c>
      <c r="D3955" s="6" t="s">
        <v>3543</v>
      </c>
      <c r="E3955" s="1" t="str">
        <f ca="1">IFERROR(__xludf.DUMMYFUNCTION("GOOGLETRANSLATE(D3955, ""bn"", ""en"")"),"Shankharikathi Massacre Rajakars killed unarmed Hindu men in Shankharikathi market. 42 Hindus were killed in this massacre of Alukdia village in Greater Khulna district of Bangladesh on November 4, 1971.")</f>
        <v>Shankharikathi Massacre Rajakars killed unarmed Hindu men in Shankharikathi market. 42 Hindus were killed in this massacre of Alukdia village in Greater Khulna district of Bangladesh on November 4, 1971.</v>
      </c>
      <c r="F3955" s="1"/>
      <c r="G3955" s="1"/>
      <c r="H3955" s="1"/>
      <c r="I3955" s="1"/>
    </row>
    <row r="3956" spans="1:9" ht="15.6" x14ac:dyDescent="0.3">
      <c r="A3956" s="1" t="s">
        <v>4</v>
      </c>
      <c r="B3956" s="1" t="s">
        <v>4</v>
      </c>
      <c r="C3956" s="10" t="s">
        <v>4</v>
      </c>
      <c r="D3956" s="5" t="s">
        <v>3458</v>
      </c>
      <c r="E3956" s="1" t="str">
        <f ca="1">IFERROR(__xludf.DUMMYFUNCTION("GOOGLETRANSLATE(D3956, ""bn"", ""en"")"),"Hindus are small in number in this country, can it be made an issue involving Hindus everywhere?? Protest is good but why did you target other religions in that.... !!")</f>
        <v>Hindus are small in number in this country, can it be made an issue involving Hindus everywhere?? Protest is good but why did you target other religions in that.... !!</v>
      </c>
      <c r="F3956" s="1"/>
      <c r="G3956" s="1"/>
      <c r="H3956" s="1"/>
      <c r="I3956" s="1"/>
    </row>
    <row r="3957" spans="1:9" ht="15.6" x14ac:dyDescent="0.3">
      <c r="A3957" s="1" t="s">
        <v>5</v>
      </c>
      <c r="B3957" s="1" t="s">
        <v>5</v>
      </c>
      <c r="C3957" s="10" t="s">
        <v>5</v>
      </c>
      <c r="D3957" s="5" t="s">
        <v>3459</v>
      </c>
      <c r="E3957" s="1" t="str">
        <f ca="1">IFERROR(__xludf.DUMMYFUNCTION("GOOGLETRANSLATE(D3957, ""bn"", ""en"")"),"The Constitution of Bangladesh states that ""the State shall ensure equal status and equal rights in the practice of Hinduism, Buddhism, Christianity and other religions"".")</f>
        <v>The Constitution of Bangladesh states that "the State shall ensure equal status and equal rights in the practice of Hinduism, Buddhism, Christianity and other religions".</v>
      </c>
      <c r="F3957" s="1"/>
      <c r="G3957" s="1"/>
      <c r="H3957" s="1"/>
      <c r="I3957" s="1"/>
    </row>
    <row r="3958" spans="1:9" ht="15.6" x14ac:dyDescent="0.3">
      <c r="A3958" s="1" t="s">
        <v>9</v>
      </c>
      <c r="B3958" s="1" t="s">
        <v>4</v>
      </c>
      <c r="C3958" s="10" t="s">
        <v>4</v>
      </c>
      <c r="D3958" s="5" t="s">
        <v>3460</v>
      </c>
      <c r="E3958" s="1" t="str">
        <f ca="1">IFERROR(__xludf.DUMMYFUNCTION("GOOGLETRANSLATE(D3958, ""bn"", ""en"")"),"Hating people, hating any religion, doing injustice in the name of religion")</f>
        <v>Hating people, hating any religion, doing injustice in the name of religion</v>
      </c>
      <c r="F3958" s="1"/>
      <c r="G3958" s="1"/>
      <c r="H3958" s="1"/>
      <c r="I3958" s="1"/>
    </row>
    <row r="3959" spans="1:9" ht="15.6" x14ac:dyDescent="0.3">
      <c r="A3959" s="1" t="s">
        <v>4</v>
      </c>
      <c r="B3959" s="1" t="s">
        <v>4</v>
      </c>
      <c r="C3959" s="10" t="s">
        <v>4</v>
      </c>
      <c r="D3959" s="5" t="s">
        <v>3461</v>
      </c>
      <c r="E3959" s="1" t="str">
        <f ca="1">IFERROR(__xludf.DUMMYFUNCTION("GOOGLETRANSLATE(D3959, ""bn"", ""en"")"),"Several times on the Facebook ID, he made bad comments about our beloved Prophet Hazrat Muhammad (PBUH) and bad comments about his beloved religion, Islam.")</f>
        <v>Several times on the Facebook ID, he made bad comments about our beloved Prophet Hazrat Muhammad (PBUH) and bad comments about his beloved religion, Islam.</v>
      </c>
      <c r="F3959" s="1"/>
      <c r="G3959" s="1"/>
      <c r="H3959" s="1"/>
      <c r="I3959" s="1"/>
    </row>
    <row r="3960" spans="1:9" ht="31.2" x14ac:dyDescent="0.3">
      <c r="A3960" s="1" t="s">
        <v>9</v>
      </c>
      <c r="B3960" s="1" t="s">
        <v>4</v>
      </c>
      <c r="C3960" s="10" t="s">
        <v>9</v>
      </c>
      <c r="D3960" s="6" t="s">
        <v>3542</v>
      </c>
      <c r="E3960" s="1" t="str">
        <f ca="1">IFERROR(__xludf.DUMMYFUNCTION("GOOGLETRANSLATE(D3960, ""bn"", ""en"")"),"Riot-affected and destitute Hindus migrated to various parts of Tripura, Assam and West Bengal which fell within India. Over 50,000 refugees were temporarily sheltered in Guwahati, the capital of Assam alone.")</f>
        <v>Riot-affected and destitute Hindus migrated to various parts of Tripura, Assam and West Bengal which fell within India. Over 50,000 refugees were temporarily sheltered in Guwahati, the capital of Assam alone.</v>
      </c>
      <c r="F3960" s="1"/>
      <c r="G3960" s="1"/>
      <c r="H3960" s="1"/>
      <c r="I3960" s="1"/>
    </row>
    <row r="3961" spans="1:9" ht="31.2" x14ac:dyDescent="0.3">
      <c r="A3961" s="1" t="s">
        <v>4</v>
      </c>
      <c r="B3961" s="1" t="s">
        <v>4</v>
      </c>
      <c r="C3961" s="10" t="s">
        <v>4</v>
      </c>
      <c r="D3961" s="6" t="s">
        <v>3541</v>
      </c>
      <c r="E3961" s="1" t="str">
        <f ca="1">IFERROR(__xludf.DUMMYFUNCTION("GOOGLETRANSLATE(D3961, ""bn"", ""en"")"),"After the expulsion of the Buddhists from the Indian subcontinent, the outsider Aryas i.e. the Brahmins were able to dominate the original inhabitants of India, but the presence of the Muslim rulers as an invincible power became the main obstacle to their"&amp;" dreams.")</f>
        <v>After the expulsion of the Buddhists from the Indian subcontinent, the outsider Aryas i.e. the Brahmins were able to dominate the original inhabitants of India, but the presence of the Muslim rulers as an invincible power became the main obstacle to their dreams.</v>
      </c>
      <c r="F3961" s="1"/>
      <c r="G3961" s="1"/>
      <c r="H3961" s="1"/>
      <c r="I3961" s="1"/>
    </row>
    <row r="3962" spans="1:9" ht="31.2" x14ac:dyDescent="0.3">
      <c r="A3962" s="1" t="s">
        <v>5</v>
      </c>
      <c r="B3962" s="1" t="s">
        <v>9</v>
      </c>
      <c r="C3962" s="10" t="s">
        <v>9</v>
      </c>
      <c r="D3962" s="6" t="s">
        <v>3540</v>
      </c>
      <c r="E3962" s="1" t="str">
        <f ca="1">IFERROR(__xludf.DUMMYFUNCTION("GOOGLETRANSLATE(D3962, ""bn"", ""en"")"),"If a bad person has done these things, should they accept breaking the temples of other religions, breaking the idols of their gods and goddesses? All the violence seen here is one-sided, and this violence is being done in the name of religion, for the sa"&amp;"ke of religious sentiments.")</f>
        <v>If a bad person has done these things, should they accept breaking the temples of other religions, breaking the idols of their gods and goddesses? All the violence seen here is one-sided, and this violence is being done in the name of religion, for the sake of religious sentiments.</v>
      </c>
      <c r="F3962" s="1"/>
      <c r="G3962" s="1"/>
      <c r="H3962" s="1"/>
      <c r="I3962" s="1"/>
    </row>
    <row r="3963" spans="1:9" ht="46.8" x14ac:dyDescent="0.3">
      <c r="A3963" s="1" t="s">
        <v>9</v>
      </c>
      <c r="B3963" s="1" t="s">
        <v>5</v>
      </c>
      <c r="C3963" s="10" t="s">
        <v>9</v>
      </c>
      <c r="D3963" s="6" t="s">
        <v>3539</v>
      </c>
      <c r="E3963" s="1" t="str">
        <f ca="1">IFERROR(__xludf.DUMMYFUNCTION("GOOGLETRANSLATE(D3963, ""bn"", ""en"")"),"On the eve of the golden jubilee of independence and Mujib's birth centenary, we are shocked and outraged by this barbaric attack on the religious minority Hindu community in Noagaon village. On that day, the houses of 88 Hindu families, eight temples and"&amp;" furniture were vandalized, looted and women were molested. The mosque's mike incites the attack.")</f>
        <v>On the eve of the golden jubilee of independence and Mujib's birth centenary, we are shocked and outraged by this barbaric attack on the religious minority Hindu community in Noagaon village. On that day, the houses of 88 Hindu families, eight temples and furniture were vandalized, looted and women were molested. The mosque's mike incites the attack.</v>
      </c>
      <c r="F3963" s="1"/>
      <c r="G3963" s="1"/>
      <c r="H3963" s="1"/>
      <c r="I3963" s="1"/>
    </row>
    <row r="3964" spans="1:9" ht="31.2" x14ac:dyDescent="0.3">
      <c r="A3964" s="1" t="s">
        <v>4</v>
      </c>
      <c r="B3964" s="1" t="s">
        <v>4</v>
      </c>
      <c r="C3964" s="10" t="s">
        <v>4</v>
      </c>
      <c r="D3964" s="6" t="s">
        <v>3538</v>
      </c>
      <c r="E3964" s="1" t="str">
        <f ca="1">IFERROR(__xludf.DUMMYFUNCTION("GOOGLETRANSLATE(D3964, ""bn"", ""en"")"),"Similar concerns have been expressed about religious persecution of Hindus and other minorities in Bangladesh. Dr. Abul Barkat, a famous Bangladeshi economist and a famous research report said that there will be no Hindus in Bangladesh in 30 years.")</f>
        <v>Similar concerns have been expressed about religious persecution of Hindus and other minorities in Bangladesh. Dr. Abul Barkat, a famous Bangladeshi economist and a famous research report said that there will be no Hindus in Bangladesh in 30 years.</v>
      </c>
      <c r="F3964" s="1"/>
      <c r="G3964" s="1"/>
      <c r="H3964" s="1"/>
      <c r="I3964" s="1"/>
    </row>
    <row r="3965" spans="1:9" ht="46.8" x14ac:dyDescent="0.3">
      <c r="A3965" s="1" t="s">
        <v>9</v>
      </c>
      <c r="B3965" s="1" t="s">
        <v>9</v>
      </c>
      <c r="C3965" s="10" t="s">
        <v>9</v>
      </c>
      <c r="D3965" s="6" t="s">
        <v>3537</v>
      </c>
      <c r="E3965" s="1" t="str">
        <f ca="1">IFERROR(__xludf.DUMMYFUNCTION("GOOGLETRANSLATE(D3965, ""bn"", ""en"")"),"Looting, killing, raping and arson continued until evening, after which they left with looted property and kidnapped women. Christian churches were vandalized and looted. Roads, gorges and rivers were littered with corpses. More than 300 corpses were foun"&amp;"d in a Hindu's betel nut garden.")</f>
        <v>Looting, killing, raping and arson continued until evening, after which they left with looted property and kidnapped women. Christian churches were vandalized and looted. Roads, gorges and rivers were littered with corpses. More than 300 corpses were found in a Hindu's betel nut garden.</v>
      </c>
      <c r="F3965" s="1"/>
      <c r="G3965" s="1"/>
      <c r="H3965" s="1"/>
      <c r="I3965" s="1"/>
    </row>
    <row r="3966" spans="1:9" ht="46.8" x14ac:dyDescent="0.3">
      <c r="A3966" s="1" t="s">
        <v>9</v>
      </c>
      <c r="B3966" s="1" t="s">
        <v>5</v>
      </c>
      <c r="C3966" s="10" t="s">
        <v>9</v>
      </c>
      <c r="D3966" s="6" t="s">
        <v>3536</v>
      </c>
      <c r="E3966" s="1" t="str">
        <f ca="1">IFERROR(__xludf.DUMMYFUNCTION("GOOGLETRANSLATE(D3966, ""bn"", ""en"")"),"The police arrested two camp activists named Abdullah Al Mamun (23) and Omar Farooq Tonet (24) who took part in the violence in Pirganj on the night of October 24. Although these two people live in Sadulyapur of Gaibandha district, on the night of the inc"&amp;"ident, they came to Pirganj from Sadulyapur on a motorcycle with petrol and took part in the attack.")</f>
        <v>The police arrested two camp activists named Abdullah Al Mamun (23) and Omar Farooq Tonet (24) who took part in the violence in Pirganj on the night of October 24. Although these two people live in Sadulyapur of Gaibandha district, on the night of the incident, they came to Pirganj from Sadulyapur on a motorcycle with petrol and took part in the attack.</v>
      </c>
      <c r="F3966" s="1"/>
      <c r="G3966" s="1"/>
      <c r="H3966" s="1"/>
      <c r="I3966" s="1"/>
    </row>
    <row r="3967" spans="1:9" ht="46.8" x14ac:dyDescent="0.3">
      <c r="A3967" s="1" t="s">
        <v>9</v>
      </c>
      <c r="B3967" s="1" t="s">
        <v>4</v>
      </c>
      <c r="C3967" s="10" t="s">
        <v>9</v>
      </c>
      <c r="D3967" s="6" t="s">
        <v>3535</v>
      </c>
      <c r="E3967" s="1" t="str">
        <f ca="1">IFERROR(__xludf.DUMMYFUNCTION("GOOGLETRANSLATE(D3967, ""bn"", ""en"")"),"On the eighth day of Durga Puja on Wednesday, October 13th, the news of keeping the holy book of Islam on the knees of a Hanuman statue at the Uttarpar Pujamandap of Nanuar Dighi in Comilla city, Bangladesh spread quickly on social media Facebook. Based o"&amp;"n this news, the worship hall was attacked on charges of insulting religion.")</f>
        <v>On the eighth day of Durga Puja on Wednesday, October 13th, the news of keeping the holy book of Islam on the knees of a Hanuman statue at the Uttarpar Pujamandap of Nanuar Dighi in Comilla city, Bangladesh spread quickly on social media Facebook. Based on this news, the worship hall was attacked on charges of insulting religion.</v>
      </c>
      <c r="F3967" s="1"/>
      <c r="G3967" s="1"/>
      <c r="H3967" s="1"/>
      <c r="I3967" s="1"/>
    </row>
    <row r="3968" spans="1:9" ht="15.6" x14ac:dyDescent="0.3">
      <c r="A3968" s="1" t="s">
        <v>5</v>
      </c>
      <c r="B3968" s="1" t="s">
        <v>5</v>
      </c>
      <c r="C3968" s="10" t="s">
        <v>5</v>
      </c>
      <c r="D3968" s="5" t="s">
        <v>3462</v>
      </c>
      <c r="E3968" s="1" t="str">
        <f ca="1">IFERROR(__xludf.DUMMYFUNCTION("GOOGLETRANSLATE(D3968, ""bn"", ""en"")"),"Followers of Jainism believe that their every good deed and attitude of non-violence is important for their spiritual progress.")</f>
        <v>Followers of Jainism believe that their every good deed and attitude of non-violence is important for their spiritual progress.</v>
      </c>
      <c r="F3968" s="1"/>
      <c r="G3968" s="1"/>
      <c r="H3968" s="1"/>
      <c r="I3968" s="1"/>
    </row>
    <row r="3969" spans="1:9" ht="15.6" x14ac:dyDescent="0.3">
      <c r="A3969" s="1" t="s">
        <v>5</v>
      </c>
      <c r="B3969" s="1" t="s">
        <v>5</v>
      </c>
      <c r="C3969" s="10" t="s">
        <v>5</v>
      </c>
      <c r="D3969" s="5" t="s">
        <v>3463</v>
      </c>
      <c r="E3969" s="1" t="str">
        <f ca="1">IFERROR(__xludf.DUMMYFUNCTION("GOOGLETRANSLATE(D3969, ""bn"", ""en"")"),"On 21 April, NAP leader Chittaranjan Ghosh, his elder brother Jagdish Chandra Ghosh and other influential figures from the Hindu community took refuge in his house.[1] Some of them began training to fight against the Pakistanis.")</f>
        <v>On 21 April, NAP leader Chittaranjan Ghosh, his elder brother Jagdish Chandra Ghosh and other influential figures from the Hindu community took refuge in his house.[1] Some of them began training to fight against the Pakistanis.</v>
      </c>
      <c r="F3969" s="1"/>
      <c r="G3969" s="1"/>
      <c r="H3969" s="1"/>
      <c r="I3969" s="1"/>
    </row>
    <row r="3970" spans="1:9" ht="15.6" x14ac:dyDescent="0.3">
      <c r="A3970" s="1" t="s">
        <v>7</v>
      </c>
      <c r="B3970" s="1" t="s">
        <v>7</v>
      </c>
      <c r="C3970" s="10" t="s">
        <v>7</v>
      </c>
      <c r="D3970" s="5" t="s">
        <v>3464</v>
      </c>
      <c r="E3970" s="1" t="str">
        <f ca="1">IFERROR(__xludf.DUMMYFUNCTION("GOOGLETRANSLATE(D3970, ""bn"", ""en"")"),"40 tribals were killed in Pachari in 1986, Longudu in 1989 and 13,000 fled to India as refugees.[30]")</f>
        <v>40 tribals were killed in Pachari in 1986, Longudu in 1989 and 13,000 fled to India as refugees.[30]</v>
      </c>
      <c r="F3970" s="1"/>
      <c r="G3970" s="1"/>
      <c r="H3970" s="1"/>
      <c r="I3970" s="1"/>
    </row>
    <row r="3971" spans="1:9" ht="15.6" x14ac:dyDescent="0.3">
      <c r="A3971" s="1" t="s">
        <v>4</v>
      </c>
      <c r="B3971" s="1" t="s">
        <v>4</v>
      </c>
      <c r="C3971" s="10" t="s">
        <v>4</v>
      </c>
      <c r="D3971" s="5" t="s">
        <v>3465</v>
      </c>
      <c r="E3971" s="1" t="str">
        <f ca="1">IFERROR(__xludf.DUMMYFUNCTION("GOOGLETRANSLATE(D3971, ""bn"", ""en"")"),"My classmate was religious at first and became an atheist after going to university. A little has changed since then. Now recite the prayer again. But secular Muslims.")</f>
        <v>My classmate was religious at first and became an atheist after going to university. A little has changed since then. Now recite the prayer again. But secular Muslims.</v>
      </c>
      <c r="F3971" s="1"/>
      <c r="G3971" s="1"/>
      <c r="H3971" s="1"/>
      <c r="I3971" s="1"/>
    </row>
    <row r="3972" spans="1:9" ht="15.6" x14ac:dyDescent="0.3">
      <c r="A3972" s="1" t="s">
        <v>5</v>
      </c>
      <c r="B3972" s="1" t="s">
        <v>5</v>
      </c>
      <c r="C3972" s="10" t="s">
        <v>5</v>
      </c>
      <c r="D3972" s="5" t="s">
        <v>3466</v>
      </c>
      <c r="E3972" s="1" t="str">
        <f ca="1">IFERROR(__xludf.DUMMYFUNCTION("GOOGLETRANSLATE(D3972, ""bn"", ""en"")"),"Bollywood king Shah Rukh Khan offered Zaira his new movie but Zaira did not accept it. Masha Allah Zaira's faith was so strong! ")</f>
        <v xml:space="preserve">Bollywood king Shah Rukh Khan offered Zaira his new movie but Zaira did not accept it. Masha Allah Zaira's faith was so strong! </v>
      </c>
      <c r="F3972" s="1"/>
      <c r="G3972" s="1"/>
      <c r="H3972" s="1"/>
      <c r="I3972" s="1"/>
    </row>
    <row r="3973" spans="1:9" ht="15.6" x14ac:dyDescent="0.3">
      <c r="A3973" s="1" t="s">
        <v>7</v>
      </c>
      <c r="B3973" s="1" t="s">
        <v>7</v>
      </c>
      <c r="C3973" s="10" t="s">
        <v>7</v>
      </c>
      <c r="D3973" s="5" t="s">
        <v>3467</v>
      </c>
      <c r="E3973" s="1" t="str">
        <f ca="1">IFERROR(__xludf.DUMMYFUNCTION("GOOGLETRANSLATE(D3973, ""bn"", ""en"")"),"On 11 October 2008, a 75-year-old woman, Lalmati Verma, jumped on the funeral pyre of her 80-year-old husband at Chechar in Kasdol block, Raipur district, Chhattisgarh; Verma committed suicide after mourners left the crematorium.")</f>
        <v>On 11 October 2008, a 75-year-old woman, Lalmati Verma, jumped on the funeral pyre of her 80-year-old husband at Chechar in Kasdol block, Raipur district, Chhattisgarh; Verma committed suicide after mourners left the crematorium.</v>
      </c>
      <c r="F3973" s="1"/>
      <c r="G3973" s="1"/>
      <c r="H3973" s="1"/>
      <c r="I3973" s="1"/>
    </row>
    <row r="3974" spans="1:9" ht="15.6" x14ac:dyDescent="0.3">
      <c r="A3974" s="1" t="s">
        <v>7</v>
      </c>
      <c r="B3974" s="1" t="s">
        <v>7</v>
      </c>
      <c r="C3974" s="10" t="s">
        <v>7</v>
      </c>
      <c r="D3974" s="5" t="s">
        <v>3468</v>
      </c>
      <c r="E3974" s="1" t="str">
        <f ca="1">IFERROR(__xludf.DUMMYFUNCTION("GOOGLETRANSLATE(D3974, ""bn"", ""en"")"),"Insulting the Prophet: 'Secular' France uproar over cartoon teacher's beheading")</f>
        <v>Insulting the Prophet: 'Secular' France uproar over cartoon teacher's beheading</v>
      </c>
      <c r="F3974" s="1"/>
      <c r="G3974" s="1"/>
      <c r="H3974" s="1"/>
      <c r="I3974" s="1"/>
    </row>
    <row r="3975" spans="1:9" ht="15.6" x14ac:dyDescent="0.3">
      <c r="A3975" s="1" t="s">
        <v>4</v>
      </c>
      <c r="B3975" s="1" t="s">
        <v>4</v>
      </c>
      <c r="C3975" s="10" t="s">
        <v>4</v>
      </c>
      <c r="D3975" s="5" t="s">
        <v>3469</v>
      </c>
      <c r="E3975" s="1" t="str">
        <f ca="1">IFERROR(__xludf.DUMMYFUNCTION("GOOGLETRANSLATE(D3975, ""bn"", ""en"")"),"It is clear from the post who are the fanatical religious people Anurag never plays religion card, sympathy card like Munawar")</f>
        <v>It is clear from the post who are the fanatical religious people Anurag never plays religion card, sympathy card like Munawar</v>
      </c>
      <c r="F3975" s="1"/>
      <c r="G3975" s="1"/>
      <c r="H3975" s="1"/>
      <c r="I3975" s="1"/>
    </row>
    <row r="3976" spans="1:9" ht="15.6" x14ac:dyDescent="0.3">
      <c r="A3976" s="1" t="s">
        <v>9</v>
      </c>
      <c r="B3976" s="1" t="s">
        <v>9</v>
      </c>
      <c r="C3976" s="10" t="s">
        <v>9</v>
      </c>
      <c r="D3976" s="5" t="s">
        <v>3470</v>
      </c>
      <c r="E3976" s="1" t="str">
        <f ca="1">IFERROR(__xludf.DUMMYFUNCTION("GOOGLETRANSLATE(D3976, ""bn"", ""en"")"),"Representatives of the political party BNP went to the village and blamed the Awami League for the incident and offered financial assistance to the distressed families. [17] Protests and human tying programs were organized by Bangladesh Puja Udyapan Paris"&amp;"had and Hindu Buddhist Christian Oikya Parishad.[")</f>
        <v>Representatives of the political party BNP went to the village and blamed the Awami League for the incident and offered financial assistance to the distressed families. [17] Protests and human tying programs were organized by Bangladesh Puja Udyapan Parishad and Hindu Buddhist Christian Oikya Parishad.[</v>
      </c>
      <c r="F3976" s="1"/>
      <c r="G3976" s="1"/>
      <c r="H3976" s="1"/>
      <c r="I3976" s="1"/>
    </row>
    <row r="3977" spans="1:9" ht="15.6" x14ac:dyDescent="0.3">
      <c r="A3977" s="1" t="s">
        <v>4</v>
      </c>
      <c r="B3977" s="1" t="s">
        <v>4</v>
      </c>
      <c r="C3977" s="10" t="s">
        <v>4</v>
      </c>
      <c r="D3977" s="5" t="s">
        <v>3471</v>
      </c>
      <c r="E3977" s="1" t="str">
        <f ca="1">IFERROR(__xludf.DUMMYFUNCTION("GOOGLETRANSLATE(D3977, ""bn"", ""en"")"),"A just and logical response or affirmative action must be made. It could also be beneficial for India, raising the awareness of its leaders. India's ruling BJP, other political parties and civil society must understand that it is not possible to establish"&amp;" a peaceful, stable and humane India by cornering Muslims or insulting their Prophet.")</f>
        <v>A just and logical response or affirmative action must be made. It could also be beneficial for India, raising the awareness of its leaders. India's ruling BJP, other political parties and civil society must understand that it is not possible to establish a peaceful, stable and humane India by cornering Muslims or insulting their Prophet.</v>
      </c>
      <c r="F3977" s="1"/>
      <c r="G3977" s="1"/>
      <c r="H3977" s="1"/>
      <c r="I3977" s="1"/>
    </row>
    <row r="3978" spans="1:9" ht="15.6" x14ac:dyDescent="0.3">
      <c r="A3978" s="1" t="s">
        <v>7</v>
      </c>
      <c r="B3978" s="1" t="s">
        <v>7</v>
      </c>
      <c r="C3978" s="10" t="s">
        <v>7</v>
      </c>
      <c r="D3978" s="5" t="s">
        <v>3472</v>
      </c>
      <c r="E3978" s="1" t="str">
        <f ca="1">IFERROR(__xludf.DUMMYFUNCTION("GOOGLETRANSLATE(D3978, ""bn"", ""en"")"),"The period from the beginning of this life after death to the time of resurrection is called Barakh. Suicide, or murder, is a highly abhorred and forbidden act in Islam and is considered a sin or a major crime.")</f>
        <v>The period from the beginning of this life after death to the time of resurrection is called Barakh. Suicide, or murder, is a highly abhorred and forbidden act in Islam and is considered a sin or a major crime.</v>
      </c>
      <c r="F3978" s="1"/>
      <c r="G3978" s="1"/>
      <c r="H3978" s="1"/>
      <c r="I3978" s="1"/>
    </row>
    <row r="3979" spans="1:9" ht="15.6" x14ac:dyDescent="0.3">
      <c r="A3979" s="1" t="s">
        <v>5</v>
      </c>
      <c r="B3979" s="1" t="s">
        <v>5</v>
      </c>
      <c r="C3979" s="10" t="s">
        <v>5</v>
      </c>
      <c r="D3979" s="5" t="s">
        <v>3473</v>
      </c>
      <c r="E3979" s="1" t="str">
        <f ca="1">IFERROR(__xludf.DUMMYFUNCTION("GOOGLETRANSLATE(D3979, ""bn"", ""en"")"),"As long as Jaka Bhai is there, Hindus, Muslims, Buddhists, Christians, and those living in this parliamentary seat will not be allowed to have communal trouble in any way. ")</f>
        <v xml:space="preserve">As long as Jaka Bhai is there, Hindus, Muslims, Buddhists, Christians, and those living in this parliamentary seat will not be allowed to have communal trouble in any way. </v>
      </c>
      <c r="F3979" s="1"/>
      <c r="G3979" s="1"/>
      <c r="H3979" s="1"/>
      <c r="I3979" s="1"/>
    </row>
    <row r="3980" spans="1:9" ht="15.6" x14ac:dyDescent="0.3">
      <c r="A3980" s="1" t="s">
        <v>7</v>
      </c>
      <c r="B3980" s="1" t="s">
        <v>7</v>
      </c>
      <c r="C3980" s="10" t="s">
        <v>7</v>
      </c>
      <c r="D3980" s="5" t="s">
        <v>3474</v>
      </c>
      <c r="E3980" s="1" t="str">
        <f ca="1">IFERROR(__xludf.DUMMYFUNCTION("GOOGLETRANSLATE(D3980, ""bn"", ""en"")"),"A converted Christian doctor was slaughtered by Islamic militants in Jamalpur")</f>
        <v>A converted Christian doctor was slaughtered by Islamic militants in Jamalpur</v>
      </c>
      <c r="F3980" s="1"/>
      <c r="G3980" s="1"/>
      <c r="H3980" s="1"/>
      <c r="I3980" s="1"/>
    </row>
    <row r="3981" spans="1:9" ht="15.6" x14ac:dyDescent="0.3">
      <c r="A3981" s="1" t="s">
        <v>9</v>
      </c>
      <c r="B3981" s="1" t="s">
        <v>9</v>
      </c>
      <c r="C3981" s="10" t="s">
        <v>9</v>
      </c>
      <c r="D3981" s="5" t="s">
        <v>3475</v>
      </c>
      <c r="E3981" s="1" t="str">
        <f ca="1">IFERROR(__xludf.DUMMYFUNCTION("GOOGLETRANSLATE(D3981, ""bn"", ""en"")"),"Nazrul said the reason for our decline, is it not correct? In the words of the poet, ""While the world is moving forward, we are still sitting and looking for the Fatwa of Bibi Talaq, plowing Fiqh and Hadith.""")</f>
        <v>Nazrul said the reason for our decline, is it not correct? In the words of the poet, "While the world is moving forward, we are still sitting and looking for the Fatwa of Bibi Talaq, plowing Fiqh and Hadith."</v>
      </c>
      <c r="F3981" s="1"/>
      <c r="G3981" s="1"/>
      <c r="H3981" s="1"/>
      <c r="I3981" s="1"/>
    </row>
    <row r="3982" spans="1:9" ht="15.6" x14ac:dyDescent="0.3">
      <c r="A3982" s="1" t="s">
        <v>4</v>
      </c>
      <c r="B3982" s="1" t="s">
        <v>5</v>
      </c>
      <c r="C3982" s="10" t="s">
        <v>4</v>
      </c>
      <c r="D3982" s="5" t="s">
        <v>3476</v>
      </c>
      <c r="E3982" s="1" t="str">
        <f ca="1">IFERROR(__xludf.DUMMYFUNCTION("GOOGLETRANSLATE(D3982, ""bn"", ""en"")"),". But it is unreasonable in the eyes of your civilized people to blame the whole nation for some incidents. So why do Hudai double standards betting!!")</f>
        <v>. But it is unreasonable in the eyes of your civilized people to blame the whole nation for some incidents. So why do Hudai double standards betting!!</v>
      </c>
      <c r="F3982" s="1"/>
      <c r="G3982" s="1"/>
      <c r="H3982" s="1"/>
      <c r="I3982" s="1"/>
    </row>
    <row r="3983" spans="1:9" ht="31.2" x14ac:dyDescent="0.3">
      <c r="A3983" s="1" t="s">
        <v>9</v>
      </c>
      <c r="B3983" s="1" t="s">
        <v>9</v>
      </c>
      <c r="C3983" s="10" t="s">
        <v>9</v>
      </c>
      <c r="D3983" s="6" t="s">
        <v>3534</v>
      </c>
      <c r="E3983" s="1" t="str">
        <f ca="1">IFERROR(__xludf.DUMMYFUNCTION("GOOGLETRANSLATE(D3983, ""bn"", ""en"")"),"In a public meeting, Abdul Jabbar Engineer declared that freedom fighters, Awami League workers and Hindus were enemies of Pakistan and had to be destroyed. Soon after the rally, mobs attacked Kalupara and Nathpara of Hindu Mohalla of Tushkhali village.")</f>
        <v>In a public meeting, Abdul Jabbar Engineer declared that freedom fighters, Awami League workers and Hindus were enemies of Pakistan and had to be destroyed. Soon after the rally, mobs attacked Kalupara and Nathpara of Hindu Mohalla of Tushkhali village.</v>
      </c>
      <c r="F3983" s="1"/>
      <c r="G3983" s="1"/>
      <c r="H3983" s="1"/>
      <c r="I3983" s="1"/>
    </row>
    <row r="3984" spans="1:9" ht="15.6" x14ac:dyDescent="0.3">
      <c r="A3984" s="1" t="s">
        <v>4</v>
      </c>
      <c r="B3984" s="1" t="s">
        <v>4</v>
      </c>
      <c r="C3984" s="10" t="s">
        <v>4</v>
      </c>
      <c r="D3984" s="5" t="s">
        <v>3477</v>
      </c>
      <c r="E3984" s="1" t="str">
        <f ca="1">IFERROR(__xludf.DUMMYFUNCTION("GOOGLETRANSLATE(D3984, ""bn"", ""en"")"),"Al-Quran is the only holy and accurate book of the world and the light guide of mankind, which can never be burnt and extinguished. Surely Allah gives concessions but does not give up. ""Allah is Great""")</f>
        <v>Al-Quran is the only holy and accurate book of the world and the light guide of mankind, which can never be burnt and extinguished. Surely Allah gives concessions but does not give up. "Allah is Great"</v>
      </c>
      <c r="F3984" s="1"/>
      <c r="G3984" s="1"/>
      <c r="H3984" s="1"/>
      <c r="I3984" s="1"/>
    </row>
    <row r="3985" spans="1:9" ht="46.8" x14ac:dyDescent="0.3">
      <c r="A3985" s="1" t="s">
        <v>4</v>
      </c>
      <c r="B3985" s="1" t="s">
        <v>4</v>
      </c>
      <c r="C3985" s="10" t="s">
        <v>4</v>
      </c>
      <c r="D3985" s="6" t="s">
        <v>3533</v>
      </c>
      <c r="E3985" s="1" t="str">
        <f ca="1">IFERROR(__xludf.DUMMYFUNCTION("GOOGLETRANSLATE(D3985, ""bn"", ""en"")"),"If you want to live in India, Hindus and Muslims should live together. Nationalist Muslims never have dirty minded thoughts like yours. This is not written anywhere in the Holy Qur'an. You hypocrite Muslims are defiling Islam by talking dirty thoughts abo"&amp;"ut Islam.")</f>
        <v>If you want to live in India, Hindus and Muslims should live together. Nationalist Muslims never have dirty minded thoughts like yours. This is not written anywhere in the Holy Qur'an. You hypocrite Muslims are defiling Islam by talking dirty thoughts about Islam.</v>
      </c>
      <c r="F3985" s="1"/>
      <c r="G3985" s="1"/>
      <c r="H3985" s="1"/>
      <c r="I3985" s="1"/>
    </row>
    <row r="3986" spans="1:9" ht="15.6" x14ac:dyDescent="0.3">
      <c r="A3986" s="1" t="s">
        <v>5</v>
      </c>
      <c r="B3986" s="1" t="s">
        <v>4</v>
      </c>
      <c r="C3986" s="10" t="s">
        <v>5</v>
      </c>
      <c r="D3986" s="5" t="s">
        <v>3478</v>
      </c>
      <c r="E3986" s="1" t="str">
        <f ca="1">IFERROR(__xludf.DUMMYFUNCTION("GOOGLETRANSLATE(D3986, ""bn"", ""en"")"),"Dalit lower castes from among the marginalized masses – who were earlier attracted to Buddhism's anti-caste message – also began to return to Sanatan religion due to changing geopolitical reasons.")</f>
        <v>Dalit lower castes from among the marginalized masses – who were earlier attracted to Buddhism's anti-caste message – also began to return to Sanatan religion due to changing geopolitical reasons.</v>
      </c>
      <c r="F3986" s="1"/>
      <c r="G3986" s="1"/>
      <c r="H3986" s="1"/>
      <c r="I3986" s="1"/>
    </row>
    <row r="3987" spans="1:9" ht="46.8" x14ac:dyDescent="0.3">
      <c r="A3987" s="1" t="s">
        <v>7</v>
      </c>
      <c r="B3987" s="1" t="s">
        <v>7</v>
      </c>
      <c r="C3987" s="10" t="s">
        <v>7</v>
      </c>
      <c r="D3987" s="6" t="s">
        <v>3532</v>
      </c>
      <c r="E3987" s="1" t="str">
        <f ca="1">IFERROR(__xludf.DUMMYFUNCTION("GOOGLETRANSLATE(D3987, ""bn"", ""en"")"),"And death is also strange! It is wrong to say death, voluntary death, death by starvation. And that is not suicide at all, when the need in the world runs out, everyone should leave like this, it cannot be called suicide, he wrote an article about this, y"&amp;"ou will find that article in the second volume of Vikram Sampat's book.")</f>
        <v>And death is also strange! It is wrong to say death, voluntary death, death by starvation. And that is not suicide at all, when the need in the world runs out, everyone should leave like this, it cannot be called suicide, he wrote an article about this, you will find that article in the second volume of Vikram Sampat's book.</v>
      </c>
      <c r="F3987" s="1"/>
      <c r="G3987" s="1"/>
      <c r="H3987" s="1"/>
      <c r="I3987" s="1"/>
    </row>
    <row r="3988" spans="1:9" ht="15.6" x14ac:dyDescent="0.3">
      <c r="A3988" s="1" t="s">
        <v>9</v>
      </c>
      <c r="B3988" s="1" t="s">
        <v>9</v>
      </c>
      <c r="C3988" s="10" t="s">
        <v>9</v>
      </c>
      <c r="D3988" s="5" t="s">
        <v>3479</v>
      </c>
      <c r="E3988" s="1" t="str">
        <f ca="1">IFERROR(__xludf.DUMMYFUNCTION("GOOGLETRANSLATE(D3988, ""bn"", ""en"")"),"In 2022, they attacked Qawali evening. This time, the dean of the Faculty of Arts mourned the chairman of the Arabic department for reciting the Quran in Battala!")</f>
        <v>In 2022, they attacked Qawali evening. This time, the dean of the Faculty of Arts mourned the chairman of the Arabic department for reciting the Quran in Battala!</v>
      </c>
      <c r="F3988" s="1"/>
      <c r="G3988" s="1"/>
      <c r="H3988" s="1"/>
      <c r="I3988" s="1"/>
    </row>
    <row r="3989" spans="1:9" ht="46.8" x14ac:dyDescent="0.3">
      <c r="A3989" s="1" t="s">
        <v>9</v>
      </c>
      <c r="B3989" s="1" t="s">
        <v>9</v>
      </c>
      <c r="C3989" s="10" t="s">
        <v>9</v>
      </c>
      <c r="D3989" s="6" t="s">
        <v>3531</v>
      </c>
      <c r="E3989" s="1" t="str">
        <f ca="1">IFERROR(__xludf.DUMMYFUNCTION("GOOGLETRANSLATE(D3989, ""bn"", ""en"")"),"The mosque was built on the orders of the Mughal emperor Babur by commander Mir Baki in 1528–29 (935 AH) on a temple structure[3]. It was demolished in 1992 by Hindu nationalist mobs. which ignited communal violence throughout the Indian subcontinent.")</f>
        <v>The mosque was built on the orders of the Mughal emperor Babur by commander Mir Baki in 1528–29 (935 AH) on a temple structure[3]. It was demolished in 1992 by Hindu nationalist mobs. which ignited communal violence throughout the Indian subcontinent.</v>
      </c>
      <c r="F3989" s="1"/>
      <c r="G3989" s="1"/>
      <c r="H3989" s="1"/>
      <c r="I3989" s="1"/>
    </row>
    <row r="3990" spans="1:9" ht="15.6" x14ac:dyDescent="0.3">
      <c r="A3990" s="1" t="s">
        <v>9</v>
      </c>
      <c r="B3990" s="1" t="s">
        <v>7</v>
      </c>
      <c r="C3990" s="10" t="s">
        <v>9</v>
      </c>
      <c r="D3990" s="5" t="s">
        <v>1340</v>
      </c>
      <c r="E3990" s="1" t="str">
        <f ca="1">IFERROR(__xludf.DUMMYFUNCTION("GOOGLETRANSLATE(D3990, ""bn"", ""en"")"),"Since 2008 till date there has been continuous communal violence in Bangladesh, property of Hindus has been encroached upon. And all this was done by the leaders of Awami League.")</f>
        <v>Since 2008 till date there has been continuous communal violence in Bangladesh, property of Hindus has been encroached upon. And all this was done by the leaders of Awami League.</v>
      </c>
      <c r="F3990" s="1"/>
      <c r="G3990" s="1"/>
      <c r="H3990" s="1"/>
      <c r="I3990" s="1"/>
    </row>
    <row r="3991" spans="1:9" ht="31.2" x14ac:dyDescent="0.3">
      <c r="A3991" s="1" t="s">
        <v>9</v>
      </c>
      <c r="B3991" s="1" t="s">
        <v>9</v>
      </c>
      <c r="C3991" s="10" t="s">
        <v>9</v>
      </c>
      <c r="D3991" s="6" t="s">
        <v>3530</v>
      </c>
      <c r="E3991" s="1" t="str">
        <f ca="1">IFERROR(__xludf.DUMMYFUNCTION("GOOGLETRANSLATE(D3991, ""bn"", ""en"")"),"Often on the way the goods brought by the Hindus from the market were looted by the Muslims. They forcefully take coconuts and betel nuts from the coconut and betel nut plantations of the Hindus. Cattle and birds were looted from the houses of the Hindu c"&amp;"ommunity. ")</f>
        <v>Often on the way the goods brought by the Hindus from the market were looted by the Muslims. They forcefully take coconuts and betel nuts from the coconut and betel nut plantations of the Hindus. Cattle and birds were looted from the houses of the Hindu community. </v>
      </c>
      <c r="F3991" s="1"/>
      <c r="G3991" s="1"/>
      <c r="H3991" s="1"/>
      <c r="I3991" s="1"/>
    </row>
    <row r="3992" spans="1:9" ht="31.2" x14ac:dyDescent="0.3">
      <c r="A3992" s="1" t="s">
        <v>7</v>
      </c>
      <c r="B3992" s="1" t="s">
        <v>7</v>
      </c>
      <c r="C3992" s="10" t="s">
        <v>7</v>
      </c>
      <c r="D3992" s="6" t="s">
        <v>3529</v>
      </c>
      <c r="E3992" s="1" t="str">
        <f ca="1">IFERROR(__xludf.DUMMYFUNCTION("GOOGLETRANSLATE(D3992, ""bn"", ""en"")"),"On March 22, 1962, riots broke out between Santals and Muslims in Malda district of West Bengal. The Santals shot dead three Muslims and set six others on fire.")</f>
        <v>On March 22, 1962, riots broke out between Santals and Muslims in Malda district of West Bengal. The Santals shot dead three Muslims and set six others on fire.</v>
      </c>
      <c r="F3992" s="1"/>
      <c r="G3992" s="1"/>
      <c r="H3992" s="1"/>
      <c r="I3992" s="1"/>
    </row>
    <row r="3993" spans="1:9" ht="15.6" x14ac:dyDescent="0.3">
      <c r="A3993" s="1" t="s">
        <v>7</v>
      </c>
      <c r="B3993" s="1" t="s">
        <v>7</v>
      </c>
      <c r="C3993" s="10" t="s">
        <v>7</v>
      </c>
      <c r="D3993" s="5" t="s">
        <v>3480</v>
      </c>
      <c r="E3993" s="1" t="str">
        <f ca="1">IFERROR(__xludf.DUMMYFUNCTION("GOOGLETRANSLATE(D3993, ""bn"", ""en"")"),"A second attack took place at the Linwood Islamic Center, located about 5 kilometers (3.1 mi) from the Al Noor Mosque.[17][18] Seven people were also killed there.")</f>
        <v>A second attack took place at the Linwood Islamic Center, located about 5 kilometers (3.1 mi) from the Al Noor Mosque.[17][18] Seven people were also killed there.</v>
      </c>
      <c r="F3993" s="1"/>
      <c r="G3993" s="1"/>
      <c r="H3993" s="1"/>
      <c r="I3993" s="1"/>
    </row>
    <row r="3994" spans="1:9" ht="15.6" x14ac:dyDescent="0.3">
      <c r="A3994" s="1" t="s">
        <v>4</v>
      </c>
      <c r="B3994" s="1" t="s">
        <v>4</v>
      </c>
      <c r="C3994" s="10" t="s">
        <v>4</v>
      </c>
      <c r="D3994" s="5" t="s">
        <v>3481</v>
      </c>
      <c r="E3994" s="1" t="str">
        <f ca="1">IFERROR(__xludf.DUMMYFUNCTION("GOOGLETRANSLATE(D3994, ""bn"", ""en"")"),"They are all the work of foreign cliques with some domestic spoons in them. Iftar party has been stopped this year, so that next year Hindus will not be able to perform puja. ")</f>
        <v>They are all the work of foreign cliques with some domestic spoons in them. Iftar party has been stopped this year, so that next year Hindus will not be able to perform puja. </v>
      </c>
      <c r="F3994" s="1"/>
      <c r="G3994" s="1"/>
      <c r="H3994" s="1"/>
      <c r="I3994" s="1"/>
    </row>
    <row r="3995" spans="1:9" ht="15.6" x14ac:dyDescent="0.3">
      <c r="A3995" s="1" t="s">
        <v>5</v>
      </c>
      <c r="B3995" s="1" t="s">
        <v>5</v>
      </c>
      <c r="C3995" s="10" t="s">
        <v>5</v>
      </c>
      <c r="D3995" s="5" t="s">
        <v>3482</v>
      </c>
      <c r="E3995" s="1" t="str">
        <f ca="1">IFERROR(__xludf.DUMMYFUNCTION("GOOGLETRANSLATE(D3995, ""bn"", ""en"")"),"It is said in different Indian media that more than three hundred angry Dalits of two villages of Gir Somnath district of Gujarat renounced Hinduism and took initiation into Buddhism on Sunday.")</f>
        <v>It is said in different Indian media that more than three hundred angry Dalits of two villages of Gir Somnath district of Gujarat renounced Hinduism and took initiation into Buddhism on Sunday.</v>
      </c>
      <c r="F3995" s="1"/>
      <c r="G3995" s="1"/>
      <c r="H3995" s="1"/>
      <c r="I3995" s="1"/>
    </row>
    <row r="3996" spans="1:9" ht="15.6" x14ac:dyDescent="0.3">
      <c r="A3996" s="1" t="s">
        <v>7</v>
      </c>
      <c r="B3996" s="1" t="s">
        <v>7</v>
      </c>
      <c r="C3996" s="10" t="s">
        <v>7</v>
      </c>
      <c r="D3996" s="5" t="s">
        <v>3483</v>
      </c>
      <c r="E3996" s="1" t="str">
        <f ca="1">IFERROR(__xludf.DUMMYFUNCTION("GOOGLETRANSLATE(D3996, ""bn"", ""en"")")," Three Muslim students were shot dead in their home in Chapel Hill in what was widely described as a religious hate crime.")</f>
        <v xml:space="preserve"> Three Muslim students were shot dead in their home in Chapel Hill in what was widely described as a religious hate crime.</v>
      </c>
      <c r="F3996" s="1"/>
      <c r="G3996" s="1"/>
      <c r="H3996" s="1"/>
      <c r="I3996" s="1"/>
    </row>
    <row r="3997" spans="1:9" ht="46.8" x14ac:dyDescent="0.3">
      <c r="A3997" s="4" t="s">
        <v>7</v>
      </c>
      <c r="B3997" s="4" t="s">
        <v>7</v>
      </c>
      <c r="C3997" s="11" t="s">
        <v>7</v>
      </c>
      <c r="D3997" s="6" t="s">
        <v>3528</v>
      </c>
      <c r="E3997" s="1" t="str">
        <f ca="1">IFERROR(__xludf.DUMMYFUNCTION("GOOGLETRANSLATE(D3997, ""bn"", ""en"")"),"A senior government official, who spoke on condition of anonymity, said he personally dumped 200 corpses from forests and fires after loading them onto tractors during the communal riots, and reported that the death toll was more than 500, depending on th"&amp;"e intensity and speed of the killings.")</f>
        <v>A senior government official, who spoke on condition of anonymity, said he personally dumped 200 corpses from forests and fires after loading them onto tractors during the communal riots, and reported that the death toll was more than 500, depending on the intensity and speed of the killings.</v>
      </c>
      <c r="F3997" s="1"/>
      <c r="G3997" s="1"/>
      <c r="H3997" s="1"/>
      <c r="I3997" s="1"/>
    </row>
    <row r="3998" spans="1:9" ht="15.6" x14ac:dyDescent="0.3">
      <c r="A3998" s="1" t="s">
        <v>7</v>
      </c>
      <c r="B3998" s="1" t="s">
        <v>7</v>
      </c>
      <c r="C3998" s="10" t="s">
        <v>7</v>
      </c>
      <c r="D3998" s="5" t="s">
        <v>3484</v>
      </c>
      <c r="E3998" s="1" t="str">
        <f ca="1">IFERROR(__xludf.DUMMYFUNCTION("GOOGLETRANSLATE(D3998, ""bn"", ""en"")"),"During the Spanish Inquisition, many Jews and Muslims were killed for not changing their religious beliefs, a brutal example of the lack of tolerance.")</f>
        <v>During the Spanish Inquisition, many Jews and Muslims were killed for not changing their religious beliefs, a brutal example of the lack of tolerance.</v>
      </c>
      <c r="F3998" s="1"/>
      <c r="G3998" s="1"/>
      <c r="H3998" s="1"/>
      <c r="I3998" s="1"/>
    </row>
    <row r="3999" spans="1:9" ht="15.6" x14ac:dyDescent="0.3">
      <c r="A3999" s="1" t="s">
        <v>5</v>
      </c>
      <c r="B3999" s="1" t="s">
        <v>5</v>
      </c>
      <c r="C3999" s="10" t="s">
        <v>5</v>
      </c>
      <c r="D3999" s="5" t="s">
        <v>3485</v>
      </c>
      <c r="E3999" s="1" t="str">
        <f ca="1">IFERROR(__xludf.DUMMYFUNCTION("GOOGLETRANSLATE(D3999, ""bn"", ""en"")"),"Present-day Arabic-speaking Christians have no other suitable word to refer to God other than Allah. ")</f>
        <v>Present-day Arabic-speaking Christians have no other suitable word to refer to God other than Allah. </v>
      </c>
      <c r="F3999" s="1"/>
      <c r="G3999" s="1"/>
      <c r="H3999" s="1"/>
      <c r="I3999" s="1"/>
    </row>
    <row r="4000" spans="1:9" ht="15.6" x14ac:dyDescent="0.3">
      <c r="A4000" s="1" t="s">
        <v>7</v>
      </c>
      <c r="B4000" s="1" t="s">
        <v>7</v>
      </c>
      <c r="C4000" s="10" t="s">
        <v>7</v>
      </c>
      <c r="D4000" s="5" t="s">
        <v>3486</v>
      </c>
      <c r="E4000" s="1" t="str">
        <f ca="1">IFERROR(__xludf.DUMMYFUNCTION("GOOGLETRANSLATE(D4000, ""bn"", ""en"")"),"Four of the dead are from Karnataka, one from Assam. One is from Gujarat. He said that 36 people are undergoing treatment at the local medical college. Many of the rest were taken by their relatives. ")</f>
        <v>Four of the dead are from Karnataka, one from Assam. One is from Gujarat. He said that 36 people are undergoing treatment at the local medical college. Many of the rest were taken by their relatives. </v>
      </c>
      <c r="F4000" s="1"/>
      <c r="G4000" s="1"/>
      <c r="H4000" s="1"/>
      <c r="I4000" s="1"/>
    </row>
    <row r="4001" spans="1:9" ht="46.8" x14ac:dyDescent="0.3">
      <c r="A4001" s="1" t="s">
        <v>4</v>
      </c>
      <c r="B4001" s="1" t="s">
        <v>4</v>
      </c>
      <c r="C4001" s="10" t="s">
        <v>4</v>
      </c>
      <c r="D4001" s="6" t="s">
        <v>3526</v>
      </c>
      <c r="E4001" s="1" t="str">
        <f ca="1">IFERROR(__xludf.DUMMYFUNCTION("GOOGLETRANSLATE(D4001, ""bn"", ""en"")"),"O assailant, tomorrow you will shout to everyone that ""You are a Muslim. The Malauns are plotting against you!"" You will soon see that this nation will take the shield and sword and cut the Hindu community. On your behalf, they will give a status on Fac"&amp;"ebook again by writing Hadith.")</f>
        <v>O assailant, tomorrow you will shout to everyone that "You are a Muslim. The Malauns are plotting against you!" You will soon see that this nation will take the shield and sword and cut the Hindu community. On your behalf, they will give a status on Facebook again by writing Hadith.</v>
      </c>
      <c r="F4001" s="1"/>
      <c r="G4001" s="1"/>
      <c r="H4001" s="1"/>
      <c r="I4001" s="1"/>
    </row>
    <row r="4002" spans="1:9" ht="31.2" x14ac:dyDescent="0.3">
      <c r="A4002" s="1" t="s">
        <v>9</v>
      </c>
      <c r="B4002" s="1" t="s">
        <v>9</v>
      </c>
      <c r="C4002" s="10" t="s">
        <v>9</v>
      </c>
      <c r="D4002" s="6" t="s">
        <v>3527</v>
      </c>
      <c r="E4002" s="1" t="str">
        <f ca="1">IFERROR(__xludf.DUMMYFUNCTION("GOOGLETRANSLATE(D4002, ""bn"", ""en"")"),"About 4,500 innocent Hindus took shelter in the refugee camp set up by Feni Government College in the relentless massacre that continued till 23 February. Another 2,500 Hindus took refuge in various shelters in Noakhali district fearing for their lives.")</f>
        <v>About 4,500 innocent Hindus took shelter in the refugee camp set up by Feni Government College in the relentless massacre that continued till 23 February. Another 2,500 Hindus took refuge in various shelters in Noakhali district fearing for their lives.</v>
      </c>
      <c r="F4002" s="1"/>
      <c r="G4002" s="1"/>
      <c r="H4002" s="1"/>
      <c r="I4002" s="1"/>
    </row>
    <row r="4003" spans="1:9" ht="15.6" x14ac:dyDescent="0.3">
      <c r="A4003" s="1" t="s">
        <v>5</v>
      </c>
      <c r="B4003" s="1" t="s">
        <v>5</v>
      </c>
      <c r="C4003" s="10" t="s">
        <v>5</v>
      </c>
      <c r="D4003" s="5" t="s">
        <v>3487</v>
      </c>
      <c r="E4003" s="1" t="str">
        <f ca="1">IFERROR(__xludf.DUMMYFUNCTION("GOOGLETRANSLATE(D4003, ""bn"", ""en"")"),"Islam acquired its characteristic ethos as a religion that combined both the spiritual and temporal aspects of life and sought to regulate not only the individual's relationship with God (through conscience) but also the relationship of man in the social "&amp;"environment.")</f>
        <v>Islam acquired its characteristic ethos as a religion that combined both the spiritual and temporal aspects of life and sought to regulate not only the individual's relationship with God (through conscience) but also the relationship of man in the social environment.</v>
      </c>
      <c r="F4003" s="1"/>
      <c r="G4003" s="1"/>
      <c r="H4003" s="1"/>
      <c r="I4003" s="1"/>
    </row>
    <row r="4004" spans="1:9" ht="15.6" x14ac:dyDescent="0.3">
      <c r="A4004" s="1" t="s">
        <v>5</v>
      </c>
      <c r="B4004" s="1" t="s">
        <v>5</v>
      </c>
      <c r="C4004" s="10" t="s">
        <v>5</v>
      </c>
      <c r="D4004" s="5" t="s">
        <v>3488</v>
      </c>
      <c r="E4004" s="1" t="str">
        <f ca="1">IFERROR(__xludf.DUMMYFUNCTION("GOOGLETRANSLATE(D4004, ""bn"", ""en"")"),"Not only Türkiye should protest, Saudi Arabia, Kuwait, Bahrain, UAE, Qatar all Muslim countries should strongly protest, all Muslim countries should be united.")</f>
        <v>Not only Türkiye should protest, Saudi Arabia, Kuwait, Bahrain, UAE, Qatar all Muslim countries should strongly protest, all Muslim countries should be united.</v>
      </c>
      <c r="F4004" s="1"/>
      <c r="G4004" s="1"/>
      <c r="H4004" s="1"/>
      <c r="I4004" s="1"/>
    </row>
  </sheetData>
  <hyperlinks>
    <hyperlink ref="D370" r:id="rId1" xr:uid="{00000000-0004-0000-0000-000000000000}"/>
    <hyperlink ref="D398" r:id="rId2" location="cite_note-5" xr:uid="{00000000-0004-0000-0000-000001000000}"/>
    <hyperlink ref="D414" r:id="rId3" xr:uid="{00000000-0004-0000-0000-000002000000}"/>
    <hyperlink ref="D737" r:id="rId4" xr:uid="{00000000-0004-0000-0000-000003000000}"/>
    <hyperlink ref="D812" r:id="rId5" location="cite_note-18" xr:uid="{00000000-0004-0000-0000-000004000000}"/>
    <hyperlink ref="D1025" r:id="rId6" xr:uid="{00000000-0004-0000-0000-000005000000}"/>
    <hyperlink ref="D1460" r:id="rId7" xr:uid="{00000000-0004-0000-0000-000006000000}"/>
    <hyperlink ref="D1825" r:id="rId8" xr:uid="{00000000-0004-0000-0000-000007000000}"/>
    <hyperlink ref="D2128" r:id="rId9" xr:uid="{00000000-0004-0000-0000-000008000000}"/>
    <hyperlink ref="D2483" r:id="rId10" xr:uid="{00000000-0004-0000-0000-000009000000}"/>
    <hyperlink ref="D2549" r:id="rId11" xr:uid="{00000000-0004-0000-0000-00000A000000}"/>
    <hyperlink ref="D2593" r:id="rId12" location="cite_note-bbc-44" xr:uid="{00000000-0004-0000-0000-00000B000000}"/>
    <hyperlink ref="D2860" r:id="rId13" location="cite_note-12" xr:uid="{00000000-0004-0000-0000-00000C000000}"/>
    <hyperlink ref="D3301" r:id="rId14" location="cite_note-47" xr:uid="{00000000-0004-0000-0000-00000D000000}"/>
    <hyperlink ref="D3743" r:id="rId15" location="cite_note-8" xr:uid="{00000000-0004-0000-0000-00000E000000}"/>
    <hyperlink ref="D3941" r:id="rId16" xr:uid="{00000000-0004-0000-0000-00000F000000}"/>
    <hyperlink ref="D3951" r:id="rId17" xr:uid="{00000000-0004-0000-0000-000010000000}"/>
  </hyperlinks>
  <pageMargins left="0.75" right="0.75" top="1" bottom="1" header="0" footer="0"/>
  <pageSetup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2025-05-08T19:32:35Z</dcterms:modified>
</cp:coreProperties>
</file>