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/>
  <mc:AlternateContent xmlns:mc="http://schemas.openxmlformats.org/markup-compatibility/2006">
    <mc:Choice Requires="x15">
      <x15ac:absPath xmlns:x15ac="http://schemas.microsoft.com/office/spreadsheetml/2010/11/ac" url="/Users/josephperfetti/Percipient Dropbox/Joseph Perfetti/BFA 2023/07 ROIC and Free Cash Flow/Cases/"/>
    </mc:Choice>
  </mc:AlternateContent>
  <xr:revisionPtr revIDLastSave="0" documentId="8_{467042E1-F351-43E2-953B-0E24FBC7341F}" xr6:coauthVersionLast="47" xr6:coauthVersionMax="47" xr10:uidLastSave="{00000000-0000-0000-0000-000000000000}"/>
  <bookViews>
    <workbookView xWindow="2400" yWindow="620" windowWidth="25600" windowHeight="14960" firstSheet="1" activeTab="1" xr2:uid="{00000000-000D-0000-FFFF-FFFF00000000}"/>
  </bookViews>
  <sheets>
    <sheet name="Data" sheetId="5" r:id="rId1"/>
    <sheet name="ROIC and FCF" sheetId="4" r:id="rId2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4" l="1"/>
  <c r="M11" i="4"/>
  <c r="N11" i="4"/>
  <c r="O11" i="4"/>
  <c r="K11" i="4"/>
  <c r="L27" i="4"/>
  <c r="M27" i="4"/>
  <c r="N27" i="4"/>
  <c r="O27" i="4"/>
  <c r="K27" i="4"/>
  <c r="L26" i="4"/>
  <c r="M26" i="4"/>
  <c r="N26" i="4"/>
  <c r="O26" i="4"/>
  <c r="K26" i="4"/>
  <c r="L25" i="4"/>
  <c r="M25" i="4"/>
  <c r="N25" i="4"/>
  <c r="O25" i="4"/>
  <c r="K25" i="4"/>
  <c r="L7" i="4"/>
  <c r="M7" i="4"/>
  <c r="N7" i="4"/>
  <c r="O7" i="4"/>
  <c r="K7" i="4"/>
  <c r="K20" i="4"/>
  <c r="L19" i="4"/>
  <c r="M19" i="4"/>
  <c r="N19" i="4"/>
  <c r="O19" i="4"/>
  <c r="K19" i="4"/>
  <c r="L18" i="4"/>
  <c r="M18" i="4"/>
  <c r="N18" i="4"/>
  <c r="O18" i="4"/>
  <c r="K18" i="4"/>
  <c r="L16" i="4"/>
  <c r="M16" i="4"/>
  <c r="N16" i="4"/>
  <c r="O16" i="4"/>
  <c r="K16" i="4"/>
  <c r="L15" i="4"/>
  <c r="M15" i="4"/>
  <c r="N15" i="4"/>
  <c r="O15" i="4"/>
  <c r="K15" i="4"/>
  <c r="L10" i="4"/>
  <c r="D19" i="4" s="1"/>
  <c r="M10" i="4"/>
  <c r="E19" i="4" s="1"/>
  <c r="N10" i="4"/>
  <c r="F19" i="4" s="1"/>
  <c r="O10" i="4"/>
  <c r="G19" i="4" s="1"/>
  <c r="K10" i="4"/>
  <c r="C19" i="4" s="1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8" i="4"/>
  <c r="L8" i="4"/>
  <c r="M8" i="4"/>
  <c r="N8" i="4"/>
  <c r="O8" i="4"/>
  <c r="K9" i="4"/>
  <c r="L9" i="4"/>
  <c r="M9" i="4"/>
  <c r="N9" i="4"/>
  <c r="O9" i="4"/>
  <c r="D42" i="4"/>
  <c r="E42" i="4"/>
  <c r="F42" i="4"/>
  <c r="G42" i="4"/>
  <c r="C42" i="4"/>
  <c r="E35" i="4"/>
  <c r="F35" i="4"/>
  <c r="G35" i="4"/>
  <c r="D35" i="4"/>
  <c r="D31" i="4"/>
  <c r="E31" i="4"/>
  <c r="F31" i="4"/>
  <c r="G31" i="4"/>
  <c r="C31" i="4"/>
  <c r="D30" i="4"/>
  <c r="E30" i="4"/>
  <c r="F30" i="4"/>
  <c r="G30" i="4"/>
  <c r="C30" i="4"/>
  <c r="D29" i="4"/>
  <c r="D32" i="4" s="1"/>
  <c r="E29" i="4"/>
  <c r="E32" i="4" s="1"/>
  <c r="F29" i="4"/>
  <c r="F32" i="4" s="1"/>
  <c r="G29" i="4"/>
  <c r="G32" i="4" s="1"/>
  <c r="C29" i="4"/>
  <c r="C32" i="4" s="1"/>
  <c r="D24" i="4"/>
  <c r="E24" i="4"/>
  <c r="F24" i="4"/>
  <c r="G24" i="4"/>
  <c r="C24" i="4"/>
  <c r="D13" i="4"/>
  <c r="E13" i="4"/>
  <c r="F13" i="4"/>
  <c r="G13" i="4"/>
  <c r="C13" i="4"/>
  <c r="D8" i="4"/>
  <c r="E8" i="4"/>
  <c r="F8" i="4"/>
  <c r="G8" i="4"/>
  <c r="C8" i="4"/>
  <c r="D7" i="4"/>
  <c r="E7" i="4"/>
  <c r="F7" i="4"/>
  <c r="G7" i="4"/>
  <c r="C7" i="4"/>
  <c r="C10" i="4" s="1"/>
  <c r="C14" i="4" s="1"/>
  <c r="D3" i="4"/>
  <c r="E3" i="4"/>
  <c r="F3" i="4"/>
  <c r="G3" i="4"/>
  <c r="C3" i="4"/>
  <c r="D2" i="4"/>
  <c r="E2" i="4"/>
  <c r="F2" i="4"/>
  <c r="G2" i="4"/>
  <c r="C2" i="4"/>
  <c r="E4" i="5"/>
  <c r="F1" i="4" s="1"/>
  <c r="F12" i="4" s="1"/>
  <c r="F22" i="4" s="1"/>
  <c r="G1" i="4"/>
  <c r="G12" i="4" s="1"/>
  <c r="G22" i="4" s="1"/>
  <c r="G34" i="4" l="1"/>
  <c r="G36" i="4" s="1"/>
  <c r="F34" i="4"/>
  <c r="F36" i="4" s="1"/>
  <c r="E34" i="4"/>
  <c r="E36" i="4" s="1"/>
  <c r="D34" i="4"/>
  <c r="D36" i="4" s="1"/>
  <c r="F4" i="4"/>
  <c r="F16" i="4" s="1"/>
  <c r="G4" i="4"/>
  <c r="G16" i="4" s="1"/>
  <c r="D4" i="5"/>
  <c r="C4" i="5" s="1"/>
  <c r="B4" i="5" s="1"/>
  <c r="F10" i="4"/>
  <c r="F14" i="4" s="1"/>
  <c r="F15" i="4" s="1"/>
  <c r="G10" i="4"/>
  <c r="G14" i="4" s="1"/>
  <c r="G15" i="4" s="1"/>
  <c r="G6" i="4"/>
  <c r="G28" i="4"/>
  <c r="F28" i="4"/>
  <c r="F6" i="4"/>
  <c r="E10" i="4"/>
  <c r="E14" i="4" s="1"/>
  <c r="G18" i="4" l="1"/>
  <c r="O6" i="4" s="1"/>
  <c r="F18" i="4"/>
  <c r="N6" i="4" s="1"/>
  <c r="F23" i="4"/>
  <c r="F25" i="4" s="1"/>
  <c r="N17" i="4" s="1"/>
  <c r="E1" i="4"/>
  <c r="E12" i="4" s="1"/>
  <c r="E22" i="4" s="1"/>
  <c r="G23" i="4"/>
  <c r="G25" i="4" s="1"/>
  <c r="E4" i="4"/>
  <c r="E16" i="4" s="1"/>
  <c r="E15" i="4"/>
  <c r="E6" i="4"/>
  <c r="E28" i="4"/>
  <c r="D1" i="4"/>
  <c r="D12" i="4" s="1"/>
  <c r="C1" i="4"/>
  <c r="C12" i="4" s="1"/>
  <c r="C6" i="4" s="1"/>
  <c r="D6" i="4" l="1"/>
  <c r="D22" i="4"/>
  <c r="C22" i="4" s="1"/>
  <c r="G40" i="4"/>
  <c r="O20" i="4" s="1"/>
  <c r="O17" i="4"/>
  <c r="G38" i="4"/>
  <c r="D4" i="4"/>
  <c r="D16" i="4" s="1"/>
  <c r="E23" i="4"/>
  <c r="E25" i="4" s="1"/>
  <c r="E18" i="4"/>
  <c r="M6" i="4" s="1"/>
  <c r="C4" i="4"/>
  <c r="C16" i="4" s="1"/>
  <c r="C15" i="4"/>
  <c r="C18" i="4" s="1"/>
  <c r="K6" i="4" s="1"/>
  <c r="D10" i="4"/>
  <c r="D14" i="4" s="1"/>
  <c r="D15" i="4" s="1"/>
  <c r="D23" i="4" s="1"/>
  <c r="D25" i="4" s="1"/>
  <c r="D40" i="4" l="1"/>
  <c r="L20" i="4" s="1"/>
  <c r="L17" i="4"/>
  <c r="E38" i="4"/>
  <c r="M17" i="4"/>
  <c r="F38" i="4"/>
  <c r="F40" i="4"/>
  <c r="N20" i="4" s="1"/>
  <c r="E40" i="4"/>
  <c r="M20" i="4" s="1"/>
  <c r="C23" i="4"/>
  <c r="C25" i="4" s="1"/>
  <c r="K17" i="4" s="1"/>
  <c r="D38" i="4"/>
  <c r="C28" i="4"/>
  <c r="D28" i="4"/>
  <c r="D18" i="4"/>
  <c r="L6" i="4" s="1"/>
</calcChain>
</file>

<file path=xl/sharedStrings.xml><?xml version="1.0" encoding="utf-8"?>
<sst xmlns="http://schemas.openxmlformats.org/spreadsheetml/2006/main" count="100" uniqueCount="76">
  <si>
    <t>Merck Data</t>
  </si>
  <si>
    <t>In Millions of USD except Per Share</t>
  </si>
  <si>
    <t>Revenue</t>
  </si>
  <si>
    <t>Cost of Goods &amp; Services Sold</t>
  </si>
  <si>
    <t>Gross Profit</t>
  </si>
  <si>
    <t>Gross Margin</t>
  </si>
  <si>
    <t>Selling, General and Administrative Expense</t>
  </si>
  <si>
    <t>SG&amp;A as Percentage Total Sales</t>
  </si>
  <si>
    <t>EBITDA</t>
  </si>
  <si>
    <t>Depreciation &amp; Amortization</t>
  </si>
  <si>
    <t>EBIT</t>
  </si>
  <si>
    <t>Pre-Tax Income</t>
  </si>
  <si>
    <t>Interest Expense</t>
  </si>
  <si>
    <t>Income Tax Expense (Benefit)</t>
  </si>
  <si>
    <t>Net Income/Net Profit (Losses)</t>
  </si>
  <si>
    <t>Profit Margin</t>
  </si>
  <si>
    <t>Cash and Cash Equivalents</t>
  </si>
  <si>
    <t>Accounts Receivable (A/R)</t>
  </si>
  <si>
    <t>Inventory</t>
  </si>
  <si>
    <t>Property Plant &amp; Equipment Net</t>
  </si>
  <si>
    <t>Accounts Payable</t>
  </si>
  <si>
    <t>Total Current Liabilities</t>
  </si>
  <si>
    <t>Total Short and Long Term Debt</t>
  </si>
  <si>
    <t>Total Liabilities</t>
  </si>
  <si>
    <t>Total Current Assets</t>
  </si>
  <si>
    <t>Total Assets</t>
  </si>
  <si>
    <t>Total Equity</t>
  </si>
  <si>
    <t>Weighted Average Cost of Capital (WACC) %</t>
  </si>
  <si>
    <t>Capital Expenditures</t>
  </si>
  <si>
    <t>Dividends Paid</t>
  </si>
  <si>
    <t>Formulas</t>
  </si>
  <si>
    <t>Financial Ratio Analysis (2018–2022)</t>
  </si>
  <si>
    <t>Ratio</t>
  </si>
  <si>
    <t>2018</t>
  </si>
  <si>
    <t>2019</t>
  </si>
  <si>
    <t>2020</t>
  </si>
  <si>
    <t>2021</t>
  </si>
  <si>
    <t>2022</t>
  </si>
  <si>
    <t xml:space="preserve">Ravenue Growth </t>
  </si>
  <si>
    <t>-</t>
  </si>
  <si>
    <t>Invested Capital</t>
  </si>
  <si>
    <t>Total Short Term and Long Term Debt + Equity</t>
  </si>
  <si>
    <t xml:space="preserve">Gross Margin </t>
  </si>
  <si>
    <t>ROIC</t>
  </si>
  <si>
    <t>ROE</t>
  </si>
  <si>
    <t xml:space="preserve">Current Ratio </t>
  </si>
  <si>
    <t>Debt-to-Equity</t>
  </si>
  <si>
    <t>Effective Tax Rate</t>
  </si>
  <si>
    <t>Income Tax Expense (Benefit)/ Pre-Tax Income</t>
  </si>
  <si>
    <t>WACC</t>
  </si>
  <si>
    <t>Operating Cycle Time</t>
  </si>
  <si>
    <t>Cash Generation &amp; Usage (2018–2022)</t>
  </si>
  <si>
    <t>Metric (USD Millions)</t>
  </si>
  <si>
    <t>Net Operating Profit After Tax (NOPAT)</t>
  </si>
  <si>
    <t>EBIT x (1 - Effective Tax Rate)</t>
  </si>
  <si>
    <t>Net Income</t>
  </si>
  <si>
    <t>Gross Cash Flow</t>
  </si>
  <si>
    <t>ROIC %</t>
  </si>
  <si>
    <t>NOPAT / Invested Capital</t>
  </si>
  <si>
    <t>Free Cash Flow (FCF)</t>
  </si>
  <si>
    <t>NOPAT</t>
  </si>
  <si>
    <t>NOPAT + Depreciation &amp; Amortization</t>
  </si>
  <si>
    <t xml:space="preserve">DIO </t>
  </si>
  <si>
    <t>DSO</t>
  </si>
  <si>
    <t>DPO</t>
  </si>
  <si>
    <t>Acounts Receivable (A/R)</t>
  </si>
  <si>
    <t>Working Capital (WC)</t>
  </si>
  <si>
    <t>A/R + Inventory - Payables</t>
  </si>
  <si>
    <t>Investment in Working Capital</t>
  </si>
  <si>
    <t>Current Year WC - Previous Year WC</t>
  </si>
  <si>
    <t>Gross Investrment</t>
  </si>
  <si>
    <t>Investment in WC + Capital Expenditures</t>
  </si>
  <si>
    <t>Reinvestment Rate</t>
  </si>
  <si>
    <t>Gross Investment / Gross Cash Flow</t>
  </si>
  <si>
    <t>Free Cash Flow</t>
  </si>
  <si>
    <t>Gross Cash Flow - Gross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</si>
</sst>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</numFmts>
  <fonts count="25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5"/>
      <color theme="7" tint="0.79998168889431442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3275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1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5" applyNumberFormat="0" applyAlignment="0" applyProtection="0"/>
    <xf numFmtId="0" fontId="15" fillId="7" borderId="8" applyNumberFormat="0" applyAlignment="0" applyProtection="0"/>
    <xf numFmtId="0" fontId="17" fillId="0" borderId="0" applyNumberFormat="0" applyFill="0" applyBorder="0" applyAlignment="0" applyProtection="0"/>
    <xf numFmtId="0" fontId="2" fillId="33" borderId="1">
      <alignment horizontal="right"/>
    </xf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5" applyNumberFormat="0" applyAlignment="0" applyProtection="0"/>
    <xf numFmtId="0" fontId="14" fillId="0" borderId="7" applyNumberFormat="0" applyFill="0" applyAlignment="0" applyProtection="0"/>
    <xf numFmtId="0" fontId="10" fillId="4" borderId="0" applyNumberFormat="0" applyBorder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20" fillId="0" borderId="0" xfId="45"/>
    <xf numFmtId="0" fontId="19" fillId="34" borderId="0" xfId="0" applyFont="1" applyFill="1"/>
    <xf numFmtId="0" fontId="0" fillId="35" borderId="0" xfId="0" applyFill="1"/>
    <xf numFmtId="166" fontId="0" fillId="35" borderId="0" xfId="50" applyNumberFormat="1" applyFont="1" applyFill="1"/>
    <xf numFmtId="0" fontId="0" fillId="36" borderId="0" xfId="0" applyFill="1"/>
    <xf numFmtId="166" fontId="0" fillId="36" borderId="0" xfId="50" applyNumberFormat="1" applyFont="1" applyFill="1"/>
    <xf numFmtId="164" fontId="0" fillId="36" borderId="0" xfId="49" applyNumberFormat="1" applyFont="1" applyFill="1"/>
    <xf numFmtId="164" fontId="0" fillId="35" borderId="0" xfId="49" applyNumberFormat="1" applyFont="1" applyFill="1"/>
    <xf numFmtId="0" fontId="20" fillId="37" borderId="0" xfId="45" applyFill="1"/>
    <xf numFmtId="0" fontId="20" fillId="36" borderId="0" xfId="45" applyFill="1"/>
    <xf numFmtId="0" fontId="20" fillId="35" borderId="0" xfId="45" applyFill="1"/>
    <xf numFmtId="165" fontId="20" fillId="36" borderId="0" xfId="44" applyNumberFormat="1" applyFont="1" applyFill="1"/>
    <xf numFmtId="166" fontId="0" fillId="36" borderId="0" xfId="50" applyNumberFormat="1" applyFont="1" applyFill="1" applyAlignment="1">
      <alignment horizontal="right"/>
    </xf>
    <xf numFmtId="166" fontId="20" fillId="36" borderId="0" xfId="50" applyNumberFormat="1" applyFont="1" applyFill="1"/>
    <xf numFmtId="165" fontId="20" fillId="35" borderId="0" xfId="44" applyNumberFormat="1" applyFont="1" applyFill="1"/>
    <xf numFmtId="165" fontId="20" fillId="35" borderId="0" xfId="45" applyNumberFormat="1" applyFill="1"/>
    <xf numFmtId="165" fontId="0" fillId="35" borderId="0" xfId="47" applyNumberFormat="1" applyFont="1" applyFill="1"/>
    <xf numFmtId="166" fontId="0" fillId="35" borderId="0" xfId="50" applyNumberFormat="1" applyFont="1" applyFill="1" applyAlignment="1">
      <alignment horizontal="right"/>
    </xf>
    <xf numFmtId="166" fontId="20" fillId="35" borderId="0" xfId="45" applyNumberFormat="1" applyFill="1"/>
    <xf numFmtId="166" fontId="20" fillId="35" borderId="0" xfId="50" applyNumberFormat="1" applyFont="1" applyFill="1"/>
    <xf numFmtId="0" fontId="21" fillId="34" borderId="11" xfId="45" applyFont="1" applyFill="1" applyBorder="1"/>
    <xf numFmtId="4" fontId="0" fillId="35" borderId="0" xfId="0" applyNumberFormat="1" applyFill="1"/>
    <xf numFmtId="0" fontId="21" fillId="34" borderId="11" xfId="45" applyFont="1" applyFill="1" applyBorder="1" applyAlignment="1">
      <alignment horizontal="center"/>
    </xf>
    <xf numFmtId="0" fontId="23" fillId="0" borderId="0" xfId="45" applyFont="1" applyBorder="1" applyAlignment="1">
      <alignment horizontal="center"/>
    </xf>
    <xf numFmtId="10" fontId="23" fillId="0" borderId="0" xfId="45" applyNumberFormat="1" applyFont="1" applyBorder="1" applyAlignment="1">
      <alignment horizontal="center"/>
    </xf>
    <xf numFmtId="165" fontId="23" fillId="0" borderId="0" xfId="45" applyNumberFormat="1" applyFont="1" applyBorder="1" applyAlignment="1">
      <alignment horizontal="center"/>
    </xf>
    <xf numFmtId="2" fontId="23" fillId="0" borderId="0" xfId="45" applyNumberFormat="1" applyFont="1" applyBorder="1" applyAlignment="1">
      <alignment horizontal="center"/>
    </xf>
    <xf numFmtId="0" fontId="21" fillId="38" borderId="0" xfId="45" applyFont="1" applyFill="1" applyBorder="1"/>
    <xf numFmtId="0" fontId="21" fillId="34" borderId="13" xfId="45" applyFont="1" applyFill="1" applyBorder="1"/>
    <xf numFmtId="0" fontId="21" fillId="34" borderId="0" xfId="45" applyFont="1" applyFill="1" applyBorder="1"/>
    <xf numFmtId="166" fontId="20" fillId="0" borderId="0" xfId="45" applyNumberFormat="1"/>
    <xf numFmtId="167" fontId="20" fillId="0" borderId="0" xfId="45" applyNumberFormat="1"/>
    <xf numFmtId="0" fontId="24" fillId="34" borderId="11" xfId="45" applyNumberFormat="1" applyFont="1" applyFill="1" applyBorder="1" applyAlignment="1">
      <alignment horizontal="center"/>
    </xf>
    <xf numFmtId="0" fontId="24" fillId="34" borderId="12" xfId="45" applyNumberFormat="1" applyFont="1" applyFill="1" applyBorder="1" applyAlignment="1">
      <alignment horizontal="center"/>
    </xf>
    <xf numFmtId="0" fontId="3" fillId="10" borderId="0" xfId="1"/>
    <xf numFmtId="1" fontId="3" fillId="10" borderId="0" xfId="1" applyNumberFormat="1"/>
    <xf numFmtId="1" fontId="23" fillId="0" borderId="0" xfId="45" applyNumberFormat="1" applyFont="1" applyBorder="1" applyAlignment="1">
      <alignment horizontal="center"/>
    </xf>
    <xf numFmtId="0" fontId="22" fillId="39" borderId="0" xfId="32" applyFont="1" applyFill="1" applyBorder="1" applyAlignment="1">
      <alignment horizontal="center" vertical="center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9" builtinId="3"/>
    <cellStyle name="Comma 2" xfId="46" xr:uid="{00000000-0005-0000-0000-00001D000000}"/>
    <cellStyle name="Currency" xfId="50" builtinId="4"/>
    <cellStyle name="Currency 2" xfId="48" xr:uid="{00000000-0005-0000-0000-00001F000000}"/>
    <cellStyle name="Explanatory Text" xfId="29" builtinId="53" customBuiltin="1"/>
    <cellStyle name="fa_column_header_bottom" xfId="30" xr:uid="{00000000-0005-0000-0000-000021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5" xr:uid="{00000000-0005-0000-0000-00002B000000}"/>
    <cellStyle name="Note" xfId="39" builtinId="10" customBuiltin="1"/>
    <cellStyle name="Output" xfId="40" builtinId="21" customBuiltin="1"/>
    <cellStyle name="Percent" xfId="44" builtinId="5"/>
    <cellStyle name="Percent 2" xfId="47" xr:uid="{00000000-0005-0000-0000-00002F000000}"/>
    <cellStyle name="Title" xfId="41" builtinId="15" customBuiltin="1"/>
    <cellStyle name="Total" xfId="42" builtinId="25" customBuiltin="1"/>
    <cellStyle name="Warning Text" xfId="43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13275B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indexed="64"/>
          <bgColor rgb="FF13275B"/>
        </patternFill>
      </fill>
      <alignment horizontal="center" vertical="bottom" textRotation="0" wrapText="0" indent="0" justifyLastLine="0" shrinkToFit="0" readingOrder="0"/>
    </dxf>
    <dxf>
      <font>
        <b/>
        <sz val="10"/>
      </font>
    </dxf>
    <dxf>
      <font>
        <b/>
        <sz val="10"/>
      </font>
    </dxf>
    <dxf>
      <font>
        <b/>
        <sz val="10"/>
      </font>
    </dxf>
    <dxf>
      <font>
        <b/>
        <sz val="10"/>
      </font>
    </dxf>
    <dxf>
      <font>
        <b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13275B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13275B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27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Growth Over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'ROIC and FCF'!$L$2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'ROIC and FCF'!$J$3:$K$3</c:f>
              <c:multiLvlStrCache>
                <c:ptCount val="1"/>
                <c:lvl>
                  <c:pt idx="0">
                    <c:v>-</c:v>
                  </c:pt>
                </c:lvl>
                <c:lvl>
                  <c:pt idx="0">
                    <c:v>Ravenue Growth </c:v>
                  </c:pt>
                </c:lvl>
              </c:multiLvlStrCache>
            </c:multiLvlStrRef>
          </c:cat>
          <c:val>
            <c:numRef>
              <c:f>'ROIC and FCF'!$L$3</c:f>
              <c:numCache>
                <c:formatCode>0.00%</c:formatCode>
                <c:ptCount val="1"/>
                <c:pt idx="0">
                  <c:v>-7.5022461814914676E-2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5-476A-9923-0A8DCFB5167D}"/>
            </c:ext>
          </c:extLst>
        </c:ser>
        <c:ser>
          <c:idx val="1"/>
          <c:order val="1"/>
          <c:tx>
            <c:strRef>
              <c:f>'ROIC and FCF'!$M$2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'ROIC and FCF'!$J$3:$K$3</c:f>
              <c:multiLvlStrCache>
                <c:ptCount val="1"/>
                <c:lvl>
                  <c:pt idx="0">
                    <c:v>-</c:v>
                  </c:pt>
                </c:lvl>
                <c:lvl>
                  <c:pt idx="0">
                    <c:v>Ravenue Growth </c:v>
                  </c:pt>
                </c:lvl>
              </c:multiLvlStrCache>
            </c:multiLvlStrRef>
          </c:cat>
          <c:val>
            <c:numRef>
              <c:f>'ROIC and FCF'!$M$3</c:f>
              <c:numCache>
                <c:formatCode>0.00%</c:formatCode>
                <c:ptCount val="1"/>
                <c:pt idx="0">
                  <c:v>6.1271439891618318E-2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5-476A-9923-0A8DCFB5167D}"/>
            </c:ext>
          </c:extLst>
        </c:ser>
        <c:ser>
          <c:idx val="2"/>
          <c:order val="2"/>
          <c:tx>
            <c:strRef>
              <c:f>'ROIC and FCF'!$N$2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'ROIC and FCF'!$J$3:$K$3</c:f>
              <c:multiLvlStrCache>
                <c:ptCount val="1"/>
                <c:lvl>
                  <c:pt idx="0">
                    <c:v>-</c:v>
                  </c:pt>
                </c:lvl>
                <c:lvl>
                  <c:pt idx="0">
                    <c:v>Ravenue Growth </c:v>
                  </c:pt>
                </c:lvl>
              </c:multiLvlStrCache>
            </c:multiLvlStrRef>
          </c:cat>
          <c:val>
            <c:numRef>
              <c:f>'ROIC and FCF'!$N$3</c:f>
              <c:numCache>
                <c:formatCode>0.00%</c:formatCode>
                <c:ptCount val="1"/>
                <c:pt idx="0">
                  <c:v>0.17308155498819788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5-476A-9923-0A8DCFB5167D}"/>
            </c:ext>
          </c:extLst>
        </c:ser>
        <c:ser>
          <c:idx val="3"/>
          <c:order val="3"/>
          <c:tx>
            <c:strRef>
              <c:f>'ROIC and FCF'!$O$2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'ROIC and FCF'!$J$3:$K$3</c:f>
              <c:multiLvlStrCache>
                <c:ptCount val="1"/>
                <c:lvl>
                  <c:pt idx="0">
                    <c:v>-</c:v>
                  </c:pt>
                </c:lvl>
                <c:lvl>
                  <c:pt idx="0">
                    <c:v>Ravenue Growth </c:v>
                  </c:pt>
                </c:lvl>
              </c:multiLvlStrCache>
            </c:multiLvlStrRef>
          </c:cat>
          <c:val>
            <c:numRef>
              <c:f>'ROIC and FCF'!$O$3</c:f>
              <c:numCache>
                <c:formatCode>0.00%</c:formatCode>
                <c:ptCount val="1"/>
                <c:pt idx="0">
                  <c:v>0.21721008541392894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95-476A-9923-0A8DCFB5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66600"/>
        <c:axId val="27568648"/>
      </c:barChart>
      <c:catAx>
        <c:axId val="275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648"/>
        <c:crosses val="autoZero"/>
        <c:auto val="1"/>
        <c:lblAlgn val="ctr"/>
        <c:lblOffset val="100"/>
        <c:noMultiLvlLbl val="0"/>
      </c:catAx>
      <c:valAx>
        <c:axId val="275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0</xdr:row>
      <xdr:rowOff>276225</xdr:rowOff>
    </xdr:from>
    <xdr:to>
      <xdr:col>22</xdr:col>
      <xdr:colOff>609600</xdr:colOff>
      <xdr:row>13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79E91-9B90-C2CB-D3D2-68F3A926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2281D-9326-4639-B51D-261B5D2B1B03}" name="Table1" displayName="Table1" ref="J2:O11" totalsRowShown="0" headerRowDxfId="11" dataDxfId="10" tableBorderDxfId="9" headerRowCellStyle="Normal 2">
  <autoFilter ref="J2:O11" xr:uid="{B032281D-9326-4639-B51D-261B5D2B1B03}"/>
  <tableColumns count="6">
    <tableColumn id="1" xr3:uid="{16EC4CA3-F6CB-4D1F-82FC-5B033F18A17C}" name="Ratio" dataDxfId="8" dataCellStyle="Normal 2"/>
    <tableColumn id="2" xr3:uid="{27F071ED-D8EB-4A0C-BDFC-3BE6E0A12C92}" name="2018" dataDxfId="7"/>
    <tableColumn id="3" xr3:uid="{B729693C-B50E-4C0C-9657-573F855C94EF}" name="2019" dataDxfId="6"/>
    <tableColumn id="4" xr3:uid="{E098FF2E-5A3D-4678-B692-9C4B2A6A28AE}" name="2020" dataDxfId="5"/>
    <tableColumn id="5" xr3:uid="{AF430987-FECC-4300-BCF4-C90EA0689C6F}" name="2021" dataDxfId="4"/>
    <tableColumn id="6" xr3:uid="{9CAEFFF6-E272-4685-AC34-2FFAB9D64F62}" name="2022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8F5713-24B6-4103-AB90-A254F37E4DF9}" name="Table2" displayName="Table2" ref="J14:O20" totalsRowShown="0" headerRowDxfId="2" tableBorderDxfId="1" headerRowCellStyle="Normal 2" dataCellStyle="Normal 2">
  <autoFilter ref="J14:O20" xr:uid="{508F5713-24B6-4103-AB90-A254F37E4DF9}"/>
  <tableColumns count="6">
    <tableColumn id="1" xr3:uid="{A3145E9E-C9BA-4876-B38E-3116D0D777C8}" name="Metric (USD Millions)" dataDxfId="0" dataCellStyle="Normal 2"/>
    <tableColumn id="2" xr3:uid="{75E10460-1106-407D-8FF1-30D7CC69885C}" name="2018" dataCellStyle="Normal 2"/>
    <tableColumn id="3" xr3:uid="{E8AA6DA2-32D5-43DA-B1A5-FC6251F0EC4D}" name="2019" dataCellStyle="Normal 2"/>
    <tableColumn id="4" xr3:uid="{8F0E38F4-53FB-49FF-8658-2C2F4C948C2E}" name="2020" dataCellStyle="Normal 2"/>
    <tableColumn id="5" xr3:uid="{53752CF7-CE9A-4930-8932-8E55E12487FC}" name="2021" dataCellStyle="Normal 2"/>
    <tableColumn id="6" xr3:uid="{64316A1A-625D-49DE-A46B-DC6043B333DC}" name="202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zoomScale="150" zoomScaleNormal="150" zoomScalePageLayoutView="150" workbookViewId="0">
      <selection activeCell="F29" sqref="F29"/>
    </sheetView>
  </sheetViews>
  <sheetFormatPr defaultColWidth="8.85546875" defaultRowHeight="15"/>
  <cols>
    <col min="1" max="1" width="35.140625" customWidth="1"/>
    <col min="2" max="6" width="12.28515625" customWidth="1"/>
  </cols>
  <sheetData>
    <row r="2" spans="1:6">
      <c r="A2" t="s">
        <v>0</v>
      </c>
    </row>
    <row r="4" spans="1:6">
      <c r="A4" s="2" t="s">
        <v>1</v>
      </c>
      <c r="B4" s="2">
        <f t="shared" ref="B4:D4" si="0">C4-1</f>
        <v>2018</v>
      </c>
      <c r="C4" s="2">
        <f t="shared" si="0"/>
        <v>2019</v>
      </c>
      <c r="D4" s="2">
        <f t="shared" si="0"/>
        <v>2020</v>
      </c>
      <c r="E4" s="2">
        <f>F4-1</f>
        <v>2021</v>
      </c>
      <c r="F4" s="2">
        <v>2022</v>
      </c>
    </row>
    <row r="5" spans="1:6">
      <c r="A5" s="3" t="s">
        <v>2</v>
      </c>
      <c r="B5" s="4">
        <v>42294</v>
      </c>
      <c r="C5" s="4">
        <v>39121</v>
      </c>
      <c r="D5" s="4">
        <v>41518</v>
      </c>
      <c r="E5" s="4">
        <v>48704</v>
      </c>
      <c r="F5" s="4">
        <v>59283</v>
      </c>
    </row>
    <row r="6" spans="1:6">
      <c r="A6" s="5" t="s">
        <v>3</v>
      </c>
      <c r="B6" s="6">
        <v>13509</v>
      </c>
      <c r="C6" s="6">
        <v>12016</v>
      </c>
      <c r="D6" s="6">
        <v>13618</v>
      </c>
      <c r="E6" s="6">
        <v>13626</v>
      </c>
      <c r="F6" s="6">
        <v>17411</v>
      </c>
    </row>
    <row r="7" spans="1:6">
      <c r="A7" s="3" t="s">
        <v>4</v>
      </c>
      <c r="B7" s="4">
        <v>28785</v>
      </c>
      <c r="C7" s="4">
        <v>27105</v>
      </c>
      <c r="D7" s="4">
        <v>27900</v>
      </c>
      <c r="E7" s="4">
        <v>35078</v>
      </c>
      <c r="F7" s="4">
        <v>41872</v>
      </c>
    </row>
    <row r="8" spans="1:6">
      <c r="A8" s="5" t="s">
        <v>5</v>
      </c>
      <c r="B8" s="7">
        <v>68.059299999999993</v>
      </c>
      <c r="C8" s="7">
        <v>69.284999999999997</v>
      </c>
      <c r="D8" s="7">
        <v>67.199799999999996</v>
      </c>
      <c r="E8" s="7">
        <v>72.022800000000004</v>
      </c>
      <c r="F8" s="7">
        <v>70.630700000000004</v>
      </c>
    </row>
    <row r="9" spans="1:6">
      <c r="A9" s="3" t="s">
        <v>6</v>
      </c>
      <c r="B9" s="4">
        <v>10102</v>
      </c>
      <c r="C9" s="4">
        <v>9455</v>
      </c>
      <c r="D9" s="4">
        <v>8955</v>
      </c>
      <c r="E9" s="4">
        <v>9634</v>
      </c>
      <c r="F9" s="4">
        <v>10042</v>
      </c>
    </row>
    <row r="10" spans="1:6">
      <c r="A10" s="5" t="s">
        <v>7</v>
      </c>
      <c r="B10" s="7">
        <v>23.885200000000001</v>
      </c>
      <c r="C10" s="7">
        <v>24.168600000000001</v>
      </c>
      <c r="D10" s="7">
        <v>21.568999999999999</v>
      </c>
      <c r="E10" s="7">
        <v>19.7807</v>
      </c>
      <c r="F10" s="7">
        <v>16.9391</v>
      </c>
    </row>
    <row r="11" spans="1:6">
      <c r="A11" s="3" t="s">
        <v>8</v>
      </c>
      <c r="B11" s="4">
        <v>12818</v>
      </c>
      <c r="C11" s="4">
        <v>10949</v>
      </c>
      <c r="D11" s="4">
        <v>8805</v>
      </c>
      <c r="E11" s="4">
        <v>16095</v>
      </c>
      <c r="F11" s="4">
        <v>22188</v>
      </c>
    </row>
    <row r="12" spans="1:6">
      <c r="A12" s="5" t="s">
        <v>9</v>
      </c>
      <c r="B12" s="6">
        <v>4519</v>
      </c>
      <c r="C12" s="6">
        <v>3310</v>
      </c>
      <c r="D12" s="6">
        <v>3486</v>
      </c>
      <c r="E12" s="6">
        <v>3214</v>
      </c>
      <c r="F12" s="6">
        <v>3909</v>
      </c>
    </row>
    <row r="13" spans="1:6">
      <c r="A13" s="3" t="s">
        <v>10</v>
      </c>
      <c r="B13" s="4">
        <v>8299</v>
      </c>
      <c r="C13" s="4">
        <v>7300</v>
      </c>
      <c r="D13" s="4">
        <v>4973</v>
      </c>
      <c r="E13" s="4">
        <v>12538</v>
      </c>
      <c r="F13" s="4">
        <v>17945</v>
      </c>
    </row>
    <row r="14" spans="1:6">
      <c r="A14" s="5" t="s">
        <v>11</v>
      </c>
      <c r="B14" s="6">
        <v>8701</v>
      </c>
      <c r="C14" s="6">
        <v>7171</v>
      </c>
      <c r="D14" s="6">
        <v>5863</v>
      </c>
      <c r="E14" s="6">
        <v>13879</v>
      </c>
      <c r="F14" s="6">
        <v>16444</v>
      </c>
    </row>
    <row r="15" spans="1:6">
      <c r="A15" s="3" t="s">
        <v>12</v>
      </c>
      <c r="B15" s="4">
        <v>772</v>
      </c>
      <c r="C15" s="4">
        <v>893</v>
      </c>
      <c r="D15" s="4">
        <v>831</v>
      </c>
      <c r="E15" s="4">
        <v>806</v>
      </c>
      <c r="F15" s="4">
        <v>962</v>
      </c>
    </row>
    <row r="16" spans="1:6">
      <c r="A16" s="5" t="s">
        <v>13</v>
      </c>
      <c r="B16" s="6">
        <v>2508</v>
      </c>
      <c r="C16" s="6">
        <v>1565</v>
      </c>
      <c r="D16" s="6">
        <v>1340</v>
      </c>
      <c r="E16" s="6">
        <v>1521</v>
      </c>
      <c r="F16" s="6">
        <v>1918</v>
      </c>
    </row>
    <row r="17" spans="1:6">
      <c r="A17" s="3" t="s">
        <v>14</v>
      </c>
      <c r="B17" s="3">
        <v>6220</v>
      </c>
      <c r="C17" s="3">
        <v>9843</v>
      </c>
      <c r="D17" s="3">
        <v>7067</v>
      </c>
      <c r="E17" s="22">
        <v>13049</v>
      </c>
      <c r="F17" s="22">
        <v>14519</v>
      </c>
    </row>
    <row r="18" spans="1:6">
      <c r="A18" s="5" t="s">
        <v>15</v>
      </c>
      <c r="B18" s="7">
        <v>14.7066</v>
      </c>
      <c r="C18" s="7">
        <v>25.160399999999999</v>
      </c>
      <c r="D18" s="7">
        <v>17.0215</v>
      </c>
      <c r="E18" s="7">
        <v>26.7925</v>
      </c>
      <c r="F18" s="7">
        <v>24.491</v>
      </c>
    </row>
    <row r="19" spans="1:6">
      <c r="A19" s="3" t="s">
        <v>16</v>
      </c>
      <c r="B19" s="4">
        <v>7965</v>
      </c>
      <c r="C19" s="4">
        <v>9676</v>
      </c>
      <c r="D19" s="4">
        <v>8050</v>
      </c>
      <c r="E19" s="4">
        <v>8096</v>
      </c>
      <c r="F19" s="4">
        <v>12694</v>
      </c>
    </row>
    <row r="20" spans="1:6">
      <c r="A20" s="5" t="s">
        <v>17</v>
      </c>
      <c r="B20" s="6">
        <v>7071</v>
      </c>
      <c r="C20" s="6">
        <v>6778</v>
      </c>
      <c r="D20" s="6">
        <v>6803</v>
      </c>
      <c r="E20" s="6">
        <v>9230</v>
      </c>
      <c r="F20" s="6">
        <v>9450</v>
      </c>
    </row>
    <row r="21" spans="1:6">
      <c r="A21" s="3" t="s">
        <v>18</v>
      </c>
      <c r="B21" s="4">
        <v>5440</v>
      </c>
      <c r="C21" s="4">
        <v>5978</v>
      </c>
      <c r="D21" s="4">
        <v>5554</v>
      </c>
      <c r="E21" s="4">
        <v>5953</v>
      </c>
      <c r="F21" s="4">
        <v>5911</v>
      </c>
    </row>
    <row r="22" spans="1:6">
      <c r="A22" s="5" t="s">
        <v>19</v>
      </c>
      <c r="B22" s="6">
        <v>13291</v>
      </c>
      <c r="C22" s="6">
        <v>16126</v>
      </c>
      <c r="D22" s="6">
        <v>18725</v>
      </c>
      <c r="E22" s="6">
        <v>20865</v>
      </c>
      <c r="F22" s="6">
        <v>22768</v>
      </c>
    </row>
    <row r="23" spans="1:6">
      <c r="A23" s="3" t="s">
        <v>20</v>
      </c>
      <c r="B23" s="4">
        <v>3318</v>
      </c>
      <c r="C23" s="4">
        <v>3738</v>
      </c>
      <c r="D23" s="4">
        <v>4327</v>
      </c>
      <c r="E23" s="4">
        <v>4609</v>
      </c>
      <c r="F23" s="4">
        <v>4264</v>
      </c>
    </row>
    <row r="24" spans="1:6">
      <c r="A24" s="5" t="s">
        <v>21</v>
      </c>
      <c r="B24" s="6">
        <v>22206</v>
      </c>
      <c r="C24" s="6">
        <v>22220</v>
      </c>
      <c r="D24" s="6">
        <v>27327</v>
      </c>
      <c r="E24" s="6">
        <v>23872</v>
      </c>
      <c r="F24" s="6">
        <v>24239</v>
      </c>
    </row>
    <row r="25" spans="1:6">
      <c r="A25" s="3" t="s">
        <v>22</v>
      </c>
      <c r="B25" s="4">
        <v>25114</v>
      </c>
      <c r="C25" s="4">
        <v>27350</v>
      </c>
      <c r="D25" s="4">
        <v>33453</v>
      </c>
      <c r="E25" s="4">
        <v>34631</v>
      </c>
      <c r="F25" s="4">
        <v>31985</v>
      </c>
    </row>
    <row r="26" spans="1:6">
      <c r="A26" s="5" t="s">
        <v>23</v>
      </c>
      <c r="B26" s="6">
        <v>55755</v>
      </c>
      <c r="C26" s="6">
        <v>58396</v>
      </c>
      <c r="D26" s="6">
        <v>66184</v>
      </c>
      <c r="E26" s="6">
        <v>67437</v>
      </c>
      <c r="F26" s="6">
        <v>63102</v>
      </c>
    </row>
    <row r="27" spans="1:6">
      <c r="A27" s="3" t="s">
        <v>24</v>
      </c>
      <c r="B27" s="4">
        <v>25875</v>
      </c>
      <c r="C27" s="4">
        <v>27483</v>
      </c>
      <c r="D27" s="4">
        <v>27764</v>
      </c>
      <c r="E27" s="4">
        <v>30266</v>
      </c>
      <c r="F27" s="4">
        <v>35722</v>
      </c>
    </row>
    <row r="28" spans="1:6">
      <c r="A28" s="5" t="s">
        <v>25</v>
      </c>
      <c r="B28" s="6">
        <v>82637</v>
      </c>
      <c r="C28" s="6">
        <v>84397</v>
      </c>
      <c r="D28" s="6">
        <v>91588</v>
      </c>
      <c r="E28" s="6">
        <v>105694</v>
      </c>
      <c r="F28" s="6">
        <v>109160</v>
      </c>
    </row>
    <row r="29" spans="1:6">
      <c r="A29" s="3" t="s">
        <v>26</v>
      </c>
      <c r="B29" s="4">
        <v>26882</v>
      </c>
      <c r="C29" s="4">
        <v>26001</v>
      </c>
      <c r="D29" s="4">
        <v>25404</v>
      </c>
      <c r="E29" s="4">
        <v>38257</v>
      </c>
      <c r="F29" s="4">
        <v>46058</v>
      </c>
    </row>
    <row r="30" spans="1:6">
      <c r="A30" s="5" t="s">
        <v>16</v>
      </c>
      <c r="B30" s="6">
        <v>7965</v>
      </c>
      <c r="C30" s="6">
        <v>9676</v>
      </c>
      <c r="D30" s="6">
        <v>8050</v>
      </c>
      <c r="E30" s="6">
        <v>8096</v>
      </c>
      <c r="F30" s="6">
        <v>12694</v>
      </c>
    </row>
    <row r="31" spans="1:6">
      <c r="A31" s="3" t="s">
        <v>27</v>
      </c>
      <c r="B31" s="8">
        <v>9.0716999999999999</v>
      </c>
      <c r="C31" s="8">
        <v>6.6547000000000001</v>
      </c>
      <c r="D31" s="8">
        <v>5.2994000000000003</v>
      </c>
      <c r="E31" s="8">
        <v>6.0500999999999996</v>
      </c>
      <c r="F31" s="8">
        <v>5.9101999999999997</v>
      </c>
    </row>
    <row r="32" spans="1:6">
      <c r="A32" s="5" t="s">
        <v>28</v>
      </c>
      <c r="B32" s="6">
        <v>2615</v>
      </c>
      <c r="C32" s="6">
        <v>3369</v>
      </c>
      <c r="D32" s="6">
        <v>4429</v>
      </c>
      <c r="E32" s="6">
        <v>4448</v>
      </c>
      <c r="F32" s="6">
        <v>4388</v>
      </c>
    </row>
    <row r="33" spans="1:6">
      <c r="A33" s="3" t="s">
        <v>29</v>
      </c>
      <c r="B33" s="4">
        <v>5172</v>
      </c>
      <c r="C33" s="4">
        <v>5695</v>
      </c>
      <c r="D33" s="4">
        <v>6215</v>
      </c>
      <c r="E33" s="4">
        <v>6610</v>
      </c>
      <c r="F33" s="4">
        <v>7012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tabSelected="1" topLeftCell="G3" zoomScale="149" zoomScaleNormal="150" zoomScalePageLayoutView="150" workbookViewId="0">
      <selection activeCell="K11" sqref="K11:O11"/>
    </sheetView>
  </sheetViews>
  <sheetFormatPr defaultColWidth="10.85546875" defaultRowHeight="12.75"/>
  <cols>
    <col min="1" max="1" width="35.85546875" style="1" customWidth="1"/>
    <col min="2" max="2" width="44.7109375" style="1" customWidth="1"/>
    <col min="3" max="7" width="12" style="1" customWidth="1"/>
    <col min="8" max="9" width="10.85546875" style="1"/>
    <col min="10" max="10" width="33.5703125" style="1" bestFit="1" customWidth="1"/>
    <col min="11" max="11" width="24.28515625" style="1" bestFit="1" customWidth="1"/>
    <col min="12" max="14" width="11.7109375" style="1" bestFit="1" customWidth="1"/>
    <col min="15" max="15" width="11.140625" style="1" bestFit="1" customWidth="1"/>
    <col min="16" max="16384" width="10.85546875" style="1"/>
  </cols>
  <sheetData>
    <row r="1" spans="1:15" ht="39.75" customHeight="1">
      <c r="B1" s="1" t="s">
        <v>30</v>
      </c>
      <c r="C1" s="21">
        <f>Data!B4</f>
        <v>2018</v>
      </c>
      <c r="D1" s="21">
        <f>Data!C4</f>
        <v>2019</v>
      </c>
      <c r="E1" s="21">
        <f>Data!D4</f>
        <v>2020</v>
      </c>
      <c r="F1" s="21">
        <f>Data!E4</f>
        <v>2021</v>
      </c>
      <c r="G1" s="21">
        <f>Data!F4</f>
        <v>2022</v>
      </c>
      <c r="J1" s="38" t="s">
        <v>31</v>
      </c>
      <c r="K1" s="38"/>
      <c r="L1" s="38"/>
      <c r="M1" s="38"/>
      <c r="N1" s="38"/>
      <c r="O1" s="38"/>
    </row>
    <row r="2" spans="1:15" ht="15">
      <c r="A2" s="9" t="s">
        <v>22</v>
      </c>
      <c r="B2" s="10"/>
      <c r="C2" s="6">
        <f>Data!B25</f>
        <v>25114</v>
      </c>
      <c r="D2" s="6">
        <f>Data!C25</f>
        <v>27350</v>
      </c>
      <c r="E2" s="6">
        <f>Data!D25</f>
        <v>33453</v>
      </c>
      <c r="F2" s="6">
        <f>Data!E25</f>
        <v>34631</v>
      </c>
      <c r="G2" s="6">
        <f>Data!F25</f>
        <v>31985</v>
      </c>
      <c r="J2" s="28" t="s">
        <v>32</v>
      </c>
      <c r="K2" s="23" t="s">
        <v>33</v>
      </c>
      <c r="L2" s="23" t="s">
        <v>34</v>
      </c>
      <c r="M2" s="23" t="s">
        <v>35</v>
      </c>
      <c r="N2" s="23" t="s">
        <v>36</v>
      </c>
      <c r="O2" s="23" t="s">
        <v>37</v>
      </c>
    </row>
    <row r="3" spans="1:15" ht="15">
      <c r="A3" s="10" t="s">
        <v>26</v>
      </c>
      <c r="B3" s="11"/>
      <c r="C3" s="4">
        <f>Data!B29</f>
        <v>26882</v>
      </c>
      <c r="D3" s="4">
        <f>Data!C29</f>
        <v>26001</v>
      </c>
      <c r="E3" s="4">
        <f>Data!D29</f>
        <v>25404</v>
      </c>
      <c r="F3" s="4">
        <f>Data!E29</f>
        <v>38257</v>
      </c>
      <c r="G3" s="4">
        <f>Data!F29</f>
        <v>46058</v>
      </c>
      <c r="J3" s="29" t="s">
        <v>38</v>
      </c>
      <c r="K3" s="24" t="s">
        <v>39</v>
      </c>
      <c r="L3" s="25">
        <f>((Data!C5/Data!B5)-1)</f>
        <v>-7.5022461814914676E-2</v>
      </c>
      <c r="M3" s="25">
        <f>((Data!D5/Data!C5)-1)</f>
        <v>6.1271439891618318E-2</v>
      </c>
      <c r="N3" s="25">
        <f>((Data!E5/Data!D5)-1)</f>
        <v>0.17308155498819788</v>
      </c>
      <c r="O3" s="25">
        <f>((Data!F5/Data!E5)-1)</f>
        <v>0.21721008541392894</v>
      </c>
    </row>
    <row r="4" spans="1:15" ht="15">
      <c r="A4" s="9" t="s">
        <v>40</v>
      </c>
      <c r="B4" s="10" t="s">
        <v>41</v>
      </c>
      <c r="C4" s="6">
        <f t="shared" ref="C4" si="0">SUM(C2:C3)</f>
        <v>51996</v>
      </c>
      <c r="D4" s="6">
        <f>SUM(D2:D3)</f>
        <v>53351</v>
      </c>
      <c r="E4" s="6">
        <f>SUM(E2:E3)</f>
        <v>58857</v>
      </c>
      <c r="F4" s="6">
        <f t="shared" ref="F4:G4" si="1">SUM(F2:F3)</f>
        <v>72888</v>
      </c>
      <c r="G4" s="6">
        <f t="shared" si="1"/>
        <v>78043</v>
      </c>
      <c r="J4" s="21" t="s">
        <v>42</v>
      </c>
      <c r="K4" s="25">
        <f>Data!B8/100</f>
        <v>0.68059299999999989</v>
      </c>
      <c r="L4" s="25">
        <f>Data!C8/100</f>
        <v>0.69284999999999997</v>
      </c>
      <c r="M4" s="25">
        <f>Data!D8/100</f>
        <v>0.67199799999999998</v>
      </c>
      <c r="N4" s="25">
        <f>Data!E8/100</f>
        <v>0.72022800000000009</v>
      </c>
      <c r="O4" s="25">
        <f>Data!F8/100</f>
        <v>0.70630700000000002</v>
      </c>
    </row>
    <row r="5" spans="1:15">
      <c r="J5" s="21" t="s">
        <v>15</v>
      </c>
      <c r="K5" s="25">
        <f>Data!B17/Data!B5</f>
        <v>0.14706577765167636</v>
      </c>
      <c r="L5" s="25">
        <f>Data!C17/Data!C5</f>
        <v>0.25160399785281562</v>
      </c>
      <c r="M5" s="25">
        <f>Data!D17/Data!D5</f>
        <v>0.1702153282913435</v>
      </c>
      <c r="N5" s="25">
        <f>Data!E17/Data!E5</f>
        <v>0.26792460578186594</v>
      </c>
      <c r="O5" s="25">
        <f>Data!F17/Data!F5</f>
        <v>0.24491000792807383</v>
      </c>
    </row>
    <row r="6" spans="1:15">
      <c r="C6" s="21">
        <f t="shared" ref="C6:D6" si="2">C12</f>
        <v>2018</v>
      </c>
      <c r="D6" s="21">
        <f t="shared" si="2"/>
        <v>2019</v>
      </c>
      <c r="E6" s="21">
        <f t="shared" ref="E6:G6" si="3">E12</f>
        <v>2020</v>
      </c>
      <c r="F6" s="21">
        <f t="shared" si="3"/>
        <v>2021</v>
      </c>
      <c r="G6" s="21">
        <f t="shared" si="3"/>
        <v>2022</v>
      </c>
      <c r="J6" s="21" t="s">
        <v>43</v>
      </c>
      <c r="K6" s="26">
        <f>C18</f>
        <v>0.11360246129990161</v>
      </c>
      <c r="L6" s="26">
        <f>D18</f>
        <v>0.10696794854324085</v>
      </c>
      <c r="M6" s="26">
        <f>E18</f>
        <v>6.5181902287296645E-2</v>
      </c>
      <c r="N6" s="26">
        <f>F18</f>
        <v>0.15316595636705782</v>
      </c>
      <c r="O6" s="26">
        <f>G18</f>
        <v>0.20311784439899225</v>
      </c>
    </row>
    <row r="7" spans="1:15" ht="15">
      <c r="A7" s="9" t="s">
        <v>13</v>
      </c>
      <c r="B7" s="10"/>
      <c r="C7" s="6">
        <f>Data!B16</f>
        <v>2508</v>
      </c>
      <c r="D7" s="6">
        <f>Data!C16</f>
        <v>1565</v>
      </c>
      <c r="E7" s="6">
        <f>Data!D16</f>
        <v>1340</v>
      </c>
      <c r="F7" s="6">
        <f>Data!E16</f>
        <v>1521</v>
      </c>
      <c r="G7" s="6">
        <f>Data!F16</f>
        <v>1918</v>
      </c>
      <c r="J7" s="21" t="s">
        <v>44</v>
      </c>
      <c r="K7" s="25">
        <f>Data!B17/Data!B29</f>
        <v>0.23138159363142624</v>
      </c>
      <c r="L7" s="25">
        <f>Data!C17/Data!C29</f>
        <v>0.37856236298603901</v>
      </c>
      <c r="M7" s="25">
        <f>Data!D17/Data!D29</f>
        <v>0.27818453786805225</v>
      </c>
      <c r="N7" s="25">
        <f>Data!E17/Data!E29</f>
        <v>0.34108790548134982</v>
      </c>
      <c r="O7" s="25">
        <f>Data!F17/Data!F29</f>
        <v>0.31523296712840332</v>
      </c>
    </row>
    <row r="8" spans="1:15" ht="15">
      <c r="A8" s="10" t="s">
        <v>11</v>
      </c>
      <c r="B8" s="11"/>
      <c r="C8" s="4">
        <f>Data!B14</f>
        <v>8701</v>
      </c>
      <c r="D8" s="4">
        <f>Data!C14</f>
        <v>7171</v>
      </c>
      <c r="E8" s="4">
        <f>Data!D14</f>
        <v>5863</v>
      </c>
      <c r="F8" s="4">
        <f>Data!E14</f>
        <v>13879</v>
      </c>
      <c r="G8" s="4">
        <f>Data!F14</f>
        <v>16444</v>
      </c>
      <c r="J8" s="21" t="s">
        <v>45</v>
      </c>
      <c r="K8" s="27">
        <f>Data!B27/Data!B24</f>
        <v>1.1652256146987301</v>
      </c>
      <c r="L8" s="27">
        <f>Data!C27/Data!C24</f>
        <v>1.2368586858685868</v>
      </c>
      <c r="M8" s="27">
        <f>Data!D27/Data!D24</f>
        <v>1.0159915102279797</v>
      </c>
      <c r="N8" s="27">
        <f>Data!E27/Data!E24</f>
        <v>1.2678451742627346</v>
      </c>
      <c r="O8" s="27">
        <f>Data!F27/Data!F24</f>
        <v>1.4737406658690539</v>
      </c>
    </row>
    <row r="9" spans="1:15">
      <c r="J9" s="21" t="s">
        <v>46</v>
      </c>
      <c r="K9" s="27">
        <f>Data!B25/Data!B29</f>
        <v>0.93423108399672639</v>
      </c>
      <c r="L9" s="27">
        <f>Data!C25/Data!C29</f>
        <v>1.0518826198992346</v>
      </c>
      <c r="M9" s="27">
        <f>Data!D25/Data!D29</f>
        <v>1.3168398677373643</v>
      </c>
      <c r="N9" s="27">
        <f>Data!E25/Data!E29</f>
        <v>0.90521995974592884</v>
      </c>
      <c r="O9" s="27">
        <f>Data!F25/Data!F29</f>
        <v>0.69445047548742889</v>
      </c>
    </row>
    <row r="10" spans="1:15">
      <c r="A10" s="10" t="s">
        <v>47</v>
      </c>
      <c r="B10" s="11" t="s">
        <v>48</v>
      </c>
      <c r="C10" s="15">
        <f>C7/C8</f>
        <v>0.28824273072060685</v>
      </c>
      <c r="D10" s="15">
        <f>D7/D8</f>
        <v>0.21824013387254218</v>
      </c>
      <c r="E10" s="15">
        <f>E7/E8</f>
        <v>0.22855193586900904</v>
      </c>
      <c r="F10" s="15">
        <f t="shared" ref="F10:G10" si="4">F7/F8</f>
        <v>0.1095900281000072</v>
      </c>
      <c r="G10" s="15">
        <f t="shared" si="4"/>
        <v>0.11663828752128436</v>
      </c>
      <c r="J10" s="30" t="s">
        <v>49</v>
      </c>
      <c r="K10" s="25">
        <f>Data!B31/100</f>
        <v>9.0716999999999992E-2</v>
      </c>
      <c r="L10" s="25">
        <f>Data!C31/100</f>
        <v>6.6546999999999995E-2</v>
      </c>
      <c r="M10" s="25">
        <f>Data!D31/100</f>
        <v>5.2994000000000006E-2</v>
      </c>
      <c r="N10" s="25">
        <f>Data!E31/100</f>
        <v>6.0500999999999999E-2</v>
      </c>
      <c r="O10" s="25">
        <f>Data!F31/100</f>
        <v>5.9101999999999995E-2</v>
      </c>
    </row>
    <row r="11" spans="1:15">
      <c r="J11" s="30" t="s">
        <v>50</v>
      </c>
      <c r="K11" s="37">
        <f>(K25+K26-K27)</f>
        <v>118.35756445887429</v>
      </c>
      <c r="L11" s="37">
        <f t="shared" ref="L11:O11" si="5">(L25+L26-L27)</f>
        <v>131.28153523887156</v>
      </c>
      <c r="M11" s="37">
        <f t="shared" si="5"/>
        <v>92.694661590298338</v>
      </c>
      <c r="N11" s="37">
        <f t="shared" si="5"/>
        <v>105.17369793520081</v>
      </c>
      <c r="O11" s="37">
        <f t="shared" si="5"/>
        <v>92.710094593112387</v>
      </c>
    </row>
    <row r="12" spans="1:15">
      <c r="C12" s="21">
        <f>C1</f>
        <v>2018</v>
      </c>
      <c r="D12" s="21">
        <f>D1</f>
        <v>2019</v>
      </c>
      <c r="E12" s="21">
        <f>E1</f>
        <v>2020</v>
      </c>
      <c r="F12" s="21">
        <f t="shared" ref="F12:G12" si="6">F1</f>
        <v>2021</v>
      </c>
      <c r="G12" s="21">
        <f t="shared" si="6"/>
        <v>2022</v>
      </c>
    </row>
    <row r="13" spans="1:15" ht="37.5" customHeight="1">
      <c r="A13" s="9" t="s">
        <v>10</v>
      </c>
      <c r="B13" s="10"/>
      <c r="C13" s="6">
        <f>Data!B13</f>
        <v>8299</v>
      </c>
      <c r="D13" s="6">
        <f>Data!C13</f>
        <v>7300</v>
      </c>
      <c r="E13" s="6">
        <f>Data!D13</f>
        <v>4973</v>
      </c>
      <c r="F13" s="6">
        <f>Data!E13</f>
        <v>12538</v>
      </c>
      <c r="G13" s="6">
        <f>Data!F13</f>
        <v>17945</v>
      </c>
      <c r="J13" s="38" t="s">
        <v>51</v>
      </c>
      <c r="K13" s="38"/>
      <c r="L13" s="38"/>
      <c r="M13" s="38"/>
      <c r="N13" s="38"/>
      <c r="O13" s="38"/>
    </row>
    <row r="14" spans="1:15">
      <c r="A14" s="10" t="s">
        <v>47</v>
      </c>
      <c r="B14" s="11"/>
      <c r="C14" s="16">
        <f>C10</f>
        <v>0.28824273072060685</v>
      </c>
      <c r="D14" s="16">
        <f>D10</f>
        <v>0.21824013387254218</v>
      </c>
      <c r="E14" s="16">
        <f>E10</f>
        <v>0.22855193586900904</v>
      </c>
      <c r="F14" s="16">
        <f t="shared" ref="F14:G14" si="7">F10</f>
        <v>0.1095900281000072</v>
      </c>
      <c r="G14" s="16">
        <f t="shared" si="7"/>
        <v>0.11663828752128436</v>
      </c>
      <c r="J14" s="28" t="s">
        <v>52</v>
      </c>
      <c r="K14" s="33" t="s">
        <v>33</v>
      </c>
      <c r="L14" s="33" t="s">
        <v>34</v>
      </c>
      <c r="M14" s="33" t="s">
        <v>35</v>
      </c>
      <c r="N14" s="33" t="s">
        <v>36</v>
      </c>
      <c r="O14" s="34" t="s">
        <v>37</v>
      </c>
    </row>
    <row r="15" spans="1:15" ht="15">
      <c r="A15" s="9" t="s">
        <v>53</v>
      </c>
      <c r="B15" s="10" t="s">
        <v>54</v>
      </c>
      <c r="C15" s="6">
        <f t="shared" ref="C15" si="8">C13*(1-C14)</f>
        <v>5906.873577749684</v>
      </c>
      <c r="D15" s="6">
        <f>D13*(1-D14)</f>
        <v>5706.8470227304424</v>
      </c>
      <c r="E15" s="6">
        <f>E13*(1-E14)</f>
        <v>3836.4112229234183</v>
      </c>
      <c r="F15" s="6">
        <f t="shared" ref="F15:G15" si="9">F13*(1-F14)</f>
        <v>11163.96022768211</v>
      </c>
      <c r="G15" s="6">
        <f t="shared" si="9"/>
        <v>15851.925930430552</v>
      </c>
      <c r="J15" s="29" t="s">
        <v>55</v>
      </c>
      <c r="K15" s="1">
        <f>Data!B17</f>
        <v>6220</v>
      </c>
      <c r="L15" s="1">
        <f>Data!C17</f>
        <v>9843</v>
      </c>
      <c r="M15" s="1">
        <f>Data!D17</f>
        <v>7067</v>
      </c>
      <c r="N15" s="1">
        <f>Data!E17</f>
        <v>13049</v>
      </c>
      <c r="O15" s="1">
        <f>Data!F17</f>
        <v>14519</v>
      </c>
    </row>
    <row r="16" spans="1:15" ht="15">
      <c r="A16" s="10" t="s">
        <v>40</v>
      </c>
      <c r="B16" s="11"/>
      <c r="C16" s="4">
        <f>C4</f>
        <v>51996</v>
      </c>
      <c r="D16" s="4">
        <f>D4</f>
        <v>53351</v>
      </c>
      <c r="E16" s="4">
        <f>E4</f>
        <v>58857</v>
      </c>
      <c r="F16" s="4">
        <f t="shared" ref="F16:G16" si="10">F4</f>
        <v>72888</v>
      </c>
      <c r="G16" s="4">
        <f t="shared" si="10"/>
        <v>78043</v>
      </c>
      <c r="J16" s="21" t="s">
        <v>9</v>
      </c>
      <c r="K16" s="1">
        <f>Data!B12</f>
        <v>4519</v>
      </c>
      <c r="L16" s="1">
        <f>Data!C12</f>
        <v>3310</v>
      </c>
      <c r="M16" s="1">
        <f>Data!D12</f>
        <v>3486</v>
      </c>
      <c r="N16" s="1">
        <f>Data!E12</f>
        <v>3214</v>
      </c>
      <c r="O16" s="1">
        <f>Data!F12</f>
        <v>3909</v>
      </c>
    </row>
    <row r="17" spans="1:16">
      <c r="J17" s="21" t="s">
        <v>56</v>
      </c>
      <c r="K17" s="32">
        <f>C25</f>
        <v>10425.873577749684</v>
      </c>
      <c r="L17" s="32">
        <f t="shared" ref="L17:O17" si="11">D25</f>
        <v>9016.8470227304424</v>
      </c>
      <c r="M17" s="32">
        <f t="shared" si="11"/>
        <v>7322.4112229234179</v>
      </c>
      <c r="N17" s="32">
        <f t="shared" si="11"/>
        <v>14377.96022768211</v>
      </c>
      <c r="O17" s="32">
        <f t="shared" si="11"/>
        <v>19760.925930430552</v>
      </c>
    </row>
    <row r="18" spans="1:16" ht="15">
      <c r="A18" s="10" t="s">
        <v>57</v>
      </c>
      <c r="B18" s="11" t="s">
        <v>58</v>
      </c>
      <c r="C18" s="17">
        <f>C15/C16</f>
        <v>0.11360246129990161</v>
      </c>
      <c r="D18" s="17">
        <f>D15/D16</f>
        <v>0.10696794854324085</v>
      </c>
      <c r="E18" s="17">
        <f>E15/E16</f>
        <v>6.5181902287296645E-2</v>
      </c>
      <c r="F18" s="17">
        <f t="shared" ref="F18:G18" si="12">F15/F16</f>
        <v>0.15316595636705782</v>
      </c>
      <c r="G18" s="17">
        <f t="shared" si="12"/>
        <v>0.20311784439899225</v>
      </c>
      <c r="J18" s="21" t="s">
        <v>28</v>
      </c>
      <c r="K18" s="1">
        <f>Data!B32</f>
        <v>2615</v>
      </c>
      <c r="L18" s="1">
        <f>Data!C32</f>
        <v>3369</v>
      </c>
      <c r="M18" s="1">
        <f>Data!D32</f>
        <v>4429</v>
      </c>
      <c r="N18" s="1">
        <f>Data!E32</f>
        <v>4448</v>
      </c>
      <c r="O18" s="1">
        <f>Data!F32</f>
        <v>4388</v>
      </c>
    </row>
    <row r="19" spans="1:16">
      <c r="A19" s="9" t="s">
        <v>27</v>
      </c>
      <c r="B19" s="10"/>
      <c r="C19" s="12">
        <f>K10</f>
        <v>9.0716999999999992E-2</v>
      </c>
      <c r="D19" s="12">
        <f t="shared" ref="D19:G19" si="13">L10</f>
        <v>6.6546999999999995E-2</v>
      </c>
      <c r="E19" s="12">
        <f t="shared" si="13"/>
        <v>5.2994000000000006E-2</v>
      </c>
      <c r="F19" s="12">
        <f t="shared" si="13"/>
        <v>6.0500999999999999E-2</v>
      </c>
      <c r="G19" s="12">
        <f t="shared" si="13"/>
        <v>5.9101999999999995E-2</v>
      </c>
      <c r="J19" s="21" t="s">
        <v>29</v>
      </c>
      <c r="K19" s="1">
        <f>Data!B33</f>
        <v>5172</v>
      </c>
      <c r="L19" s="1">
        <f>Data!C33</f>
        <v>5695</v>
      </c>
      <c r="M19" s="1">
        <f>Data!D33</f>
        <v>6215</v>
      </c>
      <c r="N19" s="1">
        <f>Data!E33</f>
        <v>6610</v>
      </c>
      <c r="O19" s="1">
        <f>Data!F33</f>
        <v>7012</v>
      </c>
    </row>
    <row r="20" spans="1:16">
      <c r="J20" s="21" t="s">
        <v>59</v>
      </c>
      <c r="K20" s="32">
        <f>C40</f>
        <v>0</v>
      </c>
      <c r="L20" s="32">
        <f t="shared" ref="L20:O20" si="14">D40</f>
        <v>5822.8470227304424</v>
      </c>
      <c r="M20" s="32">
        <f t="shared" si="14"/>
        <v>3881.4112229234179</v>
      </c>
      <c r="N20" s="32">
        <f t="shared" si="14"/>
        <v>7385.9602276821097</v>
      </c>
      <c r="O20" s="32">
        <f t="shared" si="14"/>
        <v>14849.925930430552</v>
      </c>
      <c r="P20" s="31"/>
    </row>
    <row r="22" spans="1:16">
      <c r="C22" s="21">
        <f>D22-1</f>
        <v>2018</v>
      </c>
      <c r="D22" s="21">
        <f>D12</f>
        <v>2019</v>
      </c>
      <c r="E22" s="21">
        <f>E12</f>
        <v>2020</v>
      </c>
      <c r="F22" s="21">
        <f t="shared" ref="F22:G22" si="15">F12</f>
        <v>2021</v>
      </c>
      <c r="G22" s="21">
        <f t="shared" si="15"/>
        <v>2022</v>
      </c>
    </row>
    <row r="23" spans="1:16" ht="15">
      <c r="A23" s="9" t="s">
        <v>60</v>
      </c>
      <c r="B23" s="10"/>
      <c r="C23" s="6">
        <f t="shared" ref="C23:D23" si="16">C15</f>
        <v>5906.873577749684</v>
      </c>
      <c r="D23" s="6">
        <f t="shared" si="16"/>
        <v>5706.8470227304424</v>
      </c>
      <c r="E23" s="6">
        <f t="shared" ref="E23:G23" si="17">E15</f>
        <v>3836.4112229234183</v>
      </c>
      <c r="F23" s="6">
        <f t="shared" si="17"/>
        <v>11163.96022768211</v>
      </c>
      <c r="G23" s="6">
        <f t="shared" si="17"/>
        <v>15851.925930430552</v>
      </c>
    </row>
    <row r="24" spans="1:16" ht="15">
      <c r="A24" s="10" t="s">
        <v>9</v>
      </c>
      <c r="B24" s="11"/>
      <c r="C24" s="4">
        <f>Data!B12</f>
        <v>4519</v>
      </c>
      <c r="D24" s="4">
        <f>Data!C12</f>
        <v>3310</v>
      </c>
      <c r="E24" s="4">
        <f>Data!D12</f>
        <v>3486</v>
      </c>
      <c r="F24" s="4">
        <f>Data!E12</f>
        <v>3214</v>
      </c>
      <c r="G24" s="4">
        <f>Data!F12</f>
        <v>3909</v>
      </c>
    </row>
    <row r="25" spans="1:16" ht="15">
      <c r="A25" s="9" t="s">
        <v>56</v>
      </c>
      <c r="B25" s="10" t="s">
        <v>61</v>
      </c>
      <c r="C25" s="6">
        <f t="shared" ref="C25:D25" si="18">C23+C24</f>
        <v>10425.873577749684</v>
      </c>
      <c r="D25" s="6">
        <f t="shared" si="18"/>
        <v>9016.8470227304424</v>
      </c>
      <c r="E25" s="6">
        <f t="shared" ref="E25:G25" si="19">E23+E24</f>
        <v>7322.4112229234179</v>
      </c>
      <c r="F25" s="6">
        <f t="shared" si="19"/>
        <v>14377.96022768211</v>
      </c>
      <c r="G25" s="6">
        <f t="shared" si="19"/>
        <v>19760.925930430552</v>
      </c>
      <c r="J25" s="35" t="s">
        <v>62</v>
      </c>
      <c r="K25" s="36">
        <f>(Data!B21/Data!B6)*365</f>
        <v>146.98349248649049</v>
      </c>
      <c r="L25" s="36">
        <f>(Data!C21/Data!C6)*365</f>
        <v>181.58871504660453</v>
      </c>
      <c r="M25" s="36">
        <f>(Data!D21/Data!D6)*365</f>
        <v>148.86253488030547</v>
      </c>
      <c r="N25" s="36">
        <f>(Data!E21/Data!E6)*365</f>
        <v>159.46315866725379</v>
      </c>
      <c r="O25" s="36">
        <f>(Data!F21/Data!F6)*365</f>
        <v>123.91677675033024</v>
      </c>
    </row>
    <row r="26" spans="1:16" ht="15">
      <c r="J26" s="35" t="s">
        <v>63</v>
      </c>
      <c r="K26" s="36">
        <f>(Data!B20/Data!B5)*365</f>
        <v>61.023194779401329</v>
      </c>
      <c r="L26" s="36">
        <f>(Data!C20/Data!C5)*365</f>
        <v>63.238925385342917</v>
      </c>
      <c r="M26" s="36">
        <f>(Data!D20/Data!D5)*365</f>
        <v>59.80767378004721</v>
      </c>
      <c r="N26" s="36">
        <f>(Data!E20/Data!E5)*365</f>
        <v>69.171936596583436</v>
      </c>
      <c r="O26" s="36">
        <f>(Data!F20/Data!F5)*365</f>
        <v>58.182784272051009</v>
      </c>
    </row>
    <row r="27" spans="1:16" ht="15">
      <c r="J27" s="35" t="s">
        <v>64</v>
      </c>
      <c r="K27" s="36">
        <f>(Data!B23/Data!B6)*365</f>
        <v>89.649122807017534</v>
      </c>
      <c r="L27" s="36">
        <f>(Data!C23/Data!C6)*365</f>
        <v>113.5461051930759</v>
      </c>
      <c r="M27" s="36">
        <f>(Data!D23/Data!D6)*365</f>
        <v>115.97554707005433</v>
      </c>
      <c r="N27" s="36">
        <f>(Data!E23/Data!E6)*365</f>
        <v>123.46139732863642</v>
      </c>
      <c r="O27" s="36">
        <f>(Data!F23/Data!F6)*365</f>
        <v>89.38946642926885</v>
      </c>
    </row>
    <row r="28" spans="1:16">
      <c r="C28" s="21">
        <f>C22</f>
        <v>2018</v>
      </c>
      <c r="D28" s="21">
        <f>D22</f>
        <v>2019</v>
      </c>
      <c r="E28" s="21">
        <f>E22</f>
        <v>2020</v>
      </c>
      <c r="F28" s="21">
        <f>F22</f>
        <v>2021</v>
      </c>
      <c r="G28" s="21">
        <f>G22</f>
        <v>2022</v>
      </c>
    </row>
    <row r="29" spans="1:16" ht="15">
      <c r="A29" s="9" t="s">
        <v>65</v>
      </c>
      <c r="B29" s="10"/>
      <c r="C29" s="13">
        <f>Data!B20</f>
        <v>7071</v>
      </c>
      <c r="D29" s="13">
        <f>Data!C20</f>
        <v>6778</v>
      </c>
      <c r="E29" s="13">
        <f>Data!D20</f>
        <v>6803</v>
      </c>
      <c r="F29" s="13">
        <f>Data!E20</f>
        <v>9230</v>
      </c>
      <c r="G29" s="13">
        <f>Data!F20</f>
        <v>9450</v>
      </c>
    </row>
    <row r="30" spans="1:16" ht="15">
      <c r="A30" s="10" t="s">
        <v>18</v>
      </c>
      <c r="B30" s="11"/>
      <c r="C30" s="18">
        <f>Data!B21</f>
        <v>5440</v>
      </c>
      <c r="D30" s="18">
        <f>Data!C21</f>
        <v>5978</v>
      </c>
      <c r="E30" s="18">
        <f>Data!D21</f>
        <v>5554</v>
      </c>
      <c r="F30" s="18">
        <f>Data!E21</f>
        <v>5953</v>
      </c>
      <c r="G30" s="18">
        <f>Data!F21</f>
        <v>5911</v>
      </c>
    </row>
    <row r="31" spans="1:16">
      <c r="A31" s="9" t="s">
        <v>20</v>
      </c>
      <c r="B31" s="10"/>
      <c r="C31" s="14">
        <f>Data!B23</f>
        <v>3318</v>
      </c>
      <c r="D31" s="14">
        <f>Data!C23</f>
        <v>3738</v>
      </c>
      <c r="E31" s="14">
        <f>Data!D23</f>
        <v>4327</v>
      </c>
      <c r="F31" s="14">
        <f>Data!E23</f>
        <v>4609</v>
      </c>
      <c r="G31" s="14">
        <f>Data!F23</f>
        <v>4264</v>
      </c>
    </row>
    <row r="32" spans="1:16">
      <c r="A32" s="10" t="s">
        <v>66</v>
      </c>
      <c r="B32" s="11" t="s">
        <v>67</v>
      </c>
      <c r="C32" s="19">
        <f>(C29+C30)-C31</f>
        <v>9193</v>
      </c>
      <c r="D32" s="19">
        <f t="shared" ref="D32:G32" si="20">(D29+D30)-D31</f>
        <v>9018</v>
      </c>
      <c r="E32" s="19">
        <f t="shared" si="20"/>
        <v>8030</v>
      </c>
      <c r="F32" s="19">
        <f t="shared" si="20"/>
        <v>10574</v>
      </c>
      <c r="G32" s="19">
        <f t="shared" si="20"/>
        <v>11097</v>
      </c>
    </row>
    <row r="34" spans="1:7">
      <c r="A34" s="10" t="s">
        <v>68</v>
      </c>
      <c r="B34" s="11" t="s">
        <v>69</v>
      </c>
      <c r="C34" s="19"/>
      <c r="D34" s="19">
        <f>(D32-C32)</f>
        <v>-175</v>
      </c>
      <c r="E34" s="19">
        <f>(E32-D32)</f>
        <v>-988</v>
      </c>
      <c r="F34" s="19">
        <f>(F32-E32)</f>
        <v>2544</v>
      </c>
      <c r="G34" s="19">
        <f>(G32-F32)</f>
        <v>523</v>
      </c>
    </row>
    <row r="35" spans="1:7">
      <c r="A35" s="9" t="s">
        <v>28</v>
      </c>
      <c r="B35" s="10"/>
      <c r="C35" s="14"/>
      <c r="D35" s="14">
        <f>Data!C32</f>
        <v>3369</v>
      </c>
      <c r="E35" s="14">
        <f>Data!D32</f>
        <v>4429</v>
      </c>
      <c r="F35" s="14">
        <f>Data!E32</f>
        <v>4448</v>
      </c>
      <c r="G35" s="14">
        <f>Data!F32</f>
        <v>4388</v>
      </c>
    </row>
    <row r="36" spans="1:7">
      <c r="A36" s="10" t="s">
        <v>70</v>
      </c>
      <c r="B36" s="11" t="s">
        <v>71</v>
      </c>
      <c r="C36" s="19"/>
      <c r="D36" s="19">
        <f>(D34+D35)</f>
        <v>3194</v>
      </c>
      <c r="E36" s="19">
        <f t="shared" ref="E36:G36" si="21">(E34+E35)</f>
        <v>3441</v>
      </c>
      <c r="F36" s="19">
        <f t="shared" si="21"/>
        <v>6992</v>
      </c>
      <c r="G36" s="19">
        <f t="shared" si="21"/>
        <v>4911</v>
      </c>
    </row>
    <row r="38" spans="1:7">
      <c r="A38" s="10" t="s">
        <v>72</v>
      </c>
      <c r="B38" s="11" t="s">
        <v>73</v>
      </c>
      <c r="C38" s="15"/>
      <c r="D38" s="15">
        <f t="shared" ref="D38:E38" si="22">D36/D25</f>
        <v>0.35422581662395852</v>
      </c>
      <c r="E38" s="15">
        <f>E36/E25</f>
        <v>0.46992717224452829</v>
      </c>
      <c r="F38" s="15">
        <f t="shared" ref="F38:G38" si="23">F36/F25</f>
        <v>0.48629985681405585</v>
      </c>
      <c r="G38" s="15">
        <f t="shared" si="23"/>
        <v>0.24852074327333906</v>
      </c>
    </row>
    <row r="40" spans="1:7">
      <c r="A40" s="10" t="s">
        <v>74</v>
      </c>
      <c r="B40" s="11" t="s">
        <v>75</v>
      </c>
      <c r="C40" s="19"/>
      <c r="D40" s="19">
        <f>D25-D36</f>
        <v>5822.8470227304424</v>
      </c>
      <c r="E40" s="19">
        <f t="shared" ref="E40:G40" si="24">E25-E36</f>
        <v>3881.4112229234179</v>
      </c>
      <c r="F40" s="19">
        <f t="shared" si="24"/>
        <v>7385.9602276821097</v>
      </c>
      <c r="G40" s="19">
        <f t="shared" si="24"/>
        <v>14849.925930430552</v>
      </c>
    </row>
    <row r="42" spans="1:7">
      <c r="A42" s="10" t="s">
        <v>29</v>
      </c>
      <c r="B42" s="11"/>
      <c r="C42" s="20">
        <f>(Data!B33)</f>
        <v>5172</v>
      </c>
      <c r="D42" s="20">
        <f>(Data!C33)</f>
        <v>5695</v>
      </c>
      <c r="E42" s="20">
        <f>(Data!D33)</f>
        <v>6215</v>
      </c>
      <c r="F42" s="20">
        <f>(Data!E33)</f>
        <v>6610</v>
      </c>
      <c r="G42" s="20">
        <f>(Data!F33)</f>
        <v>7012</v>
      </c>
    </row>
  </sheetData>
  <mergeCells count="2">
    <mergeCell ref="J1:O1"/>
    <mergeCell ref="J13:O13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38C74A5D8D3C48987BFCC155921DEB" ma:contentTypeVersion="9" ma:contentTypeDescription="Create a new document." ma:contentTypeScope="" ma:versionID="0c78c39554a9ce0a748d5e1e6121e81a">
  <xsd:schema xmlns:xsd="http://www.w3.org/2001/XMLSchema" xmlns:xs="http://www.w3.org/2001/XMLSchema" xmlns:p="http://schemas.microsoft.com/office/2006/metadata/properties" xmlns:ns2="037f999c-0d1e-47fe-8fb8-29855ae0a4af" xmlns:ns3="affe3c60-210b-4deb-af1d-599e76359976" targetNamespace="http://schemas.microsoft.com/office/2006/metadata/properties" ma:root="true" ma:fieldsID="6ad0cd8c066ade943027671e6a5efe8d" ns2:_="" ns3:_="">
    <xsd:import namespace="037f999c-0d1e-47fe-8fb8-29855ae0a4af"/>
    <xsd:import namespace="affe3c60-210b-4deb-af1d-599e76359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f999c-0d1e-47fe-8fb8-29855ae0a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e3c60-210b-4deb-af1d-599e763599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F39D2-4428-43FE-93F4-CCCB3B01B1EF}"/>
</file>

<file path=customXml/itemProps2.xml><?xml version="1.0" encoding="utf-8"?>
<ds:datastoreItem xmlns:ds="http://schemas.openxmlformats.org/officeDocument/2006/customXml" ds:itemID="{7F74709D-927C-4F2C-A2DF-ACCABFAD3F93}"/>
</file>

<file path=customXml/itemProps3.xml><?xml version="1.0" encoding="utf-8"?>
<ds:datastoreItem xmlns:ds="http://schemas.openxmlformats.org/officeDocument/2006/customXml" ds:itemID="{D88E37AE-FB5D-440D-A4F2-3E7C51D1BB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ROIC and Free Cash Flow</dc:title>
  <dc:subject/>
  <dc:creator>Joe Perfetti</dc:creator>
  <cp:keywords/>
  <dc:description/>
  <cp:lastModifiedBy/>
  <cp:revision/>
  <dcterms:created xsi:type="dcterms:W3CDTF">2013-04-03T15:49:21Z</dcterms:created>
  <dcterms:modified xsi:type="dcterms:W3CDTF">2025-03-26T14:53:49Z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0x010100D038C74A5D8D3C48987BFCC155921DEB</vt:lpwstr>
  </property>
</Properties>
</file>