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style1.xml" ContentType="application/vnd.ms-office.chartstyle+xml"/>
  <Override PartName="/xl/charts/colors1.xml" ContentType="application/vnd.ms-office.chartcolor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1.1" sheetId="1" state="visible" r:id="rId1"/>
    <sheet name="1.2" sheetId="2" state="visible" r:id="rId2"/>
    <sheet name="1.3" sheetId="3" state="visible" r:id="rId3"/>
  </sheets>
  <calcPr/>
</workbook>
</file>

<file path=xl/sharedStrings.xml><?xml version="1.0" encoding="utf-8"?>
<sst xmlns="http://schemas.openxmlformats.org/spreadsheetml/2006/main" count="137" uniqueCount="137">
  <si>
    <t>Показатель</t>
  </si>
  <si>
    <t xml:space="preserve">Источник/алгоритм расчета</t>
  </si>
  <si>
    <t>Продукт</t>
  </si>
  <si>
    <t>Вариант</t>
  </si>
  <si>
    <t>A</t>
  </si>
  <si>
    <t>B</t>
  </si>
  <si>
    <t>C</t>
  </si>
  <si>
    <t>D</t>
  </si>
  <si>
    <t>E</t>
  </si>
  <si>
    <t>F</t>
  </si>
  <si>
    <t xml:space="preserve">1. Выручка от реализации товара в 2016 г., тыс.руб.</t>
  </si>
  <si>
    <t xml:space="preserve">исх. данные</t>
  </si>
  <si>
    <t xml:space="preserve">2. Выручка от реализации товара в 2017 г., тыс.руб.</t>
  </si>
  <si>
    <t xml:space="preserve">3. Объем продаж конкурента в 2017 г., тыс. руб.</t>
  </si>
  <si>
    <t xml:space="preserve">4. Темп роста рынка, %</t>
  </si>
  <si>
    <t>(п.2/п.1)*100%</t>
  </si>
  <si>
    <t xml:space="preserve">5. Относительная доля рынка, %</t>
  </si>
  <si>
    <t>(п.2/п.3)*100%</t>
  </si>
  <si>
    <t xml:space="preserve">6. Тип товара в матрице</t>
  </si>
  <si>
    <t xml:space="preserve">рис. 1.1.</t>
  </si>
  <si>
    <t xml:space="preserve">Дикие кошки </t>
  </si>
  <si>
    <r>
      <rPr>
        <b/>
        <sz val="11"/>
        <color theme="1"/>
        <rFont val="Courier New"/>
        <scheme val="minor"/>
      </rPr>
      <t xml:space="preserve">Звезды (D, E)  </t>
    </r>
    <r>
      <rPr>
        <sz val="11"/>
        <color theme="1"/>
        <rFont val="Courier New"/>
        <scheme val="minor"/>
      </rPr>
      <t xml:space="preserve">необходимо продолжать поддерживать лидерские позиции товаров D и E, а также попытаться развить товар C до категории "звезды"</t>
    </r>
  </si>
  <si>
    <r>
      <rPr>
        <b/>
        <sz val="11"/>
        <color theme="1"/>
        <rFont val="Courier New"/>
        <scheme val="minor"/>
      </rPr>
      <t xml:space="preserve">Дохлые собаки (A, B, F)</t>
    </r>
    <r>
      <rPr>
        <sz val="11"/>
        <color theme="1"/>
        <rFont val="Courier New"/>
        <scheme val="minor"/>
      </rPr>
      <t xml:space="preserve"> необходимо попытаться улучшить товары и перевести их в категорию "дойные коровы" либо убрать с рынка</t>
    </r>
  </si>
  <si>
    <t xml:space="preserve">Дойные коровы</t>
  </si>
  <si>
    <t>обозначение</t>
  </si>
  <si>
    <t xml:space="preserve">продукция оцениваемого предприятия</t>
  </si>
  <si>
    <t xml:space="preserve">продукция предприятия конкурента</t>
  </si>
  <si>
    <t xml:space="preserve">Коэффициент значимости, Di</t>
  </si>
  <si>
    <t>А</t>
  </si>
  <si>
    <t>Б</t>
  </si>
  <si>
    <t>В</t>
  </si>
  <si>
    <t xml:space="preserve">1. Надежность, тыс. ч.</t>
  </si>
  <si>
    <t>P1</t>
  </si>
  <si>
    <t xml:space="preserve">2. Наработка на отказ, тыс. ч.</t>
  </si>
  <si>
    <t>P2</t>
  </si>
  <si>
    <t xml:space="preserve">3. Экономичность, л/сут.</t>
  </si>
  <si>
    <t>P3</t>
  </si>
  <si>
    <t xml:space="preserve">4. Рабочая температура, градусов</t>
  </si>
  <si>
    <t>P4</t>
  </si>
  <si>
    <t xml:space="preserve">5. Рабочий объем, м3</t>
  </si>
  <si>
    <t>P5</t>
  </si>
  <si>
    <t xml:space="preserve">6. Дизайн, баллы</t>
  </si>
  <si>
    <t>P6</t>
  </si>
  <si>
    <t xml:space="preserve">7. Технологичность, баллов</t>
  </si>
  <si>
    <t>P7</t>
  </si>
  <si>
    <t xml:space="preserve">8. Трудоемкость изготовления, тыс. ч.</t>
  </si>
  <si>
    <t>P8</t>
  </si>
  <si>
    <t xml:space="preserve">9. Материалоемкость, т.</t>
  </si>
  <si>
    <t>P9</t>
  </si>
  <si>
    <t xml:space="preserve">10. Цена, тыс. у. е.</t>
  </si>
  <si>
    <t>S1</t>
  </si>
  <si>
    <t>-</t>
  </si>
  <si>
    <t xml:space="preserve">11. Потребительские затраты, тыс. у. е.</t>
  </si>
  <si>
    <t>S2</t>
  </si>
  <si>
    <t xml:space="preserve">12. Количество, предлагаемое на рынке, тыс. шт.</t>
  </si>
  <si>
    <t>n</t>
  </si>
  <si>
    <t xml:space="preserve">13. Коэффициент значимости товара</t>
  </si>
  <si>
    <t>b</t>
  </si>
  <si>
    <t>Обозначение</t>
  </si>
  <si>
    <t xml:space="preserve">Алгоритм расчета</t>
  </si>
  <si>
    <t xml:space="preserve">Параметры оценки</t>
  </si>
  <si>
    <t xml:space="preserve">Таким образом, продукты А, Б и В не конкурентноспособны по сравнению с товарами конкурента.</t>
  </si>
  <si>
    <t xml:space="preserve">Частные индексы технических параметров (индексы качества)</t>
  </si>
  <si>
    <t>Iтп1</t>
  </si>
  <si>
    <t>P1/P1k*D1</t>
  </si>
  <si>
    <t>Iтп2</t>
  </si>
  <si>
    <t>P2/P2k*D2</t>
  </si>
  <si>
    <t>Iтп3</t>
  </si>
  <si>
    <t>P3k/P3*D3</t>
  </si>
  <si>
    <t>Iтп4</t>
  </si>
  <si>
    <t>P4/P14*D4</t>
  </si>
  <si>
    <t>Iтп5</t>
  </si>
  <si>
    <t>P5/P5k*D5</t>
  </si>
  <si>
    <t>Iтп6</t>
  </si>
  <si>
    <t>P6/P6k*D6</t>
  </si>
  <si>
    <t>Iтп7</t>
  </si>
  <si>
    <t>P7/P7k*D7</t>
  </si>
  <si>
    <t>Iтп8</t>
  </si>
  <si>
    <t>P8k/P8*D8</t>
  </si>
  <si>
    <t>Iтп9</t>
  </si>
  <si>
    <t>P9k/P9*D9</t>
  </si>
  <si>
    <t xml:space="preserve">Индекс технических параметров</t>
  </si>
  <si>
    <t>Iтп</t>
  </si>
  <si>
    <t xml:space="preserve">сумма Iтпi</t>
  </si>
  <si>
    <t xml:space="preserve">Индекс экономических параметров</t>
  </si>
  <si>
    <t>Iэп</t>
  </si>
  <si>
    <t>(S1+S2)/(S1k+S2k)</t>
  </si>
  <si>
    <t xml:space="preserve">Индекс конкурентоспособности товара</t>
  </si>
  <si>
    <t>Iк</t>
  </si>
  <si>
    <t>Iтп/Iэп</t>
  </si>
  <si>
    <t xml:space="preserve">Индекс конкурентоспособности товарной массы</t>
  </si>
  <si>
    <t xml:space="preserve">Наименование товара</t>
  </si>
  <si>
    <t xml:space="preserve">Выручка от реализации, тыс. руб.</t>
  </si>
  <si>
    <t>июнь</t>
  </si>
  <si>
    <t>июль</t>
  </si>
  <si>
    <t>август</t>
  </si>
  <si>
    <t xml:space="preserve">Товар 1</t>
  </si>
  <si>
    <t xml:space="preserve">Товар 2</t>
  </si>
  <si>
    <t xml:space="preserve">Товар 3</t>
  </si>
  <si>
    <t xml:space="preserve">Товар 4</t>
  </si>
  <si>
    <t xml:space="preserve">Товар 5</t>
  </si>
  <si>
    <t xml:space="preserve">Товар 6</t>
  </si>
  <si>
    <t xml:space="preserve">Товар 7</t>
  </si>
  <si>
    <t xml:space="preserve">Товар 8</t>
  </si>
  <si>
    <t xml:space="preserve">Товар 9</t>
  </si>
  <si>
    <t xml:space="preserve">Товар 10</t>
  </si>
  <si>
    <t xml:space="preserve">Товар 11</t>
  </si>
  <si>
    <t xml:space="preserve">Товар 12</t>
  </si>
  <si>
    <t xml:space="preserve">Товар 13</t>
  </si>
  <si>
    <t xml:space="preserve">Товар 14</t>
  </si>
  <si>
    <t xml:space="preserve">Товар 15</t>
  </si>
  <si>
    <t xml:space="preserve">Товар 16</t>
  </si>
  <si>
    <t xml:space="preserve">Товар 17</t>
  </si>
  <si>
    <t xml:space="preserve">Товар 18</t>
  </si>
  <si>
    <t xml:space="preserve">Товар 19</t>
  </si>
  <si>
    <t xml:space="preserve">Товар 20</t>
  </si>
  <si>
    <t xml:space="preserve">Доля в выручке</t>
  </si>
  <si>
    <t xml:space="preserve">Доля накопительным итогом</t>
  </si>
  <si>
    <t xml:space="preserve">Группировка ABC</t>
  </si>
  <si>
    <t xml:space="preserve">Среднее значение</t>
  </si>
  <si>
    <t xml:space="preserve">Среднеквадратическое отклонение</t>
  </si>
  <si>
    <t xml:space="preserve">Коэффициент вариации</t>
  </si>
  <si>
    <t xml:space="preserve">Группировка XYZ</t>
  </si>
  <si>
    <t xml:space="preserve">Группировка ABC-XYZ</t>
  </si>
  <si>
    <t>квартал</t>
  </si>
  <si>
    <t xml:space="preserve">Матрица ABC-XYZ</t>
  </si>
  <si>
    <t>X</t>
  </si>
  <si>
    <t xml:space="preserve">10, 17, 5, 9, 20, 12, 13, 2</t>
  </si>
  <si>
    <t xml:space="preserve">18, 15, 19, 8</t>
  </si>
  <si>
    <t xml:space="preserve">14, 7</t>
  </si>
  <si>
    <t>Y</t>
  </si>
  <si>
    <t xml:space="preserve">16, 6</t>
  </si>
  <si>
    <t>Z</t>
  </si>
  <si>
    <t xml:space="preserve">1, 11</t>
  </si>
  <si>
    <t xml:space="preserve">Товары 10, 17, 5, 9, 20, 12, 13, 2 требуется постоянное наличие товаров,излишний страховой запас не нужен, потребление хорошо прогнозируется. Таким образом по товарам 14, 7 следует уточнить периодичность поставок, что позволит снизить издержки хранения. Товар 3 страховой запас не увеличивать; привлекать поставщиков, которые в короткие сроки поставят товар; обеспечить более частые поставки или поставки под заказ; постоянный контроль. По остальным товарам (группы АХ и ВХ) необходимо обеспечить контроль за их постоянным наличием на складе, так как спрос на них стабилен. В целом товарный ассортимент организации следует признать сбалансированным.</t>
  </si>
  <si>
    <t xml:space="preserve">Таким образом по товарам 14, 7 следует уточнить периодичность поставок, что позволит снизить издержки хранения. Товар 3 имеет средний уровень дохода и случайное потребление. Необходимо не увеличивать страховой запас и привлекать поставщиков, обеспечить более частые поставки. По остальным товарам (группы АХ и ВХ) необходимо обеспечить контроль за их постоянным наличием на складе, так как спрос на них стабилен. В целом товарный ассортимент организации следует признать сбалансированным.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</si>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</sst>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ourier New"/>
      <color theme="1"/>
      <sz val="11.000000"/>
    </font>
    <font>
      <name val="Courier New"/>
      <b/>
      <color theme="1"/>
      <sz val="11.000000"/>
    </font>
    <font>
      <name val="Courier New"/>
      <color theme="1"/>
      <sz val="12.000000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1" fillId="0" borderId="0" numFmtId="0" xfId="0" applyFont="1"/>
    <xf fontId="1" fillId="0" borderId="1" numFmtId="0" xfId="0" applyFont="1" applyBorder="1" applyAlignment="1">
      <alignment horizontal="center"/>
    </xf>
    <xf fontId="1" fillId="0" borderId="1" numFmtId="0" xfId="0" applyFont="1" applyBorder="1" applyAlignment="1">
      <alignment horizontal="center" wrapText="1"/>
    </xf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1" numFmtId="0" xfId="0" applyFont="1" applyBorder="1"/>
    <xf fontId="1" fillId="0" borderId="1" numFmtId="0" xfId="0" applyFont="1" applyBorder="1" applyAlignment="1">
      <alignment wrapText="1"/>
    </xf>
    <xf fontId="1" fillId="0" borderId="0" numFmtId="0" xfId="0" applyFont="1" applyAlignment="1">
      <alignment wrapText="1"/>
    </xf>
    <xf fontId="2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left" wrapText="1"/>
    </xf>
    <xf fontId="1" fillId="0" borderId="2" numFmtId="0" xfId="0" applyFont="1" applyBorder="1" applyAlignment="1">
      <alignment horizontal="center" wrapText="1"/>
    </xf>
    <xf fontId="1" fillId="0" borderId="3" numFmtId="0" xfId="0" applyFont="1" applyBorder="1" applyAlignment="1">
      <alignment horizontal="center" wrapText="1"/>
    </xf>
    <xf fontId="1" fillId="0" borderId="4" numFmtId="0" xfId="0" applyFont="1" applyBorder="1" applyAlignment="1">
      <alignment horizontal="center" wrapText="1"/>
    </xf>
    <xf fontId="2" fillId="0" borderId="1" numFmtId="0" xfId="0" applyFont="1" applyBorder="1" applyAlignment="1">
      <alignment wrapText="1"/>
    </xf>
    <xf fontId="3" fillId="0" borderId="0" numFmtId="0" xfId="0" applyFont="1" applyAlignment="1">
      <alignment wrapText="1"/>
    </xf>
    <xf fontId="1" fillId="0" borderId="5" numFmtId="0" xfId="0" applyFont="1" applyBorder="1" applyAlignment="1">
      <alignment horizontal="center" wrapText="1"/>
    </xf>
    <xf fontId="1" fillId="0" borderId="6" numFmtId="0" xfId="0" applyFont="1" applyBorder="1" applyAlignment="1">
      <alignment horizontal="center" wrapText="1"/>
    </xf>
    <xf fontId="3" fillId="0" borderId="1" numFmt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ru-RU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/>
            </a:pPr>
            <a:r>
              <a:rPr lang="ru-RU"/>
              <a:t>Матрица БКГ</a:t>
            </a:r>
            <a:endParaRPr/>
          </a:p>
        </c:rich>
      </c:tx>
      <c:layout>
        <c:manualLayout>
          <c:xMode val="edge"/>
          <c:yMode val="edge"/>
          <c:x val="0.37958999999999998"/>
          <c:y val="0.033520000000000001"/>
        </c:manualLayout>
      </c:layout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5520999999999999"/>
          <c:y val="0.19261"/>
          <c:w val="0.79449000000000003"/>
          <c:h val="0.5917"/>
        </c:manualLayout>
      </c:layout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dLblPos val="b"/>
            <c:separator xml:space="preserve"> </c:separator>
            <c:showBubbleSize val="0"/>
            <c:showCatName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'1.1'!$C$8:$H$8</c:f>
              <c:numCache>
                <c:formatCode>General</c:formatCode>
                <c:ptCount val="6"/>
                <c:pt idx="0">
                  <c:v>99.14529914529915</c:v>
                </c:pt>
                <c:pt idx="1">
                  <c:v>94.04255319148936</c:v>
                </c:pt>
                <c:pt idx="2">
                  <c:v>81.18503118503119</c:v>
                </c:pt>
                <c:pt idx="3">
                  <c:v>112.58426966292134</c:v>
                </c:pt>
                <c:pt idx="4">
                  <c:v>107.71604938271604</c:v>
                </c:pt>
                <c:pt idx="5">
                  <c:v>91.00346020761245</c:v>
                </c:pt>
              </c:numCache>
            </c:numRef>
          </c:xVal>
          <c:yVal>
            <c:numRef>
              <c:f>'1.1'!$C$6:$H$6</c:f>
              <c:numCache>
                <c:formatCode>General</c:formatCode>
                <c:ptCount val="6"/>
                <c:pt idx="0">
                  <c:v>77.33333333333333</c:v>
                </c:pt>
                <c:pt idx="1">
                  <c:v>85</c:v>
                </c:pt>
                <c:pt idx="2">
                  <c:v>142</c:v>
                </c:pt>
                <c:pt idx="3">
                  <c:v>110.10989010989012</c:v>
                </c:pt>
                <c:pt idx="4">
                  <c:v>151.7391304347826</c:v>
                </c:pt>
                <c:pt idx="5">
                  <c:v>58.44444444444444</c:v>
                </c:pt>
              </c:numCache>
            </c:numRef>
          </c:yVal>
          <c:smooth val="0"/>
        </c:ser>
        <c:dLbls>
          <c:dLblPos val="b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1426119173"/>
        <c:axId val="1426119174"/>
      </c:scatterChart>
      <c:valAx>
        <c:axId val="1426119173"/>
        <c:scaling>
          <c:orientation val="minMax"/>
          <c:max val="120"/>
          <c:min val="75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Относительная</a:t>
                </a:r>
                <a:r>
                  <a:rPr lang="ru-RU"/>
                  <a:t> доля рынка</a:t>
                </a:r>
                <a:endParaRPr lang="ru-RU"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cross"/>
        <c:tickLblPos val="low"/>
        <c:spPr bwMode="auto">
          <a:prstGeom prst="rect">
            <a:avLst/>
          </a:prstGeom>
          <a:noFill/>
          <a:ln w="12700" cap="flat" cmpd="sng" algn="ctr">
            <a:noFill/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6119174"/>
        <c:crossesAt val="110"/>
        <c:crossBetween val="midCat"/>
        <c:majorUnit val="5"/>
      </c:valAx>
      <c:valAx>
        <c:axId val="1426119174"/>
        <c:scaling>
          <c:orientation val="minMax"/>
          <c:min val="40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Темп роста рынка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6119173"/>
        <c:crossesAt val="100"/>
        <c:crossBetween val="midCat"/>
        <c:majorUnit val="10"/>
      </c:valAx>
      <c:spPr bwMode="auto"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232409" y="4739639"/>
      <a:ext cx="4571999" cy="2714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2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2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lt1"/>
    </cs:fontRef>
  </cs:wall>
  <cs:dataPointMarkerLayout symbol="circle" size="6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232409</xdr:colOff>
      <xdr:row>20</xdr:row>
      <xdr:rowOff>167639</xdr:rowOff>
    </xdr:from>
    <xdr:to>
      <xdr:col>4</xdr:col>
      <xdr:colOff>432434</xdr:colOff>
      <xdr:row>35</xdr:row>
      <xdr:rowOff>167639</xdr:rowOff>
    </xdr:to>
    <xdr:graphicFrame>
      <xdr:nvGraphicFramePr>
        <xdr:cNvPr id="2" name="Диаграмма 1"/>
        <xdr:cNvGraphicFramePr>
          <a:graphicFrameLocks xmlns:a="http://schemas.openxmlformats.org/drawingml/2006/main"/>
        </xdr:cNvGraphicFramePr>
      </xdr:nvGraphicFramePr>
      <xdr:xfrm>
        <a:off x="232409" y="4739639"/>
        <a:ext cx="4571999" cy="2714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6" activeCellId="0" sqref="J6"/>
    </sheetView>
  </sheetViews>
  <sheetFormatPr defaultRowHeight="14.25"/>
  <cols>
    <col customWidth="1" min="1" max="1" style="1" width="29.44140625"/>
    <col bestFit="1" customWidth="1" min="2" max="2" style="1" width="18.7109375"/>
    <col min="3" max="5" style="1" width="9.140625"/>
    <col customWidth="1" min="6" max="6" style="1" width="17.8515625"/>
    <col min="7" max="7" style="1" width="9.140625"/>
    <col min="8" max="15" style="1" width="9.140625"/>
    <col customWidth="1" min="16" max="16" style="1" width="8"/>
    <col min="17" max="17" style="1" width="9.140625"/>
    <col customWidth="1" min="18" max="18" style="1" width="7.109375"/>
    <col min="19" max="16384" style="1" width="9.140625"/>
  </cols>
  <sheetData>
    <row r="1" ht="17.399999999999999" customHeight="1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6"/>
      <c r="K1" s="7" t="s">
        <v>3</v>
      </c>
      <c r="L1" s="7">
        <v>12</v>
      </c>
    </row>
    <row r="2">
      <c r="A2" s="2"/>
      <c r="B2" s="3"/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ht="42.75">
      <c r="A3" s="8" t="s">
        <v>10</v>
      </c>
      <c r="B3" s="7" t="s">
        <v>11</v>
      </c>
      <c r="C3" s="7">
        <v>750</v>
      </c>
      <c r="D3" s="7">
        <v>780</v>
      </c>
      <c r="E3" s="7">
        <v>550</v>
      </c>
      <c r="F3" s="7">
        <v>910</v>
      </c>
      <c r="G3" s="7">
        <v>460</v>
      </c>
      <c r="H3" s="7">
        <v>900</v>
      </c>
    </row>
    <row r="4" ht="43.200000000000003" customHeight="1">
      <c r="A4" s="8" t="s">
        <v>12</v>
      </c>
      <c r="B4" s="7" t="s">
        <v>11</v>
      </c>
      <c r="C4" s="7">
        <f>520+5*$L1</f>
        <v>580</v>
      </c>
      <c r="D4" s="7">
        <f>627+3*$L1</f>
        <v>663</v>
      </c>
      <c r="E4" s="7">
        <f>805-2*$L1</f>
        <v>781</v>
      </c>
      <c r="F4" s="7">
        <f>954+4*$L1</f>
        <v>1002</v>
      </c>
      <c r="G4" s="7">
        <f>710-1*$L1</f>
        <v>698</v>
      </c>
      <c r="H4" s="7">
        <f>490+3*$L1</f>
        <v>526</v>
      </c>
    </row>
    <row r="5" ht="42.75">
      <c r="A5" s="8" t="s">
        <v>13</v>
      </c>
      <c r="B5" s="7" t="s">
        <v>11</v>
      </c>
      <c r="C5" s="7">
        <f>525+5*$L1</f>
        <v>585</v>
      </c>
      <c r="D5" s="7">
        <f>729-2*$L1</f>
        <v>705</v>
      </c>
      <c r="E5" s="7">
        <f>950+1*$L1</f>
        <v>962</v>
      </c>
      <c r="F5" s="7">
        <f>926-3*$L1</f>
        <v>890</v>
      </c>
      <c r="G5" s="7">
        <f>600+4*$L1</f>
        <v>648</v>
      </c>
      <c r="H5" s="7">
        <f>530+4*$L1</f>
        <v>578</v>
      </c>
    </row>
    <row r="6">
      <c r="A6" s="3" t="s">
        <v>14</v>
      </c>
      <c r="B6" s="2" t="s">
        <v>15</v>
      </c>
      <c r="C6" s="7">
        <f>C4/C3*100</f>
        <v>77.333333333333329</v>
      </c>
      <c r="D6" s="7">
        <f t="shared" ref="D6:H6" si="0">D4/D3*100</f>
        <v>85</v>
      </c>
      <c r="E6" s="7">
        <f t="shared" si="0"/>
        <v>142</v>
      </c>
      <c r="F6" s="7">
        <f t="shared" si="0"/>
        <v>110.10989010989012</v>
      </c>
      <c r="G6" s="7">
        <f t="shared" si="0"/>
        <v>151.7391304347826</v>
      </c>
      <c r="H6" s="7">
        <f t="shared" si="0"/>
        <v>58.444444444444443</v>
      </c>
    </row>
    <row r="7">
      <c r="A7" s="3"/>
      <c r="B7" s="2"/>
      <c r="C7" s="7" t="str">
        <f t="shared" ref="C7:H7" si="1">IF(C6&gt;110, "Высокий","Низкий")</f>
        <v>Низкий</v>
      </c>
      <c r="D7" s="7" t="str">
        <f t="shared" si="1"/>
        <v>Низкий</v>
      </c>
      <c r="E7" s="7" t="str">
        <f t="shared" si="1"/>
        <v>Высокий</v>
      </c>
      <c r="F7" s="7" t="str">
        <f t="shared" si="1"/>
        <v>Высокий</v>
      </c>
      <c r="G7" s="7" t="str">
        <f t="shared" si="1"/>
        <v>Высокий</v>
      </c>
      <c r="H7" s="7" t="str">
        <f t="shared" si="1"/>
        <v>Низкий</v>
      </c>
    </row>
    <row r="8" ht="14.4" customHeight="1">
      <c r="A8" s="3" t="s">
        <v>16</v>
      </c>
      <c r="B8" s="2" t="s">
        <v>17</v>
      </c>
      <c r="C8" s="7">
        <f>C4/C5*100</f>
        <v>99.145299145299148</v>
      </c>
      <c r="D8" s="7">
        <f t="shared" ref="D8:H8" si="2">D4/D5*100</f>
        <v>94.042553191489361</v>
      </c>
      <c r="E8" s="7">
        <f t="shared" si="2"/>
        <v>81.185031185031193</v>
      </c>
      <c r="F8" s="7">
        <f t="shared" si="2"/>
        <v>112.58426966292134</v>
      </c>
      <c r="G8" s="7">
        <f t="shared" si="2"/>
        <v>107.71604938271604</v>
      </c>
      <c r="H8" s="7">
        <f t="shared" si="2"/>
        <v>91.003460207612449</v>
      </c>
    </row>
    <row r="9" ht="14.4" customHeight="1">
      <c r="A9" s="3"/>
      <c r="B9" s="2"/>
      <c r="C9" s="7" t="str">
        <f t="shared" ref="C9:H9" si="3">IF(C8&gt;100, "Высокий","Низкий")</f>
        <v>Низкий</v>
      </c>
      <c r="D9" s="7" t="str">
        <f t="shared" si="3"/>
        <v>Низкий</v>
      </c>
      <c r="E9" s="7" t="str">
        <f t="shared" si="3"/>
        <v>Низкий</v>
      </c>
      <c r="F9" s="7" t="str">
        <f t="shared" si="3"/>
        <v>Высокий</v>
      </c>
      <c r="G9" s="7" t="str">
        <f t="shared" si="3"/>
        <v>Высокий</v>
      </c>
      <c r="H9" s="7" t="str">
        <f t="shared" si="3"/>
        <v>Низкий</v>
      </c>
    </row>
    <row r="10" ht="29.399999999999999" customHeight="1">
      <c r="A10" s="8" t="s">
        <v>18</v>
      </c>
      <c r="B10" s="7" t="s">
        <v>19</v>
      </c>
      <c r="C10" s="8" t="str">
        <f t="shared" ref="C10:G10" si="4">IF(AND(C7="Низкий",C9="Низкий"),"Дохлая собака",IF(AND(C7="Низкий",C9="Высокий"),"Дойная корова",IF(AND(C7="Высокий",C9="Высокий"),"Звезда",IF(AND(C7="Высокий",C9="Низкий"),"Дикая кошка"))))</f>
        <v xml:space="preserve">Дохлая собака</v>
      </c>
      <c r="D10" s="8" t="str">
        <f t="shared" si="4"/>
        <v xml:space="preserve">Дохлая собака</v>
      </c>
      <c r="E10" s="8" t="str">
        <f t="shared" si="4"/>
        <v xml:space="preserve">Дикая кошка</v>
      </c>
      <c r="F10" s="8" t="str">
        <f t="shared" si="4"/>
        <v>Звезда</v>
      </c>
      <c r="G10" s="8" t="str">
        <f t="shared" si="4"/>
        <v>Звезда</v>
      </c>
      <c r="H10" s="8" t="str">
        <f>IF(AND(H7="Низкий",H9="Низкий"),"Дохлая собака",IF(AND(H7="Низкий",H9="Высокий"),"Дойная корова",IF(AND(H7="Высокий",H9="Высокий"),"Звезда",IF(AND(H7="Высокий",H9="Низкий"),"Дикая кошка"))))</f>
        <v xml:space="preserve">Дохлая собака</v>
      </c>
    </row>
    <row r="11">
      <c r="A11" s="9"/>
    </row>
    <row r="12">
      <c r="A12" s="10" t="s">
        <v>20</v>
      </c>
      <c r="B12" s="11"/>
      <c r="C12" s="11"/>
      <c r="D12" s="3" t="s">
        <v>21</v>
      </c>
      <c r="E12" s="3"/>
      <c r="F12" s="3"/>
    </row>
    <row r="13">
      <c r="A13" s="11"/>
      <c r="B13" s="11"/>
      <c r="C13" s="11"/>
      <c r="D13" s="3"/>
      <c r="E13" s="3"/>
      <c r="F13" s="3"/>
    </row>
    <row r="14">
      <c r="A14" s="11"/>
      <c r="B14" s="11"/>
      <c r="C14" s="11"/>
      <c r="D14" s="3"/>
      <c r="E14" s="3"/>
      <c r="F14" s="3"/>
    </row>
    <row r="15" ht="14.4" customHeight="1">
      <c r="A15" s="11"/>
      <c r="B15" s="11"/>
      <c r="C15" s="11"/>
      <c r="D15" s="3"/>
      <c r="E15" s="3"/>
      <c r="F15" s="3"/>
    </row>
    <row r="16">
      <c r="A16" s="11" t="s">
        <v>22</v>
      </c>
      <c r="B16" s="11"/>
      <c r="C16" s="11"/>
      <c r="D16" s="10" t="s">
        <v>23</v>
      </c>
      <c r="E16" s="11"/>
      <c r="F16" s="11"/>
    </row>
    <row r="17">
      <c r="A17" s="11"/>
      <c r="B17" s="11"/>
      <c r="C17" s="11"/>
      <c r="D17" s="11"/>
      <c r="E17" s="11"/>
      <c r="F17" s="11"/>
    </row>
    <row r="18">
      <c r="A18" s="11"/>
      <c r="B18" s="11"/>
      <c r="C18" s="11"/>
      <c r="D18" s="11"/>
      <c r="E18" s="11"/>
      <c r="F18" s="11"/>
    </row>
    <row r="19">
      <c r="A19" s="11"/>
      <c r="B19" s="11"/>
      <c r="C19" s="11"/>
      <c r="D19" s="11"/>
      <c r="E19" s="11"/>
      <c r="F19" s="11"/>
    </row>
    <row r="20">
      <c r="A20" s="11"/>
      <c r="B20" s="11"/>
      <c r="C20" s="11"/>
      <c r="D20" s="11"/>
      <c r="E20" s="11"/>
      <c r="F20" s="11"/>
    </row>
  </sheetData>
  <mergeCells count="11">
    <mergeCell ref="A1:A2"/>
    <mergeCell ref="B1:B2"/>
    <mergeCell ref="C1:H1"/>
    <mergeCell ref="A6:A7"/>
    <mergeCell ref="B6:B7"/>
    <mergeCell ref="A8:A9"/>
    <mergeCell ref="B8:B9"/>
    <mergeCell ref="A12:C15"/>
    <mergeCell ref="D12:F15"/>
    <mergeCell ref="A16:C20"/>
    <mergeCell ref="D16:F20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" zoomScale="100" workbookViewId="0">
      <selection activeCell="A46" activeCellId="0" sqref="A46"/>
    </sheetView>
  </sheetViews>
  <sheetFormatPr defaultRowHeight="14.25"/>
  <cols>
    <col customWidth="1" min="1" max="1" style="1" width="42.28125"/>
    <col customWidth="1" min="2" max="2" style="1" width="8.77734375"/>
    <col customWidth="1" min="3" max="3" style="1" width="18.140625"/>
    <col bestFit="1" customWidth="1" min="4" max="4" style="1" width="11.44140625"/>
    <col min="5" max="8" style="1" width="9.140625"/>
    <col customWidth="1" min="9" max="9" style="1" width="22.5546875"/>
    <col min="10" max="10" style="1" width="9.140625"/>
    <col customWidth="1" min="11" max="11" style="1" width="12.7109375"/>
    <col min="12" max="12" style="1" width="9.140625"/>
    <col customWidth="1" min="13" max="13" style="1" width="26.57421875"/>
    <col customWidth="1" min="14" max="14" style="1" width="26.421875"/>
    <col min="15" max="15" style="1" width="9.140625"/>
    <col min="16" max="16384" style="1" width="9.140625"/>
  </cols>
  <sheetData>
    <row r="1" ht="32.399999999999999" customHeight="1">
      <c r="A1" s="3" t="s">
        <v>0</v>
      </c>
      <c r="B1" s="3" t="s">
        <v>24</v>
      </c>
      <c r="C1" s="3" t="s">
        <v>25</v>
      </c>
      <c r="D1" s="3"/>
      <c r="E1" s="3"/>
      <c r="F1" s="3" t="s">
        <v>26</v>
      </c>
      <c r="G1" s="3"/>
      <c r="H1" s="3"/>
      <c r="I1" s="3" t="s">
        <v>27</v>
      </c>
      <c r="J1" s="9"/>
      <c r="K1" s="8" t="s">
        <v>3</v>
      </c>
      <c r="L1" s="7">
        <v>12</v>
      </c>
    </row>
    <row r="2">
      <c r="A2" s="3"/>
      <c r="B2" s="3"/>
      <c r="C2" s="8" t="s">
        <v>28</v>
      </c>
      <c r="D2" s="8" t="s">
        <v>29</v>
      </c>
      <c r="E2" s="8" t="s">
        <v>30</v>
      </c>
      <c r="F2" s="8" t="s">
        <v>28</v>
      </c>
      <c r="G2" s="8" t="s">
        <v>29</v>
      </c>
      <c r="H2" s="8" t="s">
        <v>30</v>
      </c>
      <c r="I2" s="3"/>
      <c r="J2" s="9"/>
      <c r="K2" s="9"/>
    </row>
    <row r="3">
      <c r="A3" s="8" t="s">
        <v>31</v>
      </c>
      <c r="B3" s="8" t="s">
        <v>32</v>
      </c>
      <c r="C3" s="8">
        <f>68-1*L1</f>
        <v>56</v>
      </c>
      <c r="D3" s="8">
        <f>90+1.5*L1</f>
        <v>108</v>
      </c>
      <c r="E3" s="8">
        <f>87+0.5*L1</f>
        <v>93</v>
      </c>
      <c r="F3" s="8">
        <v>89</v>
      </c>
      <c r="G3" s="8">
        <v>88</v>
      </c>
      <c r="H3" s="8">
        <v>78</v>
      </c>
      <c r="I3" s="8">
        <v>0.17999999999999999</v>
      </c>
      <c r="J3" s="9"/>
      <c r="K3" s="9"/>
    </row>
    <row r="4">
      <c r="A4" s="8" t="s">
        <v>33</v>
      </c>
      <c r="B4" s="8" t="s">
        <v>34</v>
      </c>
      <c r="C4" s="8">
        <f>48-1*L1</f>
        <v>36</v>
      </c>
      <c r="D4" s="8">
        <f>49+1.5*L1</f>
        <v>67</v>
      </c>
      <c r="E4" s="8">
        <f>50+0.5*L1</f>
        <v>56</v>
      </c>
      <c r="F4" s="8">
        <v>51</v>
      </c>
      <c r="G4" s="8">
        <v>52</v>
      </c>
      <c r="H4" s="8">
        <v>53</v>
      </c>
      <c r="I4" s="8">
        <v>0.11</v>
      </c>
      <c r="J4" s="9"/>
      <c r="K4" s="9"/>
    </row>
    <row r="5">
      <c r="A5" s="8" t="s">
        <v>35</v>
      </c>
      <c r="B5" s="8" t="s">
        <v>36</v>
      </c>
      <c r="C5" s="8">
        <f>30+0.5*L1</f>
        <v>36</v>
      </c>
      <c r="D5" s="8">
        <f>29-0.2*L1</f>
        <v>26.600000000000001</v>
      </c>
      <c r="E5" s="8">
        <f>28+0.3*L1</f>
        <v>31.600000000000001</v>
      </c>
      <c r="F5" s="8">
        <v>27</v>
      </c>
      <c r="G5" s="8">
        <v>26</v>
      </c>
      <c r="H5" s="8">
        <v>25</v>
      </c>
      <c r="I5" s="8">
        <v>0.17000000000000001</v>
      </c>
      <c r="J5" s="9"/>
      <c r="K5" s="9"/>
    </row>
    <row r="6" ht="28.5">
      <c r="A6" s="8" t="s">
        <v>37</v>
      </c>
      <c r="B6" s="8" t="s">
        <v>38</v>
      </c>
      <c r="C6" s="8">
        <f>71+0.2*L1</f>
        <v>73.400000000000006</v>
      </c>
      <c r="D6" s="8">
        <f>78-0.1*L1</f>
        <v>76.799999999999997</v>
      </c>
      <c r="E6" s="8">
        <f>69+0.3*L1</f>
        <v>72.599999999999994</v>
      </c>
      <c r="F6" s="8">
        <v>88</v>
      </c>
      <c r="G6" s="8">
        <v>87</v>
      </c>
      <c r="H6" s="8">
        <v>74</v>
      </c>
      <c r="I6" s="8">
        <v>0.16</v>
      </c>
      <c r="J6" s="9"/>
      <c r="K6" s="9"/>
    </row>
    <row r="7">
      <c r="A7" s="8" t="s">
        <v>39</v>
      </c>
      <c r="B7" s="8" t="s">
        <v>40</v>
      </c>
      <c r="C7" s="8">
        <f>185-0.5*L1</f>
        <v>179</v>
      </c>
      <c r="D7" s="8">
        <f>163+0.5*L1</f>
        <v>169</v>
      </c>
      <c r="E7" s="8">
        <f>168+1*L1</f>
        <v>180</v>
      </c>
      <c r="F7" s="8">
        <v>171</v>
      </c>
      <c r="G7" s="8">
        <v>173</v>
      </c>
      <c r="H7" s="8">
        <v>172</v>
      </c>
      <c r="I7" s="8">
        <v>0.10000000000000001</v>
      </c>
      <c r="J7" s="9"/>
      <c r="K7" s="9"/>
    </row>
    <row r="8">
      <c r="A8" s="8" t="s">
        <v>41</v>
      </c>
      <c r="B8" s="8" t="s">
        <v>42</v>
      </c>
      <c r="C8" s="8">
        <v>6</v>
      </c>
      <c r="D8" s="8">
        <v>4</v>
      </c>
      <c r="E8" s="8">
        <v>7</v>
      </c>
      <c r="F8" s="8">
        <v>3</v>
      </c>
      <c r="G8" s="8">
        <v>4</v>
      </c>
      <c r="H8" s="8">
        <v>6</v>
      </c>
      <c r="I8" s="8">
        <v>2.e-002</v>
      </c>
      <c r="J8" s="9"/>
      <c r="K8" s="9"/>
    </row>
    <row r="9" ht="16.800000000000001" customHeight="1">
      <c r="A9" s="8" t="s">
        <v>43</v>
      </c>
      <c r="B9" s="8" t="s">
        <v>44</v>
      </c>
      <c r="C9" s="8">
        <v>9</v>
      </c>
      <c r="D9" s="8">
        <v>10</v>
      </c>
      <c r="E9" s="8">
        <v>7</v>
      </c>
      <c r="F9" s="8">
        <v>7</v>
      </c>
      <c r="G9" s="8">
        <v>6</v>
      </c>
      <c r="H9" s="8">
        <v>5</v>
      </c>
      <c r="I9" s="8">
        <v>8.0000000000000002e-002</v>
      </c>
      <c r="J9" s="9"/>
      <c r="K9" s="9"/>
    </row>
    <row r="10" ht="28.5">
      <c r="A10" s="8" t="s">
        <v>45</v>
      </c>
      <c r="B10" s="8" t="s">
        <v>46</v>
      </c>
      <c r="C10" s="8">
        <f>1.67-0.5*L1</f>
        <v>-4.3300000000000001</v>
      </c>
      <c r="D10" s="8">
        <f>1.56+0.2*L1</f>
        <v>3.9600000000000004</v>
      </c>
      <c r="E10" s="8">
        <f>1.58+0.4*L1</f>
        <v>6.3800000000000008</v>
      </c>
      <c r="F10" s="8">
        <v>1.5900000000000001</v>
      </c>
      <c r="G10" s="8">
        <v>1.6100000000000001</v>
      </c>
      <c r="H10" s="8">
        <v>1.73</v>
      </c>
      <c r="I10" s="8">
        <v>5.0000000000000003e-002</v>
      </c>
      <c r="J10" s="9"/>
      <c r="K10" s="9"/>
    </row>
    <row r="11" ht="20.399999999999999" customHeight="1">
      <c r="A11" s="8" t="s">
        <v>47</v>
      </c>
      <c r="B11" s="8" t="s">
        <v>48</v>
      </c>
      <c r="C11" s="8">
        <f>1.41+0.1*L1</f>
        <v>2.6100000000000003</v>
      </c>
      <c r="D11" s="8">
        <f>1.35-0.2*L1</f>
        <v>-1.0500000000000003</v>
      </c>
      <c r="E11" s="8">
        <f>1.33+0.1*L1</f>
        <v>2.5300000000000002</v>
      </c>
      <c r="F11" s="8">
        <v>1.3100000000000001</v>
      </c>
      <c r="G11" s="8">
        <v>1.29</v>
      </c>
      <c r="H11" s="8">
        <v>1.27</v>
      </c>
      <c r="I11" s="8">
        <v>0.13</v>
      </c>
      <c r="J11" s="9"/>
      <c r="K11" s="9"/>
    </row>
    <row r="12">
      <c r="A12" s="8" t="s">
        <v>49</v>
      </c>
      <c r="B12" s="8" t="s">
        <v>50</v>
      </c>
      <c r="C12" s="8">
        <f>11.4+0.5*L1</f>
        <v>17.399999999999999</v>
      </c>
      <c r="D12" s="8">
        <f>11.4+0.3*L1</f>
        <v>15</v>
      </c>
      <c r="E12" s="8">
        <f>11.5-0.1*L1</f>
        <v>10.300000000000001</v>
      </c>
      <c r="F12" s="8">
        <v>11.6</v>
      </c>
      <c r="G12" s="8">
        <v>11</v>
      </c>
      <c r="H12" s="8">
        <v>12.1</v>
      </c>
      <c r="I12" s="8" t="s">
        <v>51</v>
      </c>
      <c r="J12" s="9"/>
      <c r="K12" s="9"/>
    </row>
    <row r="13" ht="28.5">
      <c r="A13" s="8" t="s">
        <v>52</v>
      </c>
      <c r="B13" s="8" t="s">
        <v>53</v>
      </c>
      <c r="C13" s="8">
        <f>27.1+0.1*L1</f>
        <v>28.300000000000001</v>
      </c>
      <c r="D13" s="8">
        <f>27.2-0.1*L1</f>
        <v>26</v>
      </c>
      <c r="E13" s="8">
        <f>27.3+0.3*L1</f>
        <v>30.899999999999999</v>
      </c>
      <c r="F13" s="8">
        <v>28.800000000000001</v>
      </c>
      <c r="G13" s="8">
        <v>29</v>
      </c>
      <c r="H13" s="8">
        <v>31</v>
      </c>
      <c r="I13" s="8" t="s">
        <v>51</v>
      </c>
      <c r="J13" s="9"/>
      <c r="K13" s="9"/>
    </row>
    <row r="14" ht="34.200000000000003" customHeight="1">
      <c r="A14" s="8" t="s">
        <v>54</v>
      </c>
      <c r="B14" s="8" t="s">
        <v>55</v>
      </c>
      <c r="C14" s="8">
        <f>1.1+0.5*L1</f>
        <v>7.0999999999999996</v>
      </c>
      <c r="D14" s="8">
        <f>1.25+0.2*L1</f>
        <v>3.6500000000000004</v>
      </c>
      <c r="E14" s="8">
        <f>1.27+0.1*L1</f>
        <v>2.4700000000000002</v>
      </c>
      <c r="F14" s="8">
        <v>1.29</v>
      </c>
      <c r="G14" s="8">
        <v>1.3100000000000001</v>
      </c>
      <c r="H14" s="8">
        <v>1.5</v>
      </c>
      <c r="I14" s="8" t="s">
        <v>51</v>
      </c>
      <c r="J14" s="9"/>
      <c r="K14" s="9"/>
    </row>
    <row r="15" ht="28.5">
      <c r="A15" s="8" t="s">
        <v>56</v>
      </c>
      <c r="B15" s="8" t="s">
        <v>57</v>
      </c>
      <c r="C15" s="8">
        <v>0.23000000000000001</v>
      </c>
      <c r="D15" s="8">
        <v>0.41999999999999998</v>
      </c>
      <c r="E15" s="8">
        <v>0.34999999999999998</v>
      </c>
      <c r="F15" s="8" t="s">
        <v>51</v>
      </c>
      <c r="G15" s="8" t="s">
        <v>51</v>
      </c>
      <c r="H15" s="8" t="s">
        <v>51</v>
      </c>
      <c r="I15" s="8" t="s">
        <v>51</v>
      </c>
      <c r="J15" s="9"/>
      <c r="K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ht="27" customHeight="1">
      <c r="A18" s="3" t="s">
        <v>0</v>
      </c>
      <c r="B18" s="3" t="s">
        <v>58</v>
      </c>
      <c r="C18" s="3" t="s">
        <v>59</v>
      </c>
      <c r="D18" s="3" t="s">
        <v>60</v>
      </c>
      <c r="E18" s="3"/>
      <c r="F18" s="3"/>
      <c r="I18" s="12" t="s">
        <v>61</v>
      </c>
      <c r="J18" s="12"/>
      <c r="K18" s="12"/>
      <c r="L18" s="12"/>
      <c r="M18" s="12"/>
      <c r="N18" s="12"/>
    </row>
    <row r="19">
      <c r="A19" s="3"/>
      <c r="B19" s="3"/>
      <c r="C19" s="3"/>
      <c r="D19" s="8" t="s">
        <v>28</v>
      </c>
      <c r="E19" s="8" t="s">
        <v>29</v>
      </c>
      <c r="F19" s="8" t="s">
        <v>30</v>
      </c>
      <c r="I19" s="12"/>
      <c r="J19" s="12"/>
      <c r="K19" s="12"/>
      <c r="L19" s="12"/>
      <c r="M19" s="12"/>
      <c r="N19" s="12"/>
    </row>
    <row r="20" ht="14.4" customHeight="1">
      <c r="A20" s="13" t="s">
        <v>62</v>
      </c>
      <c r="B20" s="14"/>
      <c r="C20" s="14"/>
      <c r="D20" s="14"/>
      <c r="E20" s="14"/>
      <c r="F20" s="15"/>
      <c r="G20" s="9"/>
      <c r="H20" s="9"/>
      <c r="I20" s="12"/>
      <c r="J20" s="12"/>
      <c r="K20" s="12"/>
      <c r="L20" s="12"/>
      <c r="M20" s="12"/>
      <c r="N20" s="12"/>
    </row>
    <row r="21">
      <c r="A21" s="8" t="s">
        <v>31</v>
      </c>
      <c r="B21" s="8" t="s">
        <v>63</v>
      </c>
      <c r="C21" s="7" t="s">
        <v>64</v>
      </c>
      <c r="D21" s="8">
        <f t="shared" ref="D21:D22" si="5">C3/F3*$I3</f>
        <v>0.11325842696629213</v>
      </c>
      <c r="E21" s="8">
        <f t="shared" ref="E21:F27" si="6">D3/G3*$I3</f>
        <v>0.22090909090909092</v>
      </c>
      <c r="F21" s="8">
        <f>E3/H3*$I3</f>
        <v>0.2146153846153846</v>
      </c>
      <c r="G21" s="9"/>
      <c r="H21" s="9"/>
      <c r="I21" s="12"/>
      <c r="J21" s="12"/>
      <c r="K21" s="12"/>
      <c r="L21" s="12"/>
      <c r="M21" s="12"/>
      <c r="N21" s="12"/>
    </row>
    <row r="22">
      <c r="A22" s="8" t="s">
        <v>33</v>
      </c>
      <c r="B22" s="8" t="s">
        <v>65</v>
      </c>
      <c r="C22" s="7" t="s">
        <v>66</v>
      </c>
      <c r="D22" s="8">
        <f t="shared" si="5"/>
        <v>7.7647058823529416e-002</v>
      </c>
      <c r="E22" s="8">
        <f t="shared" si="6"/>
        <v>0.14173076923076924</v>
      </c>
      <c r="F22" s="8">
        <f t="shared" si="6"/>
        <v>0.11622641509433962</v>
      </c>
      <c r="G22" s="9"/>
      <c r="H22" s="9"/>
      <c r="I22" s="12"/>
      <c r="J22" s="12"/>
      <c r="K22" s="12"/>
      <c r="L22" s="12"/>
      <c r="M22" s="12"/>
      <c r="N22" s="12"/>
    </row>
    <row r="23" ht="21" customHeight="1">
      <c r="A23" s="8" t="s">
        <v>35</v>
      </c>
      <c r="B23" s="8" t="s">
        <v>67</v>
      </c>
      <c r="C23" s="7" t="s">
        <v>68</v>
      </c>
      <c r="D23" s="8">
        <f>F5/C5*$I5</f>
        <v>0.1275</v>
      </c>
      <c r="E23" s="8">
        <f>G5/D5*$I5</f>
        <v>0.1661654135338346</v>
      </c>
      <c r="F23" s="8">
        <f>H5/E5*$I5</f>
        <v>0.13449367088607597</v>
      </c>
      <c r="G23" s="9"/>
      <c r="H23" s="9"/>
      <c r="I23" s="12"/>
      <c r="J23" s="12"/>
      <c r="K23" s="12"/>
      <c r="L23" s="12"/>
      <c r="M23" s="12"/>
      <c r="N23" s="12"/>
    </row>
    <row r="24" ht="28.5">
      <c r="A24" s="8" t="s">
        <v>37</v>
      </c>
      <c r="B24" s="8" t="s">
        <v>69</v>
      </c>
      <c r="C24" s="7" t="s">
        <v>70</v>
      </c>
      <c r="D24" s="8">
        <f t="shared" ref="D24:D27" si="7">C6/F6*$I6</f>
        <v>0.13345454545454546</v>
      </c>
      <c r="E24" s="8">
        <f t="shared" si="6"/>
        <v>0.14124137931034483</v>
      </c>
      <c r="F24" s="8">
        <f t="shared" si="6"/>
        <v>0.15697297297297297</v>
      </c>
      <c r="G24" s="9"/>
      <c r="H24" s="9"/>
      <c r="I24" s="9"/>
      <c r="J24" s="9"/>
      <c r="K24" s="9"/>
    </row>
    <row r="25">
      <c r="A25" s="8" t="s">
        <v>39</v>
      </c>
      <c r="B25" s="8" t="s">
        <v>71</v>
      </c>
      <c r="C25" s="7" t="s">
        <v>72</v>
      </c>
      <c r="D25" s="8">
        <f t="shared" si="7"/>
        <v>0.10467836257309943</v>
      </c>
      <c r="E25" s="8">
        <f t="shared" si="6"/>
        <v>9.7687861271676307e-002</v>
      </c>
      <c r="F25" s="8">
        <f t="shared" si="6"/>
        <v>0.10465116279069769</v>
      </c>
      <c r="G25" s="9"/>
      <c r="H25" s="9"/>
      <c r="I25" s="9"/>
      <c r="J25" s="9"/>
      <c r="K25" s="9"/>
    </row>
    <row r="26">
      <c r="A26" s="8" t="s">
        <v>41</v>
      </c>
      <c r="B26" s="8" t="s">
        <v>73</v>
      </c>
      <c r="C26" s="7" t="s">
        <v>74</v>
      </c>
      <c r="D26" s="8">
        <f t="shared" si="7"/>
        <v>4.0000000000000001e-002</v>
      </c>
      <c r="E26" s="8">
        <f t="shared" si="6"/>
        <v>2.e-002</v>
      </c>
      <c r="F26" s="8">
        <f t="shared" si="6"/>
        <v>2.3333333333333334e-002</v>
      </c>
    </row>
    <row r="27">
      <c r="A27" s="8" t="s">
        <v>43</v>
      </c>
      <c r="B27" s="8" t="s">
        <v>75</v>
      </c>
      <c r="C27" s="7" t="s">
        <v>76</v>
      </c>
      <c r="D27" s="8">
        <f t="shared" si="7"/>
        <v>0.10285714285714287</v>
      </c>
      <c r="E27" s="8">
        <f t="shared" si="6"/>
        <v>0.13333333333333333</v>
      </c>
      <c r="F27" s="8">
        <f t="shared" si="6"/>
        <v>0.11199999999999999</v>
      </c>
    </row>
    <row r="28" ht="28.5">
      <c r="A28" s="8" t="s">
        <v>45</v>
      </c>
      <c r="B28" s="8" t="s">
        <v>77</v>
      </c>
      <c r="C28" s="7" t="s">
        <v>78</v>
      </c>
      <c r="D28" s="8">
        <f t="shared" ref="D28:F29" si="8">F10/C10*$I10</f>
        <v>-1.8360277136258662e-002</v>
      </c>
      <c r="E28" s="8">
        <f t="shared" si="8"/>
        <v>2.0328282828282831e-002</v>
      </c>
      <c r="F28" s="8">
        <f t="shared" si="8"/>
        <v>1.3557993730407523e-002</v>
      </c>
    </row>
    <row r="29">
      <c r="A29" s="8" t="s">
        <v>47</v>
      </c>
      <c r="B29" s="8" t="s">
        <v>79</v>
      </c>
      <c r="C29" s="7" t="s">
        <v>80</v>
      </c>
      <c r="D29" s="8">
        <f t="shared" si="8"/>
        <v>6.5249042145593864e-002</v>
      </c>
      <c r="E29" s="8">
        <f t="shared" si="8"/>
        <v>-0.15971428571428567</v>
      </c>
      <c r="F29" s="8">
        <f t="shared" si="8"/>
        <v>6.5256916996047437e-002</v>
      </c>
    </row>
    <row r="30" ht="28.5">
      <c r="A30" s="8" t="s">
        <v>81</v>
      </c>
      <c r="B30" s="8" t="s">
        <v>82</v>
      </c>
      <c r="C30" s="7" t="s">
        <v>83</v>
      </c>
      <c r="D30" s="8">
        <f>SUM(D21:D29)</f>
        <v>0.74628430168394455</v>
      </c>
      <c r="E30" s="8">
        <f>SUM(E21:E29)</f>
        <v>0.78168184470304636</v>
      </c>
      <c r="F30" s="8">
        <f>SUM(F21:F29)</f>
        <v>0.94110785041925904</v>
      </c>
    </row>
    <row r="31" ht="28.5">
      <c r="A31" s="8" t="s">
        <v>84</v>
      </c>
      <c r="B31" s="8" t="s">
        <v>85</v>
      </c>
      <c r="C31" s="8" t="s">
        <v>86</v>
      </c>
      <c r="D31" s="8">
        <f>(C12+C13)/(F12+F13)</f>
        <v>1.1311881188118813</v>
      </c>
      <c r="E31" s="8">
        <f>(D12+D13)/(G12+G13)</f>
        <v>1.0249999999999999</v>
      </c>
      <c r="F31" s="8">
        <f>(E12+E13)/(H12+H13)</f>
        <v>0.95591647331786544</v>
      </c>
    </row>
    <row r="32" ht="43.200000000000003" customHeight="1">
      <c r="A32" s="8" t="s">
        <v>87</v>
      </c>
      <c r="B32" s="8" t="s">
        <v>88</v>
      </c>
      <c r="C32" s="7" t="s">
        <v>89</v>
      </c>
      <c r="D32" s="16">
        <f>D30/D31</f>
        <v>0.65973491877530321</v>
      </c>
      <c r="E32" s="16">
        <f>E30/E31</f>
        <v>0.76261643385663069</v>
      </c>
      <c r="F32" s="16">
        <f>F30/F31</f>
        <v>0.98450845517160346</v>
      </c>
      <c r="N32" s="17"/>
    </row>
    <row r="33" ht="14.4" customHeight="1">
      <c r="N33" s="17"/>
    </row>
    <row r="34" ht="25.800000000000001" customHeight="1">
      <c r="A34" s="3" t="s">
        <v>90</v>
      </c>
      <c r="B34" s="3"/>
      <c r="C34" s="3"/>
      <c r="D34" s="7">
        <f>C15*(C14*D32/F14)+D15*(D14*E32/G14)+E15*(E14*F32/H14)</f>
        <v>2.2949937202920734</v>
      </c>
      <c r="N34" s="17"/>
    </row>
    <row r="35" ht="14.4" customHeight="1">
      <c r="N35" s="17"/>
    </row>
    <row r="36" ht="14.4" customHeight="1">
      <c r="N36" s="1"/>
    </row>
    <row r="37">
      <c r="N37" s="1"/>
    </row>
    <row r="38" ht="14.25">
      <c r="H38" s="1"/>
      <c r="I38" s="1"/>
      <c r="J38" s="1"/>
      <c r="K38" s="1"/>
      <c r="L38" s="1"/>
      <c r="M38" s="1"/>
      <c r="N38" s="1"/>
    </row>
    <row r="39" ht="14.25">
      <c r="H39" s="1"/>
      <c r="I39" s="1"/>
      <c r="J39" s="1"/>
      <c r="K39" s="1"/>
      <c r="L39" s="1"/>
      <c r="M39" s="1"/>
      <c r="N39" s="1"/>
    </row>
    <row r="40" ht="14.25">
      <c r="H40" s="1"/>
      <c r="I40" s="1"/>
      <c r="J40" s="1"/>
      <c r="K40" s="1"/>
      <c r="L40" s="1"/>
      <c r="M40" s="1"/>
      <c r="N40" s="1"/>
    </row>
    <row r="41" ht="14.25">
      <c r="H41" s="1"/>
      <c r="I41" s="1"/>
      <c r="J41" s="1"/>
      <c r="K41" s="1"/>
      <c r="L41" s="1"/>
      <c r="M41" s="1"/>
      <c r="N41" s="1"/>
    </row>
  </sheetData>
  <mergeCells count="12">
    <mergeCell ref="A1:A2"/>
    <mergeCell ref="B1:B2"/>
    <mergeCell ref="C1:E1"/>
    <mergeCell ref="F1:H1"/>
    <mergeCell ref="I1:I2"/>
    <mergeCell ref="A18:A19"/>
    <mergeCell ref="B18:B19"/>
    <mergeCell ref="C18:C19"/>
    <mergeCell ref="D18:F18"/>
    <mergeCell ref="I18:N23"/>
    <mergeCell ref="A20:F20"/>
    <mergeCell ref="A34:C34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L17" zoomScale="100" workbookViewId="0">
      <selection activeCell="G29" activeCellId="0" sqref="G29"/>
    </sheetView>
  </sheetViews>
  <sheetFormatPr defaultRowHeight="14.25"/>
  <cols>
    <col customWidth="1" min="1" max="1" style="1" width="16.33203125"/>
    <col min="2" max="5" style="1" width="9.140625"/>
    <col customWidth="1" min="6" max="6" style="1" width="11"/>
    <col customWidth="1" min="7" max="7" style="1" width="14.77734375"/>
    <col customWidth="1" min="8" max="8" style="1" width="12.33203125"/>
    <col customWidth="1" min="9" max="9" style="1" width="12.77734375"/>
    <col customWidth="1" min="10" max="10" style="1" width="23.21875"/>
    <col customWidth="1" min="11" max="11" style="1" width="14.21875"/>
    <col customWidth="1" min="12" max="12" style="1" width="13.6640625"/>
    <col customWidth="1" min="13" max="13" style="1" width="12.77734375"/>
    <col customWidth="1" min="14" max="14" style="1" width="19.00390625"/>
    <col min="15" max="15" style="1" width="9.140625"/>
    <col customWidth="1" min="16" max="16" style="1" width="36.7109375"/>
    <col customWidth="1" min="17" max="17" style="1" width="20.44140625"/>
    <col customWidth="1" min="18" max="18" style="1" width="20.21875"/>
    <col min="19" max="16384" style="1" width="9.140625"/>
  </cols>
  <sheetData>
    <row r="1" ht="30" customHeight="1">
      <c r="A1" s="3" t="s">
        <v>91</v>
      </c>
      <c r="B1" s="3" t="s">
        <v>92</v>
      </c>
      <c r="C1" s="3"/>
      <c r="D1" s="3"/>
      <c r="F1" s="7" t="s">
        <v>3</v>
      </c>
      <c r="G1" s="7">
        <v>12</v>
      </c>
    </row>
    <row r="2">
      <c r="A2" s="3"/>
      <c r="B2" s="8" t="s">
        <v>93</v>
      </c>
      <c r="C2" s="8" t="s">
        <v>94</v>
      </c>
      <c r="D2" s="8" t="s">
        <v>95</v>
      </c>
    </row>
    <row r="3">
      <c r="A3" s="7" t="s">
        <v>96</v>
      </c>
      <c r="B3" s="7">
        <v>15.199999999999999</v>
      </c>
      <c r="C3" s="7">
        <f>B3-0.8*G1</f>
        <v>5.5999999999999979</v>
      </c>
      <c r="D3" s="7">
        <f>B3+1.3*G1</f>
        <v>30.800000000000001</v>
      </c>
    </row>
    <row r="4">
      <c r="A4" s="7" t="s">
        <v>97</v>
      </c>
      <c r="B4" s="7">
        <f>8.4*G1</f>
        <v>100.80000000000001</v>
      </c>
      <c r="C4" s="7">
        <f>B4+0.5*G1</f>
        <v>106.80000000000001</v>
      </c>
      <c r="D4" s="7">
        <f>B4+0.7*G1</f>
        <v>109.20000000000002</v>
      </c>
    </row>
    <row r="5">
      <c r="A5" s="7" t="s">
        <v>98</v>
      </c>
      <c r="B5" s="7">
        <v>31.5</v>
      </c>
      <c r="C5" s="7">
        <f>B5+1.9*G1</f>
        <v>54.299999999999997</v>
      </c>
      <c r="D5" s="7">
        <f>B5-0.3*G1</f>
        <v>27.899999999999999</v>
      </c>
    </row>
    <row r="6">
      <c r="A6" s="7" t="s">
        <v>99</v>
      </c>
      <c r="B6" s="7">
        <v>17</v>
      </c>
      <c r="C6" s="7">
        <f>B6+0.2*G1</f>
        <v>19.399999999999999</v>
      </c>
      <c r="D6" s="7">
        <f>B6+0.4*G1</f>
        <v>21.800000000000001</v>
      </c>
    </row>
    <row r="7">
      <c r="A7" s="7" t="s">
        <v>100</v>
      </c>
      <c r="B7" s="7">
        <v>211.5</v>
      </c>
      <c r="C7" s="7">
        <f>B7-0.1*G1</f>
        <v>210.30000000000001</v>
      </c>
      <c r="D7" s="7">
        <f>B7+0.2*G1</f>
        <v>213.90000000000001</v>
      </c>
    </row>
    <row r="8">
      <c r="A8" s="7" t="s">
        <v>101</v>
      </c>
      <c r="B8" s="7">
        <v>26.899999999999999</v>
      </c>
      <c r="C8" s="7">
        <f>B8+0.7*G1</f>
        <v>35.299999999999997</v>
      </c>
      <c r="D8" s="7">
        <f>B8+0.3*G1</f>
        <v>30.5</v>
      </c>
    </row>
    <row r="9">
      <c r="A9" s="7" t="s">
        <v>102</v>
      </c>
      <c r="B9" s="7">
        <f>2.4*G1</f>
        <v>28.799999999999997</v>
      </c>
      <c r="C9" s="7">
        <f>B9+0.1*G1</f>
        <v>29.999999999999996</v>
      </c>
      <c r="D9" s="7">
        <f>B9-0.1*G1</f>
        <v>27.599999999999998</v>
      </c>
    </row>
    <row r="10">
      <c r="A10" s="7" t="s">
        <v>103</v>
      </c>
      <c r="B10" s="7">
        <v>55.600000000000001</v>
      </c>
      <c r="C10" s="7">
        <f>B10-0.3*G1</f>
        <v>52</v>
      </c>
      <c r="D10" s="7">
        <f>B10-0.5*G1</f>
        <v>49.600000000000001</v>
      </c>
    </row>
    <row r="11">
      <c r="A11" s="7" t="s">
        <v>104</v>
      </c>
      <c r="B11" s="7">
        <v>183.09999999999999</v>
      </c>
      <c r="C11" s="7">
        <f>B11+0.3*G1</f>
        <v>186.69999999999999</v>
      </c>
      <c r="D11" s="7">
        <f>B11+0.1*G1</f>
        <v>184.29999999999998</v>
      </c>
    </row>
    <row r="12">
      <c r="A12" s="7" t="s">
        <v>105</v>
      </c>
      <c r="B12" s="7">
        <v>320.39999999999998</v>
      </c>
      <c r="C12" s="7">
        <f>B12+0.2*G1</f>
        <v>322.79999999999995</v>
      </c>
      <c r="D12" s="7">
        <f>B12-0.1*G1</f>
        <v>319.19999999999999</v>
      </c>
    </row>
    <row r="13">
      <c r="A13" s="7" t="s">
        <v>106</v>
      </c>
      <c r="B13" s="7">
        <v>15.9</v>
      </c>
      <c r="C13" s="7">
        <f>B13+1.3*G1</f>
        <v>31.5</v>
      </c>
      <c r="D13" s="7">
        <f>B13+1*G1</f>
        <v>27.899999999999999</v>
      </c>
    </row>
    <row r="14">
      <c r="A14" s="7" t="s">
        <v>107</v>
      </c>
      <c r="B14" s="7">
        <f>11.8*G1</f>
        <v>141.60000000000002</v>
      </c>
      <c r="C14" s="7">
        <f>B14+0.8*G1</f>
        <v>151.20000000000002</v>
      </c>
      <c r="D14" s="7">
        <f>B14-0.2*G1</f>
        <v>139.20000000000002</v>
      </c>
    </row>
    <row r="15">
      <c r="A15" s="7" t="s">
        <v>108</v>
      </c>
      <c r="B15" s="7">
        <v>105.40000000000001</v>
      </c>
      <c r="C15" s="7">
        <f>B15+0.7*G1</f>
        <v>113.80000000000001</v>
      </c>
      <c r="D15" s="7">
        <f>B15+0.3*G1</f>
        <v>109</v>
      </c>
    </row>
    <row r="16">
      <c r="A16" s="7" t="s">
        <v>109</v>
      </c>
      <c r="B16" s="7">
        <v>15.4</v>
      </c>
      <c r="C16" s="7">
        <f>B16-0.1*G1</f>
        <v>14.199999999999999</v>
      </c>
      <c r="D16" s="7">
        <f>B16+0.1*G1</f>
        <v>16.600000000000001</v>
      </c>
    </row>
    <row r="17">
      <c r="A17" s="7" t="s">
        <v>110</v>
      </c>
      <c r="B17" s="7">
        <v>61.299999999999997</v>
      </c>
      <c r="C17" s="7">
        <f>B17+0.3*G1</f>
        <v>64.899999999999991</v>
      </c>
      <c r="D17" s="7">
        <f>B17+0.2*G1</f>
        <v>63.699999999999996</v>
      </c>
    </row>
    <row r="18">
      <c r="A18" s="7" t="s">
        <v>111</v>
      </c>
      <c r="B18" s="7">
        <v>30.199999999999999</v>
      </c>
      <c r="C18" s="7">
        <f>B18+1.1*G1</f>
        <v>43.399999999999999</v>
      </c>
      <c r="D18" s="7">
        <f>B18+0.8*G1</f>
        <v>39.799999999999997</v>
      </c>
    </row>
    <row r="19">
      <c r="A19" s="7" t="s">
        <v>112</v>
      </c>
      <c r="B19" s="7">
        <v>277.39999999999998</v>
      </c>
      <c r="C19" s="7">
        <f>B19+0.3*G1</f>
        <v>281</v>
      </c>
      <c r="D19" s="7">
        <f>B19+0.5*G1</f>
        <v>283.39999999999998</v>
      </c>
    </row>
    <row r="20">
      <c r="A20" s="7" t="s">
        <v>113</v>
      </c>
      <c r="B20" s="7">
        <v>75.599999999999994</v>
      </c>
      <c r="C20" s="7">
        <f>B20-0.4*G1</f>
        <v>70.799999999999997</v>
      </c>
      <c r="D20" s="7">
        <f>B20-0.3*G1</f>
        <v>72</v>
      </c>
    </row>
    <row r="21">
      <c r="A21" s="7" t="s">
        <v>114</v>
      </c>
      <c r="B21" s="7">
        <v>53.799999999999997</v>
      </c>
      <c r="C21" s="7">
        <f>B21+0.1*G1</f>
        <v>55</v>
      </c>
      <c r="D21" s="7">
        <f>B21+0.5*G1</f>
        <v>59.799999999999997</v>
      </c>
    </row>
    <row r="22">
      <c r="A22" s="7" t="s">
        <v>115</v>
      </c>
      <c r="B22" s="7">
        <f>14.3*G1</f>
        <v>171.60000000000002</v>
      </c>
      <c r="C22" s="7">
        <f>B22-0.2*G1</f>
        <v>169.20000000000002</v>
      </c>
      <c r="D22" s="7">
        <f>B22+0.3*G1</f>
        <v>175.20000000000002</v>
      </c>
    </row>
    <row r="25" ht="46.200000000000003" customHeight="1">
      <c r="A25" s="18" t="s">
        <v>91</v>
      </c>
      <c r="B25" s="13" t="s">
        <v>92</v>
      </c>
      <c r="C25" s="14"/>
      <c r="D25" s="14"/>
      <c r="E25" s="15"/>
      <c r="F25" s="18" t="s">
        <v>116</v>
      </c>
      <c r="G25" s="18" t="s">
        <v>117</v>
      </c>
      <c r="H25" s="18" t="s">
        <v>118</v>
      </c>
      <c r="I25" s="18" t="s">
        <v>119</v>
      </c>
      <c r="J25" s="18" t="s">
        <v>120</v>
      </c>
      <c r="K25" s="18" t="s">
        <v>121</v>
      </c>
      <c r="L25" s="18" t="s">
        <v>122</v>
      </c>
      <c r="M25" s="18" t="s">
        <v>123</v>
      </c>
    </row>
    <row r="26" ht="28.5">
      <c r="A26" s="3"/>
      <c r="B26" s="8" t="s">
        <v>93</v>
      </c>
      <c r="C26" s="8" t="s">
        <v>94</v>
      </c>
      <c r="D26" s="8" t="s">
        <v>95</v>
      </c>
      <c r="E26" s="8" t="s">
        <v>124</v>
      </c>
      <c r="F26" s="19"/>
      <c r="G26" s="19"/>
      <c r="H26" s="19"/>
      <c r="I26" s="19"/>
      <c r="J26" s="3"/>
      <c r="K26" s="3"/>
      <c r="L26" s="3"/>
      <c r="M26" s="3"/>
      <c r="O26" s="2" t="s">
        <v>125</v>
      </c>
      <c r="P26" s="2"/>
      <c r="Q26" s="2"/>
      <c r="R26" s="2"/>
    </row>
    <row r="27">
      <c r="A27" s="1" t="s">
        <v>105</v>
      </c>
      <c r="B27" s="1">
        <v>320.39999999999998</v>
      </c>
      <c r="C27" s="1">
        <v>322.79999999999995</v>
      </c>
      <c r="D27" s="1">
        <v>319.19999999999999</v>
      </c>
      <c r="E27" s="1">
        <v>962.39999999999986</v>
      </c>
      <c r="F27" s="1">
        <v>15.858421078649462</v>
      </c>
      <c r="G27" s="7">
        <f>E27/E47*100</f>
        <v>15.858421078649465</v>
      </c>
      <c r="H27" s="7" t="str">
        <f>IF(AND(G27&gt;0,G27&lt;=80),"A",IF(AND(G27&gt;80,G27&lt;=95),"B","C"))</f>
        <v>A</v>
      </c>
      <c r="I27" s="7">
        <f>SUM(B27:D27)/3</f>
        <v>320.79999999999995</v>
      </c>
      <c r="J27" s="7">
        <f>SQRT(((B27-I27)^2+(C27-I27)^2+(D27-I27)^2)/3)</f>
        <v>1.4966629547095625</v>
      </c>
      <c r="K27" s="7">
        <f>J27/I27*100</f>
        <v>0.46654082129350455</v>
      </c>
      <c r="L27" s="7" t="str">
        <f>IF(AND(K27&gt;0,K27&lt;=9),"X",IF(AND(K27&gt;10,K27&lt;=25),"Y","Z"))</f>
        <v>X</v>
      </c>
      <c r="M27" s="7" t="str">
        <f>_xlfn.CONCAT(H27,L27)</f>
        <v>AX</v>
      </c>
      <c r="N27" s="1"/>
      <c r="O27" s="7"/>
      <c r="P27" s="7" t="s">
        <v>4</v>
      </c>
      <c r="Q27" s="7" t="s">
        <v>5</v>
      </c>
      <c r="R27" s="7" t="s">
        <v>6</v>
      </c>
    </row>
    <row r="28" ht="32.25" customHeight="1">
      <c r="A28" s="1" t="s">
        <v>112</v>
      </c>
      <c r="B28" s="1">
        <v>277.39999999999998</v>
      </c>
      <c r="C28" s="1">
        <v>281</v>
      </c>
      <c r="D28" s="1">
        <v>283.39999999999998</v>
      </c>
      <c r="E28" s="1">
        <v>841.79999999999995</v>
      </c>
      <c r="F28" s="1">
        <v>13.871175045726433</v>
      </c>
      <c r="G28" s="7">
        <f>G27+F28</f>
        <v>29.729596124375899</v>
      </c>
      <c r="H28" s="7" t="str">
        <f>IF(AND(G28&gt;0,G28&lt;=80),"A",IF(AND(G28&gt;80,G28&lt;=95),"B","C"))</f>
        <v>A</v>
      </c>
      <c r="I28" s="7">
        <f>SUM(B28:D28)/3</f>
        <v>280.59999999999997</v>
      </c>
      <c r="J28" s="7">
        <f>SQRT(((B28-I28)^2+(C28-I28)^2+(D28-I28)^2)/3)</f>
        <v>2.4657656011875915</v>
      </c>
      <c r="K28" s="7">
        <f>J28/I28*100</f>
        <v>0.87874754140683953</v>
      </c>
      <c r="L28" s="7" t="str">
        <f>IF(AND(K28&gt;0,K28&lt;=9),"X",IF(AND(K28&gt;10,K28&lt;=25),"Y","Z"))</f>
        <v>X</v>
      </c>
      <c r="M28" s="7" t="str">
        <f>_xlfn.CONCAT(H28,L28)</f>
        <v>AX</v>
      </c>
      <c r="N28" s="1"/>
      <c r="O28" s="7" t="s">
        <v>126</v>
      </c>
      <c r="P28" s="8" t="s">
        <v>127</v>
      </c>
      <c r="Q28" s="8" t="s">
        <v>128</v>
      </c>
      <c r="R28" s="8" t="s">
        <v>129</v>
      </c>
    </row>
    <row r="29">
      <c r="A29" s="1" t="s">
        <v>100</v>
      </c>
      <c r="B29" s="1">
        <v>211.5</v>
      </c>
      <c r="C29" s="1">
        <v>210.30000000000001</v>
      </c>
      <c r="D29" s="1">
        <v>213.90000000000001</v>
      </c>
      <c r="E29" s="1">
        <v>635.70000000000005</v>
      </c>
      <c r="F29" s="1">
        <v>10.475060556626627</v>
      </c>
      <c r="G29" s="7">
        <f>G28+F29</f>
        <v>40.204656681002525</v>
      </c>
      <c r="H29" s="7" t="str">
        <f>IF(AND(G29&gt;0,G29&lt;=80),"A",IF(AND(G29&gt;80,G29&lt;=95),"B","C"))</f>
        <v>A</v>
      </c>
      <c r="I29" s="7">
        <f>SUM(B29:D29)/3</f>
        <v>211.90000000000001</v>
      </c>
      <c r="J29" s="7">
        <f>SQRT(((B29-I29)^2+(C29-I29)^2+(D29-I29)^2)/3)</f>
        <v>1.4966629547095749</v>
      </c>
      <c r="K29" s="7">
        <f>J29/I29*100</f>
        <v>0.70630625517205048</v>
      </c>
      <c r="L29" s="7" t="str">
        <f>IF(AND(K29&gt;0,K29&lt;=9),"X",IF(AND(K29&gt;10,K29&lt;=25),"Y","Z"))</f>
        <v>X</v>
      </c>
      <c r="M29" s="7" t="str">
        <f>_xlfn.CONCAT(H29,L29)</f>
        <v>AX</v>
      </c>
      <c r="N29" s="1"/>
      <c r="O29" s="7" t="s">
        <v>130</v>
      </c>
      <c r="P29" s="8" t="s">
        <v>51</v>
      </c>
      <c r="Q29" s="8" t="s">
        <v>131</v>
      </c>
      <c r="R29" s="8">
        <v>4</v>
      </c>
    </row>
    <row r="30">
      <c r="A30" s="1" t="s">
        <v>104</v>
      </c>
      <c r="B30" s="1">
        <v>183.09999999999999</v>
      </c>
      <c r="C30" s="1">
        <v>186.69999999999999</v>
      </c>
      <c r="D30" s="1">
        <v>184.29999999999998</v>
      </c>
      <c r="E30" s="1">
        <v>554.09999999999991</v>
      </c>
      <c r="F30" s="1">
        <v>9.1304562756438763</v>
      </c>
      <c r="G30" s="7">
        <f>G29+F30</f>
        <v>49.335112956646398</v>
      </c>
      <c r="H30" s="7" t="str">
        <f>IF(AND(G30&gt;0,G30&lt;=80),"A",IF(AND(G30&gt;80,G30&lt;=95),"B","C"))</f>
        <v>A</v>
      </c>
      <c r="I30" s="7">
        <f>SUM(B30:D30)/3</f>
        <v>184.69999999999996</v>
      </c>
      <c r="J30" s="7">
        <f>SQRT(((B30-I30)^2+(C30-I30)^2+(D30-I30)^2)/3)</f>
        <v>1.4966629547095749</v>
      </c>
      <c r="K30" s="7">
        <f>J30/I30*100</f>
        <v>0.81032103665921784</v>
      </c>
      <c r="L30" s="7" t="str">
        <f>IF(AND(K30&gt;0,K30&lt;=9),"X",IF(AND(K30&gt;10,K30&lt;=25),"Y","Z"))</f>
        <v>X</v>
      </c>
      <c r="M30" s="7" t="str">
        <f>_xlfn.CONCAT(H30,L30)</f>
        <v>AX</v>
      </c>
      <c r="N30" s="1"/>
      <c r="O30" s="7" t="s">
        <v>132</v>
      </c>
      <c r="P30" s="8">
        <v>3</v>
      </c>
      <c r="Q30" s="8" t="s">
        <v>51</v>
      </c>
      <c r="R30" s="8" t="s">
        <v>133</v>
      </c>
    </row>
    <row r="31">
      <c r="A31" s="1" t="s">
        <v>115</v>
      </c>
      <c r="B31" s="1">
        <v>171.60000000000002</v>
      </c>
      <c r="C31" s="1">
        <v>169.20000000000002</v>
      </c>
      <c r="D31" s="1">
        <v>175.20000000000002</v>
      </c>
      <c r="E31" s="1">
        <v>516.00000000000011</v>
      </c>
      <c r="F31" s="1">
        <v>8.5026447179791411</v>
      </c>
      <c r="G31" s="7">
        <f>G30+F31</f>
        <v>57.837757674625536</v>
      </c>
      <c r="H31" s="7" t="str">
        <f>IF(AND(G31&gt;0,G31&lt;=80),"A",IF(AND(G31&gt;80,G31&lt;=95),"B","C"))</f>
        <v>A</v>
      </c>
      <c r="I31" s="7">
        <f>SUM(B31:D31)/3</f>
        <v>172.00000000000003</v>
      </c>
      <c r="J31" s="7">
        <f>SQRT(((B31-I31)^2+(C31-I31)^2+(D31-I31)^2)/3)</f>
        <v>2.4657656011875901</v>
      </c>
      <c r="K31" s="7">
        <f>J31/I31*100</f>
        <v>1.43358465185325</v>
      </c>
      <c r="L31" s="7" t="str">
        <f>IF(AND(K31&gt;0,K31&lt;=9),"X",IF(AND(K31&gt;10,K31&lt;=25),"Y","Z"))</f>
        <v>X</v>
      </c>
      <c r="M31" s="7" t="str">
        <f>_xlfn.CONCAT(H31,L31)</f>
        <v>AX</v>
      </c>
      <c r="N31" s="1"/>
    </row>
    <row r="32" ht="14.4" customHeight="1">
      <c r="A32" s="1" t="s">
        <v>107</v>
      </c>
      <c r="B32" s="1">
        <v>141.60000000000002</v>
      </c>
      <c r="C32" s="1">
        <v>151.20000000000002</v>
      </c>
      <c r="D32" s="1">
        <v>139.20000000000002</v>
      </c>
      <c r="E32" s="1">
        <v>432.00000000000011</v>
      </c>
      <c r="F32" s="1">
        <v>7.1184932522616071</v>
      </c>
      <c r="G32" s="7">
        <f>G31+F32</f>
        <v>64.956250926887137</v>
      </c>
      <c r="H32" s="7" t="str">
        <f>IF(AND(G32&gt;0,G32&lt;=80),"A",IF(AND(G32&gt;80,G32&lt;=95),"B","C"))</f>
        <v>A</v>
      </c>
      <c r="I32" s="7">
        <f>SUM(B32:D32)/3</f>
        <v>144.00000000000003</v>
      </c>
      <c r="J32" s="7">
        <f>SQRT(((B32-I32)^2+(C32-I32)^2+(D32-I32)^2)/3)</f>
        <v>5.1845925587262878</v>
      </c>
      <c r="K32" s="7">
        <f>J32/I32*100</f>
        <v>3.6004114991154768</v>
      </c>
      <c r="L32" s="7" t="str">
        <f>IF(AND(K32&gt;0,K32&lt;=9),"X",IF(AND(K32&gt;10,K32&lt;=25),"Y","Z"))</f>
        <v>X</v>
      </c>
      <c r="M32" s="7" t="str">
        <f>_xlfn.CONCAT(H32,L32)</f>
        <v>AX</v>
      </c>
      <c r="N32" s="1"/>
      <c r="O32" s="20" t="s">
        <v>134</v>
      </c>
      <c r="P32" s="20" t="s">
        <v>135</v>
      </c>
      <c r="Q32" s="20" t="s">
        <v>135</v>
      </c>
      <c r="R32" s="20" t="s">
        <v>135</v>
      </c>
      <c r="S32" s="20" t="s">
        <v>135</v>
      </c>
      <c r="T32" s="20" t="s">
        <v>135</v>
      </c>
    </row>
    <row r="33">
      <c r="A33" s="1" t="s">
        <v>108</v>
      </c>
      <c r="B33" s="1">
        <v>105.40000000000001</v>
      </c>
      <c r="C33" s="1">
        <v>113.80000000000001</v>
      </c>
      <c r="D33" s="1">
        <v>109</v>
      </c>
      <c r="E33" s="1">
        <v>328.20000000000005</v>
      </c>
      <c r="F33" s="1">
        <v>5.4080775124820812</v>
      </c>
      <c r="G33" s="7">
        <f>G32+F33</f>
        <v>70.364328439369217</v>
      </c>
      <c r="H33" s="7" t="str">
        <f>IF(AND(G33&gt;0,G33&lt;=80),"A",IF(AND(G33&gt;80,G33&lt;=95),"B","C"))</f>
        <v>A</v>
      </c>
      <c r="I33" s="7">
        <f>SUM(B33:D33)/3</f>
        <v>109.40000000000002</v>
      </c>
      <c r="J33" s="7">
        <f>SQRT(((B33-I33)^2+(C33-I33)^2+(D33-I33)^2)/3)</f>
        <v>3.4409301068170537</v>
      </c>
      <c r="K33" s="7">
        <f>J33/I33*100</f>
        <v>3.1452743206737228</v>
      </c>
      <c r="L33" s="7" t="str">
        <f>IF(AND(K33&gt;0,K33&lt;=9),"X",IF(AND(K33&gt;10,K33&lt;=25),"Y","Z"))</f>
        <v>X</v>
      </c>
      <c r="M33" s="7" t="str">
        <f>_xlfn.CONCAT(H33,L33)</f>
        <v>AX</v>
      </c>
      <c r="N33" s="1"/>
      <c r="O33" s="20" t="s">
        <v>135</v>
      </c>
      <c r="P33" s="20" t="s">
        <v>135</v>
      </c>
      <c r="Q33" s="20" t="s">
        <v>135</v>
      </c>
      <c r="R33" s="20" t="s">
        <v>135</v>
      </c>
      <c r="S33" s="20" t="s">
        <v>135</v>
      </c>
      <c r="T33" s="20" t="s">
        <v>135</v>
      </c>
    </row>
    <row r="34">
      <c r="A34" s="1" t="s">
        <v>97</v>
      </c>
      <c r="B34" s="1">
        <v>100.80000000000001</v>
      </c>
      <c r="C34" s="1">
        <v>106.80000000000001</v>
      </c>
      <c r="D34" s="1">
        <v>109.20000000000002</v>
      </c>
      <c r="E34" s="1">
        <v>316.80000000000007</v>
      </c>
      <c r="F34" s="1">
        <v>5.2202283849918443</v>
      </c>
      <c r="G34" s="7">
        <f>G33+F34</f>
        <v>75.584556824361059</v>
      </c>
      <c r="H34" s="7" t="str">
        <f>IF(AND(G34&gt;0,G34&lt;=80),"A",IF(AND(G34&gt;80,G34&lt;=95),"B","C"))</f>
        <v>A</v>
      </c>
      <c r="I34" s="7">
        <f>SUM(B34:D34)/3</f>
        <v>105.60000000000002</v>
      </c>
      <c r="J34" s="7">
        <f>SQRT(((B34-I34)^2+(C34-I34)^2+(D34-I34)^2)/3)</f>
        <v>3.5327043465311405</v>
      </c>
      <c r="K34" s="7">
        <f>J34/I34*100</f>
        <v>3.3453639645181248</v>
      </c>
      <c r="L34" s="7" t="str">
        <f>IF(AND(K34&gt;0,K34&lt;=9),"X",IF(AND(K34&gt;10,K34&lt;=25),"Y","Z"))</f>
        <v>X</v>
      </c>
      <c r="M34" s="7" t="str">
        <f>_xlfn.CONCAT(H34,L34)</f>
        <v>AX</v>
      </c>
      <c r="N34" s="1"/>
      <c r="O34" s="20" t="s">
        <v>135</v>
      </c>
      <c r="P34" s="20" t="s">
        <v>135</v>
      </c>
      <c r="Q34" s="20" t="s">
        <v>135</v>
      </c>
      <c r="R34" s="20" t="s">
        <v>135</v>
      </c>
      <c r="S34" s="20" t="s">
        <v>135</v>
      </c>
      <c r="T34" s="20" t="s">
        <v>135</v>
      </c>
    </row>
    <row r="35">
      <c r="A35" s="1" t="s">
        <v>98</v>
      </c>
      <c r="B35" s="1">
        <v>31.5</v>
      </c>
      <c r="C35" s="1">
        <v>54.299999999999997</v>
      </c>
      <c r="D35" s="1">
        <v>138.00000000000003</v>
      </c>
      <c r="E35" s="1">
        <v>223.80000000000001</v>
      </c>
      <c r="F35" s="1">
        <v>3.6877749765188597</v>
      </c>
      <c r="G35" s="7">
        <f>G34+F35</f>
        <v>79.272331800879925</v>
      </c>
      <c r="H35" s="7" t="str">
        <f>IF(AND(G35&gt;0,G35&lt;=80),"A",IF(AND(G35&gt;80,G35&lt;=95),"B","C"))</f>
        <v>A</v>
      </c>
      <c r="I35" s="7">
        <f>SUM(B35:D35)/3</f>
        <v>74.600000000000009</v>
      </c>
      <c r="J35" s="7">
        <f>SQRT(((B35-I35)^2+(C35-I35)^2+(D35-I35)^2)/3)</f>
        <v>45.786679285573896</v>
      </c>
      <c r="K35" s="7">
        <f>J35/I35*100</f>
        <v>61.376245691117816</v>
      </c>
      <c r="L35" s="7" t="str">
        <f>IF(AND(K35&gt;0,K35&lt;=9),"X",IF(AND(K35&gt;10,K35&lt;=25),"Y","Z"))</f>
        <v>Z</v>
      </c>
      <c r="M35" s="7" t="str">
        <f>_xlfn.CONCAT(H35,L35)</f>
        <v>AZ</v>
      </c>
      <c r="N35" s="1"/>
      <c r="O35" s="20" t="s">
        <v>135</v>
      </c>
      <c r="P35" s="20" t="s">
        <v>135</v>
      </c>
      <c r="Q35" s="20" t="s">
        <v>135</v>
      </c>
      <c r="R35" s="20" t="s">
        <v>135</v>
      </c>
      <c r="S35" s="20" t="s">
        <v>135</v>
      </c>
      <c r="T35" s="20" t="s">
        <v>135</v>
      </c>
    </row>
    <row r="36">
      <c r="A36" s="1" t="s">
        <v>113</v>
      </c>
      <c r="B36" s="1">
        <v>75.599999999999994</v>
      </c>
      <c r="C36" s="1">
        <v>70.799999999999997</v>
      </c>
      <c r="D36" s="1">
        <v>72</v>
      </c>
      <c r="E36" s="1">
        <v>218.39999999999998</v>
      </c>
      <c r="F36" s="1">
        <v>3.5987938108655886</v>
      </c>
      <c r="G36" s="7">
        <f>G35+F36</f>
        <v>82.871125611745512</v>
      </c>
      <c r="H36" s="7" t="str">
        <f>IF(AND(G36&gt;0,G36&lt;=80),"A",IF(AND(G36&gt;80,G36&lt;=95),"B","C"))</f>
        <v>B</v>
      </c>
      <c r="I36" s="7">
        <f>SUM(B36:D36)/3</f>
        <v>72.799999999999997</v>
      </c>
      <c r="J36" s="7">
        <f>SQRT(((B36-I36)^2+(C36-I36)^2+(D36-I36)^2)/3)</f>
        <v>2.0396078054371123</v>
      </c>
      <c r="K36" s="7">
        <f>J36/I36*100</f>
        <v>2.801659073402627</v>
      </c>
      <c r="L36" s="7" t="str">
        <f>IF(AND(K36&gt;0,K36&lt;=9),"X",IF(AND(K36&gt;10,K36&lt;=25),"Y","Z"))</f>
        <v>X</v>
      </c>
      <c r="M36" s="7" t="str">
        <f>_xlfn.CONCAT(H36,L36)</f>
        <v>BX</v>
      </c>
      <c r="N36" s="1"/>
      <c r="O36" s="20" t="s">
        <v>135</v>
      </c>
      <c r="P36" s="20" t="s">
        <v>135</v>
      </c>
      <c r="Q36" s="20" t="s">
        <v>135</v>
      </c>
      <c r="R36" s="20" t="s">
        <v>135</v>
      </c>
      <c r="S36" s="20" t="s">
        <v>135</v>
      </c>
      <c r="T36" s="20" t="s">
        <v>135</v>
      </c>
    </row>
    <row r="37">
      <c r="A37" s="1" t="s">
        <v>110</v>
      </c>
      <c r="B37" s="1">
        <v>61.299999999999997</v>
      </c>
      <c r="C37" s="1">
        <v>64.899999999999991</v>
      </c>
      <c r="D37" s="1">
        <v>63.699999999999996</v>
      </c>
      <c r="E37" s="1">
        <v>189.89999999999998</v>
      </c>
      <c r="F37" s="1">
        <v>3.1291709921399966</v>
      </c>
      <c r="G37" s="7">
        <f>G36+F37</f>
        <v>86.000296603885502</v>
      </c>
      <c r="H37" s="7" t="str">
        <f>IF(AND(G37&gt;0,G37&lt;=80),"A",IF(AND(G37&gt;80,G37&lt;=95),"B","C"))</f>
        <v>B</v>
      </c>
      <c r="I37" s="7">
        <f>SUM(B37:D37)/3</f>
        <v>63.29999999999999</v>
      </c>
      <c r="J37" s="7">
        <f>SQRT(((B37-I37)^2+(C37-I37)^2+(D37-I37)^2)/3)</f>
        <v>1.4966629547095744</v>
      </c>
      <c r="K37" s="7">
        <f>J37/I37*100</f>
        <v>2.3643964529377168</v>
      </c>
      <c r="L37" s="7" t="str">
        <f>IF(AND(K37&gt;0,K37&lt;=9),"X",IF(AND(K37&gt;10,K37&lt;=25),"Y","Z"))</f>
        <v>X</v>
      </c>
      <c r="M37" s="7" t="str">
        <f>_xlfn.CONCAT(H37,L37)</f>
        <v>BX</v>
      </c>
      <c r="N37" s="1"/>
      <c r="O37" s="20" t="s">
        <v>135</v>
      </c>
      <c r="P37" s="20" t="s">
        <v>135</v>
      </c>
      <c r="Q37" s="20" t="s">
        <v>135</v>
      </c>
      <c r="R37" s="20" t="s">
        <v>135</v>
      </c>
      <c r="S37" s="20" t="s">
        <v>135</v>
      </c>
      <c r="T37" s="20" t="s">
        <v>135</v>
      </c>
    </row>
    <row r="38">
      <c r="A38" s="1" t="s">
        <v>114</v>
      </c>
      <c r="B38" s="1">
        <v>53.799999999999997</v>
      </c>
      <c r="C38" s="1">
        <v>55</v>
      </c>
      <c r="D38" s="1">
        <v>59.799999999999997</v>
      </c>
      <c r="E38" s="1">
        <v>168.59999999999999</v>
      </c>
      <c r="F38" s="1">
        <v>2.778189727618765</v>
      </c>
      <c r="G38" s="7">
        <f>G37+F38</f>
        <v>88.778486331504268</v>
      </c>
      <c r="H38" s="7" t="str">
        <f>IF(AND(G38&gt;0,G38&lt;=80),"A",IF(AND(G38&gt;80,G38&lt;=95),"B","C"))</f>
        <v>B</v>
      </c>
      <c r="I38" s="7">
        <f>SUM(B38:D38)/3</f>
        <v>56.199999999999996</v>
      </c>
      <c r="J38" s="7">
        <f>SQRT(((B38-I38)^2+(C38-I38)^2+(D38-I38)^2)/3)</f>
        <v>2.5922962793631439</v>
      </c>
      <c r="K38" s="7">
        <f>J38/I38*100</f>
        <v>4.6126268316070185</v>
      </c>
      <c r="L38" s="7" t="str">
        <f>IF(AND(K38&gt;0,K38&lt;=9),"X",IF(AND(K38&gt;10,K38&lt;=25),"Y","Z"))</f>
        <v>X</v>
      </c>
      <c r="M38" s="7" t="str">
        <f>_xlfn.CONCAT(H38,L38)</f>
        <v>BX</v>
      </c>
      <c r="N38" s="1"/>
      <c r="O38" s="20" t="s">
        <v>135</v>
      </c>
      <c r="P38" s="20" t="s">
        <v>135</v>
      </c>
      <c r="Q38" s="20" t="s">
        <v>135</v>
      </c>
      <c r="R38" s="20" t="s">
        <v>135</v>
      </c>
      <c r="S38" s="20" t="s">
        <v>135</v>
      </c>
      <c r="T38" s="20" t="s">
        <v>135</v>
      </c>
    </row>
    <row r="39">
      <c r="A39" s="1" t="s">
        <v>103</v>
      </c>
      <c r="B39" s="1">
        <v>55.600000000000001</v>
      </c>
      <c r="C39" s="1">
        <v>52</v>
      </c>
      <c r="D39" s="1">
        <v>49.600000000000001</v>
      </c>
      <c r="E39" s="1">
        <v>157.19999999999999</v>
      </c>
      <c r="F39" s="1">
        <v>2.5903406001285281</v>
      </c>
      <c r="G39" s="7">
        <f>G38+F39</f>
        <v>91.368826931632796</v>
      </c>
      <c r="H39" s="7" t="str">
        <f>IF(AND(G39&gt;0,G39&lt;=80),"A",IF(AND(G39&gt;80,G39&lt;=95),"B","C"))</f>
        <v>B</v>
      </c>
      <c r="I39" s="7">
        <f>SUM(B39:D39)/3</f>
        <v>52.399999999999999</v>
      </c>
      <c r="J39" s="7">
        <f>SQRT(((B39-I39)^2+(C39-I39)^2+(D39-I39)^2)/3)</f>
        <v>2.4657656011875906</v>
      </c>
      <c r="K39" s="7">
        <f>J39/I39*100</f>
        <v>4.7056595442511266</v>
      </c>
      <c r="L39" s="7" t="str">
        <f>IF(AND(K39&gt;0,K39&lt;=9),"X",IF(AND(K39&gt;10,K39&lt;=25),"Y","Z"))</f>
        <v>X</v>
      </c>
      <c r="M39" s="7" t="str">
        <f>_xlfn.CONCAT(H39,L39)</f>
        <v>BX</v>
      </c>
      <c r="N39" s="1"/>
      <c r="O39" s="20" t="s">
        <v>135</v>
      </c>
      <c r="P39" s="20" t="s">
        <v>135</v>
      </c>
      <c r="Q39" s="20" t="s">
        <v>135</v>
      </c>
      <c r="R39" s="20" t="s">
        <v>135</v>
      </c>
      <c r="S39" s="20" t="s">
        <v>135</v>
      </c>
      <c r="T39" s="20" t="s">
        <v>135</v>
      </c>
    </row>
    <row r="40">
      <c r="A40" s="1" t="s">
        <v>111</v>
      </c>
      <c r="B40" s="1">
        <v>30.199999999999999</v>
      </c>
      <c r="C40" s="1">
        <v>43.399999999999999</v>
      </c>
      <c r="D40" s="1">
        <v>39.799999999999997</v>
      </c>
      <c r="E40" s="1">
        <v>113.39999999999999</v>
      </c>
      <c r="F40" s="1">
        <v>1.8686044787186711</v>
      </c>
      <c r="G40" s="7">
        <f>G39+F40</f>
        <v>93.237431410351462</v>
      </c>
      <c r="H40" s="7" t="str">
        <f>IF(AND(G40&gt;0,G40&lt;=80),"A",IF(AND(G40&gt;80,G40&lt;=95),"B","C"))</f>
        <v>B</v>
      </c>
      <c r="I40" s="7">
        <f>SUM(B40:D40)/3</f>
        <v>37.799999999999997</v>
      </c>
      <c r="J40" s="7">
        <f>SQRT(((B40-I40)^2+(C40-I40)^2+(D40-I40)^2)/3)</f>
        <v>5.5713553108736473</v>
      </c>
      <c r="K40" s="7">
        <f>J40/I40*100</f>
        <v>14.739035213951448</v>
      </c>
      <c r="L40" s="7" t="str">
        <f>IF(AND(K40&gt;0,K40&lt;=9),"X",IF(AND(K40&gt;10,K40&lt;=25),"Y","Z"))</f>
        <v>Y</v>
      </c>
      <c r="M40" s="7" t="str">
        <f>_xlfn.CONCAT(H40,L40)</f>
        <v>BY</v>
      </c>
      <c r="N40" s="1"/>
      <c r="O40" s="20" t="s">
        <v>135</v>
      </c>
      <c r="P40" s="20" t="s">
        <v>135</v>
      </c>
      <c r="Q40" s="20" t="s">
        <v>135</v>
      </c>
      <c r="R40" s="20" t="s">
        <v>135</v>
      </c>
      <c r="S40" s="20" t="s">
        <v>135</v>
      </c>
      <c r="T40" s="20" t="s">
        <v>135</v>
      </c>
    </row>
    <row r="41">
      <c r="A41" s="1" t="s">
        <v>101</v>
      </c>
      <c r="B41" s="1">
        <v>26.899999999999999</v>
      </c>
      <c r="C41" s="1">
        <v>35.299999999999997</v>
      </c>
      <c r="D41" s="1">
        <v>30.5</v>
      </c>
      <c r="E41" s="1">
        <v>92.699999999999989</v>
      </c>
      <c r="F41" s="1">
        <v>1.5275100103811359</v>
      </c>
      <c r="G41" s="7">
        <f>G40+F41</f>
        <v>94.764941420732598</v>
      </c>
      <c r="H41" s="7" t="str">
        <f>IF(AND(G41&gt;0,G41&lt;=80),"A",IF(AND(G41&gt;80,G41&lt;=95),"B","C"))</f>
        <v>B</v>
      </c>
      <c r="I41" s="7">
        <f>SUM(B41:D41)/3</f>
        <v>30.899999999999995</v>
      </c>
      <c r="J41" s="7">
        <f>SQRT(((B41-I41)^2+(C41-I41)^2+(D41-I41)^2)/3)</f>
        <v>3.4409301068170497</v>
      </c>
      <c r="K41" s="7">
        <f>J41/I41*100</f>
        <v>11.135696138566505</v>
      </c>
      <c r="L41" s="7" t="str">
        <f>IF(AND(K41&gt;0,K41&lt;=9),"X",IF(AND(K41&gt;10,K41&lt;=25),"Y","Z"))</f>
        <v>Y</v>
      </c>
      <c r="M41" s="7" t="str">
        <f>_xlfn.CONCAT(H41,L41)</f>
        <v>BY</v>
      </c>
      <c r="N41" s="1"/>
      <c r="O41" s="20" t="s">
        <v>135</v>
      </c>
      <c r="P41" s="20" t="s">
        <v>135</v>
      </c>
      <c r="Q41" s="20" t="s">
        <v>135</v>
      </c>
      <c r="R41" s="20" t="s">
        <v>135</v>
      </c>
      <c r="S41" s="20" t="s">
        <v>135</v>
      </c>
      <c r="T41" s="20" t="s">
        <v>135</v>
      </c>
    </row>
    <row r="42">
      <c r="A42" s="1" t="s">
        <v>102</v>
      </c>
      <c r="B42" s="1">
        <v>28.799999999999997</v>
      </c>
      <c r="C42" s="1">
        <v>29.999999999999996</v>
      </c>
      <c r="D42" s="1">
        <v>27.599999999999998</v>
      </c>
      <c r="E42" s="1">
        <v>86.399999999999991</v>
      </c>
      <c r="F42" s="1">
        <v>1.4236986504523208</v>
      </c>
      <c r="G42" s="7">
        <f>G41+F42</f>
        <v>96.188640071184921</v>
      </c>
      <c r="H42" s="7" t="str">
        <f>IF(AND(G42&gt;0,G42&lt;=80),"A",IF(AND(G42&gt;80,G42&lt;=95),"B","C"))</f>
        <v>C</v>
      </c>
      <c r="I42" s="7">
        <f>SUM(B42:D42)/3</f>
        <v>28.799999999999997</v>
      </c>
      <c r="J42" s="7">
        <f>SQRT(((B42-I42)^2+(C42-I42)^2+(D42-I42)^2)/3)</f>
        <v>0.97979589711327075</v>
      </c>
      <c r="K42" s="7">
        <f>J42/I42*100</f>
        <v>3.402069087198857</v>
      </c>
      <c r="L42" s="7" t="str">
        <f>IF(AND(K42&gt;0,K42&lt;=9),"X",IF(AND(K42&gt;10,K42&lt;=25),"Y","Z"))</f>
        <v>X</v>
      </c>
      <c r="M42" s="7" t="str">
        <f>_xlfn.CONCAT(H42,L42)</f>
        <v>CX</v>
      </c>
      <c r="N42" s="1"/>
      <c r="O42" s="20" t="s">
        <v>135</v>
      </c>
      <c r="P42" s="20" t="s">
        <v>135</v>
      </c>
      <c r="Q42" s="20" t="s">
        <v>135</v>
      </c>
      <c r="R42" s="20" t="s">
        <v>135</v>
      </c>
      <c r="S42" s="20" t="s">
        <v>135</v>
      </c>
      <c r="T42" s="20" t="s">
        <v>135</v>
      </c>
    </row>
    <row r="43">
      <c r="A43" s="1" t="s">
        <v>106</v>
      </c>
      <c r="B43" s="1">
        <v>15.9</v>
      </c>
      <c r="C43" s="1">
        <v>31.5</v>
      </c>
      <c r="D43" s="1">
        <v>27.899999999999999</v>
      </c>
      <c r="E43" s="1">
        <v>75.299999999999997</v>
      </c>
      <c r="F43" s="1">
        <v>1.2407929210539326</v>
      </c>
      <c r="G43" s="7">
        <f>G42+F43</f>
        <v>97.429432992238858</v>
      </c>
      <c r="H43" s="7" t="str">
        <f>IF(AND(G43&gt;0,G43&lt;=80),"A",IF(AND(G43&gt;80,G43&lt;=95),"B","C"))</f>
        <v>C</v>
      </c>
      <c r="I43" s="7">
        <f>SUM(B43:D43)/3</f>
        <v>25.099999999999998</v>
      </c>
      <c r="J43" s="7">
        <f>SQRT(((B43-I43)^2+(C43-I43)^2+(D43-I43)^2)/3)</f>
        <v>6.6693328002132262</v>
      </c>
      <c r="K43" s="7">
        <f>J43/I43*100</f>
        <v>26.571047012801703</v>
      </c>
      <c r="L43" s="7" t="str">
        <f>IF(AND(K43&gt;0,K43&lt;=9),"X",IF(AND(K43&gt;10,K43&lt;=25),"Y","Z"))</f>
        <v>Z</v>
      </c>
      <c r="M43" s="7" t="str">
        <f>_xlfn.CONCAT(H43,L43)</f>
        <v>CZ</v>
      </c>
      <c r="N43" s="1"/>
      <c r="O43" s="20" t="s">
        <v>135</v>
      </c>
      <c r="P43" s="20" t="s">
        <v>135</v>
      </c>
      <c r="Q43" s="20" t="s">
        <v>135</v>
      </c>
      <c r="R43" s="20" t="s">
        <v>135</v>
      </c>
      <c r="S43" s="20" t="s">
        <v>135</v>
      </c>
      <c r="T43" s="20" t="s">
        <v>135</v>
      </c>
    </row>
    <row r="44">
      <c r="A44" s="1" t="s">
        <v>99</v>
      </c>
      <c r="B44" s="1">
        <v>17</v>
      </c>
      <c r="C44" s="1">
        <v>19.399999999999999</v>
      </c>
      <c r="D44" s="1">
        <v>21.800000000000001</v>
      </c>
      <c r="E44" s="1">
        <v>58.200000000000003</v>
      </c>
      <c r="F44" s="1">
        <v>0.95901922981857735</v>
      </c>
      <c r="G44" s="7">
        <f>G43+F44</f>
        <v>98.388452222057438</v>
      </c>
      <c r="H44" s="7" t="str">
        <f>IF(AND(G44&gt;0,G44&lt;=80),"A",IF(AND(G44&gt;80,G44&lt;=95),"B","C"))</f>
        <v>C</v>
      </c>
      <c r="I44" s="7">
        <f>SUM(B44:D44)/3</f>
        <v>19.400000000000002</v>
      </c>
      <c r="J44" s="7">
        <f>SQRT(((B44-I44)^2+(C44-I44)^2+(D44-I44)^2)/3)</f>
        <v>1.9595917942265428</v>
      </c>
      <c r="K44" s="7">
        <f>J44/I44*100</f>
        <v>10.100988630033726</v>
      </c>
      <c r="L44" s="7" t="str">
        <f>IF(AND(K44&gt;0,K44&lt;=9),"X",IF(AND(K44&gt;10,K44&lt;=25),"Y","Z"))</f>
        <v>Y</v>
      </c>
      <c r="M44" s="7" t="str">
        <f>_xlfn.CONCAT(H44,L44)</f>
        <v>CY</v>
      </c>
      <c r="N44" s="1"/>
    </row>
    <row r="45">
      <c r="A45" s="1" t="s">
        <v>96</v>
      </c>
      <c r="B45" s="1">
        <v>15.199999999999999</v>
      </c>
      <c r="C45" s="1">
        <v>5.5999999999999979</v>
      </c>
      <c r="D45" s="1">
        <v>30.800000000000001</v>
      </c>
      <c r="E45" s="1">
        <v>51.599999999999994</v>
      </c>
      <c r="F45" s="1">
        <v>0.85026447179791376</v>
      </c>
      <c r="G45" s="7">
        <f>G44+F45</f>
        <v>99.238716693855352</v>
      </c>
      <c r="H45" s="7" t="str">
        <f>IF(AND(G45&gt;0,G45&lt;=80),"A",IF(AND(G45&gt;80,G45&lt;=95),"B","C"))</f>
        <v>C</v>
      </c>
      <c r="I45" s="7">
        <f>SUM(B45:D45)/3</f>
        <v>17.199999999999999</v>
      </c>
      <c r="J45" s="7">
        <f>SQRT(((B45-I45)^2+(C45-I45)^2+(D45-I45)^2)/3)</f>
        <v>10.384603988597737</v>
      </c>
      <c r="K45" s="7">
        <f>J45/I45*100</f>
        <v>60.375604584870565</v>
      </c>
      <c r="L45" s="7" t="str">
        <f>IF(AND(K45&gt;0,K45&lt;=9),"X",IF(AND(K45&gt;10,K45&lt;=25),"Y","Z"))</f>
        <v>Z</v>
      </c>
      <c r="M45" s="7" t="str">
        <f>_xlfn.CONCAT(H45,L45)</f>
        <v>CZ</v>
      </c>
      <c r="N45" s="1"/>
    </row>
    <row r="46">
      <c r="A46" s="1" t="s">
        <v>109</v>
      </c>
      <c r="B46" s="1">
        <v>15.4</v>
      </c>
      <c r="C46" s="1">
        <v>14.199999999999999</v>
      </c>
      <c r="D46" s="1">
        <v>16.600000000000001</v>
      </c>
      <c r="E46" s="1">
        <v>46.200000000000003</v>
      </c>
      <c r="F46" s="1">
        <v>0.7612833061446439</v>
      </c>
      <c r="G46" s="7">
        <f>G45+F46</f>
        <v>100</v>
      </c>
      <c r="H46" s="7" t="str">
        <f>IF(AND(G46&gt;0,G46&lt;=80),"A",IF(AND(G46&gt;80,G46&lt;=95),"B","C"))</f>
        <v>C</v>
      </c>
      <c r="I46" s="7">
        <f>SUM(B46:D46)/3</f>
        <v>15.4</v>
      </c>
      <c r="J46" s="7">
        <f>SQRT(((B46-I46)^2+(C46-I46)^2+(D46-I46)^2)/3)</f>
        <v>0.97979589711327209</v>
      </c>
      <c r="K46" s="7">
        <f>J46/I46*100</f>
        <v>6.362311020216052</v>
      </c>
      <c r="L46" s="7" t="str">
        <f>IF(AND(K46&gt;0,K46&lt;=9),"X",IF(AND(K46&gt;10,K46&lt;=25),"Y","Z"))</f>
        <v>X</v>
      </c>
      <c r="M46" s="7" t="str">
        <f>_xlfn.CONCAT(H46,L46)</f>
        <v>CX</v>
      </c>
      <c r="N46" s="1"/>
    </row>
    <row r="47">
      <c r="A47" s="7" t="s">
        <v>136</v>
      </c>
      <c r="B47" s="7">
        <f>SUM(B27:B46)</f>
        <v>1939</v>
      </c>
      <c r="C47" s="7">
        <f>SUM(C27:C46)</f>
        <v>2018.2</v>
      </c>
      <c r="D47" s="7">
        <f>SUM(D27:D46)</f>
        <v>2111.5</v>
      </c>
      <c r="E47" s="7">
        <f>SUM(E27:E46)</f>
        <v>6068.6999999999989</v>
      </c>
      <c r="F47" s="7">
        <f>SUM(F27:F46)</f>
        <v>100</v>
      </c>
      <c r="G47" s="7" t="s">
        <v>51</v>
      </c>
      <c r="H47" s="7" t="s">
        <v>51</v>
      </c>
      <c r="I47" s="7" t="s">
        <v>51</v>
      </c>
      <c r="J47" s="7" t="s">
        <v>51</v>
      </c>
      <c r="K47" s="7" t="s">
        <v>51</v>
      </c>
      <c r="L47" s="7" t="s">
        <v>51</v>
      </c>
      <c r="M47" s="7" t="s">
        <v>51</v>
      </c>
    </row>
    <row r="48">
      <c r="C48" s="1"/>
      <c r="D48" s="1"/>
      <c r="E48" s="1"/>
      <c r="F48" s="1"/>
    </row>
    <row r="54" ht="14.25">
      <c r="A54" s="1"/>
      <c r="B54" s="1"/>
      <c r="F54" s="1"/>
      <c r="G54" s="1"/>
      <c r="H54" s="1"/>
      <c r="I54" s="1"/>
      <c r="J54" s="1"/>
      <c r="K54" s="1"/>
      <c r="L54" s="1"/>
      <c r="M54" s="1"/>
    </row>
    <row r="55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</sheetData>
  <sortState ref="A56:F75" columnSort="0">
    <sortCondition sortBy="value" descending="1" ref="E56:E75"/>
  </sortState>
  <mergeCells count="14">
    <mergeCell ref="A1:A2"/>
    <mergeCell ref="B1:D1"/>
    <mergeCell ref="A25:A26"/>
    <mergeCell ref="B25:E25"/>
    <mergeCell ref="F25:F26"/>
    <mergeCell ref="G25:G26"/>
    <mergeCell ref="H25:H26"/>
    <mergeCell ref="I25:I26"/>
    <mergeCell ref="J25:J26"/>
    <mergeCell ref="K25:K26"/>
    <mergeCell ref="L25:L26"/>
    <mergeCell ref="M25:M26"/>
    <mergeCell ref="O26:R26"/>
    <mergeCell ref="O32:T43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 Sukhavenka</dc:creator>
  <dc:description/>
  <cp:revision>1</cp:revision>
  <dcterms:created xsi:type="dcterms:W3CDTF">2022-02-02T15:53:17Z</dcterms:created>
  <dcterms:modified xsi:type="dcterms:W3CDTF">2023-02-27T09:52:38Z</dcterms:modified>
</cp:coreProperties>
</file>