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3.1" sheetId="1" state="visible" r:id="rId1"/>
    <sheet name="3.2" sheetId="2" state="visible" r:id="rId2"/>
    <sheet name="3.3" sheetId="3" state="visible" r:id="rId3"/>
    <sheet name="3.4" sheetId="4" state="visible" r:id="rId4"/>
  </sheets>
  <calcPr/>
</workbook>
</file>

<file path=xl/sharedStrings.xml><?xml version="1.0" encoding="utf-8"?>
<sst xmlns="http://schemas.openxmlformats.org/spreadsheetml/2006/main" count="210" uniqueCount="210">
  <si>
    <t xml:space="preserve">Виды основных средств</t>
  </si>
  <si>
    <t xml:space="preserve">Стоимость основных средств, тыс. руб.</t>
  </si>
  <si>
    <t xml:space="preserve">Объем выпущенной продукции, тыс. руб.</t>
  </si>
  <si>
    <t xml:space="preserve">Среднесписочная численность ППП, чел.</t>
  </si>
  <si>
    <t>Вариант</t>
  </si>
  <si>
    <t xml:space="preserve">на начало года</t>
  </si>
  <si>
    <t>введенных</t>
  </si>
  <si>
    <t>выбывших</t>
  </si>
  <si>
    <t xml:space="preserve">16170 / 17020</t>
  </si>
  <si>
    <t xml:space="preserve">147 / 157</t>
  </si>
  <si>
    <t>сумма</t>
  </si>
  <si>
    <t>дата</t>
  </si>
  <si>
    <t xml:space="preserve">1. Здания</t>
  </si>
  <si>
    <t xml:space="preserve">2. Сооружения</t>
  </si>
  <si>
    <t>-</t>
  </si>
  <si>
    <t>Показатели</t>
  </si>
  <si>
    <t xml:space="preserve">Значения по периодам</t>
  </si>
  <si>
    <t>Изменение</t>
  </si>
  <si>
    <t xml:space="preserve">3. Передаточные устройства</t>
  </si>
  <si>
    <t>базовый</t>
  </si>
  <si>
    <t>отчетный</t>
  </si>
  <si>
    <t xml:space="preserve">4. Рабочие и силовые машины, механизмы, оборудование</t>
  </si>
  <si>
    <t xml:space="preserve">1. Объем выпущенной продукции</t>
  </si>
  <si>
    <t xml:space="preserve">2. Среднесписочная численность ППП</t>
  </si>
  <si>
    <t xml:space="preserve">5. Измерительные и регулирующие приборы</t>
  </si>
  <si>
    <t xml:space="preserve">6. Вычислительная техника</t>
  </si>
  <si>
    <t xml:space="preserve">7. Транспортные средства</t>
  </si>
  <si>
    <t xml:space="preserve">8. Прочее имущество</t>
  </si>
  <si>
    <t xml:space="preserve">виды основных средств</t>
  </si>
  <si>
    <t xml:space="preserve">Структура ОС, %</t>
  </si>
  <si>
    <t>начало</t>
  </si>
  <si>
    <t>выбытых</t>
  </si>
  <si>
    <t xml:space="preserve">на конец года</t>
  </si>
  <si>
    <t xml:space="preserve">Начало года</t>
  </si>
  <si>
    <t xml:space="preserve">Конец года </t>
  </si>
  <si>
    <t xml:space="preserve"> Изменение</t>
  </si>
  <si>
    <t>КВВ=</t>
  </si>
  <si>
    <t xml:space="preserve">9. Итого</t>
  </si>
  <si>
    <t>КВЫБ</t>
  </si>
  <si>
    <t xml:space="preserve">стоимость ОС на начало года ОСн</t>
  </si>
  <si>
    <t xml:space="preserve">Введенные ОС</t>
  </si>
  <si>
    <t xml:space="preserve">Выбывшие ОС</t>
  </si>
  <si>
    <t xml:space="preserve">Среднегодовая стоимость ОС ОСср.г</t>
  </si>
  <si>
    <t xml:space="preserve">Сумма Освв</t>
  </si>
  <si>
    <t xml:space="preserve">Число месяцев</t>
  </si>
  <si>
    <t xml:space="preserve">ср. год. сумма Освв</t>
  </si>
  <si>
    <t xml:space="preserve">Сумма Освыб</t>
  </si>
  <si>
    <t>Источник</t>
  </si>
  <si>
    <t xml:space="preserve">исх. данные, табл. 4.3</t>
  </si>
  <si>
    <t xml:space="preserve">2. Среднегодовая стоимость ОС</t>
  </si>
  <si>
    <t xml:space="preserve">см. табл. 4.5</t>
  </si>
  <si>
    <t xml:space="preserve">3. Фондоотдача</t>
  </si>
  <si>
    <t xml:space="preserve">п. 1 / п. 2</t>
  </si>
  <si>
    <t xml:space="preserve">дельта ВП=</t>
  </si>
  <si>
    <t xml:space="preserve">4. Фондоемкость</t>
  </si>
  <si>
    <t xml:space="preserve">п. 2 / п. 1</t>
  </si>
  <si>
    <t xml:space="preserve">5. Среднесписочная численность ППП</t>
  </si>
  <si>
    <t xml:space="preserve">Таким образом, фондоотдача уменьшилась на 0,01 руб/руб, фондоемкость увеличилась на 0,0004 руб/руб, за счет уменьшения фондоотдачи объем выпуска продукции в отчетном периоде уменьшился на 32,84 тыс. руб. </t>
  </si>
  <si>
    <t xml:space="preserve">6. Фондовооруженность</t>
  </si>
  <si>
    <t xml:space="preserve">п.2 / п. 5</t>
  </si>
  <si>
    <t xml:space="preserve">Таблица 3.8</t>
  </si>
  <si>
    <t xml:space="preserve">Таблица 3.9</t>
  </si>
  <si>
    <t>Значения</t>
  </si>
  <si>
    <t xml:space="preserve">значения по годам</t>
  </si>
  <si>
    <t xml:space="preserve">1. Стоимость единицы оборудования</t>
  </si>
  <si>
    <t xml:space="preserve">2. Нормативный срок службы</t>
  </si>
  <si>
    <t xml:space="preserve">Объем производства продукции</t>
  </si>
  <si>
    <t xml:space="preserve">Линейный способ</t>
  </si>
  <si>
    <t>год</t>
  </si>
  <si>
    <t xml:space="preserve">норма амортизации</t>
  </si>
  <si>
    <t xml:space="preserve">амортизационные отчисления</t>
  </si>
  <si>
    <t xml:space="preserve">остаточная стоимость</t>
  </si>
  <si>
    <t xml:space="preserve">амортизационный фонд</t>
  </si>
  <si>
    <t xml:space="preserve">Нелинейный (прямой метод суммы лет)</t>
  </si>
  <si>
    <t xml:space="preserve">Нелинейный (обратный метод суммы лет)</t>
  </si>
  <si>
    <t xml:space="preserve">Нелинейный (метод уменьшаемого остатка с коэффициентом ускорения 2)</t>
  </si>
  <si>
    <t xml:space="preserve">Производительный способ начисления амортизации</t>
  </si>
  <si>
    <t xml:space="preserve">Таблица 3.15</t>
  </si>
  <si>
    <t>показатели</t>
  </si>
  <si>
    <t>обозначения</t>
  </si>
  <si>
    <t>значения</t>
  </si>
  <si>
    <t xml:space="preserve">1. Норма расхода материала на изделие</t>
  </si>
  <si>
    <t>M</t>
  </si>
  <si>
    <t xml:space="preserve">2. Цена материала</t>
  </si>
  <si>
    <t>Цm</t>
  </si>
  <si>
    <t xml:space="preserve">3. Годовая программа выпуска</t>
  </si>
  <si>
    <t>V</t>
  </si>
  <si>
    <t xml:space="preserve">4. Отпускная цена изделия</t>
  </si>
  <si>
    <t>Цотп</t>
  </si>
  <si>
    <t xml:space="preserve">5. Себестоимость единицы изделия</t>
  </si>
  <si>
    <t>С</t>
  </si>
  <si>
    <t xml:space="preserve">3. Интервал между поставками</t>
  </si>
  <si>
    <t>Tпост</t>
  </si>
  <si>
    <t xml:space="preserve">4. Страховой запас</t>
  </si>
  <si>
    <t>Tстрах</t>
  </si>
  <si>
    <t xml:space="preserve">5. Коэффициент нарастания затрат</t>
  </si>
  <si>
    <t>kнз</t>
  </si>
  <si>
    <t xml:space="preserve">6. Длительность производственного цикла</t>
  </si>
  <si>
    <t>Tпроизв</t>
  </si>
  <si>
    <t xml:space="preserve">7. Норматив расходов будущих периодов</t>
  </si>
  <si>
    <t>НБП</t>
  </si>
  <si>
    <t xml:space="preserve">8. Норма запаса готовой продукции</t>
  </si>
  <si>
    <t>Tгп</t>
  </si>
  <si>
    <t xml:space="preserve">Таблица 3.17</t>
  </si>
  <si>
    <t xml:space="preserve">1. Потребность в материалах на программу выпуска</t>
  </si>
  <si>
    <t xml:space="preserve">V· m</t>
  </si>
  <si>
    <t xml:space="preserve">2. Однодневная потребность в материалах</t>
  </si>
  <si>
    <t xml:space="preserve">п.1 / 360</t>
  </si>
  <si>
    <t xml:space="preserve">3. Текущий запас материалов</t>
  </si>
  <si>
    <t xml:space="preserve">п.2 · Tпост</t>
  </si>
  <si>
    <t xml:space="preserve">4. Страховой запас материалов</t>
  </si>
  <si>
    <t xml:space="preserve">п.2 · Tстрах</t>
  </si>
  <si>
    <t xml:space="preserve">5. Норматив производственных запасов</t>
  </si>
  <si>
    <t xml:space="preserve">(п.3 / 2 + п.4) · Цm</t>
  </si>
  <si>
    <t xml:space="preserve">6. Однодневный выпуск в продукции</t>
  </si>
  <si>
    <t xml:space="preserve">V / 360</t>
  </si>
  <si>
    <t xml:space="preserve">7. Норматив незавершенного производства</t>
  </si>
  <si>
    <t xml:space="preserve">kнз· п.6 ·С· Tпроизв</t>
  </si>
  <si>
    <t xml:space="preserve">8. Норматив расходов будущих периодов</t>
  </si>
  <si>
    <t xml:space="preserve">исх. данные, табл. 3.16</t>
  </si>
  <si>
    <t xml:space="preserve">9. Годовой объем выпущенной продукции</t>
  </si>
  <si>
    <t xml:space="preserve">V· Цотп</t>
  </si>
  <si>
    <t xml:space="preserve">10. Норматив запасов готовой продукции</t>
  </si>
  <si>
    <t xml:space="preserve">п.9/360 · Tгп</t>
  </si>
  <si>
    <t xml:space="preserve">11. Норматив оборотных средств</t>
  </si>
  <si>
    <t xml:space="preserve">п.5 + п.7 + п.8 + п.10</t>
  </si>
  <si>
    <t xml:space="preserve">Таблица 3.18</t>
  </si>
  <si>
    <t>Delta</t>
  </si>
  <si>
    <t xml:space="preserve">1. Коэффициент оборачиваемости, оборотов</t>
  </si>
  <si>
    <t xml:space="preserve">п.9 табл.3.17 / п.11 табл.3.17</t>
  </si>
  <si>
    <t xml:space="preserve">2. Коэффициент загрузки</t>
  </si>
  <si>
    <t xml:space="preserve">п.11 табл. 3.17 / п.9 табл. 3.17</t>
  </si>
  <si>
    <t xml:space="preserve">3. Длительность одного оборота, дней</t>
  </si>
  <si>
    <t xml:space="preserve">360 / п.1</t>
  </si>
  <si>
    <t xml:space="preserve">абсолютное высвобождение</t>
  </si>
  <si>
    <t xml:space="preserve">относительное высвобождение</t>
  </si>
  <si>
    <t xml:space="preserve">Таким образом, эффективность использования оборотных средств предприятия увеличилась: коэффициент оборачиваемости уменьшился на 0.02 оборота, а длительность одного оборота увеличилась на 4.2 дня. В результате этого в отчётном периоде было высвобождено оборотных средств на сумму -252.9816741 тыс. руб.</t>
  </si>
  <si>
    <t xml:space="preserve">Таблица 3.19</t>
  </si>
  <si>
    <t xml:space="preserve">Таблица 3.21</t>
  </si>
  <si>
    <t>Обозначения</t>
  </si>
  <si>
    <t xml:space="preserve">1. Годовая программа выпуска</t>
  </si>
  <si>
    <t xml:space="preserve">1. Списочная численность промышленнопроизводственного персонала предприятия</t>
  </si>
  <si>
    <t xml:space="preserve">Ч б ППП</t>
  </si>
  <si>
    <t xml:space="preserve">2. Норма выработки в смену</t>
  </si>
  <si>
    <t>Нвыр</t>
  </si>
  <si>
    <t xml:space="preserve">2. Списочная численность работников предприятия</t>
  </si>
  <si>
    <t xml:space="preserve">Ч б сп</t>
  </si>
  <si>
    <t xml:space="preserve">3. Коэффициент выполнения норм выработки</t>
  </si>
  <si>
    <t>kвыр</t>
  </si>
  <si>
    <t xml:space="preserve">3. Годовая программа выпуска, млн. шт.</t>
  </si>
  <si>
    <t xml:space="preserve">V б</t>
  </si>
  <si>
    <t xml:space="preserve">4. Количество рабочих дней в году</t>
  </si>
  <si>
    <t>Т</t>
  </si>
  <si>
    <t xml:space="preserve">4. Отпускная цена единицы продукции, руб</t>
  </si>
  <si>
    <t xml:space="preserve">Ц б отп</t>
  </si>
  <si>
    <t xml:space="preserve">5. Режим работы, смены</t>
  </si>
  <si>
    <t>kсм</t>
  </si>
  <si>
    <t xml:space="preserve">6. Норма обслуживания</t>
  </si>
  <si>
    <t>Нобсл</t>
  </si>
  <si>
    <t xml:space="preserve">Таблица 3.22</t>
  </si>
  <si>
    <t xml:space="preserve">7. Количество установленного оборудования</t>
  </si>
  <si>
    <t>Р</t>
  </si>
  <si>
    <t>Значение</t>
  </si>
  <si>
    <t xml:space="preserve">8. Коэффициент приведения явочной численности в списочную</t>
  </si>
  <si>
    <t>kприв</t>
  </si>
  <si>
    <t xml:space="preserve">1. Годовая норма выработки одним рабочим сдельщиком</t>
  </si>
  <si>
    <t xml:space="preserve">Нвыр · Т</t>
  </si>
  <si>
    <t xml:space="preserve">9. Списочная численность служащих предприятия</t>
  </si>
  <si>
    <t>Чсл</t>
  </si>
  <si>
    <t xml:space="preserve">2. Численность основных рабочих</t>
  </si>
  <si>
    <t xml:space="preserve">V / ( п.1 · kвыр)</t>
  </si>
  <si>
    <t xml:space="preserve">10. Списочная численность непроизводственного персонала</t>
  </si>
  <si>
    <t>Чнепр</t>
  </si>
  <si>
    <t xml:space="preserve">3. Однодневная потребность в материалах</t>
  </si>
  <si>
    <t xml:space="preserve">11. Количество работников, выбывших в течение года</t>
  </si>
  <si>
    <t>Чвыб</t>
  </si>
  <si>
    <t xml:space="preserve">4. Явочная численность вспомогательных рабочих</t>
  </si>
  <si>
    <t xml:space="preserve">(Р / Нобсл) · kсм</t>
  </si>
  <si>
    <t xml:space="preserve">12. Количество работников, принятых в течение года</t>
  </si>
  <si>
    <t>Чпр</t>
  </si>
  <si>
    <t xml:space="preserve">5. Списочная численность вспомогательных рабочих</t>
  </si>
  <si>
    <t xml:space="preserve">п.4 · kприв</t>
  </si>
  <si>
    <t xml:space="preserve">13. Отпускная цена единицы продукции</t>
  </si>
  <si>
    <t xml:space="preserve">6. Списочная численность промышленнопроизводственного персонала</t>
  </si>
  <si>
    <t xml:space="preserve">п.2 + п. 5 + Чсл</t>
  </si>
  <si>
    <t xml:space="preserve">14. Нормативная трудоемкость изготовления изделия</t>
  </si>
  <si>
    <t>t</t>
  </si>
  <si>
    <t xml:space="preserve">7. Списочная численность работников предприятия</t>
  </si>
  <si>
    <t xml:space="preserve">п.6 + Чнепр</t>
  </si>
  <si>
    <t xml:space="preserve">Таблица 3.23</t>
  </si>
  <si>
    <t xml:space="preserve">1. Коэффициент выбытия кадров</t>
  </si>
  <si>
    <t xml:space="preserve">Чвыб / Чсп</t>
  </si>
  <si>
    <t xml:space="preserve">2. Коэффициент приема кадров</t>
  </si>
  <si>
    <t xml:space="preserve">Чпр / Чсп</t>
  </si>
  <si>
    <t xml:space="preserve">3. Коэффициент стабильности кадров</t>
  </si>
  <si>
    <t xml:space="preserve">(Чсп - Чвыб - Чпр) / Чсп</t>
  </si>
  <si>
    <t xml:space="preserve">4. Коэффициент замещения</t>
  </si>
  <si>
    <t xml:space="preserve">(Чпр - Чвыб) / Чсп</t>
  </si>
  <si>
    <t>∆Ч=</t>
  </si>
  <si>
    <t xml:space="preserve">Таблица 3.24</t>
  </si>
  <si>
    <t xml:space="preserve">Таким образом, производительность труда работников в отчетном периоде выросла по сравнению с базисным более чем на 9,3%.</t>
  </si>
  <si>
    <t xml:space="preserve">1. Производительность труда (натуральная)</t>
  </si>
  <si>
    <t xml:space="preserve">V / Чсп</t>
  </si>
  <si>
    <t xml:space="preserve">W отч н / W б н</t>
  </si>
  <si>
    <t xml:space="preserve">2. Производительность труда (стоимостная)</t>
  </si>
  <si>
    <t xml:space="preserve">V· Цотп / Чсп</t>
  </si>
  <si>
    <t xml:space="preserve">W отч ст / W б ст</t>
  </si>
  <si>
    <t xml:space="preserve">3. Производительность труда (трудовая)</t>
  </si>
  <si>
    <t xml:space="preserve">V· t / Чсп· 60</t>
  </si>
  <si>
    <t xml:space="preserve">W отч тр / W бтр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</si>
</sst>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name val="Calibri"/>
      <color theme="1"/>
      <sz val="11.000000"/>
      <scheme val="minor"/>
    </font>
    <font>
      <name val="Calibri"/>
      <color theme="1"/>
      <sz val="12.000000"/>
      <scheme val="minor"/>
    </font>
    <font>
      <name val="Calibri"/>
      <color theme="1"/>
      <sz val="12.000000"/>
    </font>
    <font>
      <name val="Calibri"/>
      <sz val="12.000000"/>
      <scheme val="minor"/>
    </font>
    <font>
      <name val="Courier New"/>
      <color theme="1"/>
      <sz val="12.000000"/>
    </font>
    <font>
      <name val="Calibri"/>
      <sz val="11.000000"/>
      <scheme val="minor"/>
    </font>
    <font>
      <name val="Calibri"/>
      <color theme="1"/>
      <sz val="11.000000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52">
    <xf fontId="0" fillId="0" borderId="0" numFmtId="0" xfId="0"/>
    <xf fontId="1" fillId="0" borderId="0" numFmtId="0" xfId="0" applyFont="1" applyAlignment="1">
      <alignment wrapText="1"/>
    </xf>
    <xf fontId="1" fillId="0" borderId="1" numFmtId="0" xfId="0" applyFont="1" applyBorder="1" applyAlignment="1">
      <alignment horizontal="center" vertical="center" wrapText="1"/>
    </xf>
    <xf fontId="1" fillId="0" borderId="1" numFmtId="0" xfId="0" applyFont="1" applyBorder="1" applyAlignment="1">
      <alignment wrapText="1"/>
    </xf>
    <xf fontId="1" fillId="0" borderId="1" numFmtId="14" xfId="0" applyNumberFormat="1" applyFont="1" applyBorder="1" applyAlignment="1">
      <alignment wrapText="1"/>
    </xf>
    <xf fontId="1" fillId="0" borderId="1" numFmtId="0" xfId="0" applyFont="1" applyBorder="1" applyAlignment="1">
      <alignment horizontal="center" wrapText="1"/>
    </xf>
    <xf fontId="1" fillId="0" borderId="1" numFmtId="0" xfId="0" applyFont="1" applyBorder="1" applyAlignment="1">
      <alignment vertical="center" wrapText="1"/>
    </xf>
    <xf fontId="1" fillId="0" borderId="0" numFmtId="14" xfId="0" applyNumberFormat="1" applyFont="1" applyAlignment="1">
      <alignment wrapText="1"/>
    </xf>
    <xf fontId="1" fillId="0" borderId="2" numFmtId="0" xfId="0" applyFont="1" applyBorder="1" applyAlignment="1">
      <alignment wrapText="1"/>
    </xf>
    <xf fontId="1" fillId="0" borderId="3" numFmtId="0" xfId="0" applyFont="1" applyBorder="1" applyAlignment="1">
      <alignment wrapText="1"/>
    </xf>
    <xf fontId="1" fillId="0" borderId="2" numFmtId="0" xfId="0" applyFont="1" applyBorder="1" applyAlignment="1">
      <alignment vertical="center" wrapText="1"/>
    </xf>
    <xf fontId="2" fillId="0" borderId="4" numFmtId="0" xfId="0" applyFont="1" applyBorder="1" applyAlignment="1">
      <alignment horizontal="center" vertical="center" wrapText="1"/>
    </xf>
    <xf fontId="2" fillId="0" borderId="5" numFmtId="0" xfId="0" applyFont="1" applyBorder="1" applyAlignment="1">
      <alignment horizontal="center" vertical="center" wrapText="1"/>
    </xf>
    <xf fontId="2" fillId="0" borderId="6" numFmtId="0" xfId="0" applyFont="1" applyBorder="1" applyAlignment="1">
      <alignment horizontal="center" vertical="center" wrapText="1"/>
    </xf>
    <xf fontId="1" fillId="0" borderId="1" numFmtId="0" xfId="0" applyFont="1" applyBorder="1" applyAlignment="1">
      <alignment horizontal="right" wrapText="1"/>
    </xf>
    <xf fontId="1" fillId="0" borderId="4" numFmtId="0" xfId="0" applyFont="1" applyBorder="1" applyAlignment="1">
      <alignment wrapText="1"/>
    </xf>
    <xf fontId="1" fillId="0" borderId="7" numFmtId="0" xfId="0" applyFont="1" applyBorder="1" applyAlignment="1">
      <alignment horizontal="center" vertical="center" wrapText="1"/>
    </xf>
    <xf fontId="1" fillId="0" borderId="6" numFmtId="0" xfId="0" applyFont="1" applyBorder="1" applyAlignment="1">
      <alignment horizontal="center" vertical="center" wrapText="1"/>
    </xf>
    <xf fontId="1" fillId="0" borderId="2" numFmtId="0" xfId="0" applyFont="1" applyBorder="1" applyAlignment="1">
      <alignment horizontal="center" vertical="center" wrapText="1"/>
    </xf>
    <xf fontId="1" fillId="0" borderId="4" numFmtId="0" xfId="0" applyFont="1" applyBorder="1" applyAlignment="1">
      <alignment horizontal="center" wrapText="1"/>
    </xf>
    <xf fontId="1" fillId="0" borderId="6" numFmtId="0" xfId="0" applyFont="1" applyBorder="1" applyAlignment="1">
      <alignment horizontal="center" wrapText="1"/>
    </xf>
    <xf fontId="3" fillId="0" borderId="1" numFmtId="0" xfId="0" applyFont="1" applyBorder="1" applyAlignment="1">
      <alignment horizontal="center" vertical="center" wrapText="1"/>
    </xf>
    <xf fontId="1" fillId="0" borderId="1" numFmtId="0" xfId="0" applyFont="1" applyBorder="1" applyAlignment="1">
      <alignment horizontal="left" vertical="top" wrapText="1"/>
    </xf>
    <xf fontId="1" fillId="0" borderId="6" numFmtId="0" xfId="0" applyFont="1" applyBorder="1" applyAlignment="1">
      <alignment wrapText="1"/>
    </xf>
    <xf fontId="4" fillId="0" borderId="0" numFmtId="0" xfId="0" applyFont="1" applyAlignment="1">
      <alignment wrapText="1"/>
    </xf>
    <xf fontId="0" fillId="0" borderId="0" numFmtId="0" xfId="0" applyAlignment="1">
      <alignment horizontal="center"/>
    </xf>
    <xf fontId="0" fillId="0" borderId="0" numFmtId="0" xfId="0" applyAlignment="1">
      <alignment horizontal="center" wrapText="1"/>
    </xf>
    <xf fontId="0" fillId="0" borderId="1" numFmtId="0" xfId="0" applyBorder="1" applyAlignment="1">
      <alignment horizontal="center" wrapText="1"/>
    </xf>
    <xf fontId="0" fillId="0" borderId="2" numFmtId="0" xfId="0" applyBorder="1" applyAlignment="1">
      <alignment horizontal="center" vertical="top" wrapText="1"/>
    </xf>
    <xf fontId="0" fillId="0" borderId="1" numFmtId="0" xfId="0" applyBorder="1" applyAlignment="1">
      <alignment horizontal="center" vertical="center" wrapText="1"/>
    </xf>
    <xf fontId="0" fillId="0" borderId="0" numFmtId="0" xfId="0" applyAlignment="1">
      <alignment vertical="center" wrapText="1"/>
    </xf>
    <xf fontId="0" fillId="0" borderId="2" numFmtId="0" xfId="0" applyBorder="1" applyAlignment="1">
      <alignment horizontal="center" wrapText="1"/>
    </xf>
    <xf fontId="0" fillId="2" borderId="8" numFmtId="0" xfId="0" applyFill="1" applyBorder="1" applyAlignment="1">
      <alignment horizontal="center" wrapText="1"/>
    </xf>
    <xf fontId="0" fillId="0" borderId="1" numFmtId="10" xfId="0" applyNumberFormat="1" applyBorder="1" applyAlignment="1">
      <alignment horizontal="center" wrapText="1"/>
    </xf>
    <xf fontId="0" fillId="0" borderId="1" numFmtId="2" xfId="0" applyNumberFormat="1" applyBorder="1" applyAlignment="1">
      <alignment horizontal="center" wrapText="1"/>
    </xf>
    <xf fontId="0" fillId="2" borderId="9" numFmtId="0" xfId="0" applyFill="1" applyBorder="1" applyAlignment="1">
      <alignment horizontal="center" wrapText="1"/>
    </xf>
    <xf fontId="5" fillId="0" borderId="0" numFmtId="0" xfId="0" applyFont="1" applyAlignment="1">
      <alignment horizontal="center" vertical="center" wrapText="1"/>
    </xf>
    <xf fontId="0" fillId="0" borderId="0" numFmtId="0" xfId="0"/>
    <xf fontId="6" fillId="0" borderId="0" numFmtId="0" xfId="0" applyFont="1"/>
    <xf fontId="6" fillId="0" borderId="1" numFmtId="0" xfId="0" applyFont="1" applyBorder="1" applyAlignment="1">
      <alignment horizontal="center" vertical="center"/>
    </xf>
    <xf fontId="6" fillId="0" borderId="2" numFmtId="0" xfId="0" applyFont="1" applyBorder="1" applyAlignment="1">
      <alignment horizontal="center" vertical="center"/>
    </xf>
    <xf fontId="6" fillId="0" borderId="7" numFmtId="0" xfId="0" applyFont="1" applyBorder="1" applyAlignment="1">
      <alignment horizontal="center" vertical="center"/>
    </xf>
    <xf fontId="0" fillId="0" borderId="1" numFmtId="0" xfId="0" applyBorder="1"/>
    <xf fontId="6" fillId="0" borderId="1" numFmtId="0" xfId="0" applyFont="1" applyBorder="1"/>
    <xf fontId="6" fillId="0" borderId="5" numFmtId="0" xfId="0" applyFont="1" applyBorder="1"/>
    <xf fontId="1" fillId="0" borderId="1" numFmtId="0" xfId="0" applyFont="1" applyBorder="1" applyAlignment="1">
      <alignment horizontal="left" vertical="center" wrapText="1"/>
    </xf>
    <xf fontId="0" fillId="0" borderId="0" numFmtId="0" xfId="0" applyAlignment="1">
      <alignment wrapText="1"/>
    </xf>
    <xf fontId="0" fillId="0" borderId="1" numFmtId="0" xfId="0" applyBorder="1" applyAlignment="1">
      <alignment wrapText="1"/>
    </xf>
    <xf fontId="0" fillId="0" borderId="4" numFmtId="0" xfId="0" applyBorder="1" applyAlignment="1">
      <alignment wrapText="1"/>
    </xf>
    <xf fontId="0" fillId="0" borderId="2" numFmtId="0" xfId="0" applyBorder="1" applyAlignment="1">
      <alignment wrapText="1"/>
    </xf>
    <xf fontId="0" fillId="0" borderId="7" numFmtId="0" xfId="0" applyBorder="1" applyAlignment="1">
      <alignment wrapText="1"/>
    </xf>
    <xf fontId="0" fillId="0" borderId="1" numFmtId="0" xfId="0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5" zoomScale="90" workbookViewId="0">
      <selection activeCell="J56" activeCellId="0" sqref="J56"/>
    </sheetView>
  </sheetViews>
  <sheetFormatPr defaultColWidth="9.109375" defaultRowHeight="14.25"/>
  <cols>
    <col customWidth="1" min="1" max="1" style="1" width="36.33203125"/>
    <col customWidth="1" min="2" max="2" style="1" width="34.00390625"/>
    <col bestFit="1" customWidth="1" min="3" max="3" style="1" width="11.33203125"/>
    <col customWidth="1" min="4" max="4" style="1" width="11.109375"/>
    <col customWidth="1" min="5" max="5" style="1" width="16.88671875"/>
    <col bestFit="1" customWidth="1" min="6" max="6" style="1" width="12.109375"/>
    <col bestFit="1" customWidth="1" min="7" max="7" style="1" width="11.88671875"/>
    <col customWidth="1" min="8" max="8" style="1" width="37"/>
    <col customWidth="1" min="9" max="9" style="1" width="21.33203125"/>
    <col customWidth="1" min="10" max="10" style="1" width="11.21875"/>
    <col customWidth="1" min="11" max="11" style="1" width="10.88671875"/>
    <col bestFit="1" customWidth="1" min="12" max="12" style="1" width="11.57421875"/>
    <col min="13" max="16384" style="1" width="9.109375"/>
  </cols>
  <sheetData>
    <row r="2" ht="49.5">
      <c r="A2" s="2" t="s">
        <v>0</v>
      </c>
      <c r="B2" s="2" t="s">
        <v>1</v>
      </c>
      <c r="C2" s="2"/>
      <c r="D2" s="2"/>
      <c r="E2" s="2"/>
      <c r="F2" s="2"/>
      <c r="H2" s="3" t="s">
        <v>2</v>
      </c>
      <c r="I2" s="3" t="s">
        <v>3</v>
      </c>
      <c r="L2" s="3" t="s">
        <v>4</v>
      </c>
      <c r="M2" s="3">
        <v>12</v>
      </c>
    </row>
    <row r="3" ht="16.5">
      <c r="A3" s="2"/>
      <c r="B3" s="2" t="s">
        <v>5</v>
      </c>
      <c r="C3" s="2" t="s">
        <v>6</v>
      </c>
      <c r="D3" s="2"/>
      <c r="E3" s="2" t="s">
        <v>7</v>
      </c>
      <c r="F3" s="2"/>
      <c r="H3" s="3" t="s">
        <v>8</v>
      </c>
      <c r="I3" s="3" t="s">
        <v>9</v>
      </c>
    </row>
    <row r="4" ht="16.5">
      <c r="A4" s="2"/>
      <c r="B4" s="2"/>
      <c r="C4" s="2" t="s">
        <v>10</v>
      </c>
      <c r="D4" s="2" t="s">
        <v>11</v>
      </c>
      <c r="E4" s="2" t="s">
        <v>10</v>
      </c>
      <c r="F4" s="2" t="s">
        <v>11</v>
      </c>
    </row>
    <row r="5" ht="16.5">
      <c r="A5" s="3" t="s">
        <v>12</v>
      </c>
      <c r="B5" s="3">
        <f>785+5*$M$2</f>
        <v>845</v>
      </c>
      <c r="C5" s="3">
        <f>10+$M$2</f>
        <v>22</v>
      </c>
      <c r="D5" s="4">
        <v>44256</v>
      </c>
      <c r="E5" s="3">
        <f>25-$M$2</f>
        <v>13</v>
      </c>
      <c r="F5" s="4">
        <v>44476</v>
      </c>
    </row>
    <row r="6" ht="16.5">
      <c r="A6" s="3" t="s">
        <v>13</v>
      </c>
      <c r="B6" s="3">
        <f>235-2*$M$2</f>
        <v>211</v>
      </c>
      <c r="C6" s="3">
        <f>50-$M$2</f>
        <v>38</v>
      </c>
      <c r="D6" s="4">
        <v>44226</v>
      </c>
      <c r="E6" s="3" t="s">
        <v>14</v>
      </c>
      <c r="F6" s="4" t="s">
        <v>14</v>
      </c>
      <c r="H6" s="2" t="s">
        <v>15</v>
      </c>
      <c r="I6" s="2" t="s">
        <v>16</v>
      </c>
      <c r="J6" s="2"/>
      <c r="K6" s="5" t="s">
        <v>17</v>
      </c>
    </row>
    <row r="7" ht="16.5">
      <c r="A7" s="3" t="s">
        <v>18</v>
      </c>
      <c r="B7" s="3">
        <f>310+7*$M$2</f>
        <v>394</v>
      </c>
      <c r="C7" s="3">
        <f>45-$M$2</f>
        <v>33</v>
      </c>
      <c r="D7" s="4">
        <v>44311</v>
      </c>
      <c r="E7" s="3">
        <f>20+$M$2</f>
        <v>32</v>
      </c>
      <c r="F7" s="4">
        <v>44526</v>
      </c>
      <c r="H7" s="2"/>
      <c r="I7" s="5" t="s">
        <v>19</v>
      </c>
      <c r="J7" s="3" t="s">
        <v>20</v>
      </c>
      <c r="K7" s="5"/>
    </row>
    <row r="8" ht="16.5">
      <c r="A8" s="6" t="s">
        <v>21</v>
      </c>
      <c r="B8" s="6">
        <f>595+10*$M$2</f>
        <v>715</v>
      </c>
      <c r="C8" s="3">
        <f>15+$M$2</f>
        <v>27</v>
      </c>
      <c r="D8" s="4">
        <v>44260</v>
      </c>
      <c r="E8" s="3">
        <f>33-$M$2</f>
        <v>21</v>
      </c>
      <c r="F8" s="4">
        <v>44231</v>
      </c>
      <c r="H8" s="3" t="s">
        <v>22</v>
      </c>
      <c r="I8" s="3">
        <v>16170</v>
      </c>
      <c r="J8" s="3">
        <v>17020</v>
      </c>
      <c r="K8" s="3">
        <f t="shared" ref="K8:K9" si="0">J8/I8</f>
        <v>1.0525664811379096</v>
      </c>
    </row>
    <row r="9" ht="33">
      <c r="A9" s="6"/>
      <c r="B9" s="6"/>
      <c r="C9" s="3">
        <f>70+$M$2</f>
        <v>82</v>
      </c>
      <c r="D9" s="4">
        <v>44419</v>
      </c>
      <c r="E9" s="3">
        <f>10+$M$2</f>
        <v>22</v>
      </c>
      <c r="F9" s="4">
        <v>44348</v>
      </c>
      <c r="H9" s="3" t="s">
        <v>23</v>
      </c>
      <c r="I9" s="3">
        <v>147</v>
      </c>
      <c r="J9" s="3">
        <v>157</v>
      </c>
      <c r="K9" s="3">
        <f t="shared" si="0"/>
        <v>1.0680272108843538</v>
      </c>
    </row>
    <row r="10" ht="16.5">
      <c r="A10" s="6"/>
      <c r="B10" s="6"/>
      <c r="C10" s="3">
        <f>65-$M$2</f>
        <v>53</v>
      </c>
      <c r="D10" s="4">
        <v>44470</v>
      </c>
      <c r="E10" s="3" t="s">
        <v>14</v>
      </c>
      <c r="F10" s="4" t="s">
        <v>14</v>
      </c>
    </row>
    <row r="11" ht="33">
      <c r="A11" s="3" t="s">
        <v>24</v>
      </c>
      <c r="B11" s="3">
        <f>380-$M$2</f>
        <v>368</v>
      </c>
      <c r="C11" s="3">
        <f>14+$M$2</f>
        <v>26</v>
      </c>
      <c r="D11" s="4">
        <v>44379</v>
      </c>
      <c r="E11" s="3">
        <f>7+$M$2</f>
        <v>19</v>
      </c>
      <c r="F11" s="4">
        <v>44258</v>
      </c>
      <c r="L11" s="7">
        <v>44561</v>
      </c>
    </row>
    <row r="12" ht="16.5">
      <c r="A12" s="3" t="s">
        <v>25</v>
      </c>
      <c r="B12" s="3">
        <f>195+$M$2</f>
        <v>207</v>
      </c>
      <c r="C12" s="3">
        <f>34-$M$2</f>
        <v>22</v>
      </c>
      <c r="D12" s="4">
        <v>44449</v>
      </c>
      <c r="E12" s="3" t="s">
        <v>14</v>
      </c>
      <c r="F12" s="4" t="s">
        <v>14</v>
      </c>
    </row>
    <row r="13" ht="16.5">
      <c r="A13" s="3" t="s">
        <v>26</v>
      </c>
      <c r="B13" s="3">
        <f>225+4*$M$2</f>
        <v>273</v>
      </c>
      <c r="C13" s="3">
        <f>49+$M$2</f>
        <v>61</v>
      </c>
      <c r="D13" s="4">
        <v>44295</v>
      </c>
      <c r="E13" s="3" t="s">
        <v>14</v>
      </c>
      <c r="F13" s="4" t="s">
        <v>14</v>
      </c>
    </row>
    <row r="14" ht="16.5">
      <c r="A14" s="3" t="s">
        <v>27</v>
      </c>
      <c r="B14" s="3">
        <f>170+3*$M$2</f>
        <v>206</v>
      </c>
      <c r="C14" s="3">
        <f>23+$M$2</f>
        <v>35</v>
      </c>
      <c r="D14" s="4">
        <v>44353</v>
      </c>
      <c r="E14" s="3">
        <f>20-$M$2</f>
        <v>8</v>
      </c>
      <c r="F14" s="4">
        <v>44473</v>
      </c>
    </row>
    <row r="17">
      <c r="A17" s="2" t="s">
        <v>28</v>
      </c>
      <c r="B17" s="2" t="s">
        <v>1</v>
      </c>
      <c r="C17" s="2"/>
      <c r="D17" s="2"/>
      <c r="E17" s="2"/>
      <c r="F17" s="2" t="s">
        <v>29</v>
      </c>
      <c r="G17" s="2"/>
      <c r="H17" s="2"/>
    </row>
    <row r="18" ht="33">
      <c r="A18" s="8"/>
      <c r="B18" s="2" t="s">
        <v>30</v>
      </c>
      <c r="C18" s="2" t="s">
        <v>6</v>
      </c>
      <c r="D18" s="2" t="s">
        <v>31</v>
      </c>
      <c r="E18" s="2" t="s">
        <v>32</v>
      </c>
      <c r="F18" s="3" t="s">
        <v>33</v>
      </c>
      <c r="G18" s="3" t="s">
        <v>34</v>
      </c>
      <c r="H18" s="3" t="s">
        <v>35</v>
      </c>
    </row>
    <row r="19" ht="16.5">
      <c r="A19" s="9" t="s">
        <v>12</v>
      </c>
      <c r="B19" s="3">
        <f>785+5*$M$2</f>
        <v>845</v>
      </c>
      <c r="C19" s="3">
        <f>10+$M$2</f>
        <v>22</v>
      </c>
      <c r="D19" s="3">
        <f>25-$M$2</f>
        <v>13</v>
      </c>
      <c r="E19" s="2">
        <f>B19+C19-D19</f>
        <v>854</v>
      </c>
      <c r="F19" s="2">
        <f t="shared" ref="F19:F21" si="1">B19/SUM($B$19:$B$28)*100</f>
        <v>26.250388319353835</v>
      </c>
      <c r="G19" s="2">
        <f t="shared" ref="G19:G28" si="2">E19/SUM($E$19:$E$28)*100</f>
        <v>24.379103625463888</v>
      </c>
      <c r="H19" s="2">
        <f t="shared" ref="H19:H28" si="3">G19-F19</f>
        <v>-1.8712846938899474</v>
      </c>
    </row>
    <row r="20" ht="16.5">
      <c r="A20" s="8" t="s">
        <v>13</v>
      </c>
      <c r="B20" s="3">
        <f>235-2*$M$2</f>
        <v>211</v>
      </c>
      <c r="C20" s="3">
        <f>50-$M$2</f>
        <v>38</v>
      </c>
      <c r="D20" s="3" t="s">
        <v>14</v>
      </c>
      <c r="E20" s="2">
        <f>B20+C20</f>
        <v>249</v>
      </c>
      <c r="F20" s="2">
        <f t="shared" si="1"/>
        <v>6.5548306927617279</v>
      </c>
      <c r="G20" s="2">
        <f t="shared" si="2"/>
        <v>7.1081929774479029</v>
      </c>
      <c r="H20" s="2">
        <f t="shared" si="3"/>
        <v>0.55336228468617499</v>
      </c>
    </row>
    <row r="21" ht="16.5">
      <c r="A21" s="8" t="s">
        <v>18</v>
      </c>
      <c r="B21" s="3">
        <f>310+7*$M$2</f>
        <v>394</v>
      </c>
      <c r="C21" s="3">
        <f>45-$M$2</f>
        <v>33</v>
      </c>
      <c r="D21" s="3">
        <f>20+$M$2</f>
        <v>32</v>
      </c>
      <c r="E21" s="2">
        <f t="shared" ref="E21:E28" si="4">B21+C21-D21</f>
        <v>395</v>
      </c>
      <c r="F21" s="2">
        <f t="shared" si="1"/>
        <v>12.23982603292948</v>
      </c>
      <c r="G21" s="2">
        <f t="shared" si="2"/>
        <v>11.276049100770766</v>
      </c>
      <c r="H21" s="2">
        <f t="shared" si="3"/>
        <v>-0.96377693215871396</v>
      </c>
    </row>
    <row r="22" ht="16.5">
      <c r="A22" s="10" t="s">
        <v>21</v>
      </c>
      <c r="B22" s="6">
        <f>595+10*$M$2</f>
        <v>715</v>
      </c>
      <c r="C22" s="3">
        <f>15+$M$2</f>
        <v>27</v>
      </c>
      <c r="D22" s="3">
        <f>33-$M$2</f>
        <v>21</v>
      </c>
      <c r="E22" s="11">
        <f>B22+C22+C23+C24-(D22+D23)</f>
        <v>834</v>
      </c>
      <c r="F22" s="11">
        <f>B22/SUM($B$19:$B$28)*100</f>
        <v>22.211867039453246</v>
      </c>
      <c r="G22" s="11">
        <f>E22/SUM($E$19:$E$28)*100</f>
        <v>23.808164430488151</v>
      </c>
      <c r="H22" s="11">
        <f>G22-F22</f>
        <v>1.5962973910349056</v>
      </c>
    </row>
    <row r="23" ht="16.5">
      <c r="A23" s="10"/>
      <c r="B23" s="6"/>
      <c r="C23" s="3">
        <f>70+$M$2</f>
        <v>82</v>
      </c>
      <c r="D23" s="3">
        <f>10+$M$2</f>
        <v>22</v>
      </c>
      <c r="E23" s="12"/>
      <c r="F23" s="12"/>
      <c r="G23" s="12"/>
      <c r="H23" s="12"/>
    </row>
    <row r="24" ht="16.5">
      <c r="A24" s="10"/>
      <c r="B24" s="6"/>
      <c r="C24" s="3">
        <f>65-$M$2</f>
        <v>53</v>
      </c>
      <c r="D24" s="3" t="s">
        <v>14</v>
      </c>
      <c r="E24" s="13"/>
      <c r="F24" s="13"/>
      <c r="G24" s="13"/>
      <c r="H24" s="13"/>
    </row>
    <row r="25" ht="33">
      <c r="A25" s="8" t="s">
        <v>24</v>
      </c>
      <c r="B25" s="3">
        <f>380-$M$2</f>
        <v>368</v>
      </c>
      <c r="C25" s="3">
        <f>14+$M$2</f>
        <v>26</v>
      </c>
      <c r="D25" s="3">
        <f>7+$M$2</f>
        <v>19</v>
      </c>
      <c r="E25" s="2">
        <f t="shared" si="4"/>
        <v>375</v>
      </c>
      <c r="F25" s="2">
        <f t="shared" ref="F25:F28" si="5">B25/SUM($B$19:$B$28)*100</f>
        <v>11.432121776949364</v>
      </c>
      <c r="G25" s="2">
        <f t="shared" si="2"/>
        <v>10.705109905795032</v>
      </c>
      <c r="H25" s="2">
        <f t="shared" si="3"/>
        <v>-0.72701187115433186</v>
      </c>
    </row>
    <row r="26" ht="16.5">
      <c r="A26" s="8" t="s">
        <v>25</v>
      </c>
      <c r="B26" s="3">
        <f>195+$M$2</f>
        <v>207</v>
      </c>
      <c r="C26" s="3">
        <f>34-$M$2</f>
        <v>22</v>
      </c>
      <c r="D26" s="3" t="s">
        <v>14</v>
      </c>
      <c r="E26" s="2">
        <f t="shared" ref="E26:E27" si="6">B26+C26</f>
        <v>229</v>
      </c>
      <c r="F26" s="2">
        <f t="shared" si="5"/>
        <v>6.4305684995340169</v>
      </c>
      <c r="G26" s="2">
        <f t="shared" si="2"/>
        <v>6.5372537824721659</v>
      </c>
      <c r="H26" s="2">
        <f t="shared" si="3"/>
        <v>0.10668528293814905</v>
      </c>
    </row>
    <row r="27" ht="16.5">
      <c r="A27" s="8" t="s">
        <v>26</v>
      </c>
      <c r="B27" s="3">
        <f>225+4*$M$2</f>
        <v>273</v>
      </c>
      <c r="C27" s="3">
        <f>49+$M$2</f>
        <v>61</v>
      </c>
      <c r="D27" s="3" t="s">
        <v>14</v>
      </c>
      <c r="E27" s="2">
        <f t="shared" si="6"/>
        <v>334</v>
      </c>
      <c r="F27" s="2">
        <f t="shared" si="5"/>
        <v>8.4808946877912383</v>
      </c>
      <c r="G27" s="2">
        <f t="shared" si="2"/>
        <v>9.5346845560947759</v>
      </c>
      <c r="H27" s="2">
        <f t="shared" si="3"/>
        <v>1.0537898683035376</v>
      </c>
    </row>
    <row r="28" ht="16.5">
      <c r="A28" s="8" t="s">
        <v>27</v>
      </c>
      <c r="B28" s="3">
        <f>170+3*$M$2</f>
        <v>206</v>
      </c>
      <c r="C28" s="3">
        <f>23+$M$2</f>
        <v>35</v>
      </c>
      <c r="D28" s="3">
        <f>20-$M$2</f>
        <v>8</v>
      </c>
      <c r="E28" s="2">
        <f t="shared" si="4"/>
        <v>233</v>
      </c>
      <c r="F28" s="2">
        <f t="shared" si="5"/>
        <v>6.3995029512270891</v>
      </c>
      <c r="G28" s="2">
        <f t="shared" si="2"/>
        <v>6.6514416214673133</v>
      </c>
      <c r="H28" s="2">
        <f t="shared" si="3"/>
        <v>0.25193867024022421</v>
      </c>
      <c r="I28" s="14" t="s">
        <v>36</v>
      </c>
      <c r="J28" s="3">
        <f>C29/E29</f>
        <v>0.11390236939765915</v>
      </c>
    </row>
    <row r="29" ht="16.5">
      <c r="A29" s="3" t="s">
        <v>37</v>
      </c>
      <c r="B29" s="2">
        <f>SUM(B19:B28)</f>
        <v>3219</v>
      </c>
      <c r="C29" s="2">
        <f>SUM(C19:C28)</f>
        <v>399</v>
      </c>
      <c r="D29" s="2">
        <f>SUM(D19:D28)</f>
        <v>115</v>
      </c>
      <c r="E29" s="2">
        <f>SUM(E19:E28)</f>
        <v>3503</v>
      </c>
      <c r="F29" s="2" t="s">
        <v>14</v>
      </c>
      <c r="G29" s="2" t="s">
        <v>14</v>
      </c>
      <c r="H29" s="2" t="s">
        <v>14</v>
      </c>
      <c r="I29" s="14" t="s">
        <v>38</v>
      </c>
      <c r="J29" s="3">
        <f>D29/B29</f>
        <v>3.5725380552966757e-002</v>
      </c>
    </row>
    <row r="32">
      <c r="A32" s="2" t="s">
        <v>0</v>
      </c>
      <c r="B32" s="2" t="s">
        <v>39</v>
      </c>
      <c r="C32" s="2" t="s">
        <v>40</v>
      </c>
      <c r="D32" s="2"/>
      <c r="E32" s="2"/>
      <c r="F32" s="2" t="s">
        <v>41</v>
      </c>
      <c r="G32" s="2"/>
      <c r="H32" s="2"/>
      <c r="I32" s="2" t="s">
        <v>42</v>
      </c>
    </row>
    <row r="33" ht="33">
      <c r="A33" s="2"/>
      <c r="B33" s="2"/>
      <c r="C33" s="3" t="s">
        <v>43</v>
      </c>
      <c r="D33" s="15" t="s">
        <v>44</v>
      </c>
      <c r="E33" s="3" t="s">
        <v>45</v>
      </c>
      <c r="F33" s="3" t="s">
        <v>46</v>
      </c>
      <c r="G33" s="15" t="s">
        <v>44</v>
      </c>
      <c r="H33" s="5" t="s">
        <v>45</v>
      </c>
      <c r="I33" s="2"/>
    </row>
    <row r="34" ht="16.5">
      <c r="A34" s="9" t="s">
        <v>12</v>
      </c>
      <c r="B34" s="3">
        <f>785+5*$M$2</f>
        <v>845</v>
      </c>
      <c r="C34" s="3">
        <f>10+$M$2</f>
        <v>22</v>
      </c>
      <c r="D34" s="2">
        <f>MONTH($L$11) -MONTH(D5)+1</f>
        <v>10</v>
      </c>
      <c r="E34" s="16">
        <f t="shared" ref="E34:E43" si="7">C34*D34/12</f>
        <v>18.333333333333332</v>
      </c>
      <c r="F34" s="3">
        <f>25-$M$2</f>
        <v>13</v>
      </c>
      <c r="G34" s="2">
        <f>MONTH($L$11)-MONTH(F5)+1</f>
        <v>3</v>
      </c>
      <c r="H34" s="16">
        <f>F34*G34/12</f>
        <v>3.25</v>
      </c>
      <c r="I34" s="2">
        <f>B34+E34-H34</f>
        <v>860.08333333333337</v>
      </c>
    </row>
    <row r="35" ht="16.5">
      <c r="A35" s="8" t="s">
        <v>13</v>
      </c>
      <c r="B35" s="3">
        <f>235-2*$M$2</f>
        <v>211</v>
      </c>
      <c r="C35" s="3">
        <f>50-$M$2</f>
        <v>38</v>
      </c>
      <c r="D35" s="2">
        <f t="shared" ref="D35:D36" si="8">MONTH($L$11) -MONTH(D6)</f>
        <v>11</v>
      </c>
      <c r="E35" s="16">
        <f t="shared" si="7"/>
        <v>34.833333333333336</v>
      </c>
      <c r="F35" s="3" t="s">
        <v>14</v>
      </c>
      <c r="G35" s="2" t="s">
        <v>14</v>
      </c>
      <c r="H35" s="16" t="s">
        <v>14</v>
      </c>
      <c r="I35" s="2">
        <f>B35+E35</f>
        <v>245.83333333333334</v>
      </c>
    </row>
    <row r="36" ht="16.5">
      <c r="A36" s="8" t="s">
        <v>18</v>
      </c>
      <c r="B36" s="3">
        <f>310+7*$M$2</f>
        <v>394</v>
      </c>
      <c r="C36" s="3">
        <f>45-$M$2</f>
        <v>33</v>
      </c>
      <c r="D36" s="2">
        <f t="shared" si="8"/>
        <v>8</v>
      </c>
      <c r="E36" s="16">
        <f t="shared" si="7"/>
        <v>22</v>
      </c>
      <c r="F36" s="3">
        <f>20+$M$2</f>
        <v>32</v>
      </c>
      <c r="G36" s="2">
        <f>MONTH($L$11)-MONTH(F7)</f>
        <v>1</v>
      </c>
      <c r="H36" s="16">
        <f t="shared" ref="H36:H43" si="9">F36*G36/12</f>
        <v>2.6666666666666665</v>
      </c>
      <c r="I36" s="2">
        <f t="shared" ref="I36:I43" si="10">B36+E36-H36</f>
        <v>413.33333333333331</v>
      </c>
    </row>
    <row r="37" ht="16.5">
      <c r="A37" s="10" t="s">
        <v>21</v>
      </c>
      <c r="B37" s="6">
        <f>595+10*$M$2</f>
        <v>715</v>
      </c>
      <c r="C37" s="3">
        <f>15+$M$2</f>
        <v>27</v>
      </c>
      <c r="D37" s="2">
        <f t="shared" ref="D37:D43" si="11">MONTH($L$11) -MONTH(D8)+1</f>
        <v>10</v>
      </c>
      <c r="E37" s="16">
        <f t="shared" si="7"/>
        <v>22.5</v>
      </c>
      <c r="F37" s="3">
        <f>33-$M$2</f>
        <v>21</v>
      </c>
      <c r="G37" s="2">
        <f t="shared" ref="G37:G38" si="12">MONTH($L$11)-MONTH(F8)+1</f>
        <v>11</v>
      </c>
      <c r="H37" s="16">
        <f t="shared" si="9"/>
        <v>19.25</v>
      </c>
      <c r="I37" s="11">
        <f>B37+E37+E38+E39-(H37+H38)</f>
        <v>752.83333333333326</v>
      </c>
    </row>
    <row r="38" ht="16.5">
      <c r="A38" s="10"/>
      <c r="B38" s="6"/>
      <c r="C38" s="3">
        <f>70+$M$2</f>
        <v>82</v>
      </c>
      <c r="D38" s="2">
        <f t="shared" si="11"/>
        <v>5</v>
      </c>
      <c r="E38" s="16">
        <f t="shared" si="7"/>
        <v>34.166666666666664</v>
      </c>
      <c r="F38" s="3">
        <f>10+$M$2</f>
        <v>22</v>
      </c>
      <c r="G38" s="2">
        <f t="shared" si="12"/>
        <v>7</v>
      </c>
      <c r="H38" s="16">
        <f t="shared" si="9"/>
        <v>12.833333333333334</v>
      </c>
      <c r="I38" s="12"/>
    </row>
    <row r="39" ht="16.5">
      <c r="A39" s="10"/>
      <c r="B39" s="6"/>
      <c r="C39" s="3">
        <f>65-$M$2</f>
        <v>53</v>
      </c>
      <c r="D39" s="2">
        <f t="shared" si="11"/>
        <v>3</v>
      </c>
      <c r="E39" s="16">
        <f t="shared" si="7"/>
        <v>13.25</v>
      </c>
      <c r="F39" s="3" t="s">
        <v>14</v>
      </c>
      <c r="G39" s="2" t="s">
        <v>14</v>
      </c>
      <c r="H39" s="16" t="s">
        <v>14</v>
      </c>
      <c r="I39" s="13"/>
    </row>
    <row r="40" ht="33">
      <c r="A40" s="8" t="s">
        <v>24</v>
      </c>
      <c r="B40" s="3">
        <f>380-$M$2</f>
        <v>368</v>
      </c>
      <c r="C40" s="3">
        <f>14+$M$2</f>
        <v>26</v>
      </c>
      <c r="D40" s="2">
        <f t="shared" si="11"/>
        <v>6</v>
      </c>
      <c r="E40" s="16">
        <f t="shared" si="7"/>
        <v>13</v>
      </c>
      <c r="F40" s="3">
        <f>7+$M$2</f>
        <v>19</v>
      </c>
      <c r="G40" s="2">
        <f>MONTH($L$11)-MONTH(F11)+1</f>
        <v>10</v>
      </c>
      <c r="H40" s="16">
        <f t="shared" si="9"/>
        <v>15.833333333333334</v>
      </c>
      <c r="I40" s="2">
        <f t="shared" si="10"/>
        <v>365.16666666666669</v>
      </c>
    </row>
    <row r="41" ht="16.5">
      <c r="A41" s="8" t="s">
        <v>25</v>
      </c>
      <c r="B41" s="3">
        <f>195+$M$2</f>
        <v>207</v>
      </c>
      <c r="C41" s="3">
        <f>34-$M$2</f>
        <v>22</v>
      </c>
      <c r="D41" s="2">
        <f t="shared" si="11"/>
        <v>4</v>
      </c>
      <c r="E41" s="16">
        <f t="shared" si="7"/>
        <v>7.333333333333333</v>
      </c>
      <c r="F41" s="3" t="s">
        <v>14</v>
      </c>
      <c r="G41" s="2" t="s">
        <v>14</v>
      </c>
      <c r="H41" s="16" t="s">
        <v>14</v>
      </c>
      <c r="I41" s="2">
        <f t="shared" ref="I41:I42" si="13">B41+E41</f>
        <v>214.33333333333334</v>
      </c>
    </row>
    <row r="42" ht="16.5">
      <c r="A42" s="8" t="s">
        <v>26</v>
      </c>
      <c r="B42" s="3">
        <f>225+4*$M$2</f>
        <v>273</v>
      </c>
      <c r="C42" s="3">
        <f>49+$M$2</f>
        <v>61</v>
      </c>
      <c r="D42" s="2">
        <f t="shared" si="11"/>
        <v>9</v>
      </c>
      <c r="E42" s="16">
        <f t="shared" si="7"/>
        <v>45.75</v>
      </c>
      <c r="F42" s="3" t="s">
        <v>14</v>
      </c>
      <c r="G42" s="2" t="s">
        <v>14</v>
      </c>
      <c r="H42" s="16" t="s">
        <v>14</v>
      </c>
      <c r="I42" s="2">
        <f t="shared" si="13"/>
        <v>318.75</v>
      </c>
    </row>
    <row r="43" ht="16.5">
      <c r="A43" s="8" t="s">
        <v>27</v>
      </c>
      <c r="B43" s="3">
        <f>170+3*$M$2</f>
        <v>206</v>
      </c>
      <c r="C43" s="3">
        <f>23+$M$2</f>
        <v>35</v>
      </c>
      <c r="D43" s="2">
        <f t="shared" si="11"/>
        <v>7</v>
      </c>
      <c r="E43" s="16">
        <f t="shared" si="7"/>
        <v>20.416666666666668</v>
      </c>
      <c r="F43" s="3">
        <f>20-$M$2</f>
        <v>8</v>
      </c>
      <c r="G43" s="2">
        <f>MONTH($L$11)-MONTH(F14)+1</f>
        <v>3</v>
      </c>
      <c r="H43" s="16">
        <f t="shared" si="9"/>
        <v>2</v>
      </c>
      <c r="I43" s="2">
        <f t="shared" si="10"/>
        <v>224.41666666666666</v>
      </c>
    </row>
    <row r="44" ht="16.5">
      <c r="A44" s="3" t="s">
        <v>37</v>
      </c>
      <c r="B44" s="2">
        <f>SUM(B34:B43)</f>
        <v>3219</v>
      </c>
      <c r="C44" s="2">
        <f>SUM(C34:C43)</f>
        <v>399</v>
      </c>
      <c r="D44" s="17" t="s">
        <v>14</v>
      </c>
      <c r="E44" s="2">
        <f>SUM(E34:E43)</f>
        <v>231.58333333333334</v>
      </c>
      <c r="F44" s="18">
        <f>SUM(F34:F43)</f>
        <v>115</v>
      </c>
      <c r="G44" s="2" t="s">
        <v>14</v>
      </c>
      <c r="H44" s="16">
        <f>H34+H36+H37+H38+H40</f>
        <v>53.833333333333336</v>
      </c>
      <c r="I44" s="2">
        <f>SUM(I34:I43)</f>
        <v>3394.7499999999995</v>
      </c>
    </row>
    <row r="47">
      <c r="A47" s="2" t="s">
        <v>15</v>
      </c>
      <c r="B47" s="2" t="s">
        <v>47</v>
      </c>
      <c r="C47" s="3" t="s">
        <v>16</v>
      </c>
      <c r="D47" s="3"/>
      <c r="E47" s="19" t="s">
        <v>17</v>
      </c>
    </row>
    <row r="48" ht="16.5">
      <c r="A48" s="2"/>
      <c r="B48" s="2"/>
      <c r="C48" s="15" t="s">
        <v>19</v>
      </c>
      <c r="D48" s="15" t="s">
        <v>20</v>
      </c>
      <c r="E48" s="20"/>
    </row>
    <row r="49" ht="16.5">
      <c r="A49" s="3" t="s">
        <v>22</v>
      </c>
      <c r="B49" s="8" t="s">
        <v>48</v>
      </c>
      <c r="C49" s="2">
        <f>I8</f>
        <v>16170</v>
      </c>
      <c r="D49" s="2">
        <f>J8</f>
        <v>17020</v>
      </c>
      <c r="E49" s="3" t="s">
        <v>14</v>
      </c>
    </row>
    <row r="50" ht="16.5">
      <c r="A50" s="3" t="s">
        <v>49</v>
      </c>
      <c r="B50" s="8" t="s">
        <v>50</v>
      </c>
      <c r="C50" s="21">
        <f>B44</f>
        <v>3219</v>
      </c>
      <c r="D50" s="21">
        <f>I44</f>
        <v>3394.7499999999995</v>
      </c>
      <c r="E50" s="3" t="s">
        <v>14</v>
      </c>
    </row>
    <row r="51" ht="16.5">
      <c r="A51" s="3" t="s">
        <v>51</v>
      </c>
      <c r="B51" s="8" t="s">
        <v>52</v>
      </c>
      <c r="C51" s="3">
        <f>C49/C50</f>
        <v>5.023299161230196</v>
      </c>
      <c r="D51" s="3">
        <f>D49/D50</f>
        <v>5.0136239782016352</v>
      </c>
      <c r="E51" s="3">
        <f t="shared" ref="E51:E54" si="14">D51-C51</f>
        <v>-9.675183028560852e-003</v>
      </c>
      <c r="G51" s="3" t="s">
        <v>53</v>
      </c>
      <c r="H51" s="3">
        <f>(D51-C51)*D50</f>
        <v>-32.844827586206947</v>
      </c>
    </row>
    <row r="52" ht="16.5">
      <c r="A52" s="3" t="s">
        <v>54</v>
      </c>
      <c r="B52" s="8" t="s">
        <v>55</v>
      </c>
      <c r="C52" s="3">
        <f>C50/C49</f>
        <v>0.19907235621521335</v>
      </c>
      <c r="D52" s="3">
        <f>D50/D49</f>
        <v>0.19945652173913042</v>
      </c>
      <c r="E52" s="3">
        <f t="shared" si="14"/>
        <v>3.8416552391706826e-004</v>
      </c>
    </row>
    <row r="53" ht="33">
      <c r="A53" s="3" t="s">
        <v>56</v>
      </c>
      <c r="B53" s="8" t="s">
        <v>48</v>
      </c>
      <c r="C53" s="2">
        <f>I9</f>
        <v>147</v>
      </c>
      <c r="D53" s="2">
        <f>J9</f>
        <v>157</v>
      </c>
      <c r="E53" s="3" t="s">
        <v>14</v>
      </c>
      <c r="G53" s="22" t="s">
        <v>57</v>
      </c>
      <c r="H53" s="22"/>
      <c r="I53" s="22"/>
    </row>
    <row r="54" ht="16.5">
      <c r="A54" s="3" t="s">
        <v>58</v>
      </c>
      <c r="B54" s="3" t="s">
        <v>59</v>
      </c>
      <c r="C54" s="23">
        <f>C50/C53</f>
        <v>21.897959183673468</v>
      </c>
      <c r="D54" s="23">
        <f>D50/D53</f>
        <v>21.622611464968148</v>
      </c>
      <c r="E54" s="3">
        <f t="shared" si="14"/>
        <v>-0.27534771870531927</v>
      </c>
      <c r="G54" s="22"/>
      <c r="H54" s="22"/>
      <c r="I54" s="22"/>
    </row>
    <row r="55">
      <c r="G55" s="22"/>
      <c r="H55" s="22"/>
      <c r="I55" s="22"/>
    </row>
    <row r="56" ht="15">
      <c r="J56" s="24"/>
    </row>
  </sheetData>
  <mergeCells count="32">
    <mergeCell ref="A2:A4"/>
    <mergeCell ref="B2:F2"/>
    <mergeCell ref="B3:B4"/>
    <mergeCell ref="C3:D3"/>
    <mergeCell ref="E3:F3"/>
    <mergeCell ref="H6:H7"/>
    <mergeCell ref="I6:J6"/>
    <mergeCell ref="K6:K7"/>
    <mergeCell ref="A8:A10"/>
    <mergeCell ref="B8:B10"/>
    <mergeCell ref="A17:A18"/>
    <mergeCell ref="B17:E17"/>
    <mergeCell ref="F17:H17"/>
    <mergeCell ref="A22:A24"/>
    <mergeCell ref="B22:B24"/>
    <mergeCell ref="E22:E24"/>
    <mergeCell ref="F22:F24"/>
    <mergeCell ref="G22:G24"/>
    <mergeCell ref="H22:H24"/>
    <mergeCell ref="A32:A33"/>
    <mergeCell ref="B32:B33"/>
    <mergeCell ref="C32:E32"/>
    <mergeCell ref="F32:H32"/>
    <mergeCell ref="I32:I33"/>
    <mergeCell ref="A37:A39"/>
    <mergeCell ref="B37:B39"/>
    <mergeCell ref="I37:I39"/>
    <mergeCell ref="A47:A48"/>
    <mergeCell ref="B47:B48"/>
    <mergeCell ref="C47:D47"/>
    <mergeCell ref="E47:E48"/>
    <mergeCell ref="G53:I5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H34" activeCellId="0" sqref="H34"/>
    </sheetView>
  </sheetViews>
  <sheetFormatPr defaultColWidth="9.109375" defaultRowHeight="14.25"/>
  <cols>
    <col customWidth="1" min="1" max="1" style="25" width="21.5546875"/>
    <col customWidth="1" min="2" max="2" style="25" width="18.21875"/>
    <col customWidth="1" min="3" max="3" style="25" width="23.77734375"/>
    <col customWidth="1" min="4" max="4" style="25" width="17.21875"/>
    <col customWidth="1" min="5" max="5" style="25" width="17.6640625"/>
    <col bestFit="1" customWidth="1" min="6" max="6" style="25" width="11.88671875"/>
    <col min="7" max="11" style="25" width="9.109375"/>
    <col bestFit="1" customWidth="1" min="12" max="12" style="25" width="49.6640625"/>
    <col bestFit="1" customWidth="1" min="13" max="13" style="25" width="28.109375"/>
    <col bestFit="1" customWidth="1" min="14" max="14" style="25" width="10.33203125"/>
    <col bestFit="1" customWidth="1" min="15" max="15" style="25" width="11.88671875"/>
    <col min="16" max="16384" style="25" width="9.109375"/>
  </cols>
  <sheetData>
    <row r="1">
      <c r="A1" s="26" t="s">
        <v>60</v>
      </c>
      <c r="B1" s="26"/>
      <c r="C1" s="26"/>
      <c r="D1" s="26" t="s">
        <v>61</v>
      </c>
      <c r="E1" s="26"/>
      <c r="F1" s="26"/>
      <c r="G1" s="26"/>
      <c r="H1" s="26"/>
      <c r="I1" s="26"/>
      <c r="J1" s="26"/>
    </row>
    <row r="2">
      <c r="A2" s="27" t="s">
        <v>15</v>
      </c>
      <c r="B2" s="27" t="s">
        <v>62</v>
      </c>
      <c r="C2" s="26"/>
      <c r="D2" s="28" t="s">
        <v>15</v>
      </c>
      <c r="E2" s="29" t="s">
        <v>63</v>
      </c>
      <c r="F2" s="29"/>
      <c r="G2" s="29"/>
      <c r="H2" s="29"/>
      <c r="I2" s="30"/>
      <c r="J2" s="30"/>
    </row>
    <row r="3" ht="30.600000000000001" customHeight="1">
      <c r="A3" s="27" t="s">
        <v>64</v>
      </c>
      <c r="B3" s="27">
        <v>120</v>
      </c>
      <c r="C3" s="26"/>
      <c r="D3" s="28"/>
      <c r="E3" s="27">
        <v>1</v>
      </c>
      <c r="F3" s="27">
        <v>2</v>
      </c>
      <c r="G3" s="27">
        <v>3</v>
      </c>
      <c r="H3" s="27">
        <v>4</v>
      </c>
      <c r="I3" s="26"/>
      <c r="J3" s="26"/>
    </row>
    <row r="4" ht="40.799999999999997" customHeight="1">
      <c r="A4" s="27" t="s">
        <v>65</v>
      </c>
      <c r="B4" s="27">
        <v>4</v>
      </c>
      <c r="C4" s="26"/>
      <c r="D4" s="31" t="s">
        <v>66</v>
      </c>
      <c r="E4" s="27">
        <v>250</v>
      </c>
      <c r="F4" s="27">
        <v>232</v>
      </c>
      <c r="G4" s="27">
        <v>264</v>
      </c>
      <c r="H4" s="27">
        <v>280</v>
      </c>
      <c r="I4" s="26"/>
      <c r="J4" s="26"/>
    </row>
    <row r="5">
      <c r="A5" s="26"/>
      <c r="B5" s="26"/>
      <c r="C5" s="26"/>
      <c r="D5" s="26"/>
      <c r="E5" s="26"/>
      <c r="F5" s="26"/>
      <c r="G5" s="26"/>
      <c r="H5" s="26"/>
      <c r="I5" s="26"/>
      <c r="J5" s="26"/>
    </row>
    <row r="6">
      <c r="A6" s="32" t="s">
        <v>67</v>
      </c>
      <c r="B6" s="32"/>
      <c r="C6" s="32"/>
      <c r="D6" s="32"/>
      <c r="E6" s="32"/>
      <c r="F6" s="26"/>
      <c r="G6" s="26"/>
      <c r="H6" s="26"/>
      <c r="I6" s="26"/>
      <c r="J6" s="26"/>
    </row>
    <row r="7" ht="27.600000000000001" customHeight="1">
      <c r="A7" s="27" t="s">
        <v>68</v>
      </c>
      <c r="B7" s="27" t="s">
        <v>69</v>
      </c>
      <c r="C7" s="27" t="s">
        <v>70</v>
      </c>
      <c r="D7" s="27" t="s">
        <v>71</v>
      </c>
      <c r="E7" s="27" t="s">
        <v>72</v>
      </c>
      <c r="F7" s="26"/>
      <c r="G7" s="26"/>
      <c r="H7" s="26"/>
      <c r="I7" s="26"/>
      <c r="J7" s="26"/>
    </row>
    <row r="8">
      <c r="A8" s="27">
        <v>1</v>
      </c>
      <c r="B8" s="33">
        <f t="shared" ref="B8:B11" si="15">100/4/100</f>
        <v>0.25</v>
      </c>
      <c r="C8" s="34">
        <f>B3*B8</f>
        <v>30</v>
      </c>
      <c r="D8" s="34">
        <f>B3-C8</f>
        <v>90</v>
      </c>
      <c r="E8" s="34">
        <f>C8</f>
        <v>30</v>
      </c>
      <c r="F8" s="26"/>
      <c r="G8" s="26"/>
      <c r="H8" s="26"/>
      <c r="I8" s="26"/>
      <c r="J8" s="26"/>
    </row>
    <row r="9">
      <c r="A9" s="27">
        <v>2</v>
      </c>
      <c r="B9" s="33">
        <f t="shared" si="15"/>
        <v>0.25</v>
      </c>
      <c r="C9" s="34">
        <f>B3*B9</f>
        <v>30</v>
      </c>
      <c r="D9" s="34">
        <f>D8-C9</f>
        <v>60</v>
      </c>
      <c r="E9" s="34">
        <f>E8+C9</f>
        <v>60</v>
      </c>
      <c r="F9" s="26"/>
      <c r="G9" s="26"/>
      <c r="H9" s="26"/>
      <c r="I9" s="26"/>
      <c r="J9" s="26"/>
    </row>
    <row r="10">
      <c r="A10" s="27">
        <v>3</v>
      </c>
      <c r="B10" s="33">
        <f t="shared" si="15"/>
        <v>0.25</v>
      </c>
      <c r="C10" s="34">
        <f>B3*B10</f>
        <v>30</v>
      </c>
      <c r="D10" s="34">
        <f t="shared" ref="D10:D11" si="16">D9-C10</f>
        <v>30</v>
      </c>
      <c r="E10" s="34">
        <f t="shared" ref="E10:E11" si="17">E9+C10</f>
        <v>90</v>
      </c>
      <c r="F10" s="26"/>
      <c r="G10" s="26"/>
      <c r="H10" s="26"/>
      <c r="I10" s="26"/>
      <c r="J10" s="26"/>
    </row>
    <row r="11">
      <c r="A11" s="27">
        <v>4</v>
      </c>
      <c r="B11" s="33">
        <f t="shared" si="15"/>
        <v>0.25</v>
      </c>
      <c r="C11" s="34">
        <f>B3*B11</f>
        <v>30</v>
      </c>
      <c r="D11" s="34">
        <f t="shared" si="16"/>
        <v>0</v>
      </c>
      <c r="E11" s="34">
        <f t="shared" si="17"/>
        <v>120</v>
      </c>
      <c r="F11" s="26"/>
      <c r="G11" s="26"/>
      <c r="H11" s="26"/>
      <c r="I11" s="26"/>
      <c r="J11" s="26"/>
    </row>
    <row r="12" ht="14.4" customHeight="1">
      <c r="A12" s="35" t="s">
        <v>73</v>
      </c>
      <c r="B12" s="35"/>
      <c r="C12" s="35"/>
      <c r="D12" s="35"/>
      <c r="E12" s="35"/>
      <c r="F12" s="26"/>
      <c r="G12" s="26"/>
      <c r="H12" s="26"/>
      <c r="I12" s="26"/>
      <c r="J12" s="26"/>
    </row>
    <row r="13" ht="28.5">
      <c r="A13" s="27" t="s">
        <v>68</v>
      </c>
      <c r="B13" s="27" t="s">
        <v>69</v>
      </c>
      <c r="C13" s="27" t="s">
        <v>70</v>
      </c>
      <c r="D13" s="27" t="s">
        <v>71</v>
      </c>
      <c r="E13" s="27" t="s">
        <v>72</v>
      </c>
      <c r="F13" s="26"/>
      <c r="G13" s="26"/>
      <c r="H13" s="26"/>
      <c r="I13" s="26"/>
      <c r="J13" s="26"/>
    </row>
    <row r="14">
      <c r="A14" s="27">
        <v>1</v>
      </c>
      <c r="B14" s="33">
        <f>4/(4*(4+1)/2)</f>
        <v>0.40000000000000002</v>
      </c>
      <c r="C14" s="34">
        <f t="shared" ref="C14:C26" si="18">$B$3*B14</f>
        <v>48</v>
      </c>
      <c r="D14" s="34">
        <f>B3-C14</f>
        <v>72</v>
      </c>
      <c r="E14" s="34">
        <f>C14</f>
        <v>48</v>
      </c>
      <c r="F14" s="26"/>
      <c r="G14" s="26"/>
      <c r="H14" s="26"/>
      <c r="I14" s="26"/>
      <c r="J14" s="26"/>
    </row>
    <row r="15">
      <c r="A15" s="27">
        <v>2</v>
      </c>
      <c r="B15" s="33">
        <f>3/(4*(4+1)/2)</f>
        <v>0.29999999999999999</v>
      </c>
      <c r="C15" s="34">
        <f t="shared" si="18"/>
        <v>36</v>
      </c>
      <c r="D15" s="34">
        <f t="shared" ref="D15:D17" si="19">D14-C15</f>
        <v>36</v>
      </c>
      <c r="E15" s="34">
        <f t="shared" ref="E15:E17" si="20">E14+C15</f>
        <v>84</v>
      </c>
      <c r="F15" s="26"/>
      <c r="G15" s="26"/>
      <c r="H15" s="36"/>
      <c r="I15" s="26"/>
      <c r="J15" s="26"/>
    </row>
    <row r="16">
      <c r="A16" s="27">
        <v>3</v>
      </c>
      <c r="B16" s="33">
        <f>2/(4*(4+1)/2)</f>
        <v>0.20000000000000001</v>
      </c>
      <c r="C16" s="34">
        <f t="shared" si="18"/>
        <v>24</v>
      </c>
      <c r="D16" s="34">
        <f t="shared" si="19"/>
        <v>12</v>
      </c>
      <c r="E16" s="34">
        <f t="shared" si="20"/>
        <v>108</v>
      </c>
      <c r="F16" s="26"/>
      <c r="G16" s="26"/>
      <c r="H16" s="36"/>
      <c r="I16" s="26"/>
      <c r="J16" s="26"/>
    </row>
    <row r="17">
      <c r="A17" s="27">
        <v>4</v>
      </c>
      <c r="B17" s="33">
        <f>1/(4*(4+1)/2)</f>
        <v>0.10000000000000001</v>
      </c>
      <c r="C17" s="34">
        <f t="shared" si="18"/>
        <v>12</v>
      </c>
      <c r="D17" s="34">
        <f t="shared" si="19"/>
        <v>0</v>
      </c>
      <c r="E17" s="34">
        <f t="shared" si="20"/>
        <v>120</v>
      </c>
      <c r="F17" s="26"/>
      <c r="G17" s="26"/>
      <c r="H17" s="36"/>
      <c r="I17" s="26"/>
      <c r="J17" s="26"/>
    </row>
    <row r="18">
      <c r="A18" s="35" t="s">
        <v>74</v>
      </c>
      <c r="B18" s="35"/>
      <c r="C18" s="35"/>
      <c r="D18" s="35"/>
      <c r="E18" s="35"/>
      <c r="F18" s="26"/>
      <c r="G18" s="26"/>
      <c r="H18" s="36"/>
      <c r="I18" s="26"/>
      <c r="J18" s="26"/>
    </row>
    <row r="19" ht="28.5">
      <c r="A19" s="27" t="s">
        <v>68</v>
      </c>
      <c r="B19" s="27" t="s">
        <v>69</v>
      </c>
      <c r="C19" s="27" t="s">
        <v>70</v>
      </c>
      <c r="D19" s="27" t="s">
        <v>71</v>
      </c>
      <c r="E19" s="27" t="s">
        <v>72</v>
      </c>
      <c r="F19" s="26"/>
      <c r="G19" s="26"/>
      <c r="H19" s="26"/>
      <c r="I19" s="26"/>
      <c r="J19" s="26"/>
    </row>
    <row r="20">
      <c r="A20" s="27">
        <v>1</v>
      </c>
      <c r="B20" s="33">
        <f>(4-4+1)/(4*(4+1)/2)</f>
        <v>0.10000000000000001</v>
      </c>
      <c r="C20" s="34">
        <f t="shared" si="18"/>
        <v>12</v>
      </c>
      <c r="D20" s="34">
        <f>$B$3-C20</f>
        <v>108</v>
      </c>
      <c r="E20" s="34">
        <f>C20</f>
        <v>12</v>
      </c>
      <c r="F20" s="26"/>
      <c r="G20" s="26"/>
      <c r="H20" s="26"/>
      <c r="I20" s="26"/>
      <c r="J20" s="26"/>
    </row>
    <row r="21">
      <c r="A21" s="27">
        <v>2</v>
      </c>
      <c r="B21" s="33">
        <f>(4-3+1)/(4*(4+1)/2)</f>
        <v>0.20000000000000001</v>
      </c>
      <c r="C21" s="34">
        <f t="shared" si="18"/>
        <v>24</v>
      </c>
      <c r="D21" s="34">
        <f t="shared" ref="D21:D23" si="21">D20-C21</f>
        <v>84</v>
      </c>
      <c r="E21" s="34">
        <f t="shared" ref="E21:E23" si="22">E20+C21</f>
        <v>36</v>
      </c>
      <c r="F21" s="26"/>
      <c r="G21" s="26"/>
      <c r="H21" s="26"/>
      <c r="I21" s="26"/>
      <c r="J21" s="26"/>
    </row>
    <row r="22">
      <c r="A22" s="27">
        <v>3</v>
      </c>
      <c r="B22" s="33">
        <f>(4-2+1)/(4*(4+1)/2)</f>
        <v>0.29999999999999999</v>
      </c>
      <c r="C22" s="34">
        <f t="shared" si="18"/>
        <v>36</v>
      </c>
      <c r="D22" s="34">
        <f t="shared" si="21"/>
        <v>48</v>
      </c>
      <c r="E22" s="34">
        <f t="shared" si="22"/>
        <v>72</v>
      </c>
      <c r="F22" s="26"/>
      <c r="G22" s="26"/>
      <c r="H22" s="26"/>
      <c r="I22" s="26"/>
      <c r="J22" s="26"/>
    </row>
    <row r="23">
      <c r="A23" s="27">
        <v>4</v>
      </c>
      <c r="B23" s="33">
        <f>(4-1+1)/(4*(4+1)/2)</f>
        <v>0.40000000000000002</v>
      </c>
      <c r="C23" s="34">
        <f t="shared" si="18"/>
        <v>48</v>
      </c>
      <c r="D23" s="34">
        <f t="shared" si="21"/>
        <v>0</v>
      </c>
      <c r="E23" s="34">
        <f t="shared" si="22"/>
        <v>120</v>
      </c>
      <c r="F23" s="26"/>
      <c r="G23" s="26"/>
      <c r="H23" s="26"/>
      <c r="I23" s="26"/>
      <c r="J23" s="26"/>
    </row>
    <row r="24" ht="14.4" customHeight="1">
      <c r="A24" s="35" t="s">
        <v>75</v>
      </c>
      <c r="B24" s="35"/>
      <c r="C24" s="35"/>
      <c r="D24" s="35"/>
      <c r="E24" s="35"/>
      <c r="F24" s="26"/>
      <c r="G24" s="26"/>
      <c r="H24" s="26"/>
      <c r="I24" s="26"/>
      <c r="J24" s="26"/>
    </row>
    <row r="25" ht="28.5">
      <c r="A25" s="27" t="s">
        <v>68</v>
      </c>
      <c r="B25" s="27" t="s">
        <v>69</v>
      </c>
      <c r="C25" s="27" t="s">
        <v>70</v>
      </c>
      <c r="D25" s="27" t="s">
        <v>71</v>
      </c>
      <c r="E25" s="27" t="s">
        <v>72</v>
      </c>
      <c r="F25" s="26"/>
      <c r="G25" s="26"/>
      <c r="H25" s="26"/>
      <c r="I25" s="26"/>
      <c r="J25" s="26"/>
    </row>
    <row r="26">
      <c r="A26" s="27">
        <v>1</v>
      </c>
      <c r="B26" s="33">
        <f t="shared" ref="B26:B29" si="23">(100/4)*2/100</f>
        <v>0.5</v>
      </c>
      <c r="C26" s="34">
        <f t="shared" si="18"/>
        <v>60</v>
      </c>
      <c r="D26" s="34">
        <f>B3-C26</f>
        <v>60</v>
      </c>
      <c r="E26" s="34">
        <f>C26</f>
        <v>60</v>
      </c>
      <c r="F26" s="26"/>
      <c r="G26" s="26"/>
      <c r="H26" s="26"/>
      <c r="I26" s="26"/>
      <c r="J26" s="26"/>
    </row>
    <row r="27">
      <c r="A27" s="27">
        <v>2</v>
      </c>
      <c r="B27" s="33">
        <f t="shared" si="23"/>
        <v>0.5</v>
      </c>
      <c r="C27" s="34">
        <f>($B$3-C26)*B27</f>
        <v>30</v>
      </c>
      <c r="D27" s="34">
        <f t="shared" ref="D27:D29" si="24">D26-C27</f>
        <v>30</v>
      </c>
      <c r="E27" s="34">
        <f t="shared" ref="E27:E29" si="25">E26+C27</f>
        <v>90</v>
      </c>
      <c r="F27" s="26"/>
      <c r="G27" s="26"/>
      <c r="H27" s="26"/>
      <c r="I27" s="26"/>
      <c r="J27" s="26"/>
    </row>
    <row r="28">
      <c r="A28" s="27">
        <v>3</v>
      </c>
      <c r="B28" s="33">
        <f t="shared" si="23"/>
        <v>0.5</v>
      </c>
      <c r="C28" s="34">
        <f>($B$3-C26-C27)*B28</f>
        <v>15</v>
      </c>
      <c r="D28" s="34">
        <f t="shared" si="24"/>
        <v>15</v>
      </c>
      <c r="E28" s="34">
        <f t="shared" si="25"/>
        <v>105</v>
      </c>
      <c r="F28" s="26"/>
      <c r="G28" s="26"/>
      <c r="H28" s="26"/>
      <c r="I28" s="26"/>
      <c r="J28" s="26"/>
    </row>
    <row r="29">
      <c r="A29" s="27">
        <v>4</v>
      </c>
      <c r="B29" s="33">
        <f t="shared" si="23"/>
        <v>0.5</v>
      </c>
      <c r="C29" s="34">
        <f>$B$3-C26-C27-C28</f>
        <v>15</v>
      </c>
      <c r="D29" s="34">
        <f t="shared" si="24"/>
        <v>0</v>
      </c>
      <c r="E29" s="34">
        <f t="shared" si="25"/>
        <v>120</v>
      </c>
      <c r="F29" s="26"/>
      <c r="G29" s="26"/>
      <c r="H29" s="26"/>
      <c r="I29" s="26"/>
      <c r="J29" s="26"/>
    </row>
    <row r="30" ht="14.4" customHeight="1">
      <c r="A30" s="35" t="s">
        <v>76</v>
      </c>
      <c r="B30" s="35"/>
      <c r="C30" s="35"/>
      <c r="D30" s="35"/>
      <c r="E30" s="35"/>
      <c r="F30" s="26"/>
      <c r="G30" s="26"/>
      <c r="H30" s="26"/>
      <c r="I30" s="26"/>
      <c r="J30" s="26"/>
    </row>
    <row r="31" ht="28.5">
      <c r="A31" s="27" t="s">
        <v>68</v>
      </c>
      <c r="B31" s="27" t="s">
        <v>69</v>
      </c>
      <c r="C31" s="27" t="s">
        <v>70</v>
      </c>
      <c r="D31" s="27" t="s">
        <v>71</v>
      </c>
      <c r="E31" s="27" t="s">
        <v>72</v>
      </c>
      <c r="F31" s="26"/>
      <c r="G31" s="26"/>
      <c r="H31" s="26"/>
      <c r="I31" s="26"/>
      <c r="J31" s="26"/>
    </row>
    <row r="32">
      <c r="A32" s="27">
        <v>1</v>
      </c>
      <c r="B32" s="33">
        <f>E4/SUM($E$4:$H$4)</f>
        <v>0.24366471734892786</v>
      </c>
      <c r="C32" s="34">
        <f t="shared" ref="C32:C35" si="26">$B$3*B32</f>
        <v>29.239766081871345</v>
      </c>
      <c r="D32" s="34">
        <f>$B$3-C32</f>
        <v>90.760233918128648</v>
      </c>
      <c r="E32" s="34">
        <f>C32</f>
        <v>29.239766081871345</v>
      </c>
      <c r="F32" s="26"/>
      <c r="G32" s="26"/>
      <c r="H32" s="26"/>
      <c r="I32" s="26"/>
      <c r="J32" s="26"/>
    </row>
    <row r="33">
      <c r="A33" s="27">
        <v>2</v>
      </c>
      <c r="B33" s="33">
        <f>F4/SUM($E$4:$H$4)</f>
        <v>0.22612085769980506</v>
      </c>
      <c r="C33" s="34">
        <f t="shared" si="26"/>
        <v>27.134502923976605</v>
      </c>
      <c r="D33" s="34">
        <f t="shared" ref="D33:D35" si="27">D32-C33</f>
        <v>63.625730994152043</v>
      </c>
      <c r="E33" s="34">
        <f t="shared" ref="E33:E35" si="28">E32+C33</f>
        <v>56.37426900584795</v>
      </c>
      <c r="F33" s="26"/>
      <c r="G33" s="26"/>
      <c r="H33" s="26"/>
      <c r="I33" s="26"/>
      <c r="J33" s="26"/>
    </row>
    <row r="34">
      <c r="A34" s="27">
        <v>3</v>
      </c>
      <c r="B34" s="33">
        <f>G4/SUM($E$4:$H$4)</f>
        <v>0.25730994152046782</v>
      </c>
      <c r="C34" s="34">
        <f t="shared" si="26"/>
        <v>30.877192982456137</v>
      </c>
      <c r="D34" s="34">
        <f t="shared" si="27"/>
        <v>32.748538011695906</v>
      </c>
      <c r="E34" s="34">
        <f t="shared" si="28"/>
        <v>87.251461988304087</v>
      </c>
      <c r="F34" s="26"/>
      <c r="G34" s="26"/>
      <c r="H34" s="26"/>
      <c r="I34" s="26"/>
      <c r="J34" s="26"/>
    </row>
    <row r="35">
      <c r="A35" s="27">
        <v>4</v>
      </c>
      <c r="B35" s="33">
        <f>H4/SUM($E$4:$H$4)</f>
        <v>0.27290448343079921</v>
      </c>
      <c r="C35" s="34">
        <f t="shared" si="26"/>
        <v>32.748538011695906</v>
      </c>
      <c r="D35" s="34">
        <f t="shared" si="27"/>
        <v>0</v>
      </c>
      <c r="E35" s="34">
        <f t="shared" si="28"/>
        <v>120</v>
      </c>
      <c r="F35" s="26"/>
      <c r="G35" s="26"/>
      <c r="H35" s="26"/>
      <c r="I35" s="26"/>
      <c r="J35" s="26"/>
    </row>
  </sheetData>
  <mergeCells count="7">
    <mergeCell ref="D2:D3"/>
    <mergeCell ref="E2:H2"/>
    <mergeCell ref="A6:E6"/>
    <mergeCell ref="A12:E12"/>
    <mergeCell ref="A18:E18"/>
    <mergeCell ref="A24:E24"/>
    <mergeCell ref="A30:E30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85" workbookViewId="0">
      <selection activeCell="H41" activeCellId="0" sqref="H41"/>
    </sheetView>
  </sheetViews>
  <sheetFormatPr defaultColWidth="9.109375" defaultRowHeight="14.25"/>
  <cols>
    <col bestFit="1" customWidth="1" min="1" max="1" style="37" width="54.33203125"/>
    <col bestFit="1" customWidth="1" min="2" max="2" style="37" width="31.6640625"/>
    <col bestFit="1" customWidth="1" min="3" max="4" style="37" width="14.33203125"/>
    <col customWidth="1" min="5" max="5" style="37" width="17.00390625"/>
    <col min="6" max="16384" style="37" width="9.109375"/>
  </cols>
  <sheetData>
    <row r="1">
      <c r="A1" s="38" t="s">
        <v>77</v>
      </c>
      <c r="B1" s="38"/>
      <c r="C1" s="38"/>
      <c r="D1" s="38"/>
    </row>
    <row r="2">
      <c r="A2" s="39" t="s">
        <v>78</v>
      </c>
      <c r="B2" s="39" t="s">
        <v>79</v>
      </c>
      <c r="C2" s="40" t="s">
        <v>80</v>
      </c>
      <c r="D2" s="41"/>
      <c r="G2" s="42" t="s">
        <v>4</v>
      </c>
      <c r="H2" s="42">
        <v>12</v>
      </c>
    </row>
    <row r="3">
      <c r="A3" s="39"/>
      <c r="B3" s="39"/>
      <c r="C3" s="43" t="s">
        <v>19</v>
      </c>
      <c r="D3" s="43" t="s">
        <v>20</v>
      </c>
    </row>
    <row r="4">
      <c r="A4" s="43" t="s">
        <v>81</v>
      </c>
      <c r="B4" s="43" t="s">
        <v>82</v>
      </c>
      <c r="C4" s="43">
        <f>45+$H$2</f>
        <v>57</v>
      </c>
      <c r="D4" s="43">
        <f>45+$H$2</f>
        <v>57</v>
      </c>
    </row>
    <row r="5">
      <c r="A5" s="43" t="s">
        <v>83</v>
      </c>
      <c r="B5" s="43" t="s">
        <v>84</v>
      </c>
      <c r="C5" s="43">
        <f>7.5+0.2*$H$2</f>
        <v>9.9000000000000004</v>
      </c>
      <c r="D5" s="43">
        <f>8+0.3*$H$2</f>
        <v>11.6</v>
      </c>
    </row>
    <row r="6">
      <c r="A6" s="43" t="s">
        <v>85</v>
      </c>
      <c r="B6" s="43" t="s">
        <v>86</v>
      </c>
      <c r="C6" s="43">
        <f>200+5*$H$2</f>
        <v>260</v>
      </c>
      <c r="D6" s="43">
        <f>210+10*$H$2</f>
        <v>330</v>
      </c>
    </row>
    <row r="7">
      <c r="A7" s="43" t="s">
        <v>87</v>
      </c>
      <c r="B7" s="43" t="s">
        <v>88</v>
      </c>
      <c r="C7" s="43">
        <f>81+0.1*$H$2</f>
        <v>82.200000000000003</v>
      </c>
      <c r="D7" s="43">
        <f>83+0.2*$H$2</f>
        <v>85.400000000000006</v>
      </c>
    </row>
    <row r="8">
      <c r="A8" s="43" t="s">
        <v>89</v>
      </c>
      <c r="B8" s="43" t="s">
        <v>90</v>
      </c>
      <c r="C8" s="43">
        <f>62+0.1*$H$2</f>
        <v>63.200000000000003</v>
      </c>
      <c r="D8" s="43">
        <f>64+0.2*$H$2</f>
        <v>66.400000000000006</v>
      </c>
    </row>
    <row r="9">
      <c r="A9" s="43" t="s">
        <v>91</v>
      </c>
      <c r="B9" s="43" t="s">
        <v>92</v>
      </c>
      <c r="C9" s="43">
        <f>60-$H$2</f>
        <v>48</v>
      </c>
      <c r="D9" s="43">
        <f>54-$H$2</f>
        <v>42</v>
      </c>
    </row>
    <row r="10">
      <c r="A10" s="43" t="s">
        <v>93</v>
      </c>
      <c r="B10" s="43" t="s">
        <v>94</v>
      </c>
      <c r="C10" s="43">
        <v>7</v>
      </c>
      <c r="D10" s="43">
        <v>7</v>
      </c>
    </row>
    <row r="11">
      <c r="A11" s="43" t="s">
        <v>95</v>
      </c>
      <c r="B11" s="43" t="s">
        <v>96</v>
      </c>
      <c r="C11" s="43">
        <v>0.82999999999999996</v>
      </c>
      <c r="D11" s="43">
        <v>0.82999999999999996</v>
      </c>
    </row>
    <row r="12">
      <c r="A12" s="43" t="s">
        <v>97</v>
      </c>
      <c r="B12" s="43" t="s">
        <v>98</v>
      </c>
      <c r="C12" s="44">
        <f>30+$H$2</f>
        <v>42</v>
      </c>
      <c r="D12" s="43">
        <f>30+$H$2</f>
        <v>42</v>
      </c>
    </row>
    <row r="13">
      <c r="A13" s="43" t="s">
        <v>99</v>
      </c>
      <c r="B13" s="43" t="s">
        <v>100</v>
      </c>
      <c r="C13" s="43">
        <v>15</v>
      </c>
      <c r="D13" s="43">
        <v>15</v>
      </c>
    </row>
    <row r="14">
      <c r="A14" s="43" t="s">
        <v>101</v>
      </c>
      <c r="B14" s="43" t="s">
        <v>102</v>
      </c>
      <c r="C14" s="43">
        <f>20+$H$2</f>
        <v>32</v>
      </c>
      <c r="D14" s="43">
        <f>20+$H$2</f>
        <v>32</v>
      </c>
    </row>
    <row r="15">
      <c r="A15" s="38"/>
      <c r="B15" s="38"/>
      <c r="C15" s="38"/>
      <c r="D15" s="38"/>
    </row>
    <row r="16">
      <c r="A16" s="38" t="s">
        <v>103</v>
      </c>
      <c r="B16" s="38"/>
      <c r="C16" s="38"/>
      <c r="D16" s="38"/>
    </row>
    <row r="17">
      <c r="A17" s="39" t="s">
        <v>15</v>
      </c>
      <c r="B17" s="39" t="s">
        <v>47</v>
      </c>
      <c r="C17" s="39" t="s">
        <v>80</v>
      </c>
      <c r="D17" s="39"/>
    </row>
    <row r="18">
      <c r="A18" s="39"/>
      <c r="B18" s="39"/>
      <c r="C18" s="43" t="s">
        <v>19</v>
      </c>
      <c r="D18" s="43" t="s">
        <v>20</v>
      </c>
    </row>
    <row r="19">
      <c r="A19" s="43" t="s">
        <v>104</v>
      </c>
      <c r="B19" s="43" t="s">
        <v>105</v>
      </c>
      <c r="C19" s="43">
        <f>C4*C6</f>
        <v>14820</v>
      </c>
      <c r="D19" s="43">
        <f>D4*D6</f>
        <v>18810</v>
      </c>
    </row>
    <row r="20">
      <c r="A20" s="43" t="s">
        <v>106</v>
      </c>
      <c r="B20" s="43" t="s">
        <v>107</v>
      </c>
      <c r="C20" s="43">
        <f>C19/360</f>
        <v>41.166666666666664</v>
      </c>
      <c r="D20" s="43">
        <f>D19/360</f>
        <v>52.25</v>
      </c>
    </row>
    <row r="21">
      <c r="A21" s="43" t="s">
        <v>108</v>
      </c>
      <c r="B21" s="43" t="s">
        <v>109</v>
      </c>
      <c r="C21" s="43">
        <f>C9*C20</f>
        <v>1976</v>
      </c>
      <c r="D21" s="43">
        <f>D9*D20</f>
        <v>2194.5</v>
      </c>
    </row>
    <row r="22">
      <c r="A22" s="43" t="s">
        <v>110</v>
      </c>
      <c r="B22" s="43" t="s">
        <v>111</v>
      </c>
      <c r="C22" s="43">
        <f>C20*C10</f>
        <v>288.16666666666663</v>
      </c>
      <c r="D22" s="43">
        <f>D20*D10</f>
        <v>365.75</v>
      </c>
    </row>
    <row r="23">
      <c r="A23" s="43" t="s">
        <v>112</v>
      </c>
      <c r="B23" s="43" t="s">
        <v>113</v>
      </c>
      <c r="C23" s="43">
        <f>(C21/2+C22)*C5</f>
        <v>12634.049999999999</v>
      </c>
      <c r="D23" s="43">
        <f>(D21/2+D22)*D5</f>
        <v>16970.799999999999</v>
      </c>
    </row>
    <row r="24">
      <c r="A24" s="43" t="s">
        <v>114</v>
      </c>
      <c r="B24" s="43" t="s">
        <v>115</v>
      </c>
      <c r="C24" s="43">
        <f>C6/360</f>
        <v>0.72222222222222221</v>
      </c>
      <c r="D24" s="43">
        <f>D6/360</f>
        <v>0.91666666666666663</v>
      </c>
    </row>
    <row r="25">
      <c r="A25" s="43" t="s">
        <v>116</v>
      </c>
      <c r="B25" s="43" t="s">
        <v>117</v>
      </c>
      <c r="C25" s="43">
        <f>C11*C24*C8*C12</f>
        <v>1591.1653333333334</v>
      </c>
      <c r="D25" s="43">
        <f>D11*D24*D8*D12</f>
        <v>2121.8119999999999</v>
      </c>
    </row>
    <row r="26">
      <c r="A26" s="43" t="s">
        <v>118</v>
      </c>
      <c r="B26" s="43" t="s">
        <v>119</v>
      </c>
      <c r="C26" s="43">
        <f>C13</f>
        <v>15</v>
      </c>
      <c r="D26" s="43">
        <f>D13</f>
        <v>15</v>
      </c>
    </row>
    <row r="27">
      <c r="A27" s="43" t="s">
        <v>120</v>
      </c>
      <c r="B27" s="43" t="s">
        <v>121</v>
      </c>
      <c r="C27" s="43">
        <f>C6*C7</f>
        <v>21372</v>
      </c>
      <c r="D27" s="43">
        <f>D6*D7</f>
        <v>28182.000000000004</v>
      </c>
    </row>
    <row r="28">
      <c r="A28" s="43" t="s">
        <v>122</v>
      </c>
      <c r="B28" s="43" t="s">
        <v>123</v>
      </c>
      <c r="C28" s="43">
        <f>C27/360*C14</f>
        <v>1899.7333333333333</v>
      </c>
      <c r="D28" s="43">
        <f>D27/360*D14</f>
        <v>2505.0666666666671</v>
      </c>
    </row>
    <row r="29">
      <c r="A29" s="43" t="s">
        <v>124</v>
      </c>
      <c r="B29" s="43" t="s">
        <v>125</v>
      </c>
      <c r="C29" s="43">
        <f>C23+C25+C26+C28</f>
        <v>16139.948666666667</v>
      </c>
      <c r="D29" s="43">
        <f>D23+D25+D26+D28</f>
        <v>21612.678666666667</v>
      </c>
    </row>
    <row r="30">
      <c r="A30" s="38"/>
      <c r="B30" s="38"/>
      <c r="C30" s="38"/>
      <c r="D30" s="38"/>
    </row>
    <row r="31">
      <c r="A31" s="38" t="s">
        <v>126</v>
      </c>
      <c r="B31" s="38"/>
      <c r="C31" s="38"/>
      <c r="D31" s="38"/>
    </row>
    <row r="32">
      <c r="A32" s="39" t="s">
        <v>15</v>
      </c>
      <c r="B32" s="39" t="s">
        <v>47</v>
      </c>
      <c r="C32" s="39" t="s">
        <v>80</v>
      </c>
      <c r="D32" s="39"/>
    </row>
    <row r="33">
      <c r="A33" s="39"/>
      <c r="B33" s="39"/>
      <c r="C33" s="43" t="s">
        <v>19</v>
      </c>
      <c r="D33" s="43" t="s">
        <v>20</v>
      </c>
      <c r="E33" s="37" t="s">
        <v>127</v>
      </c>
    </row>
    <row r="34">
      <c r="A34" s="43" t="s">
        <v>128</v>
      </c>
      <c r="B34" s="43" t="s">
        <v>129</v>
      </c>
      <c r="C34" s="43">
        <f>C27/C29</f>
        <v>1.3241677802940555</v>
      </c>
      <c r="D34" s="43">
        <f>D27/D29</f>
        <v>1.3039568317584451</v>
      </c>
      <c r="E34" s="37">
        <f t="shared" ref="E34:E36" si="29">D34-C34</f>
        <v>-2.021094853561034e-002</v>
      </c>
    </row>
    <row r="35">
      <c r="A35" s="43" t="s">
        <v>130</v>
      </c>
      <c r="B35" s="43" t="s">
        <v>131</v>
      </c>
      <c r="C35" s="43">
        <f>C29/C27</f>
        <v>0.75519130950152846</v>
      </c>
      <c r="D35" s="43">
        <f>D29/D27</f>
        <v>0.76689655335556961</v>
      </c>
      <c r="E35" s="37">
        <f t="shared" si="29"/>
        <v>1.1705243854041147e-002</v>
      </c>
    </row>
    <row r="36">
      <c r="A36" s="43" t="s">
        <v>132</v>
      </c>
      <c r="B36" s="43" t="s">
        <v>133</v>
      </c>
      <c r="C36" s="43">
        <f>360/C34</f>
        <v>271.86887142055025</v>
      </c>
      <c r="D36" s="43">
        <f>360/D34</f>
        <v>276.08275920800509</v>
      </c>
      <c r="E36" s="37">
        <f t="shared" si="29"/>
        <v>4.2138877874548371</v>
      </c>
    </row>
    <row r="37">
      <c r="A37" s="38"/>
      <c r="B37" s="38"/>
      <c r="C37" s="38"/>
      <c r="D37" s="38"/>
    </row>
    <row r="38">
      <c r="A38" s="38">
        <f>(C36-D36)*D29/360</f>
        <v>-252.98167413236766</v>
      </c>
      <c r="B38" s="38" t="s">
        <v>134</v>
      </c>
      <c r="C38" s="38"/>
      <c r="D38" s="38"/>
    </row>
    <row r="39">
      <c r="A39" s="38">
        <f>C29*D27/C27-D29</f>
        <v>-329.87718229458915</v>
      </c>
      <c r="B39" s="38" t="s">
        <v>135</v>
      </c>
      <c r="C39" s="38"/>
      <c r="D39" s="38"/>
    </row>
    <row r="41" ht="76.200000000000003" customHeight="1">
      <c r="A41" s="45" t="s">
        <v>136</v>
      </c>
      <c r="B41" s="45"/>
    </row>
  </sheetData>
  <mergeCells count="10">
    <mergeCell ref="A2:A3"/>
    <mergeCell ref="B2:B3"/>
    <mergeCell ref="C2:D2"/>
    <mergeCell ref="A17:A18"/>
    <mergeCell ref="B17:B18"/>
    <mergeCell ref="C17:D17"/>
    <mergeCell ref="A32:A33"/>
    <mergeCell ref="B32:B33"/>
    <mergeCell ref="C32:D32"/>
    <mergeCell ref="A41:B41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" zoomScale="90" workbookViewId="0">
      <selection activeCell="G29" activeCellId="0" sqref="G29:H29"/>
    </sheetView>
  </sheetViews>
  <sheetFormatPr defaultColWidth="9.109375" defaultRowHeight="14.25"/>
  <cols>
    <col customWidth="1" min="1" max="1" style="46" width="29.44140625"/>
    <col bestFit="1" customWidth="1" min="2" max="2" style="46" width="10.109375"/>
    <col bestFit="1" customWidth="1" min="3" max="3" style="46" width="12.88671875"/>
    <col min="4" max="4" style="46" width="9.109375"/>
    <col customWidth="1" min="5" max="5" style="46" width="45"/>
    <col customWidth="1" min="6" max="6" style="46" width="15.5546875"/>
    <col bestFit="1" customWidth="1" min="7" max="7" style="46" width="13.88671875"/>
    <col bestFit="1" customWidth="1" min="8" max="8" style="46" width="12.5546875"/>
    <col bestFit="1" customWidth="1" min="9" max="9" style="46" width="12.6640625"/>
    <col min="10" max="16384" style="46" width="9.109375"/>
  </cols>
  <sheetData>
    <row r="1">
      <c r="A1" s="46" t="s">
        <v>137</v>
      </c>
      <c r="E1" s="46" t="s">
        <v>138</v>
      </c>
    </row>
    <row r="2">
      <c r="A2" s="47" t="s">
        <v>15</v>
      </c>
      <c r="B2" s="48" t="s">
        <v>62</v>
      </c>
      <c r="C2" s="47" t="s">
        <v>139</v>
      </c>
      <c r="E2" s="47" t="s">
        <v>15</v>
      </c>
      <c r="F2" s="47" t="s">
        <v>62</v>
      </c>
      <c r="G2" s="47" t="s">
        <v>139</v>
      </c>
    </row>
    <row r="3" ht="42.75">
      <c r="A3" s="49" t="s">
        <v>140</v>
      </c>
      <c r="B3" s="29">
        <f>48+0.1*$C$18</f>
        <v>49.200000000000003</v>
      </c>
      <c r="C3" s="50" t="s">
        <v>86</v>
      </c>
      <c r="E3" s="47" t="s">
        <v>141</v>
      </c>
      <c r="F3" s="47">
        <v>504</v>
      </c>
      <c r="G3" s="47" t="s">
        <v>142</v>
      </c>
    </row>
    <row r="4" ht="28.5">
      <c r="A4" s="49" t="s">
        <v>143</v>
      </c>
      <c r="B4" s="29">
        <f>980-5*$C$18</f>
        <v>920</v>
      </c>
      <c r="C4" s="50" t="s">
        <v>144</v>
      </c>
      <c r="E4" s="47" t="s">
        <v>145</v>
      </c>
      <c r="F4" s="47">
        <v>527</v>
      </c>
      <c r="G4" s="47" t="s">
        <v>146</v>
      </c>
    </row>
    <row r="5" ht="28.5">
      <c r="A5" s="49" t="s">
        <v>147</v>
      </c>
      <c r="B5" s="29">
        <f>1.05+0.01*$C$18</f>
        <v>1.1699999999999999</v>
      </c>
      <c r="C5" s="50" t="s">
        <v>148</v>
      </c>
      <c r="E5" s="47" t="s">
        <v>149</v>
      </c>
      <c r="F5" s="47">
        <v>45</v>
      </c>
      <c r="G5" s="47" t="s">
        <v>150</v>
      </c>
    </row>
    <row r="6" ht="28.5">
      <c r="A6" s="49" t="s">
        <v>151</v>
      </c>
      <c r="B6" s="29">
        <f>230+$C$18</f>
        <v>242</v>
      </c>
      <c r="C6" s="50" t="s">
        <v>152</v>
      </c>
      <c r="E6" s="47" t="s">
        <v>153</v>
      </c>
      <c r="F6" s="47">
        <v>119</v>
      </c>
      <c r="G6" s="47" t="s">
        <v>154</v>
      </c>
    </row>
    <row r="7">
      <c r="A7" s="49" t="s">
        <v>155</v>
      </c>
      <c r="B7" s="29">
        <v>2</v>
      </c>
      <c r="C7" s="50" t="s">
        <v>156</v>
      </c>
    </row>
    <row r="8">
      <c r="A8" s="49" t="s">
        <v>157</v>
      </c>
      <c r="B8" s="29">
        <v>6</v>
      </c>
      <c r="C8" s="50" t="s">
        <v>158</v>
      </c>
      <c r="E8" s="46" t="s">
        <v>159</v>
      </c>
    </row>
    <row r="9" ht="28.5">
      <c r="A9" s="49" t="s">
        <v>160</v>
      </c>
      <c r="B9" s="29">
        <f>440+5*$C$18</f>
        <v>500</v>
      </c>
      <c r="C9" s="50" t="s">
        <v>161</v>
      </c>
      <c r="E9" s="29" t="s">
        <v>15</v>
      </c>
      <c r="F9" s="29" t="s">
        <v>47</v>
      </c>
      <c r="G9" s="29" t="s">
        <v>162</v>
      </c>
    </row>
    <row r="10" ht="42.600000000000001" customHeight="1">
      <c r="A10" s="49" t="s">
        <v>163</v>
      </c>
      <c r="B10" s="29">
        <v>1.1000000000000001</v>
      </c>
      <c r="C10" s="50" t="s">
        <v>164</v>
      </c>
      <c r="E10" s="47" t="s">
        <v>165</v>
      </c>
      <c r="F10" s="47" t="s">
        <v>166</v>
      </c>
      <c r="G10" s="47">
        <f>B4*B6</f>
        <v>222640</v>
      </c>
    </row>
    <row r="11" ht="28.5">
      <c r="A11" s="49" t="s">
        <v>167</v>
      </c>
      <c r="B11" s="29">
        <f>105+$C$18</f>
        <v>117</v>
      </c>
      <c r="C11" s="50" t="s">
        <v>168</v>
      </c>
      <c r="E11" s="47" t="s">
        <v>169</v>
      </c>
      <c r="F11" s="47" t="s">
        <v>170</v>
      </c>
      <c r="G11" s="47">
        <f>B3*1000000/(G10*B5)</f>
        <v>188.87568294682919</v>
      </c>
    </row>
    <row r="12" ht="42.75">
      <c r="A12" s="49" t="s">
        <v>171</v>
      </c>
      <c r="B12" s="29">
        <f>32-$C$18</f>
        <v>20</v>
      </c>
      <c r="C12" s="50" t="s">
        <v>172</v>
      </c>
      <c r="E12" s="47" t="s">
        <v>173</v>
      </c>
      <c r="F12" s="47" t="s">
        <v>107</v>
      </c>
      <c r="G12" s="47">
        <f>G10/360</f>
        <v>618.44444444444446</v>
      </c>
    </row>
    <row r="13" ht="28.5">
      <c r="A13" s="49" t="s">
        <v>174</v>
      </c>
      <c r="B13" s="29">
        <f>21-$C$18</f>
        <v>9</v>
      </c>
      <c r="C13" s="50" t="s">
        <v>175</v>
      </c>
      <c r="E13" s="47" t="s">
        <v>176</v>
      </c>
      <c r="F13" s="47" t="s">
        <v>177</v>
      </c>
      <c r="G13" s="47">
        <f>(B9/B8)*B7</f>
        <v>166.66666666666666</v>
      </c>
    </row>
    <row r="14" ht="28.5">
      <c r="A14" s="49" t="s">
        <v>178</v>
      </c>
      <c r="B14" s="29">
        <f>28+$C$18</f>
        <v>40</v>
      </c>
      <c r="C14" s="50" t="s">
        <v>179</v>
      </c>
      <c r="E14" s="47" t="s">
        <v>180</v>
      </c>
      <c r="F14" s="47" t="s">
        <v>181</v>
      </c>
      <c r="G14" s="47">
        <f>G13*B10</f>
        <v>183.33333333333334</v>
      </c>
    </row>
    <row r="15" ht="28.5">
      <c r="A15" s="49" t="s">
        <v>182</v>
      </c>
      <c r="B15" s="29">
        <f>124+5*$C$18</f>
        <v>184</v>
      </c>
      <c r="C15" s="50" t="s">
        <v>88</v>
      </c>
      <c r="E15" s="47" t="s">
        <v>183</v>
      </c>
      <c r="F15" s="47" t="s">
        <v>184</v>
      </c>
      <c r="G15" s="47">
        <f>G14+G11+B11</f>
        <v>489.20901628016253</v>
      </c>
    </row>
    <row r="16" ht="28.5">
      <c r="A16" s="49" t="s">
        <v>185</v>
      </c>
      <c r="B16" s="29">
        <f>1.1+0.1*$C$18</f>
        <v>2.3000000000000003</v>
      </c>
      <c r="C16" s="50" t="s">
        <v>186</v>
      </c>
      <c r="E16" s="47" t="s">
        <v>187</v>
      </c>
      <c r="F16" s="47" t="s">
        <v>188</v>
      </c>
      <c r="G16" s="47">
        <f>G15+B12</f>
        <v>509.20901628016253</v>
      </c>
    </row>
    <row r="18">
      <c r="B18" s="47" t="s">
        <v>4</v>
      </c>
      <c r="C18" s="47">
        <v>12</v>
      </c>
      <c r="E18" s="46" t="s">
        <v>189</v>
      </c>
    </row>
    <row r="19">
      <c r="E19" s="29" t="s">
        <v>15</v>
      </c>
      <c r="F19" s="29" t="s">
        <v>47</v>
      </c>
      <c r="G19" s="29" t="s">
        <v>162</v>
      </c>
    </row>
    <row r="20">
      <c r="E20" s="47" t="s">
        <v>190</v>
      </c>
      <c r="F20" s="47" t="s">
        <v>191</v>
      </c>
      <c r="G20" s="47">
        <f>B13/G16</f>
        <v>1.7674471017316541e-002</v>
      </c>
    </row>
    <row r="21">
      <c r="E21" s="47" t="s">
        <v>192</v>
      </c>
      <c r="F21" s="47" t="s">
        <v>193</v>
      </c>
      <c r="G21" s="47">
        <f>B14/G16</f>
        <v>7.855320452140685e-002</v>
      </c>
    </row>
    <row r="22" ht="28.5">
      <c r="E22" s="47" t="s">
        <v>194</v>
      </c>
      <c r="F22" s="47" t="s">
        <v>195</v>
      </c>
      <c r="G22" s="47">
        <f>(G16-B14-B13)/G16</f>
        <v>0.90377232446127664</v>
      </c>
    </row>
    <row r="23" ht="28.5">
      <c r="E23" s="47" t="s">
        <v>196</v>
      </c>
      <c r="F23" s="47" t="s">
        <v>197</v>
      </c>
      <c r="G23" s="47">
        <f>(B14-B13)/G16</f>
        <v>6.0878733504090315e-002</v>
      </c>
      <c r="H23" s="51" t="s">
        <v>198</v>
      </c>
      <c r="I23" s="47">
        <f>F4*B3/F5-G16</f>
        <v>66.977650386504195</v>
      </c>
    </row>
    <row r="25">
      <c r="E25" s="46" t="s">
        <v>199</v>
      </c>
    </row>
    <row r="26">
      <c r="E26" s="29" t="s">
        <v>15</v>
      </c>
      <c r="F26" s="29" t="s">
        <v>47</v>
      </c>
      <c r="G26" s="29" t="s">
        <v>162</v>
      </c>
      <c r="H26" s="47"/>
    </row>
    <row r="27">
      <c r="E27" s="47"/>
      <c r="F27" s="47"/>
      <c r="G27" s="47" t="s">
        <v>19</v>
      </c>
      <c r="H27" s="47" t="s">
        <v>20</v>
      </c>
    </row>
    <row r="28" ht="15.6" customHeight="1">
      <c r="A28" s="45" t="s">
        <v>200</v>
      </c>
      <c r="B28" s="45"/>
      <c r="C28" s="45"/>
      <c r="E28" s="29" t="s">
        <v>201</v>
      </c>
      <c r="F28" s="29" t="s">
        <v>202</v>
      </c>
      <c r="G28" s="47">
        <f>F5*1000/F4</f>
        <v>85.388994307400381</v>
      </c>
      <c r="H28" s="47">
        <f>B3*1000/G16</f>
        <v>96.620441561330438</v>
      </c>
    </row>
    <row r="29">
      <c r="A29" s="45"/>
      <c r="B29" s="45"/>
      <c r="C29" s="45"/>
      <c r="E29" s="29"/>
      <c r="F29" s="27" t="s">
        <v>203</v>
      </c>
      <c r="G29" s="47">
        <f>H28/G28</f>
        <v>1.1315327267293587</v>
      </c>
      <c r="H29" s="47"/>
    </row>
    <row r="30">
      <c r="A30" s="45"/>
      <c r="B30" s="45"/>
      <c r="C30" s="45"/>
      <c r="E30" s="29" t="s">
        <v>204</v>
      </c>
      <c r="F30" s="27" t="s">
        <v>205</v>
      </c>
      <c r="G30" s="47">
        <f>F5*B15/G16</f>
        <v>16.260513335931218</v>
      </c>
      <c r="H30" s="47">
        <f>B3*B15/G16</f>
        <v>17.778161247284803</v>
      </c>
    </row>
    <row r="31">
      <c r="E31" s="29"/>
      <c r="F31" s="27" t="s">
        <v>206</v>
      </c>
      <c r="G31" s="47">
        <f>H30/G30</f>
        <v>1.0933333333333337</v>
      </c>
      <c r="H31" s="47"/>
    </row>
    <row r="32">
      <c r="E32" s="29" t="s">
        <v>207</v>
      </c>
      <c r="F32" s="27" t="s">
        <v>208</v>
      </c>
      <c r="G32" s="47">
        <f>F5*60*B16/G16</f>
        <v>12.195385001948416</v>
      </c>
      <c r="H32" s="47">
        <f>(B3*B16)/G16*60</f>
        <v>13.333620935463601</v>
      </c>
    </row>
    <row r="33">
      <c r="E33" s="29"/>
      <c r="F33" s="27" t="s">
        <v>209</v>
      </c>
      <c r="G33" s="47">
        <f>H32/G32</f>
        <v>1.0933333333333333</v>
      </c>
      <c r="H33" s="47"/>
    </row>
  </sheetData>
  <mergeCells count="10">
    <mergeCell ref="E26:E27"/>
    <mergeCell ref="F26:F27"/>
    <mergeCell ref="G26:H26"/>
    <mergeCell ref="A28:C30"/>
    <mergeCell ref="E28:E29"/>
    <mergeCell ref="G29:H29"/>
    <mergeCell ref="E30:E31"/>
    <mergeCell ref="G31:H31"/>
    <mergeCell ref="E32:E33"/>
    <mergeCell ref="G33:H3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3</cp:revision>
  <dcterms:created xsi:type="dcterms:W3CDTF">2015-06-05T18:19:34Z</dcterms:created>
  <dcterms:modified xsi:type="dcterms:W3CDTF">2023-03-01T11:55:46Z</dcterms:modified>
</cp:coreProperties>
</file>