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charts/colors2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style2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4.1" sheetId="1" state="visible" r:id="rId2"/>
    <sheet name="4.2-4.4" sheetId="2" state="visible" r:id="rId3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<sst xmlns="http://schemas.openxmlformats.org/spreadsheetml/2006/main" count="285" uniqueCount="285">
  <si>
    <t>Вариант</t>
  </si>
  <si>
    <t xml:space="preserve">Разряд рабочего</t>
  </si>
  <si>
    <t xml:space="preserve">Объем выпуска продукции, шт.</t>
  </si>
  <si>
    <t xml:space="preserve">Фактически отработанное время, ч.</t>
  </si>
  <si>
    <t xml:space="preserve">Норма времени, ч.</t>
  </si>
  <si>
    <t xml:space="preserve">Тарифный разряд</t>
  </si>
  <si>
    <t xml:space="preserve">Тарифный коэффициент</t>
  </si>
  <si>
    <t xml:space="preserve">Таблица 4.4</t>
  </si>
  <si>
    <t>Показатели</t>
  </si>
  <si>
    <t>Значения</t>
  </si>
  <si>
    <t>Источники</t>
  </si>
  <si>
    <t xml:space="preserve">1.Тарифная ставка 1 разряда, руб.</t>
  </si>
  <si>
    <t xml:space="preserve">исх. данные</t>
  </si>
  <si>
    <t xml:space="preserve">2. Разряд работ</t>
  </si>
  <si>
    <t xml:space="preserve">3. Тарифный коэффициент</t>
  </si>
  <si>
    <t xml:space="preserve">табл. 4.2</t>
  </si>
  <si>
    <t xml:space="preserve">4. Коэффициент повышения по технологическим видам работ</t>
  </si>
  <si>
    <t xml:space="preserve">5. Месячная тарифная ставка 5 разряда, руб.</t>
  </si>
  <si>
    <t xml:space="preserve">п.1 · п.3 · п.4</t>
  </si>
  <si>
    <t xml:space="preserve">6. Нормативный фонд рабочего времени, ч.</t>
  </si>
  <si>
    <t xml:space="preserve">7. Часовая тарифная ставка 5 разряда, руб.</t>
  </si>
  <si>
    <t xml:space="preserve">п.5 / п.6</t>
  </si>
  <si>
    <t xml:space="preserve">8. Норма времени, ч</t>
  </si>
  <si>
    <t xml:space="preserve">9. Прямая сдельная расценка, руб.</t>
  </si>
  <si>
    <t xml:space="preserve">п.7 · п.8</t>
  </si>
  <si>
    <t xml:space="preserve">10. Объем производства в месяц, шт.</t>
  </si>
  <si>
    <t xml:space="preserve">11. Заработная плата, руб.</t>
  </si>
  <si>
    <t xml:space="preserve">п.9 · п.10</t>
  </si>
  <si>
    <t xml:space="preserve">таблица 4.5</t>
  </si>
  <si>
    <t xml:space="preserve">1. Заработная плата при прямой сдельной системе оплаты труда, руб.</t>
  </si>
  <si>
    <t xml:space="preserve">строка 11 табл. 4.4</t>
  </si>
  <si>
    <t xml:space="preserve">2. Нормативный фонд рабочего времени, ч.</t>
  </si>
  <si>
    <t xml:space="preserve">3. Норма времени, ч</t>
  </si>
  <si>
    <t xml:space="preserve">4. Объем производства в месяц по плану, шт</t>
  </si>
  <si>
    <t xml:space="preserve">п.2 / п.3</t>
  </si>
  <si>
    <t xml:space="preserve">5. Объем производства в месяц, шт.</t>
  </si>
  <si>
    <t xml:space="preserve">6. Процент перевыполнения плана, %</t>
  </si>
  <si>
    <t xml:space="preserve"> п.5 / п.4 · 100 -100</t>
  </si>
  <si>
    <t xml:space="preserve">7. Процент премии за перевыполнение плана, %</t>
  </si>
  <si>
    <t xml:space="preserve">п.6 · 0,5</t>
  </si>
  <si>
    <t xml:space="preserve">8. Премия за перевыполнения плана, руб.</t>
  </si>
  <si>
    <t xml:space="preserve">п.1 · п.7 / 100</t>
  </si>
  <si>
    <t xml:space="preserve">9. Заработная плата, руб.</t>
  </si>
  <si>
    <t xml:space="preserve">п.1 + п.8</t>
  </si>
  <si>
    <t xml:space="preserve">таблица 4.6</t>
  </si>
  <si>
    <t xml:space="preserve">1. Прямая сдельная расценка, руб</t>
  </si>
  <si>
    <t xml:space="preserve">строка 9 табл. 4.4</t>
  </si>
  <si>
    <t xml:space="preserve">2. Объем производства в месяц по плану, шт.</t>
  </si>
  <si>
    <t xml:space="preserve">строка 4 табл. 4.5</t>
  </si>
  <si>
    <t xml:space="preserve">3. Процент перевыполнения нормы выработки, необходимый для роста сдельной расценки, %</t>
  </si>
  <si>
    <t xml:space="preserve">столбец 1 табл. 4.3</t>
  </si>
  <si>
    <t xml:space="preserve">4. Десять процентов перевыполнения нормы выработки с учетом округления (в меньшую сторону) до целого числа, шт.</t>
  </si>
  <si>
    <t xml:space="preserve">п.2 · 10/100</t>
  </si>
  <si>
    <t xml:space="preserve">5. Заработная плата, руб., в т.ч.</t>
  </si>
  <si>
    <t xml:space="preserve">п.5.1 + п. 5.2 + п.5.3 + п.5.4</t>
  </si>
  <si>
    <t xml:space="preserve">5.1 оплата за объем производства по плану</t>
  </si>
  <si>
    <t xml:space="preserve">п.2 · п.1</t>
  </si>
  <si>
    <t xml:space="preserve">5.2 оплата за часть объема производства в интервале перевыполнения плана 101 – 110%</t>
  </si>
  <si>
    <t xml:space="preserve">п.4 · п.1 · 1,05</t>
  </si>
  <si>
    <t xml:space="preserve">5.3 оплата за часть объема производства в интервале перевыполнения плана 111 – 120%</t>
  </si>
  <si>
    <t xml:space="preserve">п.4 · п.1 · 1,10</t>
  </si>
  <si>
    <t xml:space="preserve">5.4 оплата за часть объема производства в интервале перевыполнения плана 121 – 130%</t>
  </si>
  <si>
    <t xml:space="preserve">п.4 · п.1 · 1,20</t>
  </si>
  <si>
    <t xml:space="preserve">5.5 оплата за часть объема производства в интервале перевыполнения плана 131 – 140%</t>
  </si>
  <si>
    <t xml:space="preserve">п.4 · п.1 · 1,30</t>
  </si>
  <si>
    <t xml:space="preserve">таблица 4.7</t>
  </si>
  <si>
    <t xml:space="preserve">7. Фактический фонд рабочего времени, ч.</t>
  </si>
  <si>
    <t xml:space="preserve">8. Заработная плата, руб.</t>
  </si>
  <si>
    <t xml:space="preserve">п.5 · п.7 / п.6</t>
  </si>
  <si>
    <t xml:space="preserve">таблица 4.8</t>
  </si>
  <si>
    <t xml:space="preserve">1. Заработная плата при, руб.</t>
  </si>
  <si>
    <t xml:space="preserve">строка 8 табл. 4.7</t>
  </si>
  <si>
    <t xml:space="preserve">2. Процент премии за выполнение нормы выработки, %</t>
  </si>
  <si>
    <t xml:space="preserve">3. Премия за выполнение нормы выработки, руб.</t>
  </si>
  <si>
    <t xml:space="preserve">п.1 · п.2 / 100</t>
  </si>
  <si>
    <t xml:space="preserve">4. Заработная плата, руб.</t>
  </si>
  <si>
    <t xml:space="preserve">п.1 + п.3</t>
  </si>
  <si>
    <t xml:space="preserve">Таким образом, размер заработной платы при прямой сдельной системе оплаты – 305.6 руб, при сдельно-премиальной системе оплаты – 362,5 руб,  при сдельно-прогрессивной системе оплаты – 351.4 руб, при прямой повременной системе оплаты – 202,5 руб, при повременно-премиальной системе оплаты – 263,25 руб.</t>
  </si>
  <si>
    <t xml:space="preserve">Таблица 4.9</t>
  </si>
  <si>
    <t xml:space="preserve">Изделие </t>
  </si>
  <si>
    <t>А</t>
  </si>
  <si>
    <t>Б</t>
  </si>
  <si>
    <t>С</t>
  </si>
  <si>
    <t xml:space="preserve">1. Программа выпуска изделий цехом в год</t>
  </si>
  <si>
    <t xml:space="preserve">2. Количество наборов комплектующих</t>
  </si>
  <si>
    <t xml:space="preserve">3. Средняя цена набора комплектующих</t>
  </si>
  <si>
    <t xml:space="preserve">4. Затраты электроэнергии на производство одного изделия</t>
  </si>
  <si>
    <t xml:space="preserve">5. Цена за 1 кВт·ч электрической энергии</t>
  </si>
  <si>
    <t xml:space="preserve">6. Зарплата основная и дополнительная основных рабочих  за одно изделие (комплексная расценка)</t>
  </si>
  <si>
    <t xml:space="preserve">7. Зарплата вспомогательных рабочих цеха</t>
  </si>
  <si>
    <t xml:space="preserve">8. Зарплата административноуправленческого персонала предприятия</t>
  </si>
  <si>
    <t xml:space="preserve">9.Зарплата цехового административно-управленческого персонала</t>
  </si>
  <si>
    <t xml:space="preserve">10. Количество единиц занятого технологического оборудования</t>
  </si>
  <si>
    <t xml:space="preserve">11.Расходы по содержанию и эксплуатации единицы технологического оборудования</t>
  </si>
  <si>
    <t xml:space="preserve">12. Основные производственные средства общехозяйственного назначения</t>
  </si>
  <si>
    <t xml:space="preserve">13. Их средний нормативный срок службы</t>
  </si>
  <si>
    <t xml:space="preserve">14. Основные производственные средства цеха по производству продукции А, Б, В, </t>
  </si>
  <si>
    <t xml:space="preserve">15. Их средний процент амортизации</t>
  </si>
  <si>
    <t xml:space="preserve">16. Амортизация основных средств административноуправленческого назначения, тыс</t>
  </si>
  <si>
    <t xml:space="preserve">17. Плата за землю</t>
  </si>
  <si>
    <t xml:space="preserve">18. Плата за пользование природными ресурсами в пределах нормы</t>
  </si>
  <si>
    <t xml:space="preserve">19. Оплата аудиторских услуг, тыс</t>
  </si>
  <si>
    <t xml:space="preserve">20. Расходы по подготовке продукции к реализации</t>
  </si>
  <si>
    <t xml:space="preserve">21.Оплата рекламных слуг</t>
  </si>
  <si>
    <t xml:space="preserve">22. Расходы по продвижению товара на рынок</t>
  </si>
  <si>
    <t xml:space="preserve">23. Расходы по освещению цеха по производству продукции А, Б, В,</t>
  </si>
  <si>
    <t xml:space="preserve">24. Расходы по изучению конъюнктуры рынков сбыта продукции А, Б, В</t>
  </si>
  <si>
    <t xml:space="preserve">25. Расходы по отоплению зданий общепроизводственного назначения</t>
  </si>
  <si>
    <t xml:space="preserve">26. Расходы по освещению территории предприятия</t>
  </si>
  <si>
    <t xml:space="preserve">Таблица 4.10</t>
  </si>
  <si>
    <t xml:space="preserve">Показатели </t>
  </si>
  <si>
    <t xml:space="preserve">Значения </t>
  </si>
  <si>
    <t xml:space="preserve">Источник </t>
  </si>
  <si>
    <t xml:space="preserve">1. Материальные затраты </t>
  </si>
  <si>
    <t xml:space="preserve">1.1 Покупные комплектующие </t>
  </si>
  <si>
    <t xml:space="preserve">(п.1 (ст. 2) · п.2 (ст. 2) · п.3 (ст. 2)  + п.1 (ст. 3) · п.2 (ст. 3) · п.3 (ст. 3) + п.1 (ст. 4) · п.2 (ст. 4) · п.3 (ст. 4)) / 1000   </t>
  </si>
  <si>
    <t xml:space="preserve">1.2 Электроэнергия на технологические цели</t>
  </si>
  <si>
    <t xml:space="preserve">(п.1 (ст. 2) · п.4 (ст. 2) · п.5 (ст. 2)  + п.1 (ст. 3) · п.4 (ст. 3) · п.5 (ст. 3) + п.1 (ст. 4) · п.4 (ст. 4) · п.5 (ст. 4)) / 1000   </t>
  </si>
  <si>
    <t xml:space="preserve">1.3 Расходы  на освещение цеха по выпуску продукции А, Б, В </t>
  </si>
  <si>
    <t xml:space="preserve">п.23 (ст. 5) </t>
  </si>
  <si>
    <t xml:space="preserve">1.4 Расходы по отоплению зданий общепроизводственного назначения </t>
  </si>
  <si>
    <t xml:space="preserve">п.25 (ст. 5) </t>
  </si>
  <si>
    <t xml:space="preserve">1.5 Расходы по освещению территории предприятия </t>
  </si>
  <si>
    <t xml:space="preserve">п.26 (ст. 5) </t>
  </si>
  <si>
    <t xml:space="preserve">1.6 Итого материальных затрат</t>
  </si>
  <si>
    <t xml:space="preserve">п.1.1 + п.1.2 + п.1.3 + п.1.4 + п.1.5 </t>
  </si>
  <si>
    <t xml:space="preserve">2. Затраты на оплату труда</t>
  </si>
  <si>
    <t xml:space="preserve">2.1 Заработная плата основных производственных рабочих</t>
  </si>
  <si>
    <t xml:space="preserve">(п.1 (ст. 2) · п.6 (ст. 2) + п.1 (ст. 3) · п.6 (ст. 3) + п.1 (ст. 4) · п.6 (ст.4)) / 1000 </t>
  </si>
  <si>
    <t xml:space="preserve">2.2 Зарплата вспомогательных рабочих цеха</t>
  </si>
  <si>
    <t xml:space="preserve">п.7 (ст. 5) </t>
  </si>
  <si>
    <t xml:space="preserve">2.3 Зарплата административноуправленческого персонала предприятия</t>
  </si>
  <si>
    <t xml:space="preserve">п.8 (ст. 5) </t>
  </si>
  <si>
    <t xml:space="preserve">2.4 Зарплата цехового административно-управленческого персонала</t>
  </si>
  <si>
    <t xml:space="preserve">п.9 (ст. 5) </t>
  </si>
  <si>
    <t xml:space="preserve">2.5 Итого затрат на оплату труда</t>
  </si>
  <si>
    <t xml:space="preserve">п.2.1 + п.2.2 + п.2.3 + п.2.4 + п.2.5 </t>
  </si>
  <si>
    <t xml:space="preserve">3. Отчисления на социальные нужды</t>
  </si>
  <si>
    <t xml:space="preserve">3.1 Отчисления в фонд социальной защиты населения (34%) и на обязательное страхование от несчастных случаев и профессиональных заболеваний (0,6%) </t>
  </si>
  <si>
    <t xml:space="preserve">п.2.5 · 34,6 / 100 </t>
  </si>
  <si>
    <t xml:space="preserve">3.2  Итого отчислений  на социальные нужды </t>
  </si>
  <si>
    <t xml:space="preserve">п.3.1 </t>
  </si>
  <si>
    <t xml:space="preserve">4. Амортизация основных средств и нематериальных активов </t>
  </si>
  <si>
    <t xml:space="preserve">4.1 Амортизация основных производственных средств общехозяйственного назначения </t>
  </si>
  <si>
    <t>п.12(ст.5)/п.13</t>
  </si>
  <si>
    <t xml:space="preserve">4.2 Амортизация основных производственных средств цеха по производству продукции А,Б,В </t>
  </si>
  <si>
    <t>п14(ст5)*п15/100</t>
  </si>
  <si>
    <t xml:space="preserve">4.3 Амортизация основных средств административноуправленческого назначения </t>
  </si>
  <si>
    <t xml:space="preserve">п.16 (ст. 5) </t>
  </si>
  <si>
    <t xml:space="preserve">4.4  Итого амортизация основных средств </t>
  </si>
  <si>
    <t xml:space="preserve">п.4.1 + п.4.2 + п.4.3 5</t>
  </si>
  <si>
    <t xml:space="preserve">5. Прочие затраты
5. Прочие затраты
5. Прочие затраты
5. Прочие затраты
5. Прочие затраты</t>
  </si>
  <si>
    <t xml:space="preserve">5.1 Расходы на содержание и эксплуатацию основного технологического оборудования</t>
  </si>
  <si>
    <t xml:space="preserve">(п.10 (ст. 2) · п.11 (ст. 2) + п.10 (ст. 3) · п.11 (ст. 3) + п.10 (ст. 4) · п.11 (ст. 4)) / 1000</t>
  </si>
  <si>
    <t xml:space="preserve">5.2 Плата за землю</t>
  </si>
  <si>
    <t xml:space="preserve">п.17 (ст. 5)</t>
  </si>
  <si>
    <t xml:space="preserve">5.3 Плата за пользование природными ресурсами в пределах установленной нормы</t>
  </si>
  <si>
    <t xml:space="preserve">п.18 (ст. 5)</t>
  </si>
  <si>
    <t xml:space="preserve">5.4 Оплата аудиторских услуг</t>
  </si>
  <si>
    <t xml:space="preserve">п.19 (ст. 5)</t>
  </si>
  <si>
    <t xml:space="preserve">5.5 Расходы по подготовке продукции к реализации</t>
  </si>
  <si>
    <t xml:space="preserve">п.20 (ст. 5)</t>
  </si>
  <si>
    <t xml:space="preserve">5.6 Оплата рекламных услуг</t>
  </si>
  <si>
    <t xml:space="preserve">п.21 (ст. 5)</t>
  </si>
  <si>
    <t xml:space="preserve">5.7 Расходы по продвижению товара на рынок</t>
  </si>
  <si>
    <t xml:space="preserve">п.22 (ст. 5)</t>
  </si>
  <si>
    <t xml:space="preserve">5.8 Расходы по изучению конъюнктуры рынков сбыта продукции А,Б,В</t>
  </si>
  <si>
    <t xml:space="preserve">п.24 (ст.5)</t>
  </si>
  <si>
    <t xml:space="preserve">5.9 Итого прочих затрат</t>
  </si>
  <si>
    <t xml:space="preserve">п.5.1 + п.5.2 + п.5.3 + п.5.4 + п.5.5 + п.5.6 + п.5.7 + п.5.8</t>
  </si>
  <si>
    <t xml:space="preserve">6. ИТОГО по смете</t>
  </si>
  <si>
    <t xml:space="preserve">п.1.6 + п.2.5 + п.3.2 + п.4.4 + п.5.9</t>
  </si>
  <si>
    <t xml:space="preserve">Таблица 4.11</t>
  </si>
  <si>
    <t xml:space="preserve">Таким образом, производство продукции является трудоемким и материалоемким. Затраты на оплату труда с отчислениями составляют 50,09% от общей суммы затрат на производство и реализации продукции, материальные затраты в структуре затрат занимают второе место и составляют 43.96%.</t>
  </si>
  <si>
    <t xml:space="preserve">1. Материальные затраты</t>
  </si>
  <si>
    <t xml:space="preserve">п. 1.6 табл. 4.10 / п.6 · 100</t>
  </si>
  <si>
    <t xml:space="preserve">п. 2.5 табл. 4.10 / п.6 · 100</t>
  </si>
  <si>
    <t xml:space="preserve">п. 3.2 табл. 4.10 / п.6 · 100</t>
  </si>
  <si>
    <t xml:space="preserve">4. Амортизация основных средств и нематериальных активов</t>
  </si>
  <si>
    <t xml:space="preserve">п. 4.4 табл. 4.10 / п.6 · 100</t>
  </si>
  <si>
    <t xml:space="preserve">5. Прочие затраты</t>
  </si>
  <si>
    <t xml:space="preserve">п. 5.9 табл. 4.10 / п.6 · 100</t>
  </si>
  <si>
    <t xml:space="preserve">Итого материальных затрат</t>
  </si>
  <si>
    <t xml:space="preserve">п.1 + п.2 + п.3 + п.4 + п.5</t>
  </si>
  <si>
    <t xml:space="preserve">Задача 4.3</t>
  </si>
  <si>
    <t xml:space="preserve">таблица 4.12</t>
  </si>
  <si>
    <t xml:space="preserve">Статьи калькуляции  </t>
  </si>
  <si>
    <t>Источник</t>
  </si>
  <si>
    <t xml:space="preserve">1. Покупные комплектующие изделия</t>
  </si>
  <si>
    <t xml:space="preserve">п.2 (ст. 2) табл. 4.9 · п.3 (ст. 2) табл. 4.9</t>
  </si>
  <si>
    <t xml:space="preserve">2. Электроэнергия на технологические цели</t>
  </si>
  <si>
    <t xml:space="preserve">п.4 (ст. 2) табл. 4.9 · п.5 (ст. 2) табл. 4.9</t>
  </si>
  <si>
    <t xml:space="preserve">3. Заработная плата основных производственных рабочих</t>
  </si>
  <si>
    <t xml:space="preserve">п.6 (ст. 2) табл. 4.9</t>
  </si>
  <si>
    <t xml:space="preserve">4. Отчисления на социальные нужды</t>
  </si>
  <si>
    <t xml:space="preserve">п.3 · 34,6/100</t>
  </si>
  <si>
    <t xml:space="preserve">5. Расходы на содержание и эксплуатацию основного технологического оборудования (РСЭО)</t>
  </si>
  <si>
    <t xml:space="preserve">(п.10 (ст. 2) табл. 4.9 · п.11 (ст. 2) табл. 4.9) / п.1 (ст. 2) табл. 4.9 + (п.4.2 табл. 4.10 · k · 1000) / п.1 (ст. 2) табл. 4.9</t>
  </si>
  <si>
    <t xml:space="preserve">Коэффициент для расчета косвенных затрат </t>
  </si>
  <si>
    <t xml:space="preserve">6. Общепроизводственные затраты</t>
  </si>
  <si>
    <t xml:space="preserve">п.5 табл. 4.13 · k · 1000) / п.1 (ст. 2) табл. 4.9</t>
  </si>
  <si>
    <t>k</t>
  </si>
  <si>
    <t xml:space="preserve">7. Общехозяйственные затраты</t>
  </si>
  <si>
    <t xml:space="preserve">п.8 табл. 4.14 · k · 1000) / п.1 (ст. 2) табл. 4.9</t>
  </si>
  <si>
    <t xml:space="preserve">8. Коммерческие затраты</t>
  </si>
  <si>
    <t xml:space="preserve">п.5 табл. 4.15 · k · 1000) / п.1 (ст. 2) табл. 4.9</t>
  </si>
  <si>
    <t xml:space="preserve">9. Полная себестоимость</t>
  </si>
  <si>
    <t xml:space="preserve">п.1 + п.2 + п.3 + п.4 + п.5 + п.6 + п.7 + п.8</t>
  </si>
  <si>
    <t xml:space="preserve">Таблица 4.13</t>
  </si>
  <si>
    <t xml:space="preserve">1. Зарплата вспомогательных рабочих цеха с отчислениями на социальное страхование</t>
  </si>
  <si>
    <t xml:space="preserve">п.7 (ст. 5) табл. 4.9 · ((100 + 34,6) / 100)</t>
  </si>
  <si>
    <t xml:space="preserve">2. Зарплата цехового административноуправленческого персонала с отчислениями на социальное страхование</t>
  </si>
  <si>
    <t xml:space="preserve">п.9 (ст. 5) табл. 4.9 · ((100 + 34,6) / 100)</t>
  </si>
  <si>
    <t xml:space="preserve">3. Расходы по освещению цеха по производству продукции А,Б,В</t>
  </si>
  <si>
    <t xml:space="preserve">п.23 (ст. 5) табл. 4.9</t>
  </si>
  <si>
    <t xml:space="preserve">4. Расходы по отоплению зданий общепроизводственного назначения</t>
  </si>
  <si>
    <t xml:space="preserve">п.25 (ст. 5) табл. 4.9</t>
  </si>
  <si>
    <t xml:space="preserve">5. Общепроизводственные расходы</t>
  </si>
  <si>
    <t xml:space="preserve">п.1 + п.2 + п.3 + п.4</t>
  </si>
  <si>
    <t xml:space="preserve">Таблица 4.14</t>
  </si>
  <si>
    <t xml:space="preserve">1. Зарплата административно- управленческого персонала предприятия с отчислениями на социальное страхование</t>
  </si>
  <si>
    <t xml:space="preserve">п.8 (ст. 5) табл. 4.9 · ((100 + 34,6) / 100)</t>
  </si>
  <si>
    <t xml:space="preserve">2. Амортизация основных производственных средств общехозяйственного назначения</t>
  </si>
  <si>
    <t xml:space="preserve">п.4.1 табл. 4.10</t>
  </si>
  <si>
    <t xml:space="preserve">3. Амортизация основных средств административно-управленческого назначения</t>
  </si>
  <si>
    <t xml:space="preserve">п.4.3 табл. 4.10</t>
  </si>
  <si>
    <t xml:space="preserve">4. Плата за землю</t>
  </si>
  <si>
    <t xml:space="preserve">п.17 (ст. 5) табл. 4.9</t>
  </si>
  <si>
    <t xml:space="preserve">5. Плата за пользование природными ресурсами в пределах установленной нормы</t>
  </si>
  <si>
    <t xml:space="preserve">п.18 (ст. 5) табл. 4.9</t>
  </si>
  <si>
    <t xml:space="preserve">6. Оплата аудиторских услуг</t>
  </si>
  <si>
    <t xml:space="preserve">п.19 (ст. 5) табл. 4.9</t>
  </si>
  <si>
    <t xml:space="preserve">7. Расходы по освещению территории предприятия</t>
  </si>
  <si>
    <t xml:space="preserve">п.26 (ст. 5) табл. 4.9</t>
  </si>
  <si>
    <t xml:space="preserve">8. Общепроизводственные расходы</t>
  </si>
  <si>
    <t xml:space="preserve">п.1 + п.2 + п.3 + п.4 + п.5 + п.6 + п.7</t>
  </si>
  <si>
    <t xml:space="preserve">Таблица 4,15</t>
  </si>
  <si>
    <t xml:space="preserve">1. Расходы по подготовке продукции к реализации</t>
  </si>
  <si>
    <t xml:space="preserve">п.20 (ст. 5) табл. 4.9</t>
  </si>
  <si>
    <t xml:space="preserve">2. Оплата рекламных услуг</t>
  </si>
  <si>
    <t xml:space="preserve">п.21 (ст. 5) табл. 4.9</t>
  </si>
  <si>
    <t xml:space="preserve">3. Расходы по продвижению товара на рынок</t>
  </si>
  <si>
    <t xml:space="preserve">п.22 (ст. 5) табл. 4.9</t>
  </si>
  <si>
    <t xml:space="preserve">4. Расходы по изучению конъюнктуры рынков сбыта продукции А,Б,В</t>
  </si>
  <si>
    <t xml:space="preserve">п.24 (ст. 5) табл. 4.9</t>
  </si>
  <si>
    <t xml:space="preserve">5. Коммерческие расходы</t>
  </si>
  <si>
    <t xml:space="preserve">Задача 4.4</t>
  </si>
  <si>
    <t xml:space="preserve">Таблица 4.16</t>
  </si>
  <si>
    <t xml:space="preserve">Переменные затраты</t>
  </si>
  <si>
    <t xml:space="preserve">п.1 табл. 4.12</t>
  </si>
  <si>
    <t xml:space="preserve">п.2 табл. 4.12</t>
  </si>
  <si>
    <t xml:space="preserve">п.3 табл. 4.12</t>
  </si>
  <si>
    <t xml:space="preserve">п.4 табл. 4.12 </t>
  </si>
  <si>
    <t xml:space="preserve">5. Итого переменных затрат</t>
  </si>
  <si>
    <t xml:space="preserve">п.1+ п.2 + п.3 + п.4</t>
  </si>
  <si>
    <t xml:space="preserve">Постоянные затраты</t>
  </si>
  <si>
    <t xml:space="preserve">6. Расходы на содержание и эксплуатацию основного технологического оборудования (РСЭО)</t>
  </si>
  <si>
    <t xml:space="preserve">п.5 табл. 4.12</t>
  </si>
  <si>
    <t xml:space="preserve">7. Общепроизводственные затраты</t>
  </si>
  <si>
    <t xml:space="preserve">п.6 табл. 4.12</t>
  </si>
  <si>
    <t xml:space="preserve">8. Общехозяйственные затраты</t>
  </si>
  <si>
    <t xml:space="preserve">п.7 табл. 4.12</t>
  </si>
  <si>
    <t xml:space="preserve">9. Коммерческие затраты</t>
  </si>
  <si>
    <t xml:space="preserve">п.8 табл. 4.12</t>
  </si>
  <si>
    <t xml:space="preserve">10. Итого постоянных затрат</t>
  </si>
  <si>
    <t xml:space="preserve">п.6+ п.7 + п.8 + п.9</t>
  </si>
  <si>
    <t xml:space="preserve">Таблицы 4.17</t>
  </si>
  <si>
    <t xml:space="preserve">1. Полная себестоимость изделия А, руб.</t>
  </si>
  <si>
    <t xml:space="preserve">п.9 табл. 4.12</t>
  </si>
  <si>
    <t xml:space="preserve">2. Норма прибыли, %</t>
  </si>
  <si>
    <t xml:space="preserve">исходные данные</t>
  </si>
  <si>
    <t xml:space="preserve">3. Прибыль, руб.</t>
  </si>
  <si>
    <t xml:space="preserve">п.1 · 25/100</t>
  </si>
  <si>
    <t xml:space="preserve">4. Оптовая цена предприятия без НДС, руб.</t>
  </si>
  <si>
    <t xml:space="preserve">5. Объем производства (максимальный), шт.</t>
  </si>
  <si>
    <t xml:space="preserve">п.1 (ст. 2) табл. 4.9</t>
  </si>
  <si>
    <t xml:space="preserve">6. Валовые постоянные затраты (постоянные затраты на весь объем производства), руб.</t>
  </si>
  <si>
    <t xml:space="preserve">п.10 табл. 4.16 · п.5</t>
  </si>
  <si>
    <t xml:space="preserve">7. Переменные затраты на одно изделие, руб.</t>
  </si>
  <si>
    <t xml:space="preserve">п.5 табл. 4.16</t>
  </si>
  <si>
    <t xml:space="preserve">8. Безубыточный объем производства (точка безубыточности), шт.</t>
  </si>
  <si>
    <t xml:space="preserve">п.6 / (п.4 – п.7)</t>
  </si>
  <si>
    <t xml:space="preserve">Таким образом, безубыточный объем производства – 4267.2 шт.</t>
  </si>
  <si>
    <t xml:space="preserve">Прямая постоянных затрат</t>
  </si>
  <si>
    <t xml:space="preserve">Прямая себестоимости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</si>
</sst>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"/>
      <sz val="12.000000"/>
      <scheme val="minor"/>
    </font>
    <font>
      <name val="Calibri"/>
      <i/>
      <color theme="1"/>
      <sz val="11.000000"/>
      <scheme val="minor"/>
    </font>
    <font>
      <name val="Calibri"/>
      <b/>
      <color theme="1"/>
      <sz val="12.000000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8">
    <xf fontId="0" fillId="0" borderId="0" numFmtId="0" xfId="0"/>
    <xf fontId="1" fillId="0" borderId="1" numFmtId="0" xfId="0" applyFont="1" applyBorder="1" applyAlignment="1">
      <alignment horizontal="center"/>
    </xf>
    <xf fontId="0" fillId="0" borderId="1" numFmtId="0" xfId="0" applyBorder="1"/>
    <xf fontId="0" fillId="0" borderId="1" numFmtId="0" xfId="0" applyBorder="1" applyAlignment="1">
      <alignment horizontal="center"/>
    </xf>
    <xf fontId="0" fillId="0" borderId="1" numFmtId="0" xfId="0" applyBorder="1" applyAlignment="1">
      <alignment wrapText="1"/>
    </xf>
    <xf fontId="0" fillId="0" borderId="0" numFmtId="0" xfId="0" applyAlignment="1">
      <alignment horizontal="center"/>
    </xf>
    <xf fontId="2" fillId="0" borderId="1" numFmtId="0" xfId="0" applyFont="1" applyBorder="1" applyAlignment="1">
      <alignment horizontal="left" vertical="center" wrapText="1"/>
    </xf>
    <xf fontId="0" fillId="0" borderId="0" numFmtId="0" xfId="0" applyAlignment="1">
      <alignment wrapText="1"/>
    </xf>
    <xf fontId="3" fillId="0" borderId="0" numFmtId="0" xfId="0" applyFont="1" applyAlignment="1">
      <alignment wrapText="1"/>
    </xf>
    <xf fontId="1" fillId="0" borderId="1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right" wrapText="1"/>
    </xf>
    <xf fontId="1" fillId="0" borderId="1" numFmtId="0" xfId="0" applyFont="1" applyBorder="1" applyAlignment="1">
      <alignment horizontal="center" wrapText="1"/>
    </xf>
    <xf fontId="0" fillId="0" borderId="1" numFmtId="0" xfId="0" applyBorder="1" applyAlignment="1">
      <alignment horizontal="center" wrapText="1"/>
    </xf>
    <xf fontId="3" fillId="0" borderId="1" numFmtId="0" xfId="0" applyFont="1" applyBorder="1" applyAlignment="1">
      <alignment horizontal="center" wrapText="1"/>
    </xf>
    <xf fontId="0" fillId="0" borderId="1" numFmtId="0" xfId="0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1" fillId="0" borderId="1" numFmtId="0" xfId="0" applyFont="1" applyBorder="1" applyAlignment="1">
      <alignment horizontal="left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wrapText="1"/>
    </xf>
    <xf fontId="1" fillId="0" borderId="0" numFmtId="0" xfId="0" applyFont="1" applyAlignment="1">
      <alignment wrapText="1"/>
    </xf>
    <xf fontId="1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center" wrapText="1"/>
    </xf>
    <xf fontId="0" fillId="0" borderId="5" numFmtId="0" xfId="0" applyBorder="1" applyAlignment="1">
      <alignment horizontal="left" wrapText="1"/>
    </xf>
    <xf fontId="1" fillId="0" borderId="1" numFmtId="0" xfId="0" applyFont="1" applyBorder="1" applyAlignment="1">
      <alignment horizontal="left" wrapText="1"/>
    </xf>
    <xf fontId="0" fillId="0" borderId="1" numFmtId="0" xfId="0" applyBorder="1" applyAlignment="1">
      <alignment horizontal="left" wrapText="1"/>
    </xf>
    <xf fontId="0" fillId="0" borderId="0" numFmt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[1]Аркуш1!$B$145:$B$147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[1]Аркуш1!$A$145:$A$147</c:f>
              <c:numCache>
                <c:formatCode>General</c:formatCode>
                <c:ptCount val="3"/>
                <c:pt idx="0">
                  <c:v>0</c:v>
                </c:pt>
                <c:pt idx="1">
                  <c:v>571890.4433445501</c:v>
                </c:pt>
                <c:pt idx="2">
                  <c:v>2859452.2167227506</c:v>
                </c:pt>
              </c:numCache>
            </c:numRef>
          </c:yVal>
          <c:smooth val="0"/>
        </c:ser>
        <c:ser>
          <c:idx val="1"/>
          <c:order val="1"/>
          <c:tx>
            <c:v>C+Аркуш1!$B$150:$B$152</c:v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[1]Аркуш1!$B$150:$B$152</c:f>
              <c:numCache>
                <c:formatCode>General</c:formatCode>
                <c:ptCount val="3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</c:numCache>
            </c:numRef>
          </c:xVal>
          <c:yVal>
            <c:numRef>
              <c:f>[1]Аркуш1!$A$150:$A$152</c:f>
              <c:numCache>
                <c:formatCode>General</c:formatCode>
                <c:ptCount val="3"/>
                <c:pt idx="0">
                  <c:v>1254470.1763267883</c:v>
                </c:pt>
                <c:pt idx="1">
                  <c:v>1795026.1763267883</c:v>
                </c:pt>
                <c:pt idx="2">
                  <c:v>2605860.176326788</c:v>
                </c:pt>
              </c:numCache>
            </c:numRef>
          </c:yVal>
          <c:smooth val="0"/>
        </c:ser>
        <c:ser>
          <c:idx val="2"/>
          <c:order val="2"/>
          <c:tx>
            <c:v>Постоянная</c:v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[1]Аркуш1!$B$154:$B$156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[1]Аркуш1!$A$154:$A$156</c:f>
              <c:numCache>
                <c:formatCode>General</c:formatCode>
                <c:ptCount val="3"/>
                <c:pt idx="0">
                  <c:v>1254470.1763267883</c:v>
                </c:pt>
                <c:pt idx="1">
                  <c:v>1254470.1763267883</c:v>
                </c:pt>
                <c:pt idx="2">
                  <c:v>1254470.1763267883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36350528"/>
        <c:axId val="836344288"/>
      </c:scatterChart>
      <c:valAx>
        <c:axId val="836350528"/>
        <c:scaling>
          <c:orientation val="minMax"/>
          <c:max val="5000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344288"/>
        <c:crosses val="autoZero"/>
        <c:crossBetween val="midCat"/>
      </c:valAx>
      <c:valAx>
        <c:axId val="8363442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35052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точки безубыточности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 xml:space="preserve">Постоянные затраты</c:v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'4.2-4.4'!$B$147:$B$155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'4.2-4.4'!$D$147:$D$155</c:f>
              <c:numCache>
                <c:formatCode>General</c:formatCode>
                <c:ptCount val="9"/>
                <c:pt idx="0">
                  <c:v>1331463.3787556186</c:v>
                </c:pt>
                <c:pt idx="1">
                  <c:v>1331463.3787556186</c:v>
                </c:pt>
                <c:pt idx="2">
                  <c:v>1331463.3787556186</c:v>
                </c:pt>
                <c:pt idx="3">
                  <c:v>1331463.3787556186</c:v>
                </c:pt>
                <c:pt idx="4">
                  <c:v>1331463.3787556186</c:v>
                </c:pt>
                <c:pt idx="5">
                  <c:v>1331463.3787556186</c:v>
                </c:pt>
                <c:pt idx="6">
                  <c:v>1331463.3787556186</c:v>
                </c:pt>
                <c:pt idx="7">
                  <c:v>1331463.3787556186</c:v>
                </c:pt>
                <c:pt idx="8">
                  <c:v>1331463.3787556186</c:v>
                </c:pt>
              </c:numCache>
            </c:numRef>
          </c:yVal>
          <c:smooth val="1"/>
        </c:ser>
        <c:ser>
          <c:idx val="2"/>
          <c:order val="2"/>
          <c:tx>
            <c:v xml:space="preserve">Прямая постоянных затрат</c:v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'4.2-4.4'!$B$158:$B$159</c:f>
              <c:numCache>
                <c:formatCode>General</c:formatCode>
                <c:ptCount val="2"/>
                <c:pt idx="0">
                  <c:v>0</c:v>
                </c:pt>
                <c:pt idx="1">
                  <c:v>8000</c:v>
                </c:pt>
              </c:numCache>
            </c:numRef>
          </c:xVal>
          <c:yVal>
            <c:numRef>
              <c:f>'4.2-4.4'!$C$158:$C$159</c:f>
              <c:numCache>
                <c:formatCode>General</c:formatCode>
                <c:ptCount val="2"/>
                <c:pt idx="0">
                  <c:v>0</c:v>
                </c:pt>
                <c:pt idx="1">
                  <c:v>4690038.774262119</c:v>
                </c:pt>
              </c:numCache>
            </c:numRef>
          </c:yVal>
          <c:smooth val="1"/>
        </c:ser>
        <c:ser>
          <c:idx val="3"/>
          <c:order val="3"/>
          <c:tx>
            <c:v xml:space="preserve">Прямая себестоимости</c:v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'4.2-4.4'!$B$161:$B$163</c:f>
              <c:numCache>
                <c:formatCode>General</c:formatCode>
                <c:ptCount val="3"/>
                <c:pt idx="0">
                  <c:v>0</c:v>
                </c:pt>
                <c:pt idx="1">
                  <c:v>8000</c:v>
                </c:pt>
                <c:pt idx="2">
                  <c:v>4213.800448711371</c:v>
                </c:pt>
              </c:numCache>
            </c:numRef>
          </c:xVal>
          <c:yVal>
            <c:numRef>
              <c:f>'4.2-4.4'!$C$161:$C$163</c:f>
              <c:numCache>
                <c:formatCode>General</c:formatCode>
                <c:ptCount val="3"/>
                <c:pt idx="0">
                  <c:v>1331463.3787556186</c:v>
                </c:pt>
                <c:pt idx="1">
                  <c:v>3493687.378755619</c:v>
                </c:pt>
                <c:pt idx="2">
                  <c:v>2470360.9364324305</c:v>
                </c:pt>
              </c:numCache>
            </c:numRef>
          </c:yVal>
          <c:smooth val="1"/>
        </c:ser>
        <c:ser>
          <c:idx val="4"/>
          <c:order val="4"/>
          <c:tx>
            <c:v xml:space="preserve">Точка безубыточности</c:v>
          </c:tx>
          <c:spPr bwMode="auto">
            <a:prstGeom prst="rect">
              <a:avLst/>
            </a:prstGeom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 bwMode="auto">
              <a:prstGeom prst="rect">
                <a:avLst/>
              </a:prstGeom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'4.2-4.4'!$B$163</c:f>
              <c:numCache>
                <c:formatCode>General</c:formatCode>
                <c:ptCount val="1"/>
                <c:pt idx="0">
                  <c:v>4213.800448711371</c:v>
                </c:pt>
              </c:numCache>
            </c:numRef>
          </c:xVal>
          <c:yVal>
            <c:numRef>
              <c:f>'4.2-4.4'!$C$163</c:f>
              <c:numCache>
                <c:formatCode>General</c:formatCode>
                <c:ptCount val="1"/>
                <c:pt idx="0">
                  <c:v>2470360.9364324305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93334640"/>
        <c:axId val="1393345040"/>
      </c:scatterChart>
      <c:valAx>
        <c:axId val="1393334640"/>
        <c:scaling>
          <c:orientation val="minMax"/>
          <c:max val="8000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 производства, шт.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345040"/>
        <c:crosses val="autoZero"/>
        <c:crossBetween val="midCat"/>
      </c:valAx>
      <c:valAx>
        <c:axId val="1393345040"/>
        <c:scaling>
          <c:orientation val="minMax"/>
          <c:max val="4500000"/>
          <c:min val="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руб.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33464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4338916</xdr:colOff>
      <xdr:row>150</xdr:row>
      <xdr:rowOff>161365</xdr:rowOff>
    </xdr:from>
    <xdr:to>
      <xdr:col>0</xdr:col>
      <xdr:colOff>8910916</xdr:colOff>
      <xdr:row>166</xdr:row>
      <xdr:rowOff>35860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2624418</xdr:colOff>
      <xdr:row>145</xdr:row>
      <xdr:rowOff>24371</xdr:rowOff>
    </xdr:from>
    <xdr:to>
      <xdr:col>4</xdr:col>
      <xdr:colOff>275665</xdr:colOff>
      <xdr:row>163</xdr:row>
      <xdr:rowOff>38659</xdr:rowOff>
    </xdr:to>
    <xdr:graphicFrame>
      <xdr:nvGraphicFramePr>
        <xdr:cNvPr id="3" name="Диаграмма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&#1047;&#1072;&#1076;&#1072;&#1095;&#1080;%20&#8212;%20&#1082;&#1086;&#1087;&#1080;&#1103;/4.2-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ркуш1"/>
    </sheetNames>
    <sheetDataSet>
      <sheetData sheetId="0">
        <row r="145">
          <cell r="A145">
            <v>0</v>
          </cell>
          <cell r="B145">
            <v>0</v>
          </cell>
        </row>
        <row r="146">
          <cell r="A146">
            <v>571890.44334455009</v>
          </cell>
          <cell r="B146">
            <v>1000</v>
          </cell>
        </row>
        <row r="147">
          <cell r="A147">
            <v>2859452.2167227506</v>
          </cell>
          <cell r="B147">
            <v>5000</v>
          </cell>
        </row>
        <row r="150">
          <cell r="A150">
            <v>1254470.1763267883</v>
          </cell>
          <cell r="B150">
            <v>0</v>
          </cell>
        </row>
        <row r="151">
          <cell r="A151">
            <v>1795026.1763267883</v>
          </cell>
          <cell r="B151">
            <v>2000</v>
          </cell>
        </row>
        <row r="152">
          <cell r="A152">
            <v>2605860.176326788</v>
          </cell>
          <cell r="B152">
            <v>5000</v>
          </cell>
        </row>
        <row r="154">
          <cell r="A154">
            <v>1254470.1763267883</v>
          </cell>
          <cell r="B154">
            <v>0</v>
          </cell>
        </row>
        <row r="155">
          <cell r="A155">
            <v>1254470.1763267883</v>
          </cell>
          <cell r="B155">
            <v>1000</v>
          </cell>
        </row>
        <row r="156">
          <cell r="A156">
            <v>1254470.1763267883</v>
          </cell>
          <cell r="B156">
            <v>5000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8" zoomScale="90" workbookViewId="0">
      <selection activeCell="C79" activeCellId="0" sqref="C79"/>
    </sheetView>
  </sheetViews>
  <sheetFormatPr defaultColWidth="84.33203125" defaultRowHeight="14.25"/>
  <cols>
    <col customWidth="1" min="1" max="1" width="53.28125"/>
    <col customWidth="1" min="2" max="2" width="29.88671875"/>
    <col customWidth="1" min="3" max="3" width="29.44140625"/>
  </cols>
  <sheetData>
    <row r="1">
      <c r="A1" s="1" t="s">
        <v>0</v>
      </c>
      <c r="B1" s="1">
        <v>12</v>
      </c>
    </row>
    <row r="2">
      <c r="A2" s="2" t="s">
        <v>1</v>
      </c>
      <c r="B2" s="3">
        <v>3</v>
      </c>
    </row>
    <row r="3">
      <c r="A3" s="2" t="s">
        <v>2</v>
      </c>
      <c r="B3" s="3">
        <v>115</v>
      </c>
    </row>
    <row r="4">
      <c r="A4" s="2" t="s">
        <v>3</v>
      </c>
      <c r="B4" s="3">
        <v>160</v>
      </c>
    </row>
    <row r="5">
      <c r="A5" s="2" t="s">
        <v>4</v>
      </c>
      <c r="B5" s="3">
        <v>2.1000000000000001</v>
      </c>
    </row>
    <row r="6">
      <c r="A6" s="2" t="s">
        <v>5</v>
      </c>
      <c r="B6" s="3">
        <v>3</v>
      </c>
    </row>
    <row r="7">
      <c r="A7" s="2" t="s">
        <v>6</v>
      </c>
      <c r="B7" s="3">
        <v>1.3500000000000001</v>
      </c>
    </row>
    <row r="9">
      <c r="A9" t="s">
        <v>7</v>
      </c>
    </row>
    <row r="10">
      <c r="A10" s="1" t="s">
        <v>8</v>
      </c>
      <c r="B10" s="1" t="s">
        <v>9</v>
      </c>
      <c r="C10" s="1" t="s">
        <v>10</v>
      </c>
    </row>
    <row r="11">
      <c r="A11" s="4" t="s">
        <v>11</v>
      </c>
      <c r="B11" s="3">
        <v>150</v>
      </c>
      <c r="C11" s="3" t="s">
        <v>12</v>
      </c>
    </row>
    <row r="12">
      <c r="A12" s="4" t="s">
        <v>13</v>
      </c>
      <c r="B12" s="3">
        <f>B2</f>
        <v>3</v>
      </c>
      <c r="C12" s="3" t="s">
        <v>12</v>
      </c>
    </row>
    <row r="13">
      <c r="A13" s="4" t="s">
        <v>14</v>
      </c>
      <c r="B13" s="3">
        <f>B7</f>
        <v>1.3500000000000001</v>
      </c>
      <c r="C13" s="3" t="s">
        <v>15</v>
      </c>
    </row>
    <row r="14" ht="28.5">
      <c r="A14" s="4" t="s">
        <v>16</v>
      </c>
      <c r="B14" s="3">
        <v>1.1000000000000001</v>
      </c>
      <c r="C14" s="3" t="s">
        <v>12</v>
      </c>
    </row>
    <row r="15">
      <c r="A15" s="4" t="s">
        <v>17</v>
      </c>
      <c r="B15" s="3">
        <f>B11*B13*B14</f>
        <v>222.75000000000003</v>
      </c>
      <c r="C15" s="3" t="s">
        <v>18</v>
      </c>
    </row>
    <row r="16">
      <c r="A16" s="4" t="s">
        <v>19</v>
      </c>
      <c r="B16" s="3">
        <v>176</v>
      </c>
      <c r="C16" s="3" t="s">
        <v>12</v>
      </c>
    </row>
    <row r="17">
      <c r="A17" s="4" t="s">
        <v>20</v>
      </c>
      <c r="B17" s="3">
        <f>B15/B16</f>
        <v>1.2656250000000002</v>
      </c>
      <c r="C17" s="3" t="s">
        <v>21</v>
      </c>
    </row>
    <row r="18">
      <c r="A18" s="4" t="s">
        <v>22</v>
      </c>
      <c r="B18" s="3">
        <f>B5</f>
        <v>2.1000000000000001</v>
      </c>
      <c r="C18" s="3" t="s">
        <v>12</v>
      </c>
    </row>
    <row r="19">
      <c r="A19" s="4" t="s">
        <v>23</v>
      </c>
      <c r="B19" s="3">
        <f>B17*B18</f>
        <v>2.6578125000000008</v>
      </c>
      <c r="C19" s="3" t="s">
        <v>24</v>
      </c>
    </row>
    <row r="20">
      <c r="A20" s="4" t="s">
        <v>25</v>
      </c>
      <c r="B20" s="3">
        <f>B3</f>
        <v>115</v>
      </c>
      <c r="C20" s="3" t="s">
        <v>12</v>
      </c>
    </row>
    <row r="21">
      <c r="A21" s="4" t="s">
        <v>26</v>
      </c>
      <c r="B21" s="3">
        <f>B19*B20</f>
        <v>305.64843750000011</v>
      </c>
      <c r="C21" s="3" t="s">
        <v>27</v>
      </c>
    </row>
    <row r="23">
      <c r="A23" t="s">
        <v>28</v>
      </c>
    </row>
    <row r="24">
      <c r="A24" s="1" t="s">
        <v>8</v>
      </c>
      <c r="B24" s="1" t="s">
        <v>9</v>
      </c>
      <c r="C24" s="1" t="s">
        <v>10</v>
      </c>
    </row>
    <row r="25" ht="28.5">
      <c r="A25" s="4" t="s">
        <v>29</v>
      </c>
      <c r="B25" s="3">
        <f>B21</f>
        <v>305.64843750000011</v>
      </c>
      <c r="C25" s="3" t="s">
        <v>30</v>
      </c>
    </row>
    <row r="26">
      <c r="A26" s="4" t="s">
        <v>31</v>
      </c>
      <c r="B26" s="3">
        <v>176</v>
      </c>
      <c r="C26" s="3" t="s">
        <v>12</v>
      </c>
    </row>
    <row r="27">
      <c r="A27" s="4" t="s">
        <v>32</v>
      </c>
      <c r="B27" s="3">
        <f>B5</f>
        <v>2.1000000000000001</v>
      </c>
      <c r="C27" s="3" t="s">
        <v>12</v>
      </c>
    </row>
    <row r="28">
      <c r="A28" s="4" t="s">
        <v>33</v>
      </c>
      <c r="B28" s="3">
        <f>B26/B27</f>
        <v>83.80952380952381</v>
      </c>
      <c r="C28" s="3" t="s">
        <v>34</v>
      </c>
    </row>
    <row r="29">
      <c r="A29" s="4" t="s">
        <v>35</v>
      </c>
      <c r="B29" s="3">
        <f>B3</f>
        <v>115</v>
      </c>
      <c r="C29" s="3" t="s">
        <v>12</v>
      </c>
    </row>
    <row r="30">
      <c r="A30" s="4" t="s">
        <v>36</v>
      </c>
      <c r="B30" s="3">
        <f>B29/B28*100-100</f>
        <v>37.215909090909093</v>
      </c>
      <c r="C30" s="3" t="s">
        <v>37</v>
      </c>
    </row>
    <row r="31">
      <c r="A31" s="4" t="s">
        <v>38</v>
      </c>
      <c r="B31" s="3">
        <f>B30*0.5</f>
        <v>18.607954545454547</v>
      </c>
      <c r="C31" s="3" t="s">
        <v>39</v>
      </c>
    </row>
    <row r="32">
      <c r="A32" s="4" t="s">
        <v>40</v>
      </c>
      <c r="B32" s="3">
        <f>B25*B31/100</f>
        <v>56.874922318892068</v>
      </c>
      <c r="C32" s="3" t="s">
        <v>41</v>
      </c>
    </row>
    <row r="33">
      <c r="A33" s="4" t="s">
        <v>42</v>
      </c>
      <c r="B33" s="3">
        <f>B25+B32</f>
        <v>362.52335981889217</v>
      </c>
      <c r="C33" s="3" t="s">
        <v>43</v>
      </c>
    </row>
    <row r="35">
      <c r="A35" t="s">
        <v>44</v>
      </c>
    </row>
    <row r="36">
      <c r="A36" s="1" t="s">
        <v>8</v>
      </c>
      <c r="B36" s="1" t="s">
        <v>9</v>
      </c>
      <c r="C36" s="1" t="s">
        <v>10</v>
      </c>
    </row>
    <row r="37">
      <c r="A37" s="4" t="s">
        <v>45</v>
      </c>
      <c r="B37" s="3">
        <f>B19</f>
        <v>2.6578125000000008</v>
      </c>
      <c r="C37" s="3" t="s">
        <v>46</v>
      </c>
    </row>
    <row r="38">
      <c r="A38" s="4" t="s">
        <v>47</v>
      </c>
      <c r="B38" s="3">
        <f>B28</f>
        <v>83.80952380952381</v>
      </c>
      <c r="C38" s="3" t="s">
        <v>48</v>
      </c>
    </row>
    <row r="39" ht="28.5">
      <c r="A39" s="4" t="s">
        <v>49</v>
      </c>
      <c r="B39" s="3">
        <v>10</v>
      </c>
      <c r="C39" s="3" t="s">
        <v>50</v>
      </c>
    </row>
    <row r="40" ht="42.75">
      <c r="A40" s="4" t="s">
        <v>51</v>
      </c>
      <c r="B40" s="3">
        <f>ROUNDDOWN(B38*10%,0)</f>
        <v>8</v>
      </c>
      <c r="C40" s="3" t="s">
        <v>52</v>
      </c>
    </row>
    <row r="41">
      <c r="A41" s="4" t="s">
        <v>53</v>
      </c>
      <c r="B41" s="3">
        <f>SUM(B42:B47)</f>
        <v>318.82359375000004</v>
      </c>
      <c r="C41" s="3" t="s">
        <v>54</v>
      </c>
    </row>
    <row r="42">
      <c r="A42" s="4" t="s">
        <v>55</v>
      </c>
      <c r="B42" s="5">
        <f>B37*B38</f>
        <v>222.75000000000006</v>
      </c>
      <c r="C42" s="3" t="s">
        <v>56</v>
      </c>
    </row>
    <row r="43" ht="28.5">
      <c r="A43" s="4" t="s">
        <v>57</v>
      </c>
      <c r="B43" s="3">
        <f>B40*B37*1.05</f>
        <v>22.325625000000009</v>
      </c>
      <c r="C43" s="3" t="s">
        <v>58</v>
      </c>
    </row>
    <row r="44" ht="28.5">
      <c r="A44" s="4" t="s">
        <v>59</v>
      </c>
      <c r="B44" s="3">
        <f>B40*B37*1.1</f>
        <v>23.388750000000009</v>
      </c>
      <c r="C44" s="3" t="s">
        <v>60</v>
      </c>
    </row>
    <row r="45" ht="28.5">
      <c r="A45" s="4" t="s">
        <v>61</v>
      </c>
      <c r="B45" s="3">
        <f>B40*B37*1.2</f>
        <v>25.515000000000008</v>
      </c>
      <c r="C45" s="3" t="s">
        <v>62</v>
      </c>
    </row>
    <row r="46" ht="28.5">
      <c r="A46" s="4" t="s">
        <v>63</v>
      </c>
      <c r="B46" s="3">
        <f>(B20-B28-B40*3)*B37*1.3</f>
        <v>24.844218750000007</v>
      </c>
      <c r="C46" s="3" t="s">
        <v>64</v>
      </c>
    </row>
    <row r="47" ht="28.5">
      <c r="A47" s="4"/>
      <c r="B47" s="3"/>
      <c r="C47" s="3"/>
    </row>
    <row r="49">
      <c r="A49" t="s">
        <v>65</v>
      </c>
    </row>
    <row r="50">
      <c r="A50" s="1" t="s">
        <v>8</v>
      </c>
      <c r="B50" s="1" t="s">
        <v>9</v>
      </c>
      <c r="C50" s="1" t="s">
        <v>10</v>
      </c>
    </row>
    <row r="51">
      <c r="A51" s="4" t="s">
        <v>11</v>
      </c>
      <c r="B51" s="3">
        <v>150</v>
      </c>
      <c r="C51" s="3" t="s">
        <v>12</v>
      </c>
    </row>
    <row r="52">
      <c r="A52" s="4" t="s">
        <v>13</v>
      </c>
      <c r="B52" s="3">
        <f>B2</f>
        <v>3</v>
      </c>
      <c r="C52" s="3" t="s">
        <v>12</v>
      </c>
    </row>
    <row r="53">
      <c r="A53" s="4" t="s">
        <v>14</v>
      </c>
      <c r="B53" s="3">
        <f>B7</f>
        <v>1.3500000000000001</v>
      </c>
      <c r="C53" s="3" t="s">
        <v>15</v>
      </c>
    </row>
    <row r="54" ht="28.5">
      <c r="A54" s="4" t="s">
        <v>16</v>
      </c>
      <c r="B54" s="3">
        <v>1.1000000000000001</v>
      </c>
      <c r="C54" s="3" t="s">
        <v>12</v>
      </c>
    </row>
    <row r="55">
      <c r="A55" s="4" t="s">
        <v>17</v>
      </c>
      <c r="B55" s="3">
        <f>B51*B53*B54</f>
        <v>222.75000000000003</v>
      </c>
      <c r="C55" s="3" t="s">
        <v>18</v>
      </c>
    </row>
    <row r="56">
      <c r="A56" s="4" t="s">
        <v>19</v>
      </c>
      <c r="B56" s="3">
        <v>176</v>
      </c>
      <c r="C56" s="3" t="s">
        <v>12</v>
      </c>
    </row>
    <row r="57">
      <c r="A57" s="4" t="s">
        <v>66</v>
      </c>
      <c r="B57" s="3">
        <f>B4</f>
        <v>160</v>
      </c>
      <c r="C57" s="3" t="s">
        <v>12</v>
      </c>
    </row>
    <row r="58">
      <c r="A58" s="4" t="s">
        <v>67</v>
      </c>
      <c r="B58" s="3">
        <f>B55*B57/B56</f>
        <v>202.50000000000003</v>
      </c>
      <c r="C58" s="3" t="s">
        <v>68</v>
      </c>
    </row>
    <row r="60">
      <c r="A60" t="s">
        <v>69</v>
      </c>
    </row>
    <row r="61">
      <c r="A61" s="1" t="s">
        <v>8</v>
      </c>
      <c r="B61" s="1" t="s">
        <v>9</v>
      </c>
      <c r="C61" s="1" t="s">
        <v>10</v>
      </c>
    </row>
    <row r="62">
      <c r="A62" s="4" t="s">
        <v>70</v>
      </c>
      <c r="B62" s="3">
        <f>B58</f>
        <v>202.50000000000003</v>
      </c>
      <c r="C62" s="3" t="s">
        <v>71</v>
      </c>
    </row>
    <row r="63">
      <c r="A63" s="4" t="s">
        <v>72</v>
      </c>
      <c r="B63" s="3">
        <v>30</v>
      </c>
      <c r="C63" s="3" t="s">
        <v>12</v>
      </c>
    </row>
    <row r="64">
      <c r="A64" s="4" t="s">
        <v>73</v>
      </c>
      <c r="B64" s="3">
        <f>B62*B63/100</f>
        <v>60.750000000000007</v>
      </c>
      <c r="C64" s="3" t="s">
        <v>74</v>
      </c>
    </row>
    <row r="65">
      <c r="A65" s="4" t="s">
        <v>75</v>
      </c>
      <c r="B65" s="3">
        <f>B62+B64</f>
        <v>263.25000000000006</v>
      </c>
      <c r="C65" s="3" t="s">
        <v>76</v>
      </c>
    </row>
    <row r="68" ht="15.6" customHeight="1">
      <c r="A68" s="6" t="s">
        <v>77</v>
      </c>
      <c r="B68" s="6"/>
      <c r="C68" s="6"/>
    </row>
    <row r="69" ht="14.4" customHeight="1">
      <c r="A69" s="6"/>
      <c r="B69" s="6"/>
      <c r="C69" s="6"/>
    </row>
    <row r="70" ht="14.4" customHeight="1">
      <c r="A70" s="6"/>
      <c r="B70" s="6"/>
      <c r="C70" s="6"/>
    </row>
    <row r="71">
      <c r="A71" s="6"/>
      <c r="B71" s="6"/>
      <c r="C71" s="6"/>
    </row>
  </sheetData>
  <mergeCells count="1">
    <mergeCell ref="A68:C71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6" zoomScale="85" workbookViewId="0">
      <selection activeCell="L152" activeCellId="0" sqref="L152"/>
    </sheetView>
  </sheetViews>
  <sheetFormatPr defaultRowHeight="14.25"/>
  <cols>
    <col customWidth="1" min="1" max="1" style="7" width="47.6640625"/>
    <col customWidth="1" min="2" max="2" style="7" width="16.33203125"/>
    <col customWidth="1" min="3" max="3" style="7" width="25.33203125"/>
    <col bestFit="1" customWidth="1" min="4" max="4" style="7" width="11.44140625"/>
    <col min="5" max="5" style="7" width="8.88671875"/>
    <col bestFit="1" customWidth="1" min="6" max="6" style="7" width="11.88671875"/>
    <col min="7" max="11" style="7" width="8.88671875"/>
    <col bestFit="1" customWidth="1" min="12" max="12" style="7" width="11.88671875"/>
    <col min="13" max="16384" style="7" width="8.88671875"/>
  </cols>
  <sheetData>
    <row r="1">
      <c r="A1" s="7" t="s">
        <v>78</v>
      </c>
      <c r="B1" s="8"/>
      <c r="C1" s="8"/>
      <c r="D1" s="8"/>
      <c r="E1" s="8"/>
    </row>
    <row r="2">
      <c r="A2" s="9" t="s">
        <v>8</v>
      </c>
      <c r="B2" s="9" t="s">
        <v>79</v>
      </c>
      <c r="C2" s="9"/>
      <c r="D2" s="9"/>
      <c r="E2" s="10" t="s">
        <v>0</v>
      </c>
    </row>
    <row r="3">
      <c r="A3" s="9"/>
      <c r="B3" s="9" t="s">
        <v>80</v>
      </c>
      <c r="C3" s="9" t="s">
        <v>81</v>
      </c>
      <c r="D3" s="9" t="s">
        <v>82</v>
      </c>
      <c r="E3" s="11">
        <v>12</v>
      </c>
    </row>
    <row r="4">
      <c r="A4" s="9">
        <v>1</v>
      </c>
      <c r="B4" s="9">
        <v>2</v>
      </c>
      <c r="C4" s="9">
        <v>3</v>
      </c>
      <c r="D4" s="9">
        <v>4</v>
      </c>
      <c r="E4" s="9">
        <v>5</v>
      </c>
    </row>
    <row r="5">
      <c r="A5" s="4" t="s">
        <v>83</v>
      </c>
      <c r="B5" s="12">
        <v>6.7000000000000002</v>
      </c>
      <c r="C5" s="12">
        <v>7.0999999999999996</v>
      </c>
      <c r="D5" s="12">
        <v>4.7999999999999998</v>
      </c>
      <c r="E5" s="12"/>
    </row>
    <row r="6">
      <c r="A6" s="4" t="s">
        <v>84</v>
      </c>
      <c r="B6" s="12">
        <v>5</v>
      </c>
      <c r="C6" s="12">
        <v>6</v>
      </c>
      <c r="D6" s="12">
        <v>8</v>
      </c>
      <c r="E6" s="12"/>
    </row>
    <row r="7">
      <c r="A7" s="4" t="s">
        <v>85</v>
      </c>
      <c r="B7" s="12">
        <v>30</v>
      </c>
      <c r="C7" s="12">
        <v>40</v>
      </c>
      <c r="D7" s="12">
        <v>29</v>
      </c>
      <c r="E7" s="12"/>
    </row>
    <row r="8" ht="28.5">
      <c r="A8" s="4" t="s">
        <v>86</v>
      </c>
      <c r="B8" s="12">
        <v>115</v>
      </c>
      <c r="C8" s="12">
        <v>120</v>
      </c>
      <c r="D8" s="12">
        <v>105</v>
      </c>
      <c r="E8" s="12"/>
    </row>
    <row r="9">
      <c r="A9" s="4" t="s">
        <v>87</v>
      </c>
      <c r="B9" s="12">
        <v>0.25</v>
      </c>
      <c r="C9" s="12">
        <v>0.25</v>
      </c>
      <c r="D9" s="12">
        <v>0.25</v>
      </c>
      <c r="E9" s="12"/>
    </row>
    <row r="10" ht="28.5">
      <c r="A10" s="4" t="s">
        <v>88</v>
      </c>
      <c r="B10" s="12">
        <v>68</v>
      </c>
      <c r="C10" s="12">
        <v>59</v>
      </c>
      <c r="D10" s="12">
        <v>82</v>
      </c>
      <c r="E10" s="12"/>
    </row>
    <row r="11">
      <c r="A11" s="4" t="s">
        <v>89</v>
      </c>
      <c r="B11" s="12"/>
      <c r="C11" s="12"/>
      <c r="D11" s="12"/>
      <c r="E11" s="12">
        <v>10</v>
      </c>
    </row>
    <row r="12" ht="28.5">
      <c r="A12" s="4" t="s">
        <v>90</v>
      </c>
      <c r="B12" s="12"/>
      <c r="C12" s="12"/>
      <c r="D12" s="12"/>
      <c r="E12" s="12">
        <v>2200</v>
      </c>
    </row>
    <row r="13" ht="28.5">
      <c r="A13" s="4" t="s">
        <v>91</v>
      </c>
      <c r="B13" s="12"/>
      <c r="C13" s="12"/>
      <c r="D13" s="12"/>
      <c r="E13" s="12">
        <v>390</v>
      </c>
    </row>
    <row r="14" ht="28.5">
      <c r="A14" s="4" t="s">
        <v>92</v>
      </c>
      <c r="B14" s="12">
        <v>21</v>
      </c>
      <c r="C14" s="12">
        <v>19</v>
      </c>
      <c r="D14" s="12">
        <v>23</v>
      </c>
      <c r="E14" s="13"/>
    </row>
    <row r="15" ht="28.5">
      <c r="A15" s="4" t="s">
        <v>93</v>
      </c>
      <c r="B15" s="12">
        <v>114</v>
      </c>
      <c r="C15" s="12">
        <v>120</v>
      </c>
      <c r="D15" s="12">
        <v>103</v>
      </c>
      <c r="E15" s="13"/>
    </row>
    <row r="16" ht="28.5">
      <c r="A16" s="4" t="s">
        <v>94</v>
      </c>
      <c r="B16" s="12"/>
      <c r="C16" s="12"/>
      <c r="D16" s="12"/>
      <c r="E16" s="12">
        <v>2910</v>
      </c>
    </row>
    <row r="17">
      <c r="A17" s="4" t="s">
        <v>95</v>
      </c>
      <c r="B17" s="12"/>
      <c r="C17" s="12"/>
      <c r="D17" s="12"/>
      <c r="E17" s="12">
        <v>25</v>
      </c>
    </row>
    <row r="18" ht="28.5">
      <c r="A18" s="4" t="s">
        <v>96</v>
      </c>
      <c r="B18" s="12"/>
      <c r="C18" s="12"/>
      <c r="D18" s="12"/>
      <c r="E18" s="12">
        <v>980</v>
      </c>
    </row>
    <row r="19">
      <c r="A19" s="4" t="s">
        <v>97</v>
      </c>
      <c r="B19" s="12"/>
      <c r="C19" s="12"/>
      <c r="D19" s="12"/>
      <c r="E19" s="12">
        <v>9</v>
      </c>
    </row>
    <row r="20" ht="28.5">
      <c r="A20" s="4" t="s">
        <v>98</v>
      </c>
      <c r="B20" s="12"/>
      <c r="C20" s="12"/>
      <c r="D20" s="12"/>
      <c r="E20" s="12">
        <v>110</v>
      </c>
    </row>
    <row r="21">
      <c r="A21" s="4" t="s">
        <v>99</v>
      </c>
      <c r="B21" s="12"/>
      <c r="C21" s="12"/>
      <c r="D21" s="12"/>
      <c r="E21" s="12">
        <v>10.800000000000001</v>
      </c>
    </row>
    <row r="22" ht="28.5">
      <c r="A22" s="4" t="s">
        <v>100</v>
      </c>
      <c r="B22" s="12"/>
      <c r="C22" s="12"/>
      <c r="D22" s="12"/>
      <c r="E22" s="12">
        <v>16.800000000000001</v>
      </c>
    </row>
    <row r="23">
      <c r="A23" s="4" t="s">
        <v>101</v>
      </c>
      <c r="B23" s="12"/>
      <c r="C23" s="12"/>
      <c r="D23" s="12"/>
      <c r="E23" s="12">
        <v>5.2000000000000002</v>
      </c>
    </row>
    <row r="24">
      <c r="A24" s="4" t="s">
        <v>102</v>
      </c>
      <c r="B24" s="12"/>
      <c r="C24" s="12"/>
      <c r="D24" s="12"/>
      <c r="E24" s="12">
        <v>9.3000000000000007</v>
      </c>
    </row>
    <row r="25">
      <c r="A25" s="4" t="s">
        <v>103</v>
      </c>
      <c r="B25" s="12"/>
      <c r="C25" s="12"/>
      <c r="D25" s="12"/>
      <c r="E25" s="12">
        <v>17.800000000000001</v>
      </c>
    </row>
    <row r="26">
      <c r="A26" s="4" t="s">
        <v>104</v>
      </c>
      <c r="B26" s="12"/>
      <c r="C26" s="12"/>
      <c r="D26" s="12"/>
      <c r="E26" s="12">
        <v>8.0999999999999996</v>
      </c>
    </row>
    <row r="27" ht="28.5">
      <c r="A27" s="4" t="s">
        <v>105</v>
      </c>
      <c r="B27" s="12"/>
      <c r="C27" s="12"/>
      <c r="D27" s="12"/>
      <c r="E27" s="12">
        <v>11.9</v>
      </c>
    </row>
    <row r="28" ht="28.5">
      <c r="A28" s="4" t="s">
        <v>106</v>
      </c>
      <c r="B28" s="12"/>
      <c r="C28" s="12"/>
      <c r="D28" s="12"/>
      <c r="E28" s="12">
        <v>7.0999999999999996</v>
      </c>
    </row>
    <row r="29" ht="28.5">
      <c r="A29" s="4" t="s">
        <v>107</v>
      </c>
      <c r="B29" s="12"/>
      <c r="C29" s="12"/>
      <c r="D29" s="12"/>
      <c r="E29" s="12">
        <v>20.5</v>
      </c>
    </row>
    <row r="30" ht="28.5">
      <c r="A30" s="4" t="s">
        <v>108</v>
      </c>
      <c r="B30" s="12"/>
      <c r="C30" s="12"/>
      <c r="D30" s="12"/>
      <c r="E30" s="12">
        <v>8</v>
      </c>
    </row>
    <row r="33">
      <c r="A33" s="7" t="s">
        <v>109</v>
      </c>
    </row>
    <row r="34">
      <c r="A34" s="9" t="s">
        <v>110</v>
      </c>
      <c r="B34" s="9" t="s">
        <v>111</v>
      </c>
      <c r="C34" s="9" t="s">
        <v>112</v>
      </c>
    </row>
    <row r="35">
      <c r="A35" s="9" t="s">
        <v>113</v>
      </c>
      <c r="B35" s="9"/>
      <c r="C35" s="9"/>
    </row>
    <row r="36" ht="76.200000000000003" customHeight="1">
      <c r="A36" s="14" t="s">
        <v>114</v>
      </c>
      <c r="B36" s="15">
        <f>(B5*B6*B7+C5*C6*C7+D5*D6*D7)</f>
        <v>3822.5999999999999</v>
      </c>
      <c r="C36" s="15" t="s">
        <v>115</v>
      </c>
    </row>
    <row r="37" ht="57">
      <c r="A37" s="14" t="s">
        <v>116</v>
      </c>
      <c r="B37" s="15">
        <f>(B5*B8*B9+C5*C8*C9+D5*D8*D9)</f>
        <v>531.625</v>
      </c>
      <c r="C37" s="15" t="s">
        <v>117</v>
      </c>
    </row>
    <row r="38" ht="28.5">
      <c r="A38" s="14" t="s">
        <v>118</v>
      </c>
      <c r="B38" s="15">
        <f>E27</f>
        <v>11.9</v>
      </c>
      <c r="C38" s="15" t="s">
        <v>119</v>
      </c>
    </row>
    <row r="39" ht="28.5">
      <c r="A39" s="14" t="s">
        <v>120</v>
      </c>
      <c r="B39" s="15">
        <f t="shared" ref="B39:B40" si="0">E29</f>
        <v>20.5</v>
      </c>
      <c r="C39" s="15" t="s">
        <v>121</v>
      </c>
    </row>
    <row r="40" ht="28.5">
      <c r="A40" s="14" t="s">
        <v>122</v>
      </c>
      <c r="B40" s="15">
        <f t="shared" si="0"/>
        <v>8</v>
      </c>
      <c r="C40" s="15" t="s">
        <v>123</v>
      </c>
    </row>
    <row r="41" ht="28.5">
      <c r="A41" s="16" t="s">
        <v>124</v>
      </c>
      <c r="B41" s="9">
        <f>SUM(B36:B40)</f>
        <v>4394.625</v>
      </c>
      <c r="C41" s="9" t="s">
        <v>125</v>
      </c>
    </row>
    <row r="42">
      <c r="A42" s="17" t="s">
        <v>126</v>
      </c>
      <c r="B42" s="18"/>
      <c r="C42" s="19"/>
    </row>
    <row r="43" ht="42.75">
      <c r="A43" s="14" t="s">
        <v>127</v>
      </c>
      <c r="B43" s="15">
        <f>B5*B10+C5*C10+D5*D10</f>
        <v>1268.0999999999999</v>
      </c>
      <c r="C43" s="15" t="s">
        <v>128</v>
      </c>
    </row>
    <row r="44">
      <c r="A44" s="14" t="s">
        <v>129</v>
      </c>
      <c r="B44" s="15">
        <f t="shared" ref="B44:B46" si="1">E11</f>
        <v>10</v>
      </c>
      <c r="C44" s="15" t="s">
        <v>130</v>
      </c>
    </row>
    <row r="45" ht="28.5">
      <c r="A45" s="14" t="s">
        <v>131</v>
      </c>
      <c r="B45" s="15">
        <f t="shared" si="1"/>
        <v>2200</v>
      </c>
      <c r="C45" s="15" t="s">
        <v>132</v>
      </c>
    </row>
    <row r="46" ht="28.5">
      <c r="A46" s="14" t="s">
        <v>133</v>
      </c>
      <c r="B46" s="15">
        <f t="shared" si="1"/>
        <v>390</v>
      </c>
      <c r="C46" s="15" t="s">
        <v>134</v>
      </c>
    </row>
    <row r="47" ht="28.5">
      <c r="A47" s="16" t="s">
        <v>135</v>
      </c>
      <c r="B47" s="9">
        <f>SUM(B43:B46)</f>
        <v>3868.0999999999999</v>
      </c>
      <c r="C47" s="9" t="s">
        <v>136</v>
      </c>
    </row>
    <row r="48">
      <c r="A48" s="17" t="s">
        <v>137</v>
      </c>
      <c r="B48" s="18"/>
      <c r="C48" s="19"/>
    </row>
    <row r="49" ht="57">
      <c r="A49" s="14" t="s">
        <v>138</v>
      </c>
      <c r="B49" s="15">
        <f>B47*34.6/100</f>
        <v>1338.3626000000002</v>
      </c>
      <c r="C49" s="15" t="s">
        <v>139</v>
      </c>
    </row>
    <row r="50">
      <c r="A50" s="16" t="s">
        <v>140</v>
      </c>
      <c r="B50" s="9">
        <f>B49</f>
        <v>1338.3626000000002</v>
      </c>
      <c r="C50" s="9" t="s">
        <v>141</v>
      </c>
    </row>
    <row r="51">
      <c r="A51" s="17" t="s">
        <v>142</v>
      </c>
      <c r="B51" s="18"/>
      <c r="C51" s="19"/>
    </row>
    <row r="52" ht="28.5">
      <c r="A52" s="14" t="s">
        <v>143</v>
      </c>
      <c r="B52" s="15">
        <f>E16/E17</f>
        <v>116.40000000000001</v>
      </c>
      <c r="C52" s="15" t="s">
        <v>144</v>
      </c>
    </row>
    <row r="53" ht="28.5">
      <c r="A53" s="14" t="s">
        <v>145</v>
      </c>
      <c r="B53" s="15">
        <f>E18*E19/100</f>
        <v>88.200000000000003</v>
      </c>
      <c r="C53" s="15" t="s">
        <v>146</v>
      </c>
    </row>
    <row r="54" ht="28.5">
      <c r="A54" s="14" t="s">
        <v>147</v>
      </c>
      <c r="B54" s="15">
        <f>E20</f>
        <v>110</v>
      </c>
      <c r="C54" s="15" t="s">
        <v>148</v>
      </c>
    </row>
    <row r="55">
      <c r="A55" s="16" t="s">
        <v>149</v>
      </c>
      <c r="B55" s="9">
        <f>SUM(B52:B54)</f>
        <v>314.60000000000002</v>
      </c>
      <c r="C55" s="9" t="s">
        <v>150</v>
      </c>
    </row>
    <row r="56">
      <c r="A56" s="17" t="s">
        <v>151</v>
      </c>
      <c r="B56" s="18"/>
      <c r="C56" s="19"/>
    </row>
    <row r="57" ht="57">
      <c r="A57" s="4" t="s">
        <v>152</v>
      </c>
      <c r="B57" s="15">
        <f>(B14*B15+C14*C15+D14*D15)/1000</f>
        <v>7.0430000000000001</v>
      </c>
      <c r="C57" s="4" t="s">
        <v>153</v>
      </c>
    </row>
    <row r="58">
      <c r="A58" s="4" t="s">
        <v>154</v>
      </c>
      <c r="B58" s="15">
        <f t="shared" ref="B58:B63" si="2">E21</f>
        <v>10.800000000000001</v>
      </c>
      <c r="C58" s="4" t="s">
        <v>155</v>
      </c>
    </row>
    <row r="59" ht="28.5">
      <c r="A59" s="4" t="s">
        <v>156</v>
      </c>
      <c r="B59" s="15">
        <f t="shared" si="2"/>
        <v>16.800000000000001</v>
      </c>
      <c r="C59" s="4" t="s">
        <v>157</v>
      </c>
    </row>
    <row r="60">
      <c r="A60" s="4" t="s">
        <v>158</v>
      </c>
      <c r="B60" s="15">
        <f t="shared" si="2"/>
        <v>5.2000000000000002</v>
      </c>
      <c r="C60" s="4" t="s">
        <v>159</v>
      </c>
    </row>
    <row r="61">
      <c r="A61" s="4" t="s">
        <v>160</v>
      </c>
      <c r="B61" s="15">
        <f t="shared" si="2"/>
        <v>9.3000000000000007</v>
      </c>
      <c r="C61" s="4" t="s">
        <v>161</v>
      </c>
    </row>
    <row r="62">
      <c r="A62" s="4" t="s">
        <v>162</v>
      </c>
      <c r="B62" s="15">
        <f t="shared" si="2"/>
        <v>17.800000000000001</v>
      </c>
      <c r="C62" s="4" t="s">
        <v>163</v>
      </c>
    </row>
    <row r="63">
      <c r="A63" s="4" t="s">
        <v>164</v>
      </c>
      <c r="B63" s="15">
        <f t="shared" si="2"/>
        <v>8.0999999999999996</v>
      </c>
      <c r="C63" s="4" t="s">
        <v>165</v>
      </c>
    </row>
    <row r="64" ht="28.5">
      <c r="A64" s="4" t="s">
        <v>166</v>
      </c>
      <c r="B64" s="15">
        <f>E28</f>
        <v>7.0999999999999996</v>
      </c>
      <c r="C64" s="4" t="s">
        <v>167</v>
      </c>
    </row>
    <row r="65" ht="28.199999999999999" customHeight="1">
      <c r="A65" s="20" t="s">
        <v>168</v>
      </c>
      <c r="B65" s="9">
        <f>SUM(B57:B64)</f>
        <v>82.142999999999986</v>
      </c>
      <c r="C65" s="20" t="s">
        <v>169</v>
      </c>
    </row>
    <row r="66" ht="28.5">
      <c r="A66" s="20" t="s">
        <v>170</v>
      </c>
      <c r="B66" s="9">
        <f>B41+B47+B50+B55+B65</f>
        <v>9997.8306000000011</v>
      </c>
      <c r="C66" s="20" t="s">
        <v>171</v>
      </c>
    </row>
    <row r="67">
      <c r="A67" s="21"/>
      <c r="B67" s="22"/>
      <c r="C67" s="21"/>
    </row>
    <row r="68">
      <c r="A68" s="7" t="s">
        <v>172</v>
      </c>
      <c r="B68" s="7"/>
      <c r="C68" s="7"/>
    </row>
    <row r="69" ht="14.4" customHeight="1">
      <c r="A69" s="9" t="s">
        <v>110</v>
      </c>
      <c r="B69" s="9" t="s">
        <v>111</v>
      </c>
      <c r="C69" s="9" t="s">
        <v>112</v>
      </c>
      <c r="E69" s="14" t="s">
        <v>173</v>
      </c>
      <c r="F69" s="14"/>
      <c r="G69" s="14"/>
      <c r="H69" s="14"/>
      <c r="I69" s="14"/>
    </row>
    <row r="70">
      <c r="A70" s="4" t="s">
        <v>174</v>
      </c>
      <c r="B70" s="12">
        <f>B41/B66*100</f>
        <v>43.955785768164539</v>
      </c>
      <c r="C70" s="12" t="s">
        <v>175</v>
      </c>
      <c r="E70" s="14"/>
      <c r="F70" s="14"/>
      <c r="G70" s="14"/>
      <c r="H70" s="14"/>
      <c r="I70" s="14"/>
    </row>
    <row r="71" ht="14.4" customHeight="1">
      <c r="A71" s="4" t="s">
        <v>126</v>
      </c>
      <c r="B71" s="12">
        <f>B47/B66*100</f>
        <v>38.689393276977505</v>
      </c>
      <c r="C71" s="12" t="s">
        <v>176</v>
      </c>
      <c r="E71" s="14"/>
      <c r="F71" s="14"/>
      <c r="G71" s="14"/>
      <c r="H71" s="14"/>
      <c r="I71" s="14"/>
    </row>
    <row r="72" ht="14.4" customHeight="1">
      <c r="A72" s="4" t="s">
        <v>137</v>
      </c>
      <c r="B72" s="12">
        <f>B50/B66*100</f>
        <v>13.386530073834219</v>
      </c>
      <c r="C72" s="12" t="s">
        <v>177</v>
      </c>
      <c r="E72" s="14"/>
      <c r="F72" s="14"/>
      <c r="G72" s="14"/>
      <c r="H72" s="14"/>
      <c r="I72" s="14"/>
    </row>
    <row r="73" ht="28.5">
      <c r="A73" s="4" t="s">
        <v>178</v>
      </c>
      <c r="B73" s="12">
        <f>B55/B66*100</f>
        <v>3.1466826413322102</v>
      </c>
      <c r="C73" s="12" t="s">
        <v>179</v>
      </c>
      <c r="E73" s="14"/>
      <c r="F73" s="14"/>
      <c r="G73" s="14"/>
      <c r="H73" s="14"/>
      <c r="I73" s="14"/>
    </row>
    <row r="74">
      <c r="A74" s="4" t="s">
        <v>180</v>
      </c>
      <c r="B74" s="12">
        <f>B65/B66*100</f>
        <v>0.82160823969151842</v>
      </c>
      <c r="C74" s="12" t="s">
        <v>181</v>
      </c>
      <c r="E74" s="14"/>
      <c r="F74" s="14"/>
      <c r="G74" s="14"/>
      <c r="H74" s="14"/>
      <c r="I74" s="14"/>
    </row>
    <row r="75">
      <c r="A75" s="4" t="s">
        <v>182</v>
      </c>
      <c r="B75" s="12">
        <f>SUM(B70:B74)</f>
        <v>99.999999999999986</v>
      </c>
      <c r="C75" s="12" t="s">
        <v>183</v>
      </c>
      <c r="E75" s="14"/>
      <c r="F75" s="14"/>
      <c r="G75" s="14"/>
      <c r="H75" s="14"/>
      <c r="I75" s="14"/>
    </row>
    <row r="77" ht="16.5">
      <c r="A77" s="23" t="s">
        <v>184</v>
      </c>
    </row>
    <row r="78">
      <c r="A78" s="7" t="s">
        <v>185</v>
      </c>
    </row>
    <row r="79">
      <c r="A79" s="11" t="s">
        <v>186</v>
      </c>
      <c r="B79" s="11" t="s">
        <v>9</v>
      </c>
      <c r="C79" s="11" t="s">
        <v>187</v>
      </c>
    </row>
    <row r="80" ht="28.5">
      <c r="A80" s="4" t="s">
        <v>188</v>
      </c>
      <c r="B80" s="12">
        <f>B6*B7</f>
        <v>150</v>
      </c>
      <c r="C80" s="12" t="s">
        <v>189</v>
      </c>
    </row>
    <row r="81" ht="28.5">
      <c r="A81" s="4" t="s">
        <v>190</v>
      </c>
      <c r="B81" s="12">
        <f>B8*B9</f>
        <v>28.75</v>
      </c>
      <c r="C81" s="12" t="s">
        <v>191</v>
      </c>
    </row>
    <row r="82" ht="28.5">
      <c r="A82" s="4" t="s">
        <v>192</v>
      </c>
      <c r="B82" s="12">
        <f>B10</f>
        <v>68</v>
      </c>
      <c r="C82" s="12" t="s">
        <v>193</v>
      </c>
    </row>
    <row r="83">
      <c r="A83" s="4" t="s">
        <v>194</v>
      </c>
      <c r="B83" s="12">
        <f>B82*34.6/100</f>
        <v>23.528000000000002</v>
      </c>
      <c r="C83" s="12" t="s">
        <v>195</v>
      </c>
    </row>
    <row r="84" ht="71.25" customHeight="1">
      <c r="A84" s="4" t="s">
        <v>196</v>
      </c>
      <c r="B84" s="12">
        <f>B14*B15/B5/1000+(B53*F85*1000)/B5/1000</f>
        <v>5.0869088906072903</v>
      </c>
      <c r="C84" s="12" t="s">
        <v>197</v>
      </c>
      <c r="E84" s="24" t="s">
        <v>198</v>
      </c>
      <c r="F84" s="24"/>
    </row>
    <row r="85" ht="28.5">
      <c r="A85" s="4" t="s">
        <v>199</v>
      </c>
      <c r="B85" s="12">
        <f>B96*F85/B5</f>
        <v>30.608311647346426</v>
      </c>
      <c r="C85" s="12" t="s">
        <v>200</v>
      </c>
      <c r="E85" s="4" t="s">
        <v>201</v>
      </c>
      <c r="F85" s="4">
        <f>(B5*B10)/B43</f>
        <v>0.3592776594905765</v>
      </c>
    </row>
    <row r="86" ht="28.5">
      <c r="A86" s="4" t="s">
        <v>202</v>
      </c>
      <c r="B86" s="12">
        <f>B107*F85/B5</f>
        <v>173.11820834319062</v>
      </c>
      <c r="C86" s="12" t="s">
        <v>203</v>
      </c>
    </row>
    <row r="87" ht="28.5">
      <c r="A87" s="4" t="s">
        <v>204</v>
      </c>
      <c r="B87" s="12">
        <f>B115*F85/B5</f>
        <v>2.2682753726046849</v>
      </c>
      <c r="C87" s="12" t="s">
        <v>205</v>
      </c>
    </row>
    <row r="88" ht="28.5">
      <c r="A88" s="4" t="s">
        <v>206</v>
      </c>
      <c r="B88" s="12">
        <f>SUM(B80:B87)</f>
        <v>481.35970425374904</v>
      </c>
      <c r="C88" s="12" t="s">
        <v>207</v>
      </c>
    </row>
    <row r="90">
      <c r="A90" s="7" t="s">
        <v>208</v>
      </c>
    </row>
    <row r="91">
      <c r="A91" s="11" t="s">
        <v>186</v>
      </c>
      <c r="B91" s="11" t="s">
        <v>9</v>
      </c>
      <c r="C91" s="11" t="s">
        <v>187</v>
      </c>
    </row>
    <row r="92" ht="28.5">
      <c r="A92" s="4" t="s">
        <v>209</v>
      </c>
      <c r="B92" s="4">
        <f>E11*((100+34.6)/100)</f>
        <v>13.459999999999999</v>
      </c>
      <c r="C92" s="12" t="s">
        <v>210</v>
      </c>
    </row>
    <row r="93" ht="42.75">
      <c r="A93" s="4" t="s">
        <v>211</v>
      </c>
      <c r="B93" s="4">
        <f>E13*((100+34.6)/100)</f>
        <v>524.93999999999994</v>
      </c>
      <c r="C93" s="12" t="s">
        <v>212</v>
      </c>
    </row>
    <row r="94" ht="28.5">
      <c r="A94" s="4" t="s">
        <v>213</v>
      </c>
      <c r="B94" s="4">
        <f>E27</f>
        <v>11.9</v>
      </c>
      <c r="C94" s="12" t="s">
        <v>214</v>
      </c>
    </row>
    <row r="95" ht="28.5">
      <c r="A95" s="4" t="s">
        <v>215</v>
      </c>
      <c r="B95" s="4">
        <f>E29</f>
        <v>20.5</v>
      </c>
      <c r="C95" s="12" t="s">
        <v>216</v>
      </c>
    </row>
    <row r="96">
      <c r="A96" s="4" t="s">
        <v>217</v>
      </c>
      <c r="B96" s="4">
        <f>SUM(B92:B95)</f>
        <v>570.79999999999995</v>
      </c>
      <c r="C96" s="12" t="s">
        <v>218</v>
      </c>
    </row>
    <row r="98">
      <c r="A98" s="7" t="s">
        <v>219</v>
      </c>
    </row>
    <row r="99">
      <c r="A99" s="11" t="s">
        <v>186</v>
      </c>
      <c r="B99" s="11" t="s">
        <v>9</v>
      </c>
      <c r="C99" s="11" t="s">
        <v>187</v>
      </c>
    </row>
    <row r="100" ht="42.75">
      <c r="A100" s="4" t="s">
        <v>220</v>
      </c>
      <c r="B100" s="12">
        <f>E12*((100+34.6)/100)</f>
        <v>2961.1999999999998</v>
      </c>
      <c r="C100" s="12" t="s">
        <v>221</v>
      </c>
    </row>
    <row r="101" ht="28.5">
      <c r="A101" s="4" t="s">
        <v>222</v>
      </c>
      <c r="B101" s="12">
        <f>B52</f>
        <v>116.40000000000001</v>
      </c>
      <c r="C101" s="12" t="s">
        <v>223</v>
      </c>
    </row>
    <row r="102" ht="28.5">
      <c r="A102" s="4" t="s">
        <v>224</v>
      </c>
      <c r="B102" s="12">
        <f>B54</f>
        <v>110</v>
      </c>
      <c r="C102" s="12" t="s">
        <v>225</v>
      </c>
    </row>
    <row r="103">
      <c r="A103" s="4" t="s">
        <v>226</v>
      </c>
      <c r="B103" s="12">
        <f t="shared" ref="B103:B105" si="3">E21</f>
        <v>10.800000000000001</v>
      </c>
      <c r="C103" s="12" t="s">
        <v>227</v>
      </c>
    </row>
    <row r="104" ht="28.5">
      <c r="A104" s="4" t="s">
        <v>228</v>
      </c>
      <c r="B104" s="12">
        <f t="shared" si="3"/>
        <v>16.800000000000001</v>
      </c>
      <c r="C104" s="12" t="s">
        <v>229</v>
      </c>
    </row>
    <row r="105">
      <c r="A105" s="4" t="s">
        <v>230</v>
      </c>
      <c r="B105" s="12">
        <f t="shared" si="3"/>
        <v>5.2000000000000002</v>
      </c>
      <c r="C105" s="12" t="s">
        <v>231</v>
      </c>
    </row>
    <row r="106">
      <c r="A106" s="4" t="s">
        <v>232</v>
      </c>
      <c r="B106" s="12">
        <f>E30</f>
        <v>8</v>
      </c>
      <c r="C106" s="12" t="s">
        <v>233</v>
      </c>
    </row>
    <row r="107" ht="28.5">
      <c r="A107" s="4" t="s">
        <v>234</v>
      </c>
      <c r="B107" s="12">
        <f>SUM(B100:B106)</f>
        <v>3228.4000000000001</v>
      </c>
      <c r="C107" s="12" t="s">
        <v>235</v>
      </c>
    </row>
    <row r="109">
      <c r="A109" s="7" t="s">
        <v>236</v>
      </c>
    </row>
    <row r="110">
      <c r="A110" s="11" t="s">
        <v>186</v>
      </c>
      <c r="B110" s="11" t="s">
        <v>9</v>
      </c>
      <c r="C110" s="11" t="s">
        <v>187</v>
      </c>
    </row>
    <row r="111">
      <c r="A111" s="4" t="s">
        <v>237</v>
      </c>
      <c r="B111" s="12">
        <f t="shared" ref="B111:B113" si="4">E24</f>
        <v>9.3000000000000007</v>
      </c>
      <c r="C111" s="12" t="s">
        <v>238</v>
      </c>
    </row>
    <row r="112">
      <c r="A112" s="4" t="s">
        <v>239</v>
      </c>
      <c r="B112" s="12">
        <f t="shared" si="4"/>
        <v>17.800000000000001</v>
      </c>
      <c r="C112" s="12" t="s">
        <v>240</v>
      </c>
    </row>
    <row r="113">
      <c r="A113" s="4" t="s">
        <v>241</v>
      </c>
      <c r="B113" s="12">
        <f t="shared" si="4"/>
        <v>8.0999999999999996</v>
      </c>
      <c r="C113" s="12" t="s">
        <v>242</v>
      </c>
    </row>
    <row r="114" ht="28.5">
      <c r="A114" s="4" t="s">
        <v>243</v>
      </c>
      <c r="B114" s="12">
        <f>E28</f>
        <v>7.0999999999999996</v>
      </c>
      <c r="C114" s="12" t="s">
        <v>244</v>
      </c>
    </row>
    <row r="115">
      <c r="A115" s="4" t="s">
        <v>245</v>
      </c>
      <c r="B115" s="12">
        <f>SUM(B111:B114)</f>
        <v>42.300000000000004</v>
      </c>
      <c r="C115" s="12" t="s">
        <v>218</v>
      </c>
    </row>
    <row r="117" ht="16.5">
      <c r="A117" s="23" t="s">
        <v>246</v>
      </c>
    </row>
    <row r="118">
      <c r="A118" s="7" t="s">
        <v>247</v>
      </c>
    </row>
    <row r="119">
      <c r="A119" s="11" t="s">
        <v>186</v>
      </c>
      <c r="B119" s="11" t="s">
        <v>9</v>
      </c>
      <c r="C119" s="11" t="s">
        <v>187</v>
      </c>
    </row>
    <row r="120">
      <c r="A120" s="11" t="s">
        <v>248</v>
      </c>
      <c r="B120" s="11"/>
      <c r="C120" s="11"/>
    </row>
    <row r="121">
      <c r="A121" s="4" t="s">
        <v>188</v>
      </c>
      <c r="B121" s="12">
        <f t="shared" ref="B121:B124" si="5">B80</f>
        <v>150</v>
      </c>
      <c r="C121" s="12" t="s">
        <v>249</v>
      </c>
    </row>
    <row r="122">
      <c r="A122" s="4" t="s">
        <v>190</v>
      </c>
      <c r="B122" s="12">
        <f t="shared" si="5"/>
        <v>28.75</v>
      </c>
      <c r="C122" s="12" t="s">
        <v>250</v>
      </c>
    </row>
    <row r="123" ht="28.5">
      <c r="A123" s="4" t="s">
        <v>192</v>
      </c>
      <c r="B123" s="12">
        <f t="shared" si="5"/>
        <v>68</v>
      </c>
      <c r="C123" s="12" t="s">
        <v>251</v>
      </c>
    </row>
    <row r="124">
      <c r="A124" s="4" t="s">
        <v>194</v>
      </c>
      <c r="B124" s="12">
        <f t="shared" si="5"/>
        <v>23.528000000000002</v>
      </c>
      <c r="C124" s="12" t="s">
        <v>252</v>
      </c>
    </row>
    <row r="125">
      <c r="A125" s="25" t="s">
        <v>253</v>
      </c>
      <c r="B125" s="12">
        <f>SUM(B121:B124)</f>
        <v>270.27800000000002</v>
      </c>
      <c r="C125" s="12" t="s">
        <v>254</v>
      </c>
    </row>
    <row r="126">
      <c r="A126" s="11" t="s">
        <v>255</v>
      </c>
      <c r="B126" s="11"/>
      <c r="C126" s="11"/>
    </row>
    <row r="127" ht="28.5">
      <c r="A127" s="4" t="s">
        <v>256</v>
      </c>
      <c r="B127" s="12">
        <f t="shared" ref="B127:B130" si="6">B84</f>
        <v>5.0869088906072903</v>
      </c>
      <c r="C127" s="12" t="s">
        <v>257</v>
      </c>
    </row>
    <row r="128">
      <c r="A128" s="4" t="s">
        <v>258</v>
      </c>
      <c r="B128" s="12">
        <f t="shared" si="6"/>
        <v>30.608311647346426</v>
      </c>
      <c r="C128" s="12" t="s">
        <v>259</v>
      </c>
    </row>
    <row r="129">
      <c r="A129" s="4" t="s">
        <v>260</v>
      </c>
      <c r="B129" s="12">
        <f t="shared" si="6"/>
        <v>173.11820834319062</v>
      </c>
      <c r="C129" s="12" t="s">
        <v>261</v>
      </c>
    </row>
    <row r="130">
      <c r="A130" s="4" t="s">
        <v>262</v>
      </c>
      <c r="B130" s="12">
        <f t="shared" si="6"/>
        <v>2.2682753726046849</v>
      </c>
      <c r="C130" s="12" t="s">
        <v>263</v>
      </c>
    </row>
    <row r="131">
      <c r="A131" s="20" t="s">
        <v>264</v>
      </c>
      <c r="B131" s="12">
        <f>SUM(B127:B130)</f>
        <v>211.081704253749</v>
      </c>
      <c r="C131" s="12" t="s">
        <v>265</v>
      </c>
    </row>
    <row r="133">
      <c r="A133" s="7" t="s">
        <v>266</v>
      </c>
    </row>
    <row r="134">
      <c r="A134" s="11" t="s">
        <v>186</v>
      </c>
      <c r="B134" s="11" t="s">
        <v>9</v>
      </c>
      <c r="C134" s="11" t="s">
        <v>187</v>
      </c>
    </row>
    <row r="135">
      <c r="A135" s="4" t="s">
        <v>267</v>
      </c>
      <c r="B135" s="12">
        <f>B88</f>
        <v>481.35970425374904</v>
      </c>
      <c r="C135" s="12" t="s">
        <v>268</v>
      </c>
    </row>
    <row r="136">
      <c r="A136" s="4" t="s">
        <v>269</v>
      </c>
      <c r="B136" s="12">
        <v>25</v>
      </c>
      <c r="C136" s="12" t="s">
        <v>270</v>
      </c>
    </row>
    <row r="137">
      <c r="A137" s="4" t="s">
        <v>271</v>
      </c>
      <c r="B137" s="12">
        <f>B135*25/100</f>
        <v>120.33992606343728</v>
      </c>
      <c r="C137" s="12" t="s">
        <v>272</v>
      </c>
    </row>
    <row r="138">
      <c r="A138" s="4" t="s">
        <v>273</v>
      </c>
      <c r="B138" s="12">
        <f>B135+B137</f>
        <v>601.69963031718635</v>
      </c>
      <c r="C138" s="12" t="s">
        <v>76</v>
      </c>
    </row>
    <row r="139">
      <c r="A139" s="4" t="s">
        <v>274</v>
      </c>
      <c r="B139" s="12">
        <f>B5*1000</f>
        <v>6700</v>
      </c>
      <c r="C139" s="12" t="s">
        <v>275</v>
      </c>
    </row>
    <row r="140" ht="28.800000000000001">
      <c r="A140" s="4" t="s">
        <v>276</v>
      </c>
      <c r="B140" s="12">
        <f>B131*B139</f>
        <v>1414247.4185001182</v>
      </c>
      <c r="C140" s="12" t="s">
        <v>277</v>
      </c>
    </row>
    <row r="141">
      <c r="A141" s="4" t="s">
        <v>278</v>
      </c>
      <c r="B141" s="12">
        <f>B125</f>
        <v>270.27800000000002</v>
      </c>
      <c r="C141" s="12" t="s">
        <v>279</v>
      </c>
    </row>
    <row r="142" ht="28.800000000000001">
      <c r="A142" s="4" t="s">
        <v>280</v>
      </c>
      <c r="B142" s="12">
        <f>B140/(B138-B141)</f>
        <v>4267.2152000055512</v>
      </c>
      <c r="C142" s="12" t="s">
        <v>281</v>
      </c>
      <c r="E142" s="26" t="s">
        <v>282</v>
      </c>
      <c r="F142" s="26"/>
      <c r="G142" s="26"/>
      <c r="H142" s="26"/>
    </row>
    <row r="147">
      <c r="B147" s="7">
        <v>0</v>
      </c>
      <c r="C147" s="7">
        <v>0</v>
      </c>
      <c r="D147" s="7">
        <f t="shared" ref="D147:D155" si="7">$B$140</f>
        <v>1414247.4185001182</v>
      </c>
    </row>
    <row r="148">
      <c r="B148" s="7">
        <v>1000</v>
      </c>
      <c r="C148" s="7">
        <v>500000</v>
      </c>
      <c r="D148" s="7">
        <f t="shared" si="7"/>
        <v>1414247.4185001182</v>
      </c>
    </row>
    <row r="149">
      <c r="A149" s="27"/>
      <c r="B149" s="7">
        <v>2000</v>
      </c>
      <c r="C149" s="7">
        <v>1000000</v>
      </c>
      <c r="D149" s="7">
        <f t="shared" si="7"/>
        <v>1414247.4185001182</v>
      </c>
    </row>
    <row r="150">
      <c r="B150" s="7">
        <v>3000</v>
      </c>
      <c r="C150" s="7">
        <v>1500000</v>
      </c>
      <c r="D150" s="7">
        <f t="shared" si="7"/>
        <v>1414247.4185001182</v>
      </c>
    </row>
    <row r="151">
      <c r="B151" s="7">
        <v>4000</v>
      </c>
      <c r="C151" s="7">
        <v>2000000</v>
      </c>
      <c r="D151" s="7">
        <f t="shared" si="7"/>
        <v>1414247.4185001182</v>
      </c>
    </row>
    <row r="152">
      <c r="B152" s="7">
        <v>5000</v>
      </c>
      <c r="C152" s="7">
        <v>2500000</v>
      </c>
      <c r="D152" s="7">
        <f t="shared" si="7"/>
        <v>1414247.4185001182</v>
      </c>
    </row>
    <row r="153">
      <c r="B153" s="7">
        <v>6000</v>
      </c>
      <c r="C153" s="7">
        <v>3000000</v>
      </c>
      <c r="D153" s="7">
        <f t="shared" si="7"/>
        <v>1414247.4185001182</v>
      </c>
    </row>
    <row r="154">
      <c r="B154" s="7">
        <v>7000</v>
      </c>
      <c r="C154" s="7">
        <v>3500000</v>
      </c>
      <c r="D154" s="7">
        <f t="shared" si="7"/>
        <v>1414247.4185001182</v>
      </c>
    </row>
    <row r="155">
      <c r="B155" s="7">
        <v>8000</v>
      </c>
      <c r="C155" s="7">
        <v>4000000</v>
      </c>
      <c r="D155" s="7">
        <f t="shared" si="7"/>
        <v>1414247.4185001182</v>
      </c>
    </row>
    <row r="156">
      <c r="C156" s="7">
        <v>4500000</v>
      </c>
    </row>
    <row r="157">
      <c r="B157" s="27" t="s">
        <v>283</v>
      </c>
      <c r="C157" s="27"/>
    </row>
    <row r="158">
      <c r="B158" s="7">
        <v>0</v>
      </c>
      <c r="C158" s="7">
        <v>0</v>
      </c>
    </row>
    <row r="159">
      <c r="B159" s="7">
        <v>8000</v>
      </c>
      <c r="C159" s="7">
        <f>B159*B138</f>
        <v>4813597.0425374908</v>
      </c>
    </row>
    <row r="160">
      <c r="B160" s="27" t="s">
        <v>284</v>
      </c>
      <c r="C160" s="27"/>
    </row>
    <row r="161">
      <c r="B161" s="7">
        <v>0</v>
      </c>
      <c r="C161" s="7">
        <f>B140</f>
        <v>1414247.4185001182</v>
      </c>
    </row>
    <row r="162">
      <c r="B162" s="7">
        <v>8000</v>
      </c>
      <c r="C162" s="7">
        <f>B140+B162*B141</f>
        <v>3576471.418500118</v>
      </c>
    </row>
    <row r="163">
      <c r="B163" s="7">
        <f>B142</f>
        <v>4267.2152000055512</v>
      </c>
      <c r="C163" s="7">
        <f>B140+B163*B141</f>
        <v>2567581.8083272185</v>
      </c>
    </row>
  </sheetData>
  <mergeCells count="14">
    <mergeCell ref="A2:A3"/>
    <mergeCell ref="B2:D2"/>
    <mergeCell ref="A35:C35"/>
    <mergeCell ref="A42:C42"/>
    <mergeCell ref="A48:C48"/>
    <mergeCell ref="A51:C51"/>
    <mergeCell ref="A56:C56"/>
    <mergeCell ref="E69:I75"/>
    <mergeCell ref="E84:F84"/>
    <mergeCell ref="A120:C120"/>
    <mergeCell ref="A126:C126"/>
    <mergeCell ref="E142:H142"/>
    <mergeCell ref="B157:C157"/>
    <mergeCell ref="B160:C160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2015-06-05T18:19:34Z</dcterms:created>
  <dcterms:modified xsi:type="dcterms:W3CDTF">2023-03-01T11:59:09Z</dcterms:modified>
</cp:coreProperties>
</file>