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charts/style4.xml" ContentType="application/vnd.ms-office.chartstyle+xml"/>
  <Override PartName="/xl/charts/chart4.xml" ContentType="application/vnd.openxmlformats-officedocument.drawingml.chart+xml"/>
  <Override PartName="/xl/charts/colors4.xml" ContentType="application/vnd.ms-office.chartcolorstyle+xml"/>
  <Override PartName="/xl/charts/style3.xml" ContentType="application/vnd.ms-office.chartstyle+xml"/>
  <Override PartName="/xl/worksheets/sheet4.xml" ContentType="application/vnd.openxmlformats-officedocument.spreadsheetml.worksheet+xml"/>
  <Override PartName="/xl/charts/colors3.xml" ContentType="application/vnd.ms-office.chartcolorstyle+xml"/>
  <Override PartName="/xl/sharedStrings.xml" ContentType="application/vnd.openxmlformats-officedocument.spreadsheetml.sharedStrings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charts/colors2.xml" ContentType="application/vnd.ms-office.chartcolorstyle+xml"/>
  <Override PartName="/xl/charts/chart2.xml" ContentType="application/vnd.openxmlformats-officedocument.drawingml.chart+xml"/>
  <Override PartName="/docProps/core.xml" ContentType="application/vnd.openxmlformats-package.core-properties+xml"/>
  <Override PartName="/xl/styles.xml" ContentType="application/vnd.openxmlformats-officedocument.spreadsheetml.styles+xml"/>
  <Override PartName="/xl/charts/style1.xml" ContentType="application/vnd.ms-office.chartstyle+xml"/>
  <Override PartName="/xl/charts/colors1.xml" ContentType="application/vnd.ms-office.chartcolorstyle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3"/>
  </bookViews>
  <sheets>
    <sheet name="6.1" sheetId="1" state="visible" r:id="rId3"/>
    <sheet name="6.2" sheetId="2" state="visible" r:id="rId4"/>
    <sheet name="6.3" sheetId="3" state="visible" r:id="rId5"/>
    <sheet name="6.4" sheetId="4" state="visible" r:id="rId6"/>
  </sheets>
  <externalReferences>
    <externalReference r:id="rId1"/>
    <externalReference r:id="rId2"/>
  </externalReferences>
  <calcPr/>
</workbook>
</file>

<file path=xl/sharedStrings.xml><?xml version="1.0" encoding="utf-8"?>
<sst xmlns="http://schemas.openxmlformats.org/spreadsheetml/2006/main" count="125" uniqueCount="125">
  <si>
    <t>Показатель</t>
  </si>
  <si>
    <t>Обозначение</t>
  </si>
  <si>
    <t xml:space="preserve">Значения для проектов</t>
  </si>
  <si>
    <t>Вариант</t>
  </si>
  <si>
    <t>1-го</t>
  </si>
  <si>
    <t>2-го</t>
  </si>
  <si>
    <t xml:space="preserve">1. Инвестиции, тыс. руб.</t>
  </si>
  <si>
    <t>I</t>
  </si>
  <si>
    <t xml:space="preserve">2. Планируемая чистая прибыль по годам реализации проекта, тыс. руб.</t>
  </si>
  <si>
    <t xml:space="preserve">1-й год</t>
  </si>
  <si>
    <t>P1</t>
  </si>
  <si>
    <t xml:space="preserve">2-й год</t>
  </si>
  <si>
    <t>P2</t>
  </si>
  <si>
    <t xml:space="preserve">3-й год</t>
  </si>
  <si>
    <t>P3</t>
  </si>
  <si>
    <t xml:space="preserve">4-й год</t>
  </si>
  <si>
    <t>P4</t>
  </si>
  <si>
    <t xml:space="preserve">5-й год</t>
  </si>
  <si>
    <t>P5</t>
  </si>
  <si>
    <t xml:space="preserve">3. Жизненный цикл проекта, лет</t>
  </si>
  <si>
    <t>T</t>
  </si>
  <si>
    <t xml:space="preserve">4. Ставка банка по депозитам, %</t>
  </si>
  <si>
    <t>r</t>
  </si>
  <si>
    <t xml:space="preserve">Таким образом, годовая рентабельность 1-го и 2-го проектов превышает ставку банка по долгосрочным депозитам, которая составляет 10% (по условию). Следовательно, инвестирование в каждый проект явялется целесообразным. Оба проекта окупятся в
течении срока жизни. Годовая рентабельность первого проекта – 27%, второго – 22%, срок окупаемости первого проекта – 3,75 года, второго – 4,6 года. Годовая рентабельность 1-го проекта выше, чем 2-го. По рассчитанным показателям 1-й проект более предпочтителен.</t>
  </si>
  <si>
    <t>Показатели</t>
  </si>
  <si>
    <t>Источник</t>
  </si>
  <si>
    <t xml:space="preserve">Значения по проектам</t>
  </si>
  <si>
    <t xml:space="preserve">1. Среднегодовая чистая прибыль, Pср , тыс. руб.</t>
  </si>
  <si>
    <t xml:space="preserve">п.2 табл. 6.2 (P1 + P2 + P3 + P4 + P5)/5</t>
  </si>
  <si>
    <t xml:space="preserve">2. Годовая рентабельность, Rгод , %</t>
  </si>
  <si>
    <t xml:space="preserve">( Pср / I ) · 100%</t>
  </si>
  <si>
    <t xml:space="preserve">3. Срок окупаемости, лет</t>
  </si>
  <si>
    <t xml:space="preserve">I / Pср</t>
  </si>
  <si>
    <t xml:space="preserve">Значения по вариантам</t>
  </si>
  <si>
    <t xml:space="preserve">Ставка дисконта</t>
  </si>
  <si>
    <t xml:space="preserve">1. Норма дисконта, %</t>
  </si>
  <si>
    <t xml:space="preserve">собственный капитал</t>
  </si>
  <si>
    <t xml:space="preserve">заемный капитал</t>
  </si>
  <si>
    <t xml:space="preserve">2. Доля собственного капитала в общей сумме инвестирования</t>
  </si>
  <si>
    <t xml:space="preserve">3. Поток
наличности
по годам,
тыс. долл</t>
  </si>
  <si>
    <t xml:space="preserve">0-й </t>
  </si>
  <si>
    <t xml:space="preserve">1-й </t>
  </si>
  <si>
    <t xml:space="preserve">2-й </t>
  </si>
  <si>
    <t xml:space="preserve">3-й </t>
  </si>
  <si>
    <t xml:space="preserve">4-й </t>
  </si>
  <si>
    <t xml:space="preserve">5-й </t>
  </si>
  <si>
    <t xml:space="preserve">6-й </t>
  </si>
  <si>
    <t xml:space="preserve">7-й </t>
  </si>
  <si>
    <t xml:space="preserve">8-й </t>
  </si>
  <si>
    <t xml:space="preserve">9-й </t>
  </si>
  <si>
    <t xml:space="preserve">10-й </t>
  </si>
  <si>
    <t xml:space="preserve">Год, t</t>
  </si>
  <si>
    <t xml:space="preserve">Поток наличности, Сi, тыс. долл.</t>
  </si>
  <si>
    <t xml:space="preserve">Коэффициент дисконтирования, Ki</t>
  </si>
  <si>
    <t xml:space="preserve">Текущая дисконтированная стоимость потока, ДCi, тыс. долл. </t>
  </si>
  <si>
    <t xml:space="preserve">Накопленная дисконтированная стоимость потока, ЧДСi, тыс. долл. </t>
  </si>
  <si>
    <t xml:space="preserve">rCK = 12%</t>
  </si>
  <si>
    <r>
      <t>r</t>
    </r>
    <r>
      <rPr>
        <b/>
        <vertAlign val="subscript"/>
        <sz val="11"/>
        <rFont val="Times New Roman"/>
      </rPr>
      <t xml:space="preserve">ЗК </t>
    </r>
    <r>
      <rPr>
        <b/>
        <sz val="11"/>
        <rFont val="Times New Roman"/>
      </rPr>
      <t xml:space="preserve"> = 18%</t>
    </r>
  </si>
  <si>
    <t xml:space="preserve">rCK+ЗК = 15%</t>
  </si>
  <si>
    <t>СК</t>
  </si>
  <si>
    <t>ЗК</t>
  </si>
  <si>
    <t>СК+ЗК</t>
  </si>
  <si>
    <t>Показтели</t>
  </si>
  <si>
    <t xml:space="preserve">Условие реализации проекта</t>
  </si>
  <si>
    <t xml:space="preserve">Значения по условия финансирования</t>
  </si>
  <si>
    <r>
      <t xml:space="preserve">1.Чистый дисконтированный доход, ЧДС</t>
    </r>
    <r>
      <rPr>
        <i/>
        <vertAlign val="subscript"/>
        <sz val="11"/>
        <rFont val="Calibri"/>
        <scheme val="minor"/>
      </rPr>
      <t>t</t>
    </r>
    <r>
      <rPr>
        <sz val="11"/>
        <rFont val="Calibri"/>
        <scheme val="minor"/>
      </rPr>
      <t xml:space="preserve"> , тыс. долл. </t>
    </r>
  </si>
  <si>
    <r>
      <t>ЧДС</t>
    </r>
    <r>
      <rPr>
        <i/>
        <vertAlign val="subscript"/>
        <sz val="11"/>
        <rFont val="Calibri"/>
        <scheme val="minor"/>
      </rPr>
      <t>t</t>
    </r>
    <r>
      <rPr>
        <sz val="11"/>
        <rFont val="Calibri"/>
        <scheme val="minor"/>
      </rPr>
      <t xml:space="preserve"> &gt; 0 </t>
    </r>
  </si>
  <si>
    <t xml:space="preserve">2. Индекс доходности (рентабельности), ИД  </t>
  </si>
  <si>
    <t xml:space="preserve">ИД &gt; 1 </t>
  </si>
  <si>
    <r>
      <t xml:space="preserve">3. Динамический срок окупаемости, </t>
    </r>
    <r>
      <rPr>
        <i/>
        <sz val="11"/>
        <rFont val="Calibri"/>
        <scheme val="minor"/>
      </rPr>
      <t>T</t>
    </r>
    <r>
      <rPr>
        <vertAlign val="subscript"/>
        <sz val="11"/>
        <rFont val="Calibri"/>
        <scheme val="minor"/>
      </rPr>
      <t>ок</t>
    </r>
    <r>
      <rPr>
        <sz val="11"/>
        <rFont val="Calibri"/>
        <scheme val="minor"/>
      </rPr>
      <t xml:space="preserve">, лет </t>
    </r>
  </si>
  <si>
    <r>
      <t>T</t>
    </r>
    <r>
      <rPr>
        <vertAlign val="subscript"/>
        <sz val="11"/>
        <rFont val="Calibri"/>
        <scheme val="minor"/>
      </rPr>
      <t>ок</t>
    </r>
    <r>
      <rPr>
        <sz val="11"/>
        <rFont val="Calibri"/>
        <scheme val="minor"/>
      </rPr>
      <t xml:space="preserve"> &lt; срок реализации проекта </t>
    </r>
  </si>
  <si>
    <t xml:space="preserve">4. Внутренняя норма доходности, ВНД, % </t>
  </si>
  <si>
    <r>
      <t xml:space="preserve">ВНД =</t>
    </r>
    <r>
      <rPr>
        <i/>
        <sz val="11"/>
        <rFont val="Calibri"/>
        <scheme val="minor"/>
      </rPr>
      <t xml:space="preserve"> r, </t>
    </r>
    <r>
      <rPr>
        <sz val="11"/>
        <rFont val="Calibri"/>
        <scheme val="minor"/>
      </rPr>
      <t xml:space="preserve">при котором ЧДС = 0  </t>
    </r>
  </si>
  <si>
    <t xml:space="preserve">Таким образом, во всех трех ситуациях финансирования проект может быть успешно реализован: чистый дисконтированный доход положительный, индекс доходности превышает единицу, а срок окупаемости – в пределах периода реализации проекта. </t>
  </si>
  <si>
    <t xml:space="preserve">Таблица 6.7</t>
  </si>
  <si>
    <t xml:space="preserve">1. Коэффициент эффективности инвестиций</t>
  </si>
  <si>
    <t xml:space="preserve">2. Годовой объем выпуска, шт.</t>
  </si>
  <si>
    <t xml:space="preserve">3. Инвестиции по, млн. руб.</t>
  </si>
  <si>
    <t>1-й</t>
  </si>
  <si>
    <t>2-й</t>
  </si>
  <si>
    <t>3-й</t>
  </si>
  <si>
    <t>4-й</t>
  </si>
  <si>
    <t>5-й</t>
  </si>
  <si>
    <t xml:space="preserve">4. Издержки производства на изделие, тыс. руб.</t>
  </si>
  <si>
    <t xml:space="preserve">Значения по вариантам технологий</t>
  </si>
  <si>
    <t>1-ый</t>
  </si>
  <si>
    <t>2-ой</t>
  </si>
  <si>
    <t>3-ий</t>
  </si>
  <si>
    <t>4-ый</t>
  </si>
  <si>
    <t>5ый</t>
  </si>
  <si>
    <t xml:space="preserve">1. Инвестиции, млн. руб. </t>
  </si>
  <si>
    <r>
      <t>I</t>
    </r>
    <r>
      <rPr>
        <i/>
        <vertAlign val="subscript"/>
        <sz val="11"/>
        <rFont val="Times New Roman"/>
      </rPr>
      <t>i</t>
    </r>
    <r>
      <rPr>
        <i/>
        <sz val="11"/>
        <rFont val="Times New Roman"/>
      </rPr>
      <t xml:space="preserve"> </t>
    </r>
  </si>
  <si>
    <t xml:space="preserve">2. Издержки производства на одно изделие, тыс. руб. </t>
  </si>
  <si>
    <r>
      <t>S</t>
    </r>
    <r>
      <rPr>
        <i/>
        <vertAlign val="subscript"/>
        <sz val="11"/>
        <rFont val="Times New Roman"/>
      </rPr>
      <t>i</t>
    </r>
    <r>
      <rPr>
        <sz val="11"/>
        <rFont val="Times New Roman"/>
      </rPr>
      <t xml:space="preserve"> </t>
    </r>
  </si>
  <si>
    <t xml:space="preserve">3. Годовой объем производства, шт. </t>
  </si>
  <si>
    <r>
      <t>V</t>
    </r>
    <r>
      <rPr>
        <i/>
        <vertAlign val="subscript"/>
        <sz val="11"/>
        <rFont val="Times New Roman"/>
      </rPr>
      <t>i</t>
    </r>
    <r>
      <rPr>
        <sz val="11"/>
        <rFont val="Times New Roman"/>
      </rPr>
      <t xml:space="preserve"> </t>
    </r>
  </si>
  <si>
    <t xml:space="preserve">4. Коэффициент эффективности инвестиций </t>
  </si>
  <si>
    <t xml:space="preserve">E </t>
  </si>
  <si>
    <t xml:space="preserve">ПЗ1 = I1 · E + S1  · V1 = </t>
  </si>
  <si>
    <t xml:space="preserve">ПЗ2 = I2 · E + S2  · V2 = </t>
  </si>
  <si>
    <t xml:space="preserve">Таким образом, наиболее эффективным является второй вариант предлагаемой технологии (имеет наименьшие приведенные затраты)</t>
  </si>
  <si>
    <t xml:space="preserve">ПЗ3 = I3 · E + S3  · V3 = </t>
  </si>
  <si>
    <t xml:space="preserve">ПЗ4 = I4 · E + S4  · V4 = </t>
  </si>
  <si>
    <t xml:space="preserve">ПЗ5 = I5 · E + S5  · V5 = </t>
  </si>
  <si>
    <t xml:space="preserve">Предприятие А</t>
  </si>
  <si>
    <t xml:space="preserve">Предприятие Б</t>
  </si>
  <si>
    <t xml:space="preserve">Количество случаев</t>
  </si>
  <si>
    <t>Прибыль</t>
  </si>
  <si>
    <t xml:space="preserve">Предприятие 1</t>
  </si>
  <si>
    <t xml:space="preserve">Предприятие 2</t>
  </si>
  <si>
    <t>X</t>
  </si>
  <si>
    <t>Y</t>
  </si>
  <si>
    <t>Z</t>
  </si>
  <si>
    <t>L</t>
  </si>
  <si>
    <t>Значение</t>
  </si>
  <si>
    <t>N</t>
  </si>
  <si>
    <t xml:space="preserve">Всего случаев</t>
  </si>
  <si>
    <t>V</t>
  </si>
  <si>
    <t xml:space="preserve">Среднее ожидаемое значение</t>
  </si>
  <si>
    <t>Q</t>
  </si>
  <si>
    <t>Дисперсия</t>
  </si>
  <si>
    <t xml:space="preserve">Среднее квадратическое отклонение</t>
  </si>
  <si>
    <t xml:space="preserve">Таким образом, наиболее приемлемым вложением капитала будет вложение в предприятие А, исходя из его более низкого значения коэффициента колеблемости.</t>
  </si>
  <si>
    <t xml:space="preserve">Коэффициент вариации</t>
  </si>
  <si>
    <t xml:space="preserve">Тип колеблемости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</si>
</sst>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0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  <font>
      <name val="Times New Roman"/>
      <b/>
      <sz val="11.000000"/>
    </font>
    <font>
      <name val="Times New Roman"/>
      <sz val="13.000000"/>
    </font>
    <font>
      <name val="Times New Roman"/>
      <i/>
      <sz val="13.000000"/>
    </font>
    <font>
      <name val="Times New Roman"/>
      <sz val="11.000000"/>
    </font>
    <font>
      <name val="Calibri"/>
      <sz val="11.000000"/>
      <scheme val="minor"/>
    </font>
    <font>
      <name val="Calibri"/>
      <i/>
      <sz val="11.000000"/>
      <scheme val="minor"/>
    </font>
    <font>
      <name val="Times New Roman"/>
      <i/>
      <sz val="11.000000"/>
    </font>
    <font>
      <name val="Calibri"/>
      <color theme="1"/>
      <sz val="12.000000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2"/>
        <bgColor theme="2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fontId="0" fillId="0" borderId="0" numFmtId="0" applyNumberFormat="1" applyFont="1" applyFill="1" applyBorder="1"/>
  </cellStyleXfs>
  <cellXfs count="55">
    <xf fontId="0" fillId="0" borderId="0" numFmtId="0" xfId="0"/>
    <xf fontId="0" fillId="0" borderId="0" numFmtId="0" xfId="0" applyAlignment="1">
      <alignment wrapText="1"/>
    </xf>
    <xf fontId="0" fillId="0" borderId="1" numFmtId="0" xfId="0" applyBorder="1" applyAlignment="1">
      <alignment horizontal="center" vertical="center" wrapText="1"/>
    </xf>
    <xf fontId="0" fillId="0" borderId="1" numFmtId="0" xfId="0" applyBorder="1" applyAlignment="1">
      <alignment horizontal="center" wrapText="1"/>
    </xf>
    <xf fontId="0" fillId="0" borderId="1" numFmtId="0" xfId="0" applyBorder="1" applyAlignment="1">
      <alignment wrapText="1"/>
    </xf>
    <xf fontId="0" fillId="0" borderId="2" numFmtId="0" xfId="0" applyBorder="1" applyAlignment="1">
      <alignment horizontal="left" wrapText="1"/>
    </xf>
    <xf fontId="0" fillId="0" borderId="3" numFmtId="0" xfId="0" applyBorder="1" applyAlignment="1">
      <alignment horizontal="left" wrapText="1"/>
    </xf>
    <xf fontId="0" fillId="0" borderId="4" numFmtId="0" xfId="0" applyBorder="1" applyAlignment="1">
      <alignment horizontal="left" wrapText="1"/>
    </xf>
    <xf fontId="0" fillId="0" borderId="2" numFmtId="0" xfId="0" applyBorder="1" applyAlignment="1">
      <alignment horizontal="center" wrapText="1"/>
    </xf>
    <xf fontId="0" fillId="0" borderId="4" numFmtId="0" xfId="0" applyBorder="1" applyAlignment="1">
      <alignment horizontal="center" wrapText="1"/>
    </xf>
    <xf fontId="0" fillId="0" borderId="1" numFmtId="0" xfId="0" applyBorder="1" applyAlignment="1">
      <alignment horizontal="left" vertical="center" wrapText="1"/>
    </xf>
    <xf fontId="0" fillId="0" borderId="5" numFmtId="0" xfId="0" applyBorder="1" applyAlignment="1">
      <alignment horizontal="center" vertical="center" wrapText="1"/>
    </xf>
    <xf fontId="0" fillId="0" borderId="6" numFmtId="0" xfId="0" applyBorder="1" applyAlignment="1">
      <alignment horizontal="center" vertical="center" wrapText="1"/>
    </xf>
    <xf fontId="0" fillId="0" borderId="0" numFmtId="0" xfId="0" applyAlignment="1">
      <alignment vertical="center" wrapText="1"/>
    </xf>
    <xf fontId="0" fillId="0" borderId="0" numFmtId="0" xfId="0" applyAlignment="1">
      <alignment horizontal="center" wrapText="1"/>
    </xf>
    <xf fontId="1" fillId="0" borderId="2" numFmtId="0" xfId="0" applyFont="1" applyBorder="1" applyAlignment="1">
      <alignment wrapText="1"/>
    </xf>
    <xf fontId="1" fillId="0" borderId="4" numFmtId="0" xfId="0" applyFont="1" applyBorder="1" applyAlignment="1">
      <alignment wrapText="1"/>
    </xf>
    <xf fontId="1" fillId="0" borderId="1" numFmtId="0" xfId="0" applyFont="1" applyBorder="1" applyAlignment="1">
      <alignment wrapText="1"/>
    </xf>
    <xf fontId="0" fillId="0" borderId="4" numFmtId="0" xfId="0" applyBorder="1" applyAlignment="1">
      <alignment wrapText="1"/>
    </xf>
    <xf fontId="0" fillId="0" borderId="5" numFmtId="0" xfId="0" applyBorder="1" applyAlignment="1">
      <alignment wrapText="1"/>
    </xf>
    <xf fontId="0" fillId="0" borderId="6" numFmtId="0" xfId="0" applyBorder="1" applyAlignment="1">
      <alignment wrapText="1"/>
    </xf>
    <xf fontId="0" fillId="0" borderId="2" numFmtId="0" xfId="0" applyBorder="1" applyAlignment="1">
      <alignment wrapText="1"/>
    </xf>
    <xf fontId="0" fillId="0" borderId="5" numFmtId="0" xfId="0" applyBorder="1" applyAlignment="1">
      <alignment horizontal="left" vertical="center" wrapText="1"/>
    </xf>
    <xf fontId="0" fillId="0" borderId="7" numFmtId="0" xfId="0" applyBorder="1" applyAlignment="1">
      <alignment horizontal="left" vertical="center" wrapText="1"/>
    </xf>
    <xf fontId="0" fillId="0" borderId="6" numFmtId="0" xfId="0" applyBorder="1" applyAlignment="1">
      <alignment horizontal="left" vertical="center" wrapText="1"/>
    </xf>
    <xf fontId="1" fillId="0" borderId="5" numFmtId="0" xfId="0" applyFont="1" applyBorder="1" applyAlignment="1">
      <alignment horizontal="center" wrapText="1"/>
    </xf>
    <xf fontId="1" fillId="0" borderId="2" numFmtId="0" xfId="0" applyFont="1" applyBorder="1" applyAlignment="1">
      <alignment horizontal="center" wrapText="1"/>
    </xf>
    <xf fontId="1" fillId="0" borderId="3" numFmtId="0" xfId="0" applyFont="1" applyBorder="1" applyAlignment="1">
      <alignment horizontal="center" wrapText="1"/>
    </xf>
    <xf fontId="1" fillId="0" borderId="4" numFmtId="0" xfId="0" applyFont="1" applyBorder="1" applyAlignment="1">
      <alignment horizontal="center" wrapText="1"/>
    </xf>
    <xf fontId="1" fillId="0" borderId="6" numFmtId="0" xfId="0" applyFont="1" applyBorder="1" applyAlignment="1">
      <alignment horizontal="center" wrapText="1"/>
    </xf>
    <xf fontId="2" fillId="0" borderId="1" numFmtId="0" xfId="0" applyFont="1" applyBorder="1" applyAlignment="1">
      <alignment horizontal="center" vertical="center" wrapText="1"/>
    </xf>
    <xf fontId="3" fillId="0" borderId="1" numFmtId="0" xfId="0" applyFont="1" applyBorder="1" applyAlignment="1">
      <alignment horizontal="center" vertical="center" wrapText="1"/>
    </xf>
    <xf fontId="4" fillId="0" borderId="1" numFmtId="0" xfId="0" applyFont="1" applyBorder="1" applyAlignment="1">
      <alignment horizontal="center" vertical="center" wrapText="1"/>
    </xf>
    <xf fontId="5" fillId="0" borderId="1" numFmtId="0" xfId="0" applyFont="1" applyBorder="1" applyAlignment="1">
      <alignment horizontal="center" vertical="center" wrapText="1"/>
    </xf>
    <xf fontId="1" fillId="0" borderId="1" numFmtId="0" xfId="0" applyFont="1" applyBorder="1" applyAlignment="1">
      <alignment horizontal="center" wrapText="1"/>
    </xf>
    <xf fontId="6" fillId="0" borderId="1" numFmtId="0" xfId="0" applyFont="1" applyBorder="1" applyAlignment="1">
      <alignment wrapText="1"/>
    </xf>
    <xf fontId="6" fillId="0" borderId="1" numFmtId="0" xfId="0" applyFont="1" applyBorder="1" applyAlignment="1">
      <alignment horizontal="center" vertical="center" wrapText="1"/>
    </xf>
    <xf fontId="7" fillId="0" borderId="1" numFmtId="0" xfId="0" applyFont="1" applyBorder="1" applyAlignment="1">
      <alignment horizontal="center" vertical="center" wrapText="1"/>
    </xf>
    <xf fontId="6" fillId="0" borderId="1" numFmtId="0" xfId="0" applyFont="1" applyBorder="1" applyAlignment="1">
      <alignment horizontal="left" vertical="center" wrapText="1"/>
    </xf>
    <xf fontId="0" fillId="0" borderId="3" numFmtId="0" xfId="0" applyBorder="1" applyAlignment="1">
      <alignment horizontal="center" wrapText="1"/>
    </xf>
    <xf fontId="0" fillId="0" borderId="1" numFmtId="0" xfId="0" applyBorder="1" applyAlignment="1">
      <alignment horizontal="left" vertical="top" wrapText="1"/>
    </xf>
    <xf fontId="0" fillId="0" borderId="6" numFmtId="0" xfId="0" applyBorder="1" applyAlignment="1">
      <alignment horizontal="center" wrapText="1"/>
    </xf>
    <xf fontId="8" fillId="0" borderId="1" numFmtId="0" xfId="0" applyFont="1" applyBorder="1" applyAlignment="1">
      <alignment horizontal="center" vertical="center" wrapText="1"/>
    </xf>
    <xf fontId="0" fillId="0" borderId="1" numFmtId="0" xfId="0" applyBorder="1" applyAlignment="1">
      <alignment horizontal="left" wrapText="1"/>
    </xf>
    <xf fontId="0" fillId="2" borderId="0" numFmtId="0" xfId="0" applyFill="1" applyAlignment="1">
      <alignment horizontal="center" wrapText="1"/>
    </xf>
    <xf fontId="0" fillId="0" borderId="0" numFmtId="0" xfId="0" applyAlignment="1">
      <alignment vertical="top" wrapText="1"/>
    </xf>
    <xf fontId="0" fillId="0" borderId="0" numFmtId="0" xfId="0" applyAlignment="1">
      <alignment shrinkToFit="1" wrapText="1"/>
    </xf>
    <xf fontId="0" fillId="3" borderId="0" numFmtId="0" xfId="0" applyFill="1" applyAlignment="1">
      <alignment horizontal="center" shrinkToFit="1" wrapText="1"/>
    </xf>
    <xf fontId="0" fillId="3" borderId="2" numFmtId="0" xfId="0" applyFill="1" applyBorder="1" applyAlignment="1">
      <alignment horizontal="right" shrinkToFit="1" wrapText="1"/>
    </xf>
    <xf fontId="0" fillId="3" borderId="3" numFmtId="0" xfId="0" applyFill="1" applyBorder="1" applyAlignment="1">
      <alignment horizontal="left" shrinkToFit="1" wrapText="1"/>
    </xf>
    <xf fontId="0" fillId="3" borderId="4" numFmtId="0" xfId="0" applyFill="1" applyBorder="1" applyAlignment="1">
      <alignment horizontal="left" shrinkToFit="1" wrapText="1"/>
    </xf>
    <xf fontId="0" fillId="0" borderId="1" numFmtId="0" xfId="0" applyBorder="1" applyAlignment="1">
      <alignment shrinkToFit="1" wrapText="1"/>
    </xf>
    <xf fontId="0" fillId="3" borderId="1" numFmtId="0" xfId="0" applyFill="1" applyBorder="1" applyAlignment="1">
      <alignment shrinkToFit="1" wrapText="1"/>
    </xf>
    <xf fontId="9" fillId="0" borderId="1" numFmtId="0" xfId="0" applyFont="1" applyBorder="1" applyAlignment="1">
      <alignment horizontal="left" vertical="center" wrapText="1"/>
    </xf>
    <xf fontId="0" fillId="0" borderId="0" numFmtId="0" xfId="0" applyAlignment="1">
      <alignment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9" Type="http://schemas.openxmlformats.org/officeDocument/2006/relationships/styles" Target="styles.xml"/><Relationship  Id="rId8" Type="http://schemas.openxmlformats.org/officeDocument/2006/relationships/sharedStrings" Target="sharedStrings.xml"/><Relationship  Id="rId7" Type="http://schemas.openxmlformats.org/officeDocument/2006/relationships/theme" Target="theme/theme1.xml"/><Relationship  Id="rId6" Type="http://schemas.openxmlformats.org/officeDocument/2006/relationships/worksheet" Target="worksheets/sheet4.xml"/><Relationship  Id="rId5" Type="http://schemas.openxmlformats.org/officeDocument/2006/relationships/worksheet" Target="worksheets/sheet3.xml"/><Relationship  Id="rId4" Type="http://schemas.openxmlformats.org/officeDocument/2006/relationships/worksheet" Target="worksheets/sheet2.xml"/><Relationship  Id="rId3" Type="http://schemas.openxmlformats.org/officeDocument/2006/relationships/worksheet" Target="worksheets/sheet1.xml"/><Relationship  Id="rId2" Type="http://schemas.openxmlformats.org/officeDocument/2006/relationships/externalLink" Target="externalLinks/externalLink2.xml"/><Relationship  Id="rId1" Type="http://schemas.openxmlformats.org/officeDocument/2006/relationships/externalLink" Target="externalLinks/externalLink1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style2.xml" /><Relationship Id="rId2" Type="http://schemas.microsoft.com/office/2011/relationships/chartColorStyle" Target="colors2.xml" 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style3.xml" /><Relationship Id="rId2" Type="http://schemas.microsoft.com/office/2011/relationships/chartColorStyle" Target="colors3.xml" 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style4.xml" /><Relationship Id="rId2" Type="http://schemas.microsoft.com/office/2011/relationships/chartColorStyle" Target="colors4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ru-RU"/>
  <c:roundedCorners val="0"/>
  <mc:AlternateContent>
    <mc:Choice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v xml:space="preserve">Точка СК</c:v>
          </c:tx>
          <c:spPr bwMode="auto">
            <a:prstGeom prst="rect">
              <a:avLst/>
            </a:prstGeom>
            <a:ln w="0" cap="rnd">
              <a:solidFill>
                <a:schemeClr val="bg1"/>
              </a:solidFill>
              <a:round/>
            </a:ln>
            <a:effectLst/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2"/>
              </a:solidFill>
              <a:ln w="50800">
                <a:solidFill>
                  <a:schemeClr val="accent2"/>
                </a:solidFill>
              </a:ln>
              <a:effectLst/>
            </c:spPr>
          </c:marker>
          <c:xVal>
            <c:numRef>
              <c:f>[1]Решение!$S$8</c:f>
              <c:numCache>
                <c:formatCode>General</c:formatCode>
                <c:ptCount val="1"/>
                <c:pt idx="0">
                  <c:v>196.8999085567692</c:v>
                </c:pt>
              </c:numCache>
            </c:numRef>
          </c:xVal>
          <c:yVal>
            <c:numRef>
              <c:f>[1]Решение!$G$7</c:f>
              <c:numCache>
                <c:formatCode>General</c:formatCode>
                <c:ptCount val="1"/>
                <c:pt idx="0">
                  <c:v>0.1</c:v>
                </c:pt>
              </c:numCache>
            </c:numRef>
          </c:yVal>
          <c:smooth val="0"/>
        </c:ser>
        <c:ser>
          <c:idx val="2"/>
          <c:order val="1"/>
          <c:tx>
            <c:v xml:space="preserve">Точка ЗК</c:v>
          </c:tx>
          <c:spPr bwMode="auto">
            <a:prstGeom prst="rect">
              <a:avLst/>
            </a:prstGeom>
            <a:ln w="19050" cap="rnd">
              <a:noFill/>
              <a:round/>
            </a:ln>
            <a:effectLst/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1"/>
              </a:solidFill>
              <a:ln w="50800">
                <a:solidFill>
                  <a:schemeClr val="accent1"/>
                </a:solidFill>
              </a:ln>
              <a:effectLst/>
            </c:spPr>
          </c:marker>
          <c:xVal>
            <c:numRef>
              <c:f>[1]Решение!$T$8</c:f>
              <c:numCache>
                <c:formatCode>General</c:formatCode>
                <c:ptCount val="1"/>
                <c:pt idx="0">
                  <c:v>86.18934769663181</c:v>
                </c:pt>
              </c:numCache>
            </c:numRef>
          </c:xVal>
          <c:yVal>
            <c:numRef>
              <c:f>[1]Решение!$H$7</c:f>
              <c:numCache>
                <c:formatCode>General</c:formatCode>
                <c:ptCount val="1"/>
                <c:pt idx="0">
                  <c:v>0.17</c:v>
                </c:pt>
              </c:numCache>
            </c:numRef>
          </c:yVal>
          <c:smooth val="0"/>
        </c:ser>
        <c:ser>
          <c:idx val="3"/>
          <c:order val="2"/>
          <c:tx>
            <c:v xml:space="preserve">Точка ВНД</c:v>
          </c:tx>
          <c:spPr bwMode="auto">
            <a:prstGeom prst="rect">
              <a:avLst/>
            </a:prstGeom>
            <a:ln w="50800" cap="rnd">
              <a:noFill/>
              <a:round/>
            </a:ln>
            <a:effectLst/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4"/>
              </a:solidFill>
              <a:ln w="50800">
                <a:solidFill>
                  <a:schemeClr val="accent4"/>
                </a:solidFill>
              </a:ln>
              <a:effectLst/>
            </c:spPr>
          </c:marker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Ref>
              <c:f>[1]Решение!$S$14</c:f>
              <c:numCache>
                <c:formatCode>General</c:formatCode>
                <c:ptCount val="1"/>
                <c:pt idx="0">
                  <c:v>0.22449574360287222</c:v>
                </c:pt>
              </c:numCache>
            </c:numRef>
          </c:yVal>
          <c:smooth val="0"/>
        </c:ser>
        <c:ser>
          <c:idx val="0"/>
          <c:order val="3"/>
          <c:tx>
            <c:v xml:space="preserve">Отрезок от СК до ЗК</c:v>
          </c:tx>
          <c:spPr bwMode="auto">
            <a:prstGeom prst="rect">
              <a:avLst/>
            </a:prstGeom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 bwMode="auto">
              <a:prstGeom prst="rect">
                <a:avLst/>
              </a:prstGeom>
              <a:noFill/>
              <a:ln w="0">
                <a:solidFill>
                  <a:schemeClr val="bg1">
                    <a:alpha val="0"/>
                  </a:schemeClr>
                </a:solidFill>
              </a:ln>
              <a:effectLst/>
            </c:spPr>
          </c:marker>
          <c:xVal>
            <c:numRef>
              <c:f>([1]Решение!$S$8,[1]Решение!$T$8)</c:f>
              <c:numCache>
                <c:formatCode>General</c:formatCode>
                <c:ptCount val="2"/>
                <c:pt idx="0">
                  <c:v>196.8999085567692</c:v>
                </c:pt>
                <c:pt idx="1">
                  <c:v>86.18934769663181</c:v>
                </c:pt>
              </c:numCache>
            </c:numRef>
          </c:xVal>
          <c:yVal>
            <c:numRef>
              <c:f>([1]Решение!$G$7,[1]Решение!$H$7)</c:f>
              <c:numCache>
                <c:formatCode>General</c:formatCode>
                <c:ptCount val="2"/>
                <c:pt idx="0">
                  <c:v>0.1</c:v>
                </c:pt>
                <c:pt idx="1">
                  <c:v>0.17</c:v>
                </c:pt>
              </c:numCache>
            </c:numRef>
          </c:yVal>
          <c:smooth val="0"/>
        </c:ser>
        <c:ser>
          <c:idx val="4"/>
          <c:order val="4"/>
          <c:tx>
            <c:v xml:space="preserve">Продолжение отрезка от СК до ЗК</c:v>
          </c:tx>
          <c:spPr bwMode="auto">
            <a:prstGeom prst="rect">
              <a:avLst/>
            </a:prstGeom>
            <a:ln w="12700" cap="rnd">
              <a:solidFill>
                <a:schemeClr val="tx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5"/>
              </a:solidFill>
              <a:ln w="50800">
                <a:solidFill>
                  <a:schemeClr val="accent4"/>
                </a:solidFill>
              </a:ln>
              <a:effectLst/>
            </c:spPr>
          </c:marker>
          <c:xVal>
            <c:numRef>
              <c:f>([1]Решение!$W$21,[1]Решение!$T$8)</c:f>
              <c:numCache>
                <c:formatCode>General</c:formatCode>
                <c:ptCount val="2"/>
                <c:pt idx="0">
                  <c:v>0</c:v>
                </c:pt>
                <c:pt idx="1">
                  <c:v>86.18934769663181</c:v>
                </c:pt>
              </c:numCache>
            </c:numRef>
          </c:xVal>
          <c:yVal>
            <c:numRef>
              <c:f>([1]Решение!$S$14,[1]Решение!$H$7)</c:f>
              <c:numCache>
                <c:formatCode>General</c:formatCode>
                <c:ptCount val="2"/>
                <c:pt idx="0">
                  <c:v>0.22449574360287222</c:v>
                </c:pt>
                <c:pt idx="1">
                  <c:v>0.17</c:v>
                </c:pt>
              </c:numCache>
            </c:numRef>
          </c:y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axId val="400100888"/>
        <c:axId val="400101872"/>
      </c:scatterChart>
      <c:valAx>
        <c:axId val="400100888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>
                    <a:solidFill>
                      <a:schemeClr val="tx1"/>
                    </a:solidFill>
                  </a:rPr>
                  <a:t>ЧДС,</a:t>
                </a:r>
                <a:r>
                  <a:rPr lang="ru-RU">
                    <a:solidFill>
                      <a:schemeClr val="tx1"/>
                    </a:solidFill>
                  </a:rPr>
                  <a:t> тыс. долл</a:t>
                </a:r>
                <a:r>
                  <a:rPr lang="ru-RU"/>
                  <a:t>.</a:t>
                </a:r>
                <a:endParaRPr lang="ru-RU"/>
              </a:p>
            </c:rich>
          </c:tx>
          <c:layout/>
          <c:overlay val="0"/>
          <c:spPr bwMode="auto">
            <a:prstGeom prst="rect">
              <a:avLst/>
            </a:prstGeom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0101872"/>
        <c:crosses val="autoZero"/>
        <c:crossBetween val="midCat"/>
      </c:valAx>
      <c:valAx>
        <c:axId val="400101872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r, %</a:t>
                </a:r>
                <a:endParaRPr/>
              </a:p>
            </c:rich>
          </c:tx>
          <c:layout/>
          <c:overlay val="0"/>
          <c:spPr bwMode="auto">
            <a:prstGeom prst="rect">
              <a:avLst/>
            </a:prstGeom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0100888"/>
        <c:crosses val="autoZero"/>
        <c:crossBetween val="midCat"/>
      </c:valAx>
      <c:spPr bwMode="auto">
        <a:prstGeom prst="rect">
          <a:avLst/>
        </a:prstGeom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egendEntry>
        <c:idx val="4"/>
        <c:delete val="1"/>
      </c:legendEntry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 bwMode="auto">
    <a:xfrm>
      <a:off x="0" y="0"/>
      <a:ext cx="0" cy="0"/>
    </a:xfrm>
    <a:prstGeom prst="rect">
      <a:avLst/>
    </a:prstGeom>
    <a:solidFill>
      <a:schemeClr val="bg1"/>
    </a:solidFill>
    <a:ln w="9525" cap="flat" cmpd="sng" algn="ctr">
      <a:solidFill>
        <a:schemeClr val="tx1">
          <a:alpha val="97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ru-RU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СК</c:v>
          </c:tx>
          <c:spPr bwMode="auto">
            <a:prstGeom prst="rect">
              <a:avLst/>
            </a:prstGeom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Lit>
              <c:formatCode>General</c:formatCode>
              <c:ptCount val="11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</c:numLit>
          </c:cat>
          <c:val>
            <c:numRef>
              <c:f>[1]Решение!$M$8:$M$18</c:f>
              <c:numCache>
                <c:formatCode>General</c:formatCode>
                <c:ptCount val="11"/>
                <c:pt idx="0">
                  <c:v>-115</c:v>
                </c:pt>
                <c:pt idx="1">
                  <c:v>-183.1818181818182</c:v>
                </c:pt>
                <c:pt idx="2">
                  <c:v>-145.9917355371901</c:v>
                </c:pt>
                <c:pt idx="3">
                  <c:v>-97.15627347858756</c:v>
                </c:pt>
                <c:pt idx="4">
                  <c:v>-59.59053343350869</c:v>
                </c:pt>
                <c:pt idx="5">
                  <c:v>-19.230647434663616</c:v>
                </c:pt>
                <c:pt idx="6">
                  <c:v>20.282527669100787</c:v>
                </c:pt>
                <c:pt idx="7">
                  <c:v>71.59833949217143</c:v>
                </c:pt>
                <c:pt idx="8">
                  <c:v>118.24907751314475</c:v>
                </c:pt>
                <c:pt idx="9">
                  <c:v>156.41786316666838</c:v>
                </c:pt>
                <c:pt idx="10">
                  <c:v>196.8999085567692</c:v>
                </c:pt>
              </c:numCache>
            </c:numRef>
          </c:val>
          <c:smooth val="0"/>
        </c:ser>
        <c:ser>
          <c:idx val="1"/>
          <c:order val="1"/>
          <c:tx>
            <c:v>ЗК</c:v>
          </c:tx>
          <c:spPr bwMode="auto">
            <a:prstGeom prst="rect">
              <a:avLst/>
            </a:prstGeom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 bwMode="auto">
              <a:prstGeom prst="rect">
                <a:avLst/>
              </a:prstGeom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11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</c:numLit>
          </c:cat>
          <c:val>
            <c:numRef>
              <c:f>[1]Решение!$N$8:$N$18</c:f>
              <c:numCache>
                <c:formatCode>General</c:formatCode>
                <c:ptCount val="11"/>
                <c:pt idx="0">
                  <c:v>-115</c:v>
                </c:pt>
                <c:pt idx="1">
                  <c:v>-179.1025641025641</c:v>
                </c:pt>
                <c:pt idx="2">
                  <c:v>-146.22945430637736</c:v>
                </c:pt>
                <c:pt idx="3">
                  <c:v>-105.6453681382456</c:v>
                </c:pt>
                <c:pt idx="4">
                  <c:v>-76.29461548542184</c:v>
                </c:pt>
                <c:pt idx="5">
                  <c:v>-46.64739058357966</c:v>
                </c:pt>
                <c:pt idx="6">
                  <c:v>-19.358689161765678</c:v>
                </c:pt>
                <c:pt idx="7">
                  <c:v>13.960848593806947</c:v>
                </c:pt>
                <c:pt idx="8">
                  <c:v>42.43908599173227</c:v>
                </c:pt>
                <c:pt idx="9">
                  <c:v>64.34542245167484</c:v>
                </c:pt>
                <c:pt idx="10">
                  <c:v>86.18934769663181</c:v>
                </c:pt>
              </c:numCache>
            </c:numRef>
          </c:val>
          <c:smooth val="0"/>
        </c:ser>
        <c:ser>
          <c:idx val="2"/>
          <c:order val="2"/>
          <c:tx>
            <c:v>СК+ЗК</c:v>
          </c:tx>
          <c:spPr bwMode="auto">
            <a:prstGeom prst="rect">
              <a:avLst/>
            </a:prstGeom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5"/>
            <c:spPr bwMode="auto">
              <a:prstGeom prst="rect">
                <a:avLst/>
              </a:prstGeom>
              <a:solidFill>
                <a:schemeClr val="accent3"/>
              </a:solidFill>
              <a:ln w="25400">
                <a:solidFill>
                  <a:schemeClr val="accent3"/>
                </a:solidFill>
              </a:ln>
              <a:effectLst/>
            </c:spPr>
          </c:marker>
          <c:cat>
            <c:numLit>
              <c:formatCode>General</c:formatCode>
              <c:ptCount val="11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</c:numLit>
          </c:cat>
          <c:val>
            <c:numRef>
              <c:f>[1]Решение!$O$8:$O$18</c:f>
              <c:numCache>
                <c:formatCode>General</c:formatCode>
                <c:ptCount val="11"/>
                <c:pt idx="0">
                  <c:v>-115</c:v>
                </c:pt>
                <c:pt idx="1">
                  <c:v>-181.3716814159292</c:v>
                </c:pt>
                <c:pt idx="2">
                  <c:v>-146.1300806641084</c:v>
                </c:pt>
                <c:pt idx="3">
                  <c:v>-101.08182011605817</c:v>
                </c:pt>
                <c:pt idx="4">
                  <c:v>-67.34929009369245</c:v>
                </c:pt>
                <c:pt idx="5">
                  <c:v>-32.069894253728286</c:v>
                </c:pt>
                <c:pt idx="6">
                  <c:v>1.5524026665915471</c:v>
                </c:pt>
                <c:pt idx="7">
                  <c:v>44.058467041205745</c:v>
                </c:pt>
                <c:pt idx="8">
                  <c:v>81.6744532134307</c:v>
                </c:pt>
                <c:pt idx="9">
                  <c:v>111.63408821785765</c:v>
                </c:pt>
                <c:pt idx="10">
                  <c:v>142.56586477110082</c:v>
                </c:pt>
              </c:numCache>
            </c:numRef>
          </c: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marker val="1"/>
        <c:smooth val="0"/>
        <c:axId val="400102528"/>
        <c:axId val="400101544"/>
      </c:lineChart>
      <c:catAx>
        <c:axId val="400102528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>
                    <a:solidFill>
                      <a:schemeClr val="tx1"/>
                    </a:solidFill>
                  </a:rPr>
                  <a:t>Период</a:t>
                </a:r>
                <a:r>
                  <a:rPr lang="ru-RU">
                    <a:solidFill>
                      <a:schemeClr val="tx1"/>
                    </a:solidFill>
                  </a:rPr>
                  <a:t> реализации проекта, </a:t>
                </a:r>
                <a:r>
                  <a:rPr lang="en-US">
                    <a:solidFill>
                      <a:schemeClr val="tx1"/>
                    </a:solidFill>
                  </a:rPr>
                  <a:t>t, </a:t>
                </a:r>
                <a:r>
                  <a:rPr lang="ru-RU">
                    <a:solidFill>
                      <a:schemeClr val="tx1"/>
                    </a:solidFill>
                  </a:rPr>
                  <a:t>лет</a:t>
                </a:r>
                <a:endParaRPr lang="ru-RU">
                  <a:solidFill>
                    <a:schemeClr val="tx1"/>
                  </a:solidFill>
                </a:endParaRPr>
              </a:p>
            </c:rich>
          </c:tx>
          <c:layout/>
          <c:overlay val="0"/>
          <c:spPr bwMode="auto">
            <a:prstGeom prst="rect">
              <a:avLst/>
            </a:prstGeom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,##0" sourceLinked="0"/>
        <c:majorTickMark val="out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0101544"/>
        <c:crosses val="autoZero"/>
        <c:auto val="1"/>
        <c:lblAlgn val="ctr"/>
        <c:lblOffset val="100"/>
        <c:noMultiLvlLbl val="0"/>
      </c:catAx>
      <c:valAx>
        <c:axId val="400101544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>
                    <a:solidFill>
                      <a:schemeClr val="tx1"/>
                    </a:solidFill>
                  </a:rPr>
                  <a:t>Накопленная</a:t>
                </a:r>
                <a:r>
                  <a:rPr lang="ru-RU">
                    <a:solidFill>
                      <a:schemeClr val="tx1"/>
                    </a:solidFill>
                  </a:rPr>
                  <a:t> дисконтированная стоимость потока ЧДС</a:t>
                </a:r>
                <a:r>
                  <a:rPr lang="en-US">
                    <a:solidFill>
                      <a:schemeClr val="tx1"/>
                    </a:solidFill>
                  </a:rPr>
                  <a:t>t, </a:t>
                </a:r>
                <a:r>
                  <a:rPr lang="ru-RU">
                    <a:solidFill>
                      <a:schemeClr val="tx1"/>
                    </a:solidFill>
                  </a:rPr>
                  <a:t>тыс. долл.</a:t>
                </a:r>
                <a:endParaRPr lang="ru-RU">
                  <a:solidFill>
                    <a:schemeClr val="tx1"/>
                  </a:solidFill>
                </a:endParaRPr>
              </a:p>
            </c:rich>
          </c:tx>
          <c:layout/>
          <c:overlay val="0"/>
          <c:spPr bwMode="auto">
            <a:prstGeom prst="rect">
              <a:avLst/>
            </a:prstGeom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0102528"/>
        <c:crosses val="autoZero"/>
        <c:crossesAt val="1"/>
        <c:crossBetween val="between"/>
      </c:valAx>
      <c:spPr bwMode="auto">
        <a:prstGeom prst="rect">
          <a:avLst/>
        </a:prstGeom>
        <a:noFill/>
        <a:ln>
          <a:noFill/>
        </a:ln>
        <a:effectLst/>
      </c:spPr>
    </c:plotArea>
    <c:legend>
      <c:legendPos val="r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spPr bwMode="auto">
    <a:xfrm>
      <a:off x="0" y="0"/>
      <a:ext cx="0" cy="0"/>
    </a:xfrm>
    <a:prstGeom prst="rect">
      <a:avLst/>
    </a:prstGeom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ru-RU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/>
            </a:pPr>
            <a:r>
              <a:rPr lang="ru-RU"/>
              <a:t>Определение</a:t>
            </a:r>
            <a:r>
              <a:rPr lang="ru-RU"/>
              <a:t> ВНД (графический метод)</a:t>
            </a:r>
            <a:endParaRPr lang="en-US"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 bwMode="auto">
            <a:prstGeom prst="rect">
              <a:avLst/>
            </a:prstGeom>
            <a:solidFill>
              <a:schemeClr val="accent1"/>
            </a:solidFill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1"/>
              </a:solidFill>
              <a:ln w="9525">
                <a:solidFill>
                  <a:schemeClr val="accent1"/>
                </a:solidFill>
              </a:ln>
            </c:spPr>
          </c:marker>
          <c:trendline>
            <c:spPr bwMode="auto">
              <a:prstGeom prst="rect">
                <a:avLst/>
              </a:prstGeom>
              <a:noFill/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backward val="80"/>
            <c:dispRSqr val="0"/>
            <c:dispEq val="0"/>
          </c:trendline>
          <c:xVal>
            <c:numRef>
              <c:f>'6.2'!$D$43:$D$44</c:f>
              <c:numCache>
                <c:formatCode>General</c:formatCode>
                <c:ptCount val="2"/>
                <c:pt idx="0">
                  <c:v>294.9950531577099</c:v>
                </c:pt>
                <c:pt idx="1">
                  <c:v>153.62856586123925</c:v>
                </c:pt>
              </c:numCache>
            </c:numRef>
          </c:xVal>
          <c:yVal>
            <c:numRef>
              <c:f>'6.2'!$C$43:$C$44</c:f>
              <c:numCache>
                <c:formatCode>General</c:formatCode>
                <c:ptCount val="2"/>
                <c:pt idx="0">
                  <c:v>11</c:v>
                </c:pt>
                <c:pt idx="1">
                  <c:v>19</c:v>
                </c:pt>
              </c:numCache>
            </c:numRef>
          </c:yVal>
          <c:smooth val="0"/>
        </c:ser>
        <c:axId val="664968981"/>
        <c:axId val="664968982"/>
      </c:scatterChart>
      <c:valAx>
        <c:axId val="664968981"/>
        <c:scaling>
          <c:orientation val="minMax"/>
          <c:max val="300"/>
          <c:min val="100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ЧДС, тыс. долл</a:t>
                </a:r>
                <a:endParaRPr/>
              </a:p>
            </c:rich>
          </c:tx>
          <c:layout/>
          <c:overlay val="0"/>
          <c:spPr bwMode="auto">
            <a:prstGeom prst="rect">
              <a:avLst/>
            </a:prstGeom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64968982"/>
        <c:crosses val="autoZero"/>
        <c:crossBetween val="midCat"/>
        <c:majorUnit val="20"/>
      </c:valAx>
      <c:valAx>
        <c:axId val="664968982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r, %</a:t>
                </a:r>
                <a:endParaRPr lang="ru-RU"/>
              </a:p>
            </c:rich>
          </c:tx>
          <c:layout/>
          <c:overlay val="0"/>
          <c:spPr bwMode="auto">
            <a:prstGeom prst="rect">
              <a:avLst/>
            </a:prstGeom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64968981"/>
        <c:crosses val="autoZero"/>
        <c:crossBetween val="midCat"/>
      </c:valAx>
      <c:spPr bwMode="auto">
        <a:prstGeom prst="rect">
          <a:avLst/>
        </a:prstGeom>
        <a:noFill/>
        <a:ln>
          <a:noFill/>
        </a:ln>
        <a:effectLst/>
      </c:spPr>
    </c:plotArea>
    <c:plotVisOnly val="1"/>
    <c:dispBlanksAs val="gap"/>
    <c:showDLblsOverMax val="0"/>
  </c:chart>
  <c:spPr bwMode="auto">
    <a:xfrm>
      <a:off x="0" y="0"/>
      <a:ext cx="0" cy="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 lang="ru-RU"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ru-RU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spc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Финансовый профиль проекта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СК</c:v>
          </c:tx>
          <c:spPr bwMode="auto">
            <a:prstGeom prst="rect">
              <a:avLst/>
            </a:prstGeom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[2]Аркуш1!$A$46:$A$56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[2]Аркуш1!$I$22:$I$32</c:f>
              <c:numCache>
                <c:formatCode>General</c:formatCode>
                <c:ptCount val="11"/>
                <c:pt idx="0">
                  <c:v>-106</c:v>
                </c:pt>
                <c:pt idx="1">
                  <c:v>-152.42857142857142</c:v>
                </c:pt>
                <c:pt idx="2">
                  <c:v>-126.91836734693877</c:v>
                </c:pt>
                <c:pt idx="3">
                  <c:v>-72.82306851311954</c:v>
                </c:pt>
                <c:pt idx="4">
                  <c:v>-43.589236906497305</c:v>
                </c:pt>
                <c:pt idx="5">
                  <c:v>-7.273918140506957</c:v>
                </c:pt>
                <c:pt idx="6">
                  <c:v>31.736678190146733</c:v>
                </c:pt>
                <c:pt idx="7">
                  <c:v>72.44810757046714</c:v>
                </c:pt>
                <c:pt idx="8">
                  <c:v>108.79759808861036</c:v>
                </c:pt>
                <c:pt idx="9">
                  <c:v>143.416160486842</c:v>
                </c:pt>
                <c:pt idx="10">
                  <c:v>171.10585883364183</c:v>
                </c:pt>
              </c:numCache>
            </c:numRef>
          </c:yVal>
          <c:smooth val="0"/>
        </c:ser>
        <c:ser>
          <c:idx val="1"/>
          <c:order val="1"/>
          <c:tx>
            <c:v>ЗК</c:v>
          </c:tx>
          <c:spPr bwMode="auto">
            <a:prstGeom prst="rect">
              <a:avLst/>
            </a:prstGeom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[2]Аркуш1!$A$46:$A$56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[2]Аркуш1!$J$22:$J$32</c:f>
              <c:numCache>
                <c:formatCode>General</c:formatCode>
                <c:ptCount val="11"/>
                <c:pt idx="0">
                  <c:v>-106</c:v>
                </c:pt>
                <c:pt idx="1">
                  <c:v>-149.69747899159665</c:v>
                </c:pt>
                <c:pt idx="2">
                  <c:v>-127.10020478779748</c:v>
                </c:pt>
                <c:pt idx="3">
                  <c:v>-82.00060291046721</c:v>
                </c:pt>
                <c:pt idx="4">
                  <c:v>-59.061840345703914</c:v>
                </c:pt>
                <c:pt idx="5">
                  <c:v>-32.24268060611949</c:v>
                </c:pt>
                <c:pt idx="6">
                  <c:v>-5.127721310583773</c:v>
                </c:pt>
                <c:pt idx="7">
                  <c:v>21.504891770265456</c:v>
                </c:pt>
                <c:pt idx="8">
                  <c:v>43.88523889702951</c:v>
                </c:pt>
                <c:pt idx="9">
                  <c:v>63.94605424875079</c:v>
                </c:pt>
                <c:pt idx="10">
                  <c:v>79.0478585226306</c:v>
                </c:pt>
              </c:numCache>
            </c:numRef>
          </c:yVal>
          <c:smooth val="0"/>
        </c:ser>
        <c:ser>
          <c:idx val="2"/>
          <c:order val="2"/>
          <c:tx>
            <c:v xml:space="preserve">СК + ЗК</c:v>
          </c:tx>
          <c:spPr bwMode="auto">
            <a:prstGeom prst="rect">
              <a:avLst/>
            </a:prstGeom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[2]Аркуш1!$A$46:$A$56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[2]Аркуш1!$K$22:$K$32</c:f>
              <c:numCache>
                <c:formatCode>General</c:formatCode>
                <c:ptCount val="11"/>
                <c:pt idx="0">
                  <c:v>-106</c:v>
                </c:pt>
                <c:pt idx="1">
                  <c:v>-150.82758620689657</c:v>
                </c:pt>
                <c:pt idx="2">
                  <c:v>-127.04637336504163</c:v>
                </c:pt>
                <c:pt idx="3">
                  <c:v>-78.35639017589898</c:v>
                </c:pt>
                <c:pt idx="4">
                  <c:v>-52.95099967339714</c:v>
                </c:pt>
                <c:pt idx="5">
                  <c:v>-22.47976668688819</c:v>
                </c:pt>
                <c:pt idx="6">
                  <c:v>9.12428692250283</c:v>
                </c:pt>
                <c:pt idx="7">
                  <c:v>40.968944612216134</c:v>
                </c:pt>
                <c:pt idx="8">
                  <c:v>68.42123572403794</c:v>
                </c:pt>
                <c:pt idx="9">
                  <c:v>93.6647218038741</c:v>
                </c:pt>
                <c:pt idx="10">
                  <c:v>113.15951170029929</c:v>
                </c:pt>
              </c:numCache>
            </c:numRef>
          </c:y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axId val="482154240"/>
        <c:axId val="482157568"/>
      </c:scatterChart>
      <c:valAx>
        <c:axId val="482154240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Период реализации проекта, </a:t>
                </a:r>
                <a:r>
                  <a:rPr lang="en-US"/>
                  <a:t>t, </a:t>
                </a:r>
                <a:r>
                  <a:rPr lang="ru-RU"/>
                  <a:t>лет</a:t>
                </a:r>
                <a:endParaRPr/>
              </a:p>
            </c:rich>
          </c:tx>
          <c:layout/>
          <c:overlay val="0"/>
          <c:spPr bwMode="auto">
            <a:prstGeom prst="rect">
              <a:avLst/>
            </a:prstGeom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2157568"/>
        <c:crosses val="autoZero"/>
        <c:crossBetween val="midCat"/>
      </c:valAx>
      <c:valAx>
        <c:axId val="482157568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Накопленная дисконтированная стоимость потока, ЧДД</a:t>
                </a:r>
                <a:r>
                  <a:rPr lang="en-US"/>
                  <a:t>t</a:t>
                </a:r>
                <a:r>
                  <a:rPr lang="ru-RU"/>
                  <a:t>,</a:t>
                </a:r>
                <a:r>
                  <a:rPr lang="ru-RU"/>
                  <a:t> тыс. долл</a:t>
                </a:r>
                <a:endParaRPr lang="ru-RU"/>
              </a:p>
            </c:rich>
          </c:tx>
          <c:layout/>
          <c:overlay val="0"/>
          <c:spPr bwMode="auto">
            <a:prstGeom prst="rect">
              <a:avLst/>
            </a:prstGeom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2154240"/>
        <c:crosses val="autoZero"/>
        <c:crossBetween val="midCat"/>
      </c:valAx>
      <c:spPr bwMode="auto">
        <a:prstGeom prst="rect">
          <a:avLst/>
        </a:prstGeom>
        <a:noFill/>
        <a:ln>
          <a:noFill/>
        </a:ln>
        <a:effectLst/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 bwMode="auto">
    <a:xfrm>
      <a:off x="0" y="0"/>
      <a:ext cx="0" cy="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Relationship Id="rId2" Type="http://schemas.openxmlformats.org/officeDocument/2006/relationships/chart" Target="../charts/chart2.xml" /><Relationship Id="rId3" Type="http://schemas.openxmlformats.org/officeDocument/2006/relationships/chart" Target="../charts/chart3.xml" /><Relationship Id="rId4" Type="http://schemas.openxmlformats.org/officeDocument/2006/relationships/chart" Target="../charts/chart4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21</xdr:col>
      <xdr:colOff>95247</xdr:colOff>
      <xdr:row>3</xdr:row>
      <xdr:rowOff>209549</xdr:rowOff>
    </xdr:from>
    <xdr:to>
      <xdr:col>31</xdr:col>
      <xdr:colOff>609599</xdr:colOff>
      <xdr:row>19</xdr:row>
      <xdr:rowOff>0</xdr:rowOff>
    </xdr:to>
    <xdr:graphicFrame>
      <xdr:nvGraphicFramePr>
        <xdr:cNvPr id="2" name="Диаграмма 1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twoCell">
    <xdr:from>
      <xdr:col>33</xdr:col>
      <xdr:colOff>0</xdr:colOff>
      <xdr:row>4</xdr:row>
      <xdr:rowOff>0</xdr:rowOff>
    </xdr:from>
    <xdr:to>
      <xdr:col>43</xdr:col>
      <xdr:colOff>0</xdr:colOff>
      <xdr:row>19</xdr:row>
      <xdr:rowOff>0</xdr:rowOff>
    </xdr:to>
    <xdr:graphicFrame>
      <xdr:nvGraphicFramePr>
        <xdr:cNvPr id="3" name="Диаграмма 2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twoCell">
    <xdr:from>
      <xdr:col>2</xdr:col>
      <xdr:colOff>171450</xdr:colOff>
      <xdr:row>40</xdr:row>
      <xdr:rowOff>173355</xdr:rowOff>
    </xdr:from>
    <xdr:to>
      <xdr:col>6</xdr:col>
      <xdr:colOff>200025</xdr:colOff>
      <xdr:row>55</xdr:row>
      <xdr:rowOff>173355</xdr:rowOff>
    </xdr:to>
    <xdr:graphicFrame>
      <xdr:nvGraphicFramePr>
        <xdr:cNvPr id="4" name="Диаграмма 3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twoCell">
    <xdr:from>
      <xdr:col>0</xdr:col>
      <xdr:colOff>39219</xdr:colOff>
      <xdr:row>41</xdr:row>
      <xdr:rowOff>47848</xdr:rowOff>
    </xdr:from>
    <xdr:to>
      <xdr:col>2</xdr:col>
      <xdr:colOff>25884</xdr:colOff>
      <xdr:row>56</xdr:row>
      <xdr:rowOff>47848</xdr:rowOff>
    </xdr:to>
    <xdr:graphicFrame>
      <xdr:nvGraphicFramePr>
        <xdr:cNvPr id="5" name="Диаграмма 4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<Relationships xmlns="http://schemas.openxmlformats.org/package/2006/relationships"><Relationship  Id="rId1" Type="http://schemas.openxmlformats.org/officeDocument/2006/relationships/externalLinkPath" Target="BiZZNE$$_6_2.xlsx" TargetMode="External"/></Relationships>
</file>

<file path=xl/externalLinks/_rels/externalLink2.xml.rels><?xml version="1.0" encoding="UTF-8" standalone="yes"?><Relationships xmlns="http://schemas.openxmlformats.org/package/2006/relationships"><Relationship  Id="rId1" Type="http://schemas.openxmlformats.org/officeDocument/2006/relationships/externalLinkPath" Target="&#1047;&#1072;&#1076;&#1072;&#1095;&#1080;%20&#8212;%20&#1082;&#1086;&#1087;&#1080;&#1103;/6.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Решение"/>
      <sheetName val="Исходные данные"/>
    </sheetNames>
    <sheetDataSet>
      <sheetData sheetId="0">
        <row r="7">
          <cell r="G7">
            <v>0.1</v>
          </cell>
          <cell r="H7">
            <v>0.17</v>
          </cell>
        </row>
        <row r="8">
          <cell r="M8">
            <v>-115</v>
          </cell>
          <cell r="N8">
            <v>-115</v>
          </cell>
          <cell r="O8">
            <v>-115</v>
          </cell>
          <cell r="S8">
            <v>196.89990855676919</v>
          </cell>
          <cell r="T8">
            <v>86.189347696631813</v>
          </cell>
        </row>
        <row r="9">
          <cell r="M9">
            <v>-183.18181818181819</v>
          </cell>
          <cell r="N9">
            <v>-179.10256410256409</v>
          </cell>
          <cell r="O9">
            <v>-181.3716814159292</v>
          </cell>
        </row>
        <row r="10">
          <cell r="M10">
            <v>-145.9917355371901</v>
          </cell>
          <cell r="N10">
            <v>-146.22945430637736</v>
          </cell>
          <cell r="O10">
            <v>-146.13008066410839</v>
          </cell>
        </row>
        <row r="11">
          <cell r="M11">
            <v>-97.156273478587565</v>
          </cell>
          <cell r="N11">
            <v>-105.6453681382456</v>
          </cell>
          <cell r="O11">
            <v>-101.08182011605817</v>
          </cell>
        </row>
        <row r="12">
          <cell r="M12">
            <v>-59.590533433508689</v>
          </cell>
          <cell r="N12">
            <v>-76.294615485421843</v>
          </cell>
          <cell r="O12">
            <v>-67.349290093692446</v>
          </cell>
        </row>
        <row r="13">
          <cell r="M13">
            <v>-19.230647434663616</v>
          </cell>
          <cell r="N13">
            <v>-46.647390583579657</v>
          </cell>
          <cell r="O13">
            <v>-32.069894253728286</v>
          </cell>
        </row>
        <row r="14">
          <cell r="M14">
            <v>20.282527669100787</v>
          </cell>
          <cell r="N14">
            <v>-19.358689161765678</v>
          </cell>
          <cell r="O14">
            <v>1.5524026665915471</v>
          </cell>
          <cell r="S14">
            <v>0.22449574360287222</v>
          </cell>
        </row>
        <row r="15">
          <cell r="M15">
            <v>71.598339492171434</v>
          </cell>
          <cell r="N15">
            <v>13.960848593806947</v>
          </cell>
          <cell r="O15">
            <v>44.058467041205745</v>
          </cell>
        </row>
        <row r="16">
          <cell r="M16">
            <v>118.24907751314475</v>
          </cell>
          <cell r="N16">
            <v>42.43908599173227</v>
          </cell>
          <cell r="O16">
            <v>81.674453213430695</v>
          </cell>
        </row>
        <row r="17">
          <cell r="M17">
            <v>156.41786316666838</v>
          </cell>
          <cell r="N17">
            <v>64.345422451674835</v>
          </cell>
          <cell r="O17">
            <v>111.63408821785765</v>
          </cell>
        </row>
        <row r="18">
          <cell r="M18">
            <v>196.89990855676919</v>
          </cell>
          <cell r="N18">
            <v>86.189347696631813</v>
          </cell>
          <cell r="O18">
            <v>142.56586477110082</v>
          </cell>
        </row>
        <row r="21">
          <cell r="W21">
            <v>0</v>
          </cell>
        </row>
      </sheetData>
      <sheetData sheetId="1">
        <row r="3">
          <cell r="P3">
            <v>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Аркуш1"/>
    </sheetNames>
    <sheetDataSet>
      <sheetData sheetId="0">
        <row r="22">
          <cell r="I22">
            <v>-106</v>
          </cell>
          <cell r="J22">
            <v>-106</v>
          </cell>
          <cell r="K22">
            <v>-106</v>
          </cell>
        </row>
        <row r="23">
          <cell r="I23">
            <v>-152.42857142857142</v>
          </cell>
          <cell r="J23">
            <v>-149.69747899159665</v>
          </cell>
          <cell r="K23">
            <v>-150.82758620689657</v>
          </cell>
        </row>
        <row r="24">
          <cell r="I24">
            <v>-126.91836734693877</v>
          </cell>
          <cell r="J24">
            <v>-127.10020478779748</v>
          </cell>
          <cell r="K24">
            <v>-127.04637336504163</v>
          </cell>
        </row>
        <row r="25">
          <cell r="I25">
            <v>-72.823068513119537</v>
          </cell>
          <cell r="J25">
            <v>-82.000602910467208</v>
          </cell>
          <cell r="K25">
            <v>-78.35639017589898</v>
          </cell>
        </row>
        <row r="26">
          <cell r="I26">
            <v>-43.589236906497305</v>
          </cell>
          <cell r="J26">
            <v>-59.061840345703914</v>
          </cell>
          <cell r="K26">
            <v>-52.950999673397142</v>
          </cell>
        </row>
        <row r="27">
          <cell r="I27">
            <v>-7.2739181405069573</v>
          </cell>
          <cell r="J27">
            <v>-32.242680606119492</v>
          </cell>
          <cell r="K27">
            <v>-22.47976668688819</v>
          </cell>
        </row>
        <row r="28">
          <cell r="I28">
            <v>31.736678190146733</v>
          </cell>
          <cell r="J28">
            <v>-5.1277213105837731</v>
          </cell>
          <cell r="K28">
            <v>9.1242869225028294</v>
          </cell>
        </row>
        <row r="29">
          <cell r="I29">
            <v>72.448107570467144</v>
          </cell>
          <cell r="J29">
            <v>21.504891770265456</v>
          </cell>
          <cell r="K29">
            <v>40.968944612216134</v>
          </cell>
        </row>
        <row r="30">
          <cell r="I30">
            <v>108.79759808861036</v>
          </cell>
          <cell r="J30">
            <v>43.88523889702951</v>
          </cell>
          <cell r="K30">
            <v>68.421235724037942</v>
          </cell>
        </row>
        <row r="31">
          <cell r="I31">
            <v>143.41616048684199</v>
          </cell>
          <cell r="J31">
            <v>63.946054248750791</v>
          </cell>
          <cell r="K31">
            <v>93.664721803874102</v>
          </cell>
        </row>
        <row r="32">
          <cell r="I32">
            <v>171.10585883364183</v>
          </cell>
          <cell r="J32">
            <v>79.047858522630605</v>
          </cell>
          <cell r="K32">
            <v>113.15951170029929</v>
          </cell>
        </row>
        <row r="46">
          <cell r="A46">
            <v>0</v>
          </cell>
        </row>
        <row r="47">
          <cell r="A47">
            <v>1</v>
          </cell>
        </row>
        <row r="48">
          <cell r="A48">
            <v>2</v>
          </cell>
        </row>
        <row r="49">
          <cell r="A49">
            <v>3</v>
          </cell>
        </row>
        <row r="50">
          <cell r="A50">
            <v>4</v>
          </cell>
        </row>
        <row r="51">
          <cell r="A51">
            <v>5</v>
          </cell>
        </row>
        <row r="52">
          <cell r="A52">
            <v>6</v>
          </cell>
        </row>
        <row r="53">
          <cell r="A53">
            <v>7</v>
          </cell>
        </row>
        <row r="54">
          <cell r="A54">
            <v>8</v>
          </cell>
        </row>
        <row r="55">
          <cell r="A55">
            <v>9</v>
          </cell>
        </row>
        <row r="56">
          <cell r="A56">
            <v>10</v>
          </cell>
        </row>
      </sheetData>
    </sheetDataSet>
  </externalBook>
</externalLink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18" activeCellId="0" sqref="C18"/>
    </sheetView>
  </sheetViews>
  <sheetFormatPr defaultRowHeight="14.25"/>
  <cols>
    <col customWidth="1" min="1" max="1" style="1" width="25.44140625"/>
    <col customWidth="1" min="2" max="2" style="1" width="24.6640625"/>
    <col customWidth="1" min="3" max="3" style="1" width="11.44140625"/>
    <col customWidth="1" min="4" max="4" style="1" width="11.5546875"/>
    <col customWidth="1" min="5" max="5" style="1" width="12.88671875"/>
    <col customWidth="1" min="6" max="6" style="1" width="13.77734375"/>
    <col customWidth="1" min="7" max="8" style="1" width="12.109375"/>
    <col customWidth="1" min="9" max="9" style="1" width="13.5546875"/>
    <col min="10" max="16384" style="1" width="8.88671875"/>
  </cols>
  <sheetData>
    <row r="2">
      <c r="A2" s="2" t="s">
        <v>0</v>
      </c>
      <c r="B2" s="2" t="s">
        <v>1</v>
      </c>
      <c r="C2" s="3" t="s">
        <v>2</v>
      </c>
      <c r="D2" s="3"/>
      <c r="F2" s="2" t="s">
        <v>3</v>
      </c>
      <c r="G2" s="2">
        <v>12</v>
      </c>
    </row>
    <row r="3">
      <c r="A3" s="2"/>
      <c r="B3" s="2"/>
      <c r="C3" s="3" t="s">
        <v>4</v>
      </c>
      <c r="D3" s="3" t="s">
        <v>5</v>
      </c>
    </row>
    <row r="4">
      <c r="A4" s="4" t="s">
        <v>6</v>
      </c>
      <c r="B4" s="3" t="s">
        <v>7</v>
      </c>
      <c r="C4" s="3">
        <f>600+50*$G$2</f>
        <v>1200</v>
      </c>
      <c r="D4" s="3">
        <f>720+40*$G$2</f>
        <v>1200</v>
      </c>
    </row>
    <row r="5" ht="16.199999999999999" customHeight="1">
      <c r="A5" s="5" t="s">
        <v>8</v>
      </c>
      <c r="B5" s="6"/>
      <c r="C5" s="6"/>
      <c r="D5" s="7"/>
    </row>
    <row r="6">
      <c r="A6" s="3" t="s">
        <v>9</v>
      </c>
      <c r="B6" s="3" t="s">
        <v>10</v>
      </c>
      <c r="C6" s="3">
        <f>100+10*$G$2</f>
        <v>220</v>
      </c>
      <c r="D6" s="3">
        <f>110+10*$G$2</f>
        <v>230</v>
      </c>
    </row>
    <row r="7">
      <c r="A7" s="3" t="s">
        <v>11</v>
      </c>
      <c r="B7" s="3" t="s">
        <v>12</v>
      </c>
      <c r="C7" s="3">
        <f>150+10*$G$2</f>
        <v>270</v>
      </c>
      <c r="D7" s="3">
        <f>170+5*$G$2</f>
        <v>230</v>
      </c>
    </row>
    <row r="8">
      <c r="A8" s="3" t="s">
        <v>13</v>
      </c>
      <c r="B8" s="3" t="s">
        <v>14</v>
      </c>
      <c r="C8" s="3">
        <f>160+15*$G$2</f>
        <v>340</v>
      </c>
      <c r="D8" s="3">
        <f>170+7*$G$2</f>
        <v>254</v>
      </c>
    </row>
    <row r="9">
      <c r="A9" s="3" t="s">
        <v>15</v>
      </c>
      <c r="B9" s="3" t="s">
        <v>16</v>
      </c>
      <c r="C9" s="3">
        <f>170+15*$G$2</f>
        <v>350</v>
      </c>
      <c r="D9" s="3">
        <f>170+10*$G$2</f>
        <v>290</v>
      </c>
    </row>
    <row r="10">
      <c r="A10" s="3" t="s">
        <v>17</v>
      </c>
      <c r="B10" s="3" t="s">
        <v>18</v>
      </c>
      <c r="C10" s="3">
        <f>180+20*$G$2</f>
        <v>420</v>
      </c>
      <c r="D10" s="3">
        <f>170+12*$G$2</f>
        <v>314</v>
      </c>
    </row>
    <row r="11" ht="28.5">
      <c r="A11" s="4" t="s">
        <v>19</v>
      </c>
      <c r="B11" s="3" t="s">
        <v>20</v>
      </c>
      <c r="C11" s="3">
        <v>7</v>
      </c>
      <c r="D11" s="3">
        <v>7</v>
      </c>
    </row>
    <row r="12" ht="28.5">
      <c r="A12" s="4" t="s">
        <v>21</v>
      </c>
      <c r="B12" s="3" t="s">
        <v>22</v>
      </c>
      <c r="C12" s="8">
        <v>10</v>
      </c>
      <c r="D12" s="9"/>
    </row>
    <row r="13">
      <c r="F13" s="10" t="s">
        <v>23</v>
      </c>
      <c r="G13" s="10"/>
      <c r="H13" s="10"/>
      <c r="I13" s="10"/>
      <c r="J13" s="10"/>
      <c r="K13" s="10"/>
      <c r="L13" s="10"/>
    </row>
    <row r="14" ht="14.4" customHeight="1">
      <c r="A14" s="11" t="s">
        <v>24</v>
      </c>
      <c r="B14" s="11" t="s">
        <v>25</v>
      </c>
      <c r="C14" s="8" t="s">
        <v>26</v>
      </c>
      <c r="D14" s="9"/>
      <c r="F14" s="10"/>
      <c r="G14" s="10"/>
      <c r="H14" s="10"/>
      <c r="I14" s="10"/>
      <c r="J14" s="10"/>
      <c r="K14" s="10"/>
      <c r="L14" s="10"/>
    </row>
    <row r="15">
      <c r="A15" s="12"/>
      <c r="B15" s="12"/>
      <c r="C15" s="3" t="s">
        <v>4</v>
      </c>
      <c r="D15" s="3" t="s">
        <v>5</v>
      </c>
      <c r="F15" s="10"/>
      <c r="G15" s="10"/>
      <c r="H15" s="10"/>
      <c r="I15" s="10"/>
      <c r="J15" s="10"/>
      <c r="K15" s="10"/>
      <c r="L15" s="10"/>
    </row>
    <row r="16" ht="28.800000000000001" customHeight="1">
      <c r="A16" s="4" t="s">
        <v>27</v>
      </c>
      <c r="B16" s="3" t="s">
        <v>28</v>
      </c>
      <c r="C16" s="3">
        <f>SUM(C6:C10)/5</f>
        <v>320</v>
      </c>
      <c r="D16" s="3">
        <f>SUM(D6:D10)/5</f>
        <v>263.60000000000002</v>
      </c>
      <c r="F16" s="10"/>
      <c r="G16" s="10"/>
      <c r="H16" s="10"/>
      <c r="I16" s="10"/>
      <c r="J16" s="10"/>
      <c r="K16" s="10"/>
      <c r="L16" s="10"/>
    </row>
    <row r="17" ht="28.5">
      <c r="A17" s="4" t="s">
        <v>29</v>
      </c>
      <c r="B17" s="3" t="s">
        <v>30</v>
      </c>
      <c r="C17" s="3">
        <f>C16/C4*100</f>
        <v>26.666666666666668</v>
      </c>
      <c r="D17" s="3">
        <f>D16/D4*100</f>
        <v>21.966666666666669</v>
      </c>
      <c r="F17" s="10"/>
      <c r="G17" s="10"/>
      <c r="H17" s="10"/>
      <c r="I17" s="10"/>
      <c r="J17" s="10"/>
      <c r="K17" s="10"/>
      <c r="L17" s="10"/>
    </row>
    <row r="18">
      <c r="A18" s="4" t="s">
        <v>31</v>
      </c>
      <c r="B18" s="3" t="s">
        <v>32</v>
      </c>
      <c r="C18" s="3">
        <f>C4/C16</f>
        <v>3.75</v>
      </c>
      <c r="D18" s="3">
        <f>D4/D16</f>
        <v>4.5523520485584212</v>
      </c>
      <c r="F18" s="10"/>
      <c r="G18" s="10"/>
      <c r="H18" s="10"/>
      <c r="I18" s="10"/>
      <c r="J18" s="10"/>
      <c r="K18" s="10"/>
      <c r="L18" s="10"/>
    </row>
    <row r="19">
      <c r="F19" s="13"/>
      <c r="G19" s="13"/>
      <c r="H19" s="13"/>
      <c r="I19" s="13"/>
      <c r="J19" s="13"/>
      <c r="K19" s="13"/>
    </row>
    <row r="20">
      <c r="A20" s="14"/>
      <c r="B20" s="14"/>
      <c r="C20" s="14"/>
      <c r="F20" s="13"/>
      <c r="G20" s="13"/>
      <c r="H20" s="13"/>
      <c r="I20" s="13"/>
      <c r="J20" s="13"/>
      <c r="K20" s="13"/>
    </row>
    <row r="21">
      <c r="A21" s="14"/>
      <c r="B21" s="14"/>
      <c r="C21" s="14"/>
      <c r="F21" s="13"/>
      <c r="G21" s="13"/>
      <c r="H21" s="13"/>
      <c r="I21" s="13"/>
      <c r="J21" s="13"/>
      <c r="K21" s="13"/>
    </row>
    <row r="22">
      <c r="A22" s="14"/>
      <c r="B22" s="14"/>
      <c r="C22" s="14"/>
      <c r="F22" s="13"/>
      <c r="G22" s="13"/>
      <c r="H22" s="13"/>
      <c r="I22" s="13"/>
      <c r="J22" s="13"/>
      <c r="K22" s="13"/>
    </row>
    <row r="23">
      <c r="A23" s="14"/>
      <c r="B23" s="14"/>
      <c r="C23" s="14"/>
      <c r="F23" s="13"/>
      <c r="G23" s="13"/>
      <c r="H23" s="13"/>
      <c r="I23" s="13"/>
      <c r="J23" s="13"/>
      <c r="K23" s="13"/>
    </row>
    <row r="24">
      <c r="F24" s="13"/>
      <c r="G24" s="13"/>
      <c r="H24" s="13"/>
      <c r="I24" s="13"/>
      <c r="J24" s="13"/>
      <c r="K24" s="13"/>
    </row>
  </sheetData>
  <mergeCells count="9">
    <mergeCell ref="A2:A3"/>
    <mergeCell ref="B2:B3"/>
    <mergeCell ref="C2:D2"/>
    <mergeCell ref="A5:D5"/>
    <mergeCell ref="C12:D12"/>
    <mergeCell ref="F13:L18"/>
    <mergeCell ref="A14:A15"/>
    <mergeCell ref="B14:B15"/>
    <mergeCell ref="C14:D14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85" workbookViewId="0">
      <selection activeCell="C37" activeCellId="0" sqref="C37"/>
    </sheetView>
  </sheetViews>
  <sheetFormatPr defaultRowHeight="14.25"/>
  <cols>
    <col customWidth="1" min="1" max="1" style="1" width="37.5546875"/>
    <col bestFit="1" customWidth="1" min="2" max="2" style="1" width="29.33203125"/>
    <col bestFit="1" customWidth="1" min="3" max="3" style="1" width="22.33203125"/>
    <col customWidth="1" min="4" max="4" style="1" width="17.21875"/>
    <col bestFit="1" customWidth="1" min="5" max="5" style="1" width="14"/>
    <col customWidth="1" min="6" max="6" style="1" width="16.33203125"/>
    <col customWidth="1" min="7" max="7" style="1" width="17.88671875"/>
    <col customWidth="1" min="8" max="8" style="1" width="20.109375"/>
    <col customWidth="1" min="9" max="9" style="1" width="23.44140625"/>
    <col customWidth="1" min="10" max="10" style="1" width="19.88671875"/>
    <col customWidth="1" min="11" max="11" style="1" width="22.44140625"/>
    <col min="12" max="16384" style="1" width="8.88671875"/>
  </cols>
  <sheetData>
    <row r="2" ht="14.4" customHeight="1">
      <c r="A2" s="15" t="s">
        <v>24</v>
      </c>
      <c r="B2" s="16"/>
      <c r="C2" s="17" t="s">
        <v>33</v>
      </c>
      <c r="D2" s="4" t="s">
        <v>34</v>
      </c>
      <c r="E2" s="18" t="s">
        <v>3</v>
      </c>
      <c r="F2" s="4">
        <v>12</v>
      </c>
    </row>
    <row r="3">
      <c r="A3" s="19" t="s">
        <v>35</v>
      </c>
      <c r="B3" s="4" t="s">
        <v>36</v>
      </c>
      <c r="C3" s="3">
        <v>11</v>
      </c>
      <c r="D3" s="4">
        <f>C5*C3+(1-C5)*C4</f>
        <v>14.199999999999999</v>
      </c>
    </row>
    <row r="4">
      <c r="A4" s="20"/>
      <c r="B4" s="4" t="s">
        <v>37</v>
      </c>
      <c r="C4" s="3">
        <v>19</v>
      </c>
    </row>
    <row r="5">
      <c r="A5" s="21" t="s">
        <v>38</v>
      </c>
      <c r="B5" s="18"/>
      <c r="C5" s="3">
        <v>0.59999999999999998</v>
      </c>
    </row>
    <row r="6">
      <c r="A6" s="22" t="s">
        <v>39</v>
      </c>
      <c r="B6" s="3" t="s">
        <v>40</v>
      </c>
      <c r="C6" s="3">
        <f>-90-5*$F$2</f>
        <v>-150</v>
      </c>
    </row>
    <row r="7">
      <c r="A7" s="23"/>
      <c r="B7" s="3" t="s">
        <v>41</v>
      </c>
      <c r="C7" s="3">
        <f>-60-3*$F$2</f>
        <v>-96</v>
      </c>
    </row>
    <row r="8">
      <c r="A8" s="23"/>
      <c r="B8" s="3" t="s">
        <v>42</v>
      </c>
      <c r="C8" s="3">
        <f>40+$F$2</f>
        <v>52</v>
      </c>
    </row>
    <row r="9">
      <c r="A9" s="23"/>
      <c r="B9" s="3" t="s">
        <v>43</v>
      </c>
      <c r="C9" s="3">
        <f>60+$F$2</f>
        <v>72</v>
      </c>
    </row>
    <row r="10">
      <c r="A10" s="23"/>
      <c r="B10" s="3" t="s">
        <v>44</v>
      </c>
      <c r="C10" s="3">
        <f>30+5*$F$2</f>
        <v>90</v>
      </c>
    </row>
    <row r="11">
      <c r="A11" s="23"/>
      <c r="B11" s="3" t="s">
        <v>45</v>
      </c>
      <c r="C11" s="3">
        <f>40+5*$F$2</f>
        <v>100</v>
      </c>
    </row>
    <row r="12">
      <c r="A12" s="23"/>
      <c r="B12" s="3" t="s">
        <v>46</v>
      </c>
      <c r="C12" s="3">
        <f>45+5*$F$2</f>
        <v>105</v>
      </c>
    </row>
    <row r="13">
      <c r="A13" s="23"/>
      <c r="B13" s="3" t="s">
        <v>47</v>
      </c>
      <c r="C13" s="3">
        <f t="shared" ref="C13:C14" si="0">50+10*$F$2</f>
        <v>170</v>
      </c>
    </row>
    <row r="14">
      <c r="A14" s="23"/>
      <c r="B14" s="3" t="s">
        <v>48</v>
      </c>
      <c r="C14" s="3">
        <f t="shared" si="0"/>
        <v>170</v>
      </c>
    </row>
    <row r="15">
      <c r="A15" s="23"/>
      <c r="B15" s="3" t="s">
        <v>49</v>
      </c>
      <c r="C15" s="3">
        <f>40+10*$F$2</f>
        <v>160</v>
      </c>
    </row>
    <row r="16">
      <c r="A16" s="24"/>
      <c r="B16" s="3" t="s">
        <v>50</v>
      </c>
      <c r="C16" s="3">
        <f>30+15*$F$2</f>
        <v>210</v>
      </c>
    </row>
    <row r="19">
      <c r="A19" s="25" t="s">
        <v>51</v>
      </c>
      <c r="B19" s="25" t="s">
        <v>52</v>
      </c>
      <c r="C19" s="26" t="s">
        <v>53</v>
      </c>
      <c r="D19" s="27"/>
      <c r="E19" s="28"/>
      <c r="F19" s="26" t="s">
        <v>54</v>
      </c>
      <c r="G19" s="27"/>
      <c r="H19" s="28"/>
      <c r="I19" s="26" t="s">
        <v>55</v>
      </c>
      <c r="J19" s="27"/>
      <c r="K19" s="28"/>
    </row>
    <row r="20" ht="28.5">
      <c r="A20" s="29"/>
      <c r="B20" s="29"/>
      <c r="C20" s="30" t="s">
        <v>56</v>
      </c>
      <c r="D20" s="30" t="s">
        <v>57</v>
      </c>
      <c r="E20" s="30" t="s">
        <v>58</v>
      </c>
      <c r="F20" s="30" t="s">
        <v>59</v>
      </c>
      <c r="G20" s="30" t="s">
        <v>60</v>
      </c>
      <c r="H20" s="30" t="s">
        <v>61</v>
      </c>
      <c r="I20" s="30" t="s">
        <v>59</v>
      </c>
      <c r="J20" s="30" t="s">
        <v>60</v>
      </c>
      <c r="K20" s="30" t="s">
        <v>61</v>
      </c>
    </row>
    <row r="21" ht="15.75">
      <c r="A21" s="3">
        <v>1</v>
      </c>
      <c r="B21" s="3">
        <v>2</v>
      </c>
      <c r="C21" s="31">
        <v>3</v>
      </c>
      <c r="D21" s="31">
        <v>4</v>
      </c>
      <c r="E21" s="32">
        <v>5</v>
      </c>
      <c r="F21" s="31">
        <v>6</v>
      </c>
      <c r="G21" s="3">
        <v>7</v>
      </c>
      <c r="H21" s="3">
        <v>8</v>
      </c>
      <c r="I21" s="3">
        <v>9</v>
      </c>
      <c r="J21" s="3">
        <v>10</v>
      </c>
      <c r="K21" s="3">
        <v>11</v>
      </c>
    </row>
    <row r="22">
      <c r="A22" s="3">
        <v>0</v>
      </c>
      <c r="B22" s="3">
        <f t="shared" ref="B22:B32" si="1">C6</f>
        <v>-150</v>
      </c>
      <c r="C22" s="33">
        <f t="shared" ref="C22:C32" si="2">1/(1+0.12)^A46</f>
        <v>1</v>
      </c>
      <c r="D22" s="33">
        <f t="shared" ref="D22:D32" si="3">1/(1+0.18)^A46</f>
        <v>1</v>
      </c>
      <c r="E22" s="33">
        <f t="shared" ref="E22:E32" si="4">1/(1+0.15)^A46</f>
        <v>1</v>
      </c>
      <c r="F22" s="33">
        <f t="shared" ref="F22:F32" si="5">B22*C22</f>
        <v>-150</v>
      </c>
      <c r="G22" s="3">
        <f t="shared" ref="G22:G32" si="6">B22*D22</f>
        <v>-150</v>
      </c>
      <c r="H22" s="3">
        <f t="shared" ref="H22:H32" si="7">B22*E22</f>
        <v>-150</v>
      </c>
      <c r="I22" s="3">
        <f>F22</f>
        <v>-150</v>
      </c>
      <c r="J22" s="3">
        <f t="shared" ref="J22:K22" si="8">G22</f>
        <v>-150</v>
      </c>
      <c r="K22" s="3">
        <f t="shared" si="8"/>
        <v>-150</v>
      </c>
    </row>
    <row r="23">
      <c r="A23" s="3">
        <v>1</v>
      </c>
      <c r="B23" s="3">
        <f t="shared" si="1"/>
        <v>-96</v>
      </c>
      <c r="C23" s="33">
        <f t="shared" si="2"/>
        <v>0.89285714285714279</v>
      </c>
      <c r="D23" s="33">
        <f t="shared" si="3"/>
        <v>0.84745762711864414</v>
      </c>
      <c r="E23" s="33">
        <f t="shared" si="4"/>
        <v>0.86956521739130443</v>
      </c>
      <c r="F23" s="33">
        <f t="shared" si="5"/>
        <v>-85.714285714285708</v>
      </c>
      <c r="G23" s="3">
        <f t="shared" si="6"/>
        <v>-81.355932203389841</v>
      </c>
      <c r="H23" s="3">
        <f t="shared" si="7"/>
        <v>-83.478260869565219</v>
      </c>
      <c r="I23" s="3">
        <f t="shared" ref="I23:I24" si="9">I22+F23</f>
        <v>-235.71428571428572</v>
      </c>
      <c r="J23" s="3">
        <f t="shared" ref="I23:K32" si="10">J22+G23</f>
        <v>-231.35593220338984</v>
      </c>
      <c r="K23" s="3">
        <f>K22+H23</f>
        <v>-233.47826086956522</v>
      </c>
    </row>
    <row r="24">
      <c r="A24" s="3">
        <v>2</v>
      </c>
      <c r="B24" s="3">
        <f t="shared" si="1"/>
        <v>52</v>
      </c>
      <c r="C24" s="33">
        <f t="shared" si="2"/>
        <v>0.79719387755102034</v>
      </c>
      <c r="D24" s="33">
        <f t="shared" si="3"/>
        <v>0.71818442976156283</v>
      </c>
      <c r="E24" s="33">
        <f t="shared" si="4"/>
        <v>0.7561436672967865</v>
      </c>
      <c r="F24" s="33">
        <f t="shared" si="5"/>
        <v>41.454081632653057</v>
      </c>
      <c r="G24" s="3">
        <f t="shared" si="6"/>
        <v>37.345590347601267</v>
      </c>
      <c r="H24" s="3">
        <f t="shared" si="7"/>
        <v>39.319470699432898</v>
      </c>
      <c r="I24" s="3">
        <f t="shared" si="9"/>
        <v>-194.26020408163265</v>
      </c>
      <c r="J24" s="3">
        <f t="shared" si="10"/>
        <v>-194.01034185578857</v>
      </c>
      <c r="K24" s="3">
        <f t="shared" si="10"/>
        <v>-194.15879017013231</v>
      </c>
    </row>
    <row r="25">
      <c r="A25" s="3">
        <v>3</v>
      </c>
      <c r="B25" s="3">
        <f t="shared" si="1"/>
        <v>72</v>
      </c>
      <c r="C25" s="33">
        <f t="shared" si="2"/>
        <v>0.71178024781341087</v>
      </c>
      <c r="D25" s="33">
        <f t="shared" si="3"/>
        <v>0.6086308726792905</v>
      </c>
      <c r="E25" s="33">
        <f t="shared" si="4"/>
        <v>0.65751623243198831</v>
      </c>
      <c r="F25" s="33">
        <f t="shared" si="5"/>
        <v>51.248177842565582</v>
      </c>
      <c r="G25" s="3">
        <f t="shared" si="6"/>
        <v>43.821422832908915</v>
      </c>
      <c r="H25" s="3">
        <f t="shared" si="7"/>
        <v>47.34116873510316</v>
      </c>
      <c r="I25" s="3">
        <f t="shared" si="10"/>
        <v>-143.01202623906707</v>
      </c>
      <c r="J25" s="3">
        <f t="shared" si="10"/>
        <v>-150.18891902287965</v>
      </c>
      <c r="K25" s="3">
        <f t="shared" si="10"/>
        <v>-146.81762143502914</v>
      </c>
    </row>
    <row r="26">
      <c r="A26" s="3">
        <v>4</v>
      </c>
      <c r="B26" s="3">
        <f t="shared" si="1"/>
        <v>90</v>
      </c>
      <c r="C26" s="33">
        <f t="shared" si="2"/>
        <v>0.63551807840483121</v>
      </c>
      <c r="D26" s="33">
        <f t="shared" si="3"/>
        <v>0.51578887515194116</v>
      </c>
      <c r="E26" s="33">
        <f t="shared" si="4"/>
        <v>0.57175324559303342</v>
      </c>
      <c r="F26" s="33">
        <f t="shared" si="5"/>
        <v>57.196627056434806</v>
      </c>
      <c r="G26" s="3">
        <f t="shared" si="6"/>
        <v>46.420998763674703</v>
      </c>
      <c r="H26" s="3">
        <f t="shared" si="7"/>
        <v>51.457792103373009</v>
      </c>
      <c r="I26" s="3">
        <f t="shared" si="10"/>
        <v>-85.815399182632262</v>
      </c>
      <c r="J26" s="3">
        <f t="shared" si="10"/>
        <v>-103.76792025920494</v>
      </c>
      <c r="K26" s="3">
        <f t="shared" si="10"/>
        <v>-95.35982933165613</v>
      </c>
    </row>
    <row r="27">
      <c r="A27" s="3">
        <v>5</v>
      </c>
      <c r="B27" s="3">
        <f t="shared" si="1"/>
        <v>100</v>
      </c>
      <c r="C27" s="33">
        <f t="shared" si="2"/>
        <v>0.56742685571859919</v>
      </c>
      <c r="D27" s="33">
        <f t="shared" si="3"/>
        <v>0.43710921623045873</v>
      </c>
      <c r="E27" s="33">
        <f t="shared" si="4"/>
        <v>0.49717673529828987</v>
      </c>
      <c r="F27" s="33">
        <f t="shared" si="5"/>
        <v>56.742685571859916</v>
      </c>
      <c r="G27" s="3">
        <f t="shared" si="6"/>
        <v>43.71092162304587</v>
      </c>
      <c r="H27" s="3">
        <f t="shared" si="7"/>
        <v>49.717673529828986</v>
      </c>
      <c r="I27" s="3">
        <f t="shared" si="10"/>
        <v>-29.072713610772347</v>
      </c>
      <c r="J27" s="3">
        <f t="shared" si="10"/>
        <v>-60.056998636159072</v>
      </c>
      <c r="K27" s="3">
        <f t="shared" si="10"/>
        <v>-45.642155801827144</v>
      </c>
    </row>
    <row r="28">
      <c r="A28" s="3">
        <v>6</v>
      </c>
      <c r="B28" s="3">
        <f t="shared" si="1"/>
        <v>105</v>
      </c>
      <c r="C28" s="33">
        <f t="shared" si="2"/>
        <v>0.50663112117732068</v>
      </c>
      <c r="D28" s="33">
        <f t="shared" si="3"/>
        <v>0.37043153917835481</v>
      </c>
      <c r="E28" s="33">
        <f t="shared" si="4"/>
        <v>0.43232759591155645</v>
      </c>
      <c r="F28" s="33">
        <f t="shared" si="5"/>
        <v>53.196267723618668</v>
      </c>
      <c r="G28" s="3">
        <f t="shared" si="6"/>
        <v>38.895311613727252</v>
      </c>
      <c r="H28" s="3">
        <f t="shared" si="7"/>
        <v>45.39439757071343</v>
      </c>
      <c r="I28" s="3">
        <f t="shared" si="10"/>
        <v>24.123554112846321</v>
      </c>
      <c r="J28" s="3">
        <f t="shared" si="10"/>
        <v>-21.161687022431821</v>
      </c>
      <c r="K28" s="3">
        <f t="shared" si="10"/>
        <v>-0.24775823111371409</v>
      </c>
    </row>
    <row r="29">
      <c r="A29" s="3">
        <v>7</v>
      </c>
      <c r="B29" s="3">
        <f t="shared" si="1"/>
        <v>170</v>
      </c>
      <c r="C29" s="33">
        <f t="shared" si="2"/>
        <v>0.45234921533689343</v>
      </c>
      <c r="D29" s="33">
        <f t="shared" si="3"/>
        <v>0.31392503320199561</v>
      </c>
      <c r="E29" s="33">
        <f t="shared" si="4"/>
        <v>0.37593703992309269</v>
      </c>
      <c r="F29" s="33">
        <f t="shared" si="5"/>
        <v>76.899366607271887</v>
      </c>
      <c r="G29" s="3">
        <f t="shared" si="6"/>
        <v>53.367255644339252</v>
      </c>
      <c r="H29" s="3">
        <f t="shared" si="7"/>
        <v>63.909296786925758</v>
      </c>
      <c r="I29" s="3">
        <f t="shared" si="10"/>
        <v>101.02292072011821</v>
      </c>
      <c r="J29" s="3">
        <f t="shared" si="10"/>
        <v>32.205568621907432</v>
      </c>
      <c r="K29" s="3">
        <f t="shared" si="10"/>
        <v>63.661538555812044</v>
      </c>
    </row>
    <row r="30">
      <c r="A30" s="3">
        <v>8</v>
      </c>
      <c r="B30" s="3">
        <f t="shared" si="1"/>
        <v>170</v>
      </c>
      <c r="C30" s="33">
        <f t="shared" si="2"/>
        <v>0.4038832279793691</v>
      </c>
      <c r="D30" s="33">
        <f t="shared" si="3"/>
        <v>0.26603816373050476</v>
      </c>
      <c r="E30" s="33">
        <f t="shared" si="4"/>
        <v>0.32690177384616753</v>
      </c>
      <c r="F30" s="33">
        <f t="shared" si="5"/>
        <v>68.660148756492745</v>
      </c>
      <c r="G30" s="3">
        <f t="shared" si="6"/>
        <v>45.226487834185811</v>
      </c>
      <c r="H30" s="3">
        <f t="shared" si="7"/>
        <v>55.573301553848481</v>
      </c>
      <c r="I30" s="3">
        <f t="shared" si="10"/>
        <v>169.68306947661097</v>
      </c>
      <c r="J30" s="3">
        <f t="shared" si="10"/>
        <v>77.43205645609325</v>
      </c>
      <c r="K30" s="3">
        <f t="shared" si="10"/>
        <v>119.23484010966052</v>
      </c>
    </row>
    <row r="31">
      <c r="A31" s="3">
        <v>9</v>
      </c>
      <c r="B31" s="3">
        <f t="shared" si="1"/>
        <v>160</v>
      </c>
      <c r="C31" s="33">
        <f t="shared" si="2"/>
        <v>0.36061002498157957</v>
      </c>
      <c r="D31" s="33">
        <f t="shared" si="3"/>
        <v>0.22545607095805489</v>
      </c>
      <c r="E31" s="33">
        <f t="shared" si="4"/>
        <v>0.28426241204014574</v>
      </c>
      <c r="F31" s="33">
        <f t="shared" si="5"/>
        <v>57.697603997052731</v>
      </c>
      <c r="G31" s="3">
        <f t="shared" si="6"/>
        <v>36.072971353288786</v>
      </c>
      <c r="H31" s="3">
        <f t="shared" si="7"/>
        <v>45.48198592642332</v>
      </c>
      <c r="I31" s="3">
        <f t="shared" si="10"/>
        <v>227.38067347366371</v>
      </c>
      <c r="J31" s="3">
        <f t="shared" si="10"/>
        <v>113.50502780938203</v>
      </c>
      <c r="K31" s="3">
        <f t="shared" si="10"/>
        <v>164.71682603608383</v>
      </c>
    </row>
    <row r="32">
      <c r="A32" s="3">
        <v>10</v>
      </c>
      <c r="B32" s="3">
        <f t="shared" si="1"/>
        <v>210</v>
      </c>
      <c r="C32" s="33">
        <f t="shared" si="2"/>
        <v>0.32197323659069599</v>
      </c>
      <c r="D32" s="33">
        <f t="shared" si="3"/>
        <v>0.19106446691360587</v>
      </c>
      <c r="E32" s="33">
        <f t="shared" si="4"/>
        <v>0.24718470612186585</v>
      </c>
      <c r="F32" s="33">
        <f t="shared" si="5"/>
        <v>67.614379684046156</v>
      </c>
      <c r="G32" s="3">
        <f t="shared" si="6"/>
        <v>40.123538051857231</v>
      </c>
      <c r="H32" s="3">
        <f t="shared" si="7"/>
        <v>51.908788285591832</v>
      </c>
      <c r="I32" s="3">
        <f t="shared" si="10"/>
        <v>294.99505315770989</v>
      </c>
      <c r="J32" s="3">
        <f t="shared" si="10"/>
        <v>153.62856586123925</v>
      </c>
      <c r="K32" s="3">
        <f t="shared" si="10"/>
        <v>216.62561432167567</v>
      </c>
    </row>
    <row r="34">
      <c r="A34" s="14"/>
    </row>
    <row r="35">
      <c r="A35" s="25" t="s">
        <v>62</v>
      </c>
      <c r="B35" s="25" t="s">
        <v>63</v>
      </c>
      <c r="C35" s="26" t="s">
        <v>64</v>
      </c>
      <c r="D35" s="27"/>
      <c r="E35" s="28"/>
    </row>
    <row r="36">
      <c r="A36" s="29"/>
      <c r="B36" s="29"/>
      <c r="C36" s="34" t="s">
        <v>59</v>
      </c>
      <c r="D36" s="34" t="s">
        <v>60</v>
      </c>
      <c r="E36" s="34" t="s">
        <v>61</v>
      </c>
    </row>
    <row r="37" ht="28.5">
      <c r="A37" s="35" t="s">
        <v>65</v>
      </c>
      <c r="B37" s="36" t="s">
        <v>66</v>
      </c>
      <c r="C37" s="3">
        <f>I32</f>
        <v>294.99505315770989</v>
      </c>
      <c r="D37" s="3">
        <f>J32</f>
        <v>153.62856586123925</v>
      </c>
      <c r="E37" s="3">
        <f>K32</f>
        <v>216.62561432167567</v>
      </c>
    </row>
    <row r="38" ht="28.5">
      <c r="A38" s="35" t="s">
        <v>67</v>
      </c>
      <c r="B38" s="36" t="s">
        <v>68</v>
      </c>
      <c r="C38" s="3">
        <f>SUM(F24:F32)/SUM(F22:F23)*(-1)</f>
        <v>2.2514941649114961</v>
      </c>
      <c r="D38" s="3">
        <f>SUM(G24:G32)/SUM(G22:G23)*(-1)</f>
        <v>1.6640355594002281</v>
      </c>
      <c r="E38" s="3">
        <f>SUM(H24:H32)/SUM(H22:H23)*(-1)</f>
        <v>1.9278192047297094</v>
      </c>
    </row>
    <row r="39" ht="28.5">
      <c r="A39" s="35" t="s">
        <v>69</v>
      </c>
      <c r="B39" s="37" t="s">
        <v>70</v>
      </c>
      <c r="C39" s="3">
        <f>A27+ABS(I27)/(ABS(I27)+I28)</f>
        <v>5.5465179204266679</v>
      </c>
      <c r="D39" s="3">
        <f>A28+ABS(J28)/(ABS(J28)+J29)</f>
        <v>6.3965294217761874</v>
      </c>
      <c r="E39" s="3">
        <f>A28+ABS(K28)/(ABS(K28)+K29)</f>
        <v>6.0038767165900717</v>
      </c>
    </row>
    <row r="40" ht="28.5">
      <c r="A40" s="35" t="s">
        <v>71</v>
      </c>
      <c r="B40" s="38" t="s">
        <v>72</v>
      </c>
      <c r="C40" s="8">
        <f>C3-(I32*(C4-C3))/(J32-I32)</f>
        <v>27.693917139727912</v>
      </c>
      <c r="D40" s="39"/>
      <c r="E40" s="9"/>
    </row>
    <row r="42">
      <c r="C42" s="14"/>
      <c r="E42" s="14"/>
      <c r="F42" s="14"/>
    </row>
    <row r="43">
      <c r="C43" s="14">
        <f t="shared" ref="C43:C44" si="11">C3</f>
        <v>11</v>
      </c>
      <c r="D43" s="14">
        <f>C37</f>
        <v>294.99505315770989</v>
      </c>
    </row>
    <row r="44">
      <c r="C44" s="14">
        <f t="shared" si="11"/>
        <v>19</v>
      </c>
      <c r="D44" s="14">
        <f>D37</f>
        <v>153.62856586123925</v>
      </c>
    </row>
    <row r="46" ht="14.4" customHeight="1">
      <c r="A46" s="1">
        <v>0</v>
      </c>
      <c r="H46" s="40" t="s">
        <v>73</v>
      </c>
      <c r="I46" s="40"/>
      <c r="J46" s="40"/>
    </row>
    <row r="47">
      <c r="A47" s="1">
        <v>1</v>
      </c>
      <c r="H47" s="40"/>
      <c r="I47" s="40"/>
      <c r="J47" s="40"/>
    </row>
    <row r="48">
      <c r="A48" s="1">
        <v>2</v>
      </c>
      <c r="H48" s="40"/>
      <c r="I48" s="40"/>
      <c r="J48" s="40"/>
    </row>
    <row r="49">
      <c r="A49" s="1">
        <v>3</v>
      </c>
      <c r="H49" s="40"/>
      <c r="I49" s="40"/>
      <c r="J49" s="40"/>
    </row>
    <row r="50">
      <c r="A50" s="1">
        <v>4</v>
      </c>
      <c r="H50" s="40"/>
      <c r="I50" s="40"/>
      <c r="J50" s="40"/>
    </row>
    <row r="51">
      <c r="A51" s="1">
        <v>5</v>
      </c>
    </row>
    <row r="52">
      <c r="A52" s="1">
        <v>6</v>
      </c>
    </row>
    <row r="53">
      <c r="A53" s="1">
        <v>7</v>
      </c>
    </row>
    <row r="54">
      <c r="A54" s="1">
        <v>8</v>
      </c>
    </row>
    <row r="55">
      <c r="A55" s="1">
        <v>9</v>
      </c>
    </row>
    <row r="56">
      <c r="A56" s="1">
        <v>10</v>
      </c>
    </row>
  </sheetData>
  <mergeCells count="14">
    <mergeCell ref="A2:B2"/>
    <mergeCell ref="A3:A4"/>
    <mergeCell ref="A5:B5"/>
    <mergeCell ref="A6:A16"/>
    <mergeCell ref="A19:A20"/>
    <mergeCell ref="B19:B20"/>
    <mergeCell ref="C19:E19"/>
    <mergeCell ref="F19:H19"/>
    <mergeCell ref="I19:K19"/>
    <mergeCell ref="A35:A36"/>
    <mergeCell ref="B35:B36"/>
    <mergeCell ref="C35:E35"/>
    <mergeCell ref="C40:E40"/>
    <mergeCell ref="H46:J50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F32" activeCellId="0" sqref="F32"/>
    </sheetView>
  </sheetViews>
  <sheetFormatPr defaultColWidth="9.109375" defaultRowHeight="14.25"/>
  <cols>
    <col customWidth="1" min="1" max="1" style="14" width="33.88671875"/>
    <col bestFit="1" customWidth="1" min="2" max="2" style="14" width="12.6640625"/>
    <col bestFit="1" customWidth="1" min="3" max="3" style="14" width="22.33203125"/>
    <col min="4" max="16384" style="14" width="9.109375"/>
  </cols>
  <sheetData>
    <row r="1">
      <c r="A1" s="14" t="s">
        <v>74</v>
      </c>
    </row>
    <row r="2">
      <c r="A2" s="34" t="s">
        <v>24</v>
      </c>
      <c r="B2" s="34"/>
      <c r="C2" s="34" t="s">
        <v>33</v>
      </c>
      <c r="E2" s="3" t="s">
        <v>3</v>
      </c>
      <c r="F2" s="3">
        <v>12</v>
      </c>
    </row>
    <row r="3">
      <c r="A3" s="3" t="s">
        <v>75</v>
      </c>
      <c r="B3" s="3"/>
      <c r="C3" s="3">
        <v>0.13</v>
      </c>
    </row>
    <row r="4">
      <c r="A4" s="3" t="s">
        <v>76</v>
      </c>
      <c r="B4" s="3"/>
      <c r="C4" s="3">
        <v>710</v>
      </c>
    </row>
    <row r="5">
      <c r="A5" s="2" t="s">
        <v>77</v>
      </c>
      <c r="B5" s="3" t="s">
        <v>78</v>
      </c>
      <c r="C5" s="3">
        <f>20.5+5*$F$2</f>
        <v>80.5</v>
      </c>
    </row>
    <row r="6">
      <c r="A6" s="2"/>
      <c r="B6" s="3" t="s">
        <v>79</v>
      </c>
      <c r="C6" s="3">
        <f>25.5+3*$F$2</f>
        <v>61.5</v>
      </c>
    </row>
    <row r="7">
      <c r="A7" s="2"/>
      <c r="B7" s="3" t="s">
        <v>80</v>
      </c>
      <c r="C7" s="3">
        <f>19.5+7*$F$2</f>
        <v>103.5</v>
      </c>
    </row>
    <row r="8">
      <c r="A8" s="2"/>
      <c r="B8" s="3" t="s">
        <v>81</v>
      </c>
      <c r="C8" s="3">
        <f>27.8+4*$F$2</f>
        <v>75.799999999999997</v>
      </c>
    </row>
    <row r="9">
      <c r="A9" s="2"/>
      <c r="B9" s="3" t="s">
        <v>82</v>
      </c>
      <c r="C9" s="3">
        <f>21+8*$F$2</f>
        <v>117</v>
      </c>
    </row>
    <row r="10">
      <c r="A10" s="2" t="s">
        <v>83</v>
      </c>
      <c r="B10" s="3" t="s">
        <v>78</v>
      </c>
      <c r="C10" s="3">
        <f>1.33+0.1*$F$2</f>
        <v>2.5300000000000002</v>
      </c>
    </row>
    <row r="11">
      <c r="A11" s="2"/>
      <c r="B11" s="3" t="s">
        <v>79</v>
      </c>
      <c r="C11" s="3">
        <f>1.4+0.05*$F$2</f>
        <v>2</v>
      </c>
    </row>
    <row r="12">
      <c r="A12" s="2"/>
      <c r="B12" s="3" t="s">
        <v>80</v>
      </c>
      <c r="C12" s="3">
        <f>1.47+0.07*$F$2</f>
        <v>2.3100000000000001</v>
      </c>
    </row>
    <row r="13">
      <c r="A13" s="2"/>
      <c r="B13" s="3" t="s">
        <v>81</v>
      </c>
      <c r="C13" s="3">
        <f>1.38+0.11*$F$2</f>
        <v>2.7000000000000002</v>
      </c>
    </row>
    <row r="14">
      <c r="A14" s="2"/>
      <c r="B14" s="3" t="s">
        <v>82</v>
      </c>
      <c r="C14" s="3">
        <f>1.29+0.09*$F$2</f>
        <v>2.3700000000000001</v>
      </c>
    </row>
    <row r="17">
      <c r="A17" s="3" t="s">
        <v>0</v>
      </c>
      <c r="B17" s="3" t="s">
        <v>1</v>
      </c>
      <c r="C17" s="3" t="s">
        <v>84</v>
      </c>
      <c r="D17" s="3"/>
      <c r="E17" s="3"/>
      <c r="F17" s="3"/>
      <c r="G17" s="3"/>
    </row>
    <row r="18">
      <c r="A18" s="3"/>
      <c r="B18" s="3"/>
      <c r="C18" s="41" t="s">
        <v>85</v>
      </c>
      <c r="D18" s="41" t="s">
        <v>86</v>
      </c>
      <c r="E18" s="41" t="s">
        <v>87</v>
      </c>
      <c r="F18" s="3" t="s">
        <v>88</v>
      </c>
      <c r="G18" s="3" t="s">
        <v>89</v>
      </c>
    </row>
    <row r="19" ht="16.199999999999999">
      <c r="A19" s="3" t="s">
        <v>90</v>
      </c>
      <c r="B19" s="42" t="s">
        <v>91</v>
      </c>
      <c r="C19" s="3">
        <f>C5</f>
        <v>80.5</v>
      </c>
      <c r="D19" s="3">
        <f>C6</f>
        <v>61.5</v>
      </c>
      <c r="E19" s="3">
        <f>C7</f>
        <v>103.5</v>
      </c>
      <c r="F19" s="3">
        <f>C8</f>
        <v>75.799999999999997</v>
      </c>
      <c r="G19" s="3">
        <f>C9</f>
        <v>117</v>
      </c>
    </row>
    <row r="20" ht="28.5">
      <c r="A20" s="3" t="s">
        <v>92</v>
      </c>
      <c r="B20" s="42" t="s">
        <v>93</v>
      </c>
      <c r="C20" s="3">
        <f>C10</f>
        <v>2.5300000000000002</v>
      </c>
      <c r="D20" s="3">
        <f>C11</f>
        <v>2</v>
      </c>
      <c r="E20" s="3">
        <f>C12</f>
        <v>2.3100000000000001</v>
      </c>
      <c r="F20" s="3">
        <f>C13</f>
        <v>2.7000000000000002</v>
      </c>
      <c r="G20" s="3">
        <f>C14</f>
        <v>2.3700000000000001</v>
      </c>
    </row>
    <row r="21" ht="16.199999999999999">
      <c r="A21" s="3" t="s">
        <v>94</v>
      </c>
      <c r="B21" s="42" t="s">
        <v>95</v>
      </c>
      <c r="C21" s="3">
        <f>C4</f>
        <v>710</v>
      </c>
      <c r="D21" s="3">
        <f>C4</f>
        <v>710</v>
      </c>
      <c r="E21" s="3">
        <f>C4</f>
        <v>710</v>
      </c>
      <c r="F21" s="3">
        <f>C4</f>
        <v>710</v>
      </c>
      <c r="G21" s="3">
        <f>C4</f>
        <v>710</v>
      </c>
    </row>
    <row r="22" ht="28.5">
      <c r="A22" s="3" t="s">
        <v>96</v>
      </c>
      <c r="B22" s="42" t="s">
        <v>97</v>
      </c>
      <c r="C22" s="8">
        <f>C3</f>
        <v>0.13</v>
      </c>
      <c r="D22" s="39"/>
      <c r="E22" s="39"/>
      <c r="F22" s="39"/>
      <c r="G22" s="9"/>
    </row>
    <row r="24">
      <c r="A24" s="14" t="s">
        <v>98</v>
      </c>
      <c r="B24" s="14">
        <f>C19*C22+C20*C21</f>
        <v>1806.7650000000001</v>
      </c>
    </row>
    <row r="25">
      <c r="A25" s="14" t="s">
        <v>99</v>
      </c>
      <c r="B25" s="14">
        <f>D19*C22+D20*D21</f>
        <v>1427.9949999999999</v>
      </c>
      <c r="D25" s="43" t="s">
        <v>100</v>
      </c>
      <c r="E25" s="43"/>
      <c r="F25" s="43"/>
      <c r="G25" s="43"/>
    </row>
    <row r="26">
      <c r="A26" s="14" t="s">
        <v>101</v>
      </c>
      <c r="B26" s="14">
        <f>E19*C22+E20*E21</f>
        <v>1653.5550000000001</v>
      </c>
      <c r="D26" s="43"/>
      <c r="E26" s="43"/>
      <c r="F26" s="43"/>
      <c r="G26" s="43"/>
    </row>
    <row r="27">
      <c r="A27" s="14" t="s">
        <v>102</v>
      </c>
      <c r="B27" s="14">
        <f>F19*C22+F20*F21</f>
        <v>1926.8540000000003</v>
      </c>
      <c r="D27" s="43"/>
      <c r="E27" s="43"/>
      <c r="F27" s="43"/>
      <c r="G27" s="43"/>
    </row>
    <row r="28">
      <c r="A28" s="44" t="s">
        <v>103</v>
      </c>
      <c r="B28" s="44">
        <f>G19*C22+G20*G21</f>
        <v>1697.9100000000001</v>
      </c>
      <c r="D28" s="43"/>
      <c r="E28" s="43"/>
      <c r="F28" s="43"/>
      <c r="G28" s="43"/>
    </row>
    <row r="30">
      <c r="A30" s="14"/>
      <c r="B30" s="14"/>
    </row>
    <row r="32" ht="34.799999999999997" customHeight="1">
      <c r="A32" s="45"/>
      <c r="B32" s="45"/>
      <c r="C32" s="45"/>
    </row>
  </sheetData>
  <mergeCells count="10">
    <mergeCell ref="A2:B2"/>
    <mergeCell ref="A3:B3"/>
    <mergeCell ref="A4:B4"/>
    <mergeCell ref="A5:A9"/>
    <mergeCell ref="A10:A14"/>
    <mergeCell ref="A17:A18"/>
    <mergeCell ref="B17:B18"/>
    <mergeCell ref="C17:G17"/>
    <mergeCell ref="C22:G22"/>
    <mergeCell ref="D25:G28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13" activeCellId="0" sqref="B13"/>
    </sheetView>
  </sheetViews>
  <sheetFormatPr defaultRowHeight="14.25"/>
  <cols>
    <col customWidth="1" min="1" max="1" style="46" width="14.5546875"/>
    <col customWidth="1" min="2" max="2" style="46" width="14.109375"/>
    <col customWidth="1" min="3" max="3" style="46" width="12.88671875"/>
    <col customWidth="1" min="4" max="4" style="46" width="15.44140625"/>
    <col customWidth="1" min="5" max="5" style="46" width="12.88671875"/>
    <col customWidth="1" min="6" max="6" style="46" width="19.44140625"/>
    <col customWidth="1" min="7" max="7" style="46" width="21.5546875"/>
    <col customWidth="1" min="8" max="8" style="46" width="14.88671875"/>
    <col customWidth="1" min="9" max="9" style="46" width="13.77734375"/>
    <col min="10" max="16384" style="46" width="8.88671875"/>
  </cols>
  <sheetData>
    <row r="1">
      <c r="A1" s="47" t="s">
        <v>104</v>
      </c>
      <c r="B1" s="47"/>
      <c r="D1" s="47" t="s">
        <v>105</v>
      </c>
      <c r="E1" s="47"/>
      <c r="G1" s="48" t="s">
        <v>3</v>
      </c>
      <c r="H1" s="49">
        <v>12</v>
      </c>
      <c r="I1" s="50"/>
    </row>
    <row r="2" ht="28.5">
      <c r="A2" s="51" t="s">
        <v>106</v>
      </c>
      <c r="B2" s="51" t="s">
        <v>107</v>
      </c>
      <c r="D2" s="51" t="s">
        <v>106</v>
      </c>
      <c r="E2" s="51" t="s">
        <v>107</v>
      </c>
      <c r="G2" s="51" t="s">
        <v>0</v>
      </c>
      <c r="H2" s="51" t="s">
        <v>108</v>
      </c>
      <c r="I2" s="51" t="s">
        <v>109</v>
      </c>
    </row>
    <row r="3">
      <c r="A3" s="51">
        <f>H5</f>
        <v>64</v>
      </c>
      <c r="B3" s="51">
        <f>H4</f>
        <v>15</v>
      </c>
      <c r="D3" s="51">
        <f>I5</f>
        <v>57</v>
      </c>
      <c r="E3" s="51">
        <f>I4</f>
        <v>20</v>
      </c>
      <c r="G3" s="51" t="s">
        <v>110</v>
      </c>
      <c r="H3" s="51">
        <v>150</v>
      </c>
      <c r="I3" s="51">
        <v>160</v>
      </c>
    </row>
    <row r="4">
      <c r="A4" s="51">
        <f>H7</f>
        <v>56</v>
      </c>
      <c r="B4" s="51">
        <f>H6</f>
        <v>20</v>
      </c>
      <c r="D4" s="51">
        <f>I7</f>
        <v>53</v>
      </c>
      <c r="E4" s="51">
        <f>I6</f>
        <v>40</v>
      </c>
      <c r="G4" s="51" t="s">
        <v>111</v>
      </c>
      <c r="H4" s="51">
        <v>15</v>
      </c>
      <c r="I4" s="51">
        <v>20</v>
      </c>
    </row>
    <row r="5">
      <c r="A5" s="51">
        <f>H9</f>
        <v>30</v>
      </c>
      <c r="B5" s="51">
        <f>H8</f>
        <v>10</v>
      </c>
      <c r="D5" s="51">
        <f>I9</f>
        <v>50</v>
      </c>
      <c r="E5" s="51">
        <f>I8</f>
        <v>15</v>
      </c>
      <c r="G5" s="51" t="s">
        <v>112</v>
      </c>
      <c r="H5" s="51">
        <v>64</v>
      </c>
      <c r="I5" s="51">
        <v>57</v>
      </c>
    </row>
    <row r="6">
      <c r="A6" s="46"/>
      <c r="B6" s="46"/>
      <c r="D6" s="46"/>
      <c r="E6" s="46"/>
      <c r="G6" s="51" t="s">
        <v>113</v>
      </c>
      <c r="H6" s="51">
        <v>20</v>
      </c>
      <c r="I6" s="51">
        <v>40</v>
      </c>
    </row>
    <row r="7">
      <c r="A7" s="52" t="s">
        <v>0</v>
      </c>
      <c r="B7" s="52" t="s">
        <v>114</v>
      </c>
      <c r="D7" s="52" t="s">
        <v>0</v>
      </c>
      <c r="E7" s="52" t="s">
        <v>114</v>
      </c>
      <c r="G7" s="51" t="s">
        <v>115</v>
      </c>
      <c r="H7" s="51">
        <v>56</v>
      </c>
      <c r="I7" s="51">
        <v>53</v>
      </c>
    </row>
    <row r="8">
      <c r="A8" s="51" t="s">
        <v>116</v>
      </c>
      <c r="B8" s="51">
        <f>H3</f>
        <v>150</v>
      </c>
      <c r="D8" s="51" t="s">
        <v>116</v>
      </c>
      <c r="E8" s="51">
        <f>I3</f>
        <v>160</v>
      </c>
      <c r="G8" s="51" t="s">
        <v>117</v>
      </c>
      <c r="H8" s="51">
        <v>10</v>
      </c>
      <c r="I8" s="51">
        <v>15</v>
      </c>
    </row>
    <row r="9" ht="42.75">
      <c r="A9" s="51" t="s">
        <v>118</v>
      </c>
      <c r="B9" s="51">
        <f>((A3*B3)+(A4*B4)+(A5*B5))/B8</f>
        <v>15.866666666666667</v>
      </c>
      <c r="D9" s="51" t="s">
        <v>118</v>
      </c>
      <c r="E9" s="51">
        <f>((D3*E3)+(D4*E4)+(D5*E5))/E8</f>
        <v>25.0625</v>
      </c>
      <c r="G9" s="51" t="s">
        <v>119</v>
      </c>
      <c r="H9" s="51">
        <v>30</v>
      </c>
      <c r="I9" s="51">
        <v>50</v>
      </c>
    </row>
    <row r="10">
      <c r="A10" s="51" t="s">
        <v>120</v>
      </c>
      <c r="B10" s="51">
        <f>((B3-B9)^2*A3+(B4-B9)^2*A4+(B5-B9)^2*A5)/B8</f>
        <v>13.582222222222221</v>
      </c>
      <c r="D10" s="51" t="s">
        <v>120</v>
      </c>
      <c r="E10" s="51">
        <f>((E3-E9)^2*D3+(E4-E9)^2*D4+(E5-E9)^2*D5)/E8</f>
        <v>114.68359375</v>
      </c>
    </row>
    <row r="11" ht="43.799999999999997" customHeight="1">
      <c r="A11" s="51" t="s">
        <v>121</v>
      </c>
      <c r="B11" s="51">
        <f>SQRT(B10)</f>
        <v>3.6854066562894006</v>
      </c>
      <c r="D11" s="51" t="s">
        <v>121</v>
      </c>
      <c r="E11" s="51">
        <f>SQRT(E10)</f>
        <v>10.709042615939111</v>
      </c>
      <c r="G11" s="53" t="s">
        <v>122</v>
      </c>
      <c r="H11" s="53"/>
      <c r="I11" s="53"/>
    </row>
    <row r="12" ht="28.5">
      <c r="A12" s="51" t="s">
        <v>123</v>
      </c>
      <c r="B12" s="51">
        <f>B11/B9*100</f>
        <v>23.227352875773533</v>
      </c>
      <c r="D12" s="51" t="s">
        <v>123</v>
      </c>
      <c r="E12" s="51">
        <f>E11/E9*100</f>
        <v>42.729347096016404</v>
      </c>
      <c r="G12" s="53"/>
      <c r="H12" s="53"/>
      <c r="I12" s="53"/>
    </row>
    <row r="13" ht="28.800000000000001" customHeight="1">
      <c r="A13" s="51" t="s">
        <v>124</v>
      </c>
      <c r="B13" s="51" t="str">
        <f>IF(AND(B12&gt;0,B12&lt;=9),"Слабая",IF(AND(B12&gt;10,B12&lt;=25),"Умеренная","Высокая"))</f>
        <v>Умеренная</v>
      </c>
      <c r="D13" s="51" t="s">
        <v>124</v>
      </c>
      <c r="E13" s="51" t="str">
        <f>IF(AND(E12&gt;0,E12&lt;=9),"Слабая",IF(AND(E12&gt;10,E12&lt;=25),"Умеренная","Высокая"))</f>
        <v>Высокая</v>
      </c>
      <c r="F13" s="54"/>
    </row>
    <row r="14" ht="14.4" customHeight="1"/>
  </sheetData>
  <mergeCells count="4">
    <mergeCell ref="A1:B1"/>
    <mergeCell ref="D1:E1"/>
    <mergeCell ref="H1:I1"/>
    <mergeCell ref="G11:I12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2</cp:revision>
  <dcterms:created xsi:type="dcterms:W3CDTF">2015-06-05T18:19:34Z</dcterms:created>
  <dcterms:modified xsi:type="dcterms:W3CDTF">2023-03-06T06:50:03Z</dcterms:modified>
</cp:coreProperties>
</file>