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4b8eac8dc0da2c/Учеба/4 курс/ОБПИТ/"/>
    </mc:Choice>
  </mc:AlternateContent>
  <xr:revisionPtr revIDLastSave="1" documentId="13_ncr:1_{8F8571F3-40DA-41C1-97B4-02D573E90ABC}" xr6:coauthVersionLast="47" xr6:coauthVersionMax="47" xr10:uidLastSave="{13B045CD-CD75-477F-A2FD-B77411D3377F}"/>
  <bookViews>
    <workbookView xWindow="-108" yWindow="-108" windowWidth="23256" windowHeight="12456" xr2:uid="{8A799CE6-5CAD-486B-92BA-C339B34AB225}"/>
  </bookViews>
  <sheets>
    <sheet name="1.1" sheetId="1" r:id="rId1"/>
    <sheet name="1.2" sheetId="2" r:id="rId2"/>
    <sheet name="1.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3" l="1"/>
  <c r="M27" i="3"/>
  <c r="K27" i="3"/>
  <c r="J27" i="3"/>
  <c r="I27" i="3"/>
  <c r="G27" i="3"/>
  <c r="F47" i="3"/>
  <c r="F27" i="3"/>
  <c r="D34" i="2"/>
  <c r="D32" i="2"/>
  <c r="D31" i="2"/>
  <c r="D30" i="2"/>
  <c r="D21" i="2"/>
  <c r="H10" i="1"/>
  <c r="C8" i="1"/>
  <c r="C6" i="1"/>
  <c r="D45" i="3"/>
  <c r="D44" i="3"/>
  <c r="D43" i="3"/>
  <c r="D42" i="3"/>
  <c r="D40" i="3"/>
  <c r="D39" i="3"/>
  <c r="D35" i="3"/>
  <c r="D34" i="3"/>
  <c r="D33" i="3"/>
  <c r="D32" i="3"/>
  <c r="D31" i="3"/>
  <c r="D30" i="3"/>
  <c r="D29" i="3"/>
  <c r="D28" i="3"/>
  <c r="D27" i="3"/>
  <c r="C45" i="3"/>
  <c r="C44" i="3"/>
  <c r="C43" i="3"/>
  <c r="C42" i="3"/>
  <c r="C40" i="3"/>
  <c r="C39" i="3"/>
  <c r="C38" i="3"/>
  <c r="C35" i="3"/>
  <c r="C34" i="3"/>
  <c r="C33" i="3"/>
  <c r="C32" i="3"/>
  <c r="C31" i="3"/>
  <c r="I31" i="3" s="1"/>
  <c r="J31" i="3" s="1"/>
  <c r="K31" i="3" s="1"/>
  <c r="L31" i="3" s="1"/>
  <c r="C30" i="3"/>
  <c r="C29" i="3"/>
  <c r="C28" i="3"/>
  <c r="C27" i="3"/>
  <c r="B46" i="3"/>
  <c r="D46" i="3" s="1"/>
  <c r="B41" i="3"/>
  <c r="C41" i="3" s="1"/>
  <c r="B37" i="3"/>
  <c r="C37" i="3" s="1"/>
  <c r="B36" i="3"/>
  <c r="D36" i="3" s="1"/>
  <c r="D5" i="3"/>
  <c r="D11" i="3"/>
  <c r="D21" i="3"/>
  <c r="D20" i="3"/>
  <c r="D19" i="3"/>
  <c r="D18" i="3"/>
  <c r="D17" i="3"/>
  <c r="D16" i="3"/>
  <c r="D15" i="3"/>
  <c r="D13" i="3"/>
  <c r="C21" i="3"/>
  <c r="C20" i="3"/>
  <c r="C19" i="3"/>
  <c r="C18" i="3"/>
  <c r="C17" i="3"/>
  <c r="C16" i="3"/>
  <c r="C15" i="3"/>
  <c r="C13" i="3"/>
  <c r="D12" i="3"/>
  <c r="D10" i="3"/>
  <c r="D8" i="3"/>
  <c r="D7" i="3"/>
  <c r="D6" i="3"/>
  <c r="D3" i="3"/>
  <c r="C12" i="3"/>
  <c r="C11" i="3"/>
  <c r="C10" i="3"/>
  <c r="C8" i="3"/>
  <c r="C7" i="3"/>
  <c r="C6" i="3"/>
  <c r="C5" i="3"/>
  <c r="C3" i="3"/>
  <c r="B22" i="3"/>
  <c r="C22" i="3" s="1"/>
  <c r="B14" i="3"/>
  <c r="D38" i="3" s="1"/>
  <c r="B9" i="3"/>
  <c r="C9" i="3" s="1"/>
  <c r="B4" i="3"/>
  <c r="C4" i="3" s="1"/>
  <c r="F29" i="2"/>
  <c r="D23" i="2"/>
  <c r="E24" i="2"/>
  <c r="E26" i="2"/>
  <c r="F26" i="2"/>
  <c r="E27" i="2"/>
  <c r="F27" i="2"/>
  <c r="D26" i="2"/>
  <c r="D27" i="2"/>
  <c r="D22" i="2"/>
  <c r="E14" i="2"/>
  <c r="E12" i="2"/>
  <c r="F31" i="2" s="1"/>
  <c r="E13" i="2"/>
  <c r="E11" i="2"/>
  <c r="E10" i="2"/>
  <c r="F28" i="2" s="1"/>
  <c r="E7" i="2"/>
  <c r="F25" i="2" s="1"/>
  <c r="E6" i="2"/>
  <c r="F24" i="2" s="1"/>
  <c r="E5" i="2"/>
  <c r="F23" i="2" s="1"/>
  <c r="E4" i="2"/>
  <c r="F22" i="2" s="1"/>
  <c r="E3" i="2"/>
  <c r="F21" i="2" s="1"/>
  <c r="D14" i="2"/>
  <c r="D13" i="2"/>
  <c r="D12" i="2"/>
  <c r="E31" i="2" s="1"/>
  <c r="D11" i="2"/>
  <c r="E29" i="2" s="1"/>
  <c r="D10" i="2"/>
  <c r="E28" i="2" s="1"/>
  <c r="D7" i="2"/>
  <c r="E25" i="2" s="1"/>
  <c r="D6" i="2"/>
  <c r="D5" i="2"/>
  <c r="E23" i="2" s="1"/>
  <c r="D4" i="2"/>
  <c r="E22" i="2" s="1"/>
  <c r="D3" i="2"/>
  <c r="E21" i="2" s="1"/>
  <c r="C14" i="2"/>
  <c r="C13" i="2"/>
  <c r="C12" i="2"/>
  <c r="C11" i="2"/>
  <c r="D29" i="2" s="1"/>
  <c r="C10" i="2"/>
  <c r="D28" i="2" s="1"/>
  <c r="C7" i="2"/>
  <c r="D25" i="2" s="1"/>
  <c r="C6" i="2"/>
  <c r="D24" i="2" s="1"/>
  <c r="C5" i="2"/>
  <c r="C4" i="2"/>
  <c r="C3" i="2"/>
  <c r="E9" i="1"/>
  <c r="G9" i="1"/>
  <c r="H5" i="1"/>
  <c r="G5" i="1"/>
  <c r="F5" i="1"/>
  <c r="E5" i="1"/>
  <c r="D5" i="1"/>
  <c r="C5" i="1"/>
  <c r="H4" i="1"/>
  <c r="H8" i="1" s="1"/>
  <c r="H9" i="1" s="1"/>
  <c r="G4" i="1"/>
  <c r="G8" i="1" s="1"/>
  <c r="F4" i="1"/>
  <c r="F8" i="1" s="1"/>
  <c r="F9" i="1" s="1"/>
  <c r="E4" i="1"/>
  <c r="E8" i="1" s="1"/>
  <c r="D4" i="1"/>
  <c r="D8" i="1" s="1"/>
  <c r="D9" i="1" s="1"/>
  <c r="C4" i="1"/>
  <c r="C7" i="1" s="1"/>
  <c r="I28" i="3" l="1"/>
  <c r="J28" i="3" s="1"/>
  <c r="K28" i="3" s="1"/>
  <c r="L28" i="3" s="1"/>
  <c r="I34" i="3"/>
  <c r="J34" i="3" s="1"/>
  <c r="K34" i="3" s="1"/>
  <c r="L34" i="3" s="1"/>
  <c r="I29" i="3"/>
  <c r="J29" i="3" s="1"/>
  <c r="K29" i="3" s="1"/>
  <c r="L29" i="3" s="1"/>
  <c r="E35" i="3"/>
  <c r="I44" i="3"/>
  <c r="J44" i="3" s="1"/>
  <c r="K44" i="3" s="1"/>
  <c r="L44" i="3" s="1"/>
  <c r="F30" i="2"/>
  <c r="F32" i="2" s="1"/>
  <c r="E30" i="2"/>
  <c r="E32" i="2" s="1"/>
  <c r="I32" i="3"/>
  <c r="J32" i="3" s="1"/>
  <c r="K32" i="3" s="1"/>
  <c r="L32" i="3" s="1"/>
  <c r="E27" i="3"/>
  <c r="E33" i="3"/>
  <c r="I42" i="3"/>
  <c r="J42" i="3" s="1"/>
  <c r="K42" i="3" s="1"/>
  <c r="L42" i="3" s="1"/>
  <c r="I43" i="3"/>
  <c r="J43" i="3" s="1"/>
  <c r="K43" i="3" s="1"/>
  <c r="L43" i="3" s="1"/>
  <c r="E30" i="3"/>
  <c r="C36" i="3"/>
  <c r="I36" i="3" s="1"/>
  <c r="J36" i="3" s="1"/>
  <c r="K36" i="3" s="1"/>
  <c r="L36" i="3" s="1"/>
  <c r="I40" i="3"/>
  <c r="J40" i="3" s="1"/>
  <c r="K40" i="3" s="1"/>
  <c r="L40" i="3" s="1"/>
  <c r="I38" i="3"/>
  <c r="J38" i="3" s="1"/>
  <c r="K38" i="3" s="1"/>
  <c r="L38" i="3" s="1"/>
  <c r="I45" i="3"/>
  <c r="J45" i="3" s="1"/>
  <c r="K45" i="3" s="1"/>
  <c r="L45" i="3" s="1"/>
  <c r="I35" i="3"/>
  <c r="J35" i="3" s="1"/>
  <c r="K35" i="3" s="1"/>
  <c r="L35" i="3" s="1"/>
  <c r="I39" i="3"/>
  <c r="J39" i="3" s="1"/>
  <c r="K39" i="3" s="1"/>
  <c r="L39" i="3" s="1"/>
  <c r="I33" i="3"/>
  <c r="J33" i="3" s="1"/>
  <c r="K33" i="3" s="1"/>
  <c r="L33" i="3" s="1"/>
  <c r="I30" i="3"/>
  <c r="J30" i="3" s="1"/>
  <c r="K30" i="3" s="1"/>
  <c r="L30" i="3" s="1"/>
  <c r="E45" i="3"/>
  <c r="D4" i="3"/>
  <c r="E39" i="3"/>
  <c r="C46" i="3"/>
  <c r="E46" i="3" s="1"/>
  <c r="E34" i="3"/>
  <c r="D37" i="3"/>
  <c r="I37" i="3" s="1"/>
  <c r="J37" i="3" s="1"/>
  <c r="K37" i="3" s="1"/>
  <c r="L37" i="3" s="1"/>
  <c r="E31" i="3"/>
  <c r="C14" i="3"/>
  <c r="D22" i="3"/>
  <c r="D41" i="3"/>
  <c r="D9" i="3"/>
  <c r="E32" i="3"/>
  <c r="D14" i="3"/>
  <c r="E40" i="3"/>
  <c r="B47" i="3"/>
  <c r="E43" i="3"/>
  <c r="E44" i="3"/>
  <c r="E29" i="3"/>
  <c r="E42" i="3"/>
  <c r="E28" i="3"/>
  <c r="E38" i="3"/>
  <c r="G6" i="1"/>
  <c r="G7" i="1" s="1"/>
  <c r="G10" i="1" s="1"/>
  <c r="D6" i="1"/>
  <c r="D7" i="1" s="1"/>
  <c r="D10" i="1" s="1"/>
  <c r="C9" i="1"/>
  <c r="C10" i="1" s="1"/>
  <c r="F6" i="1"/>
  <c r="F7" i="1" s="1"/>
  <c r="F10" i="1" s="1"/>
  <c r="E6" i="1"/>
  <c r="E7" i="1" s="1"/>
  <c r="E10" i="1" s="1"/>
  <c r="H6" i="1"/>
  <c r="H7" i="1" s="1"/>
  <c r="L27" i="3" l="1"/>
  <c r="D47" i="3"/>
  <c r="C47" i="3"/>
  <c r="I46" i="3"/>
  <c r="J46" i="3" s="1"/>
  <c r="K46" i="3" s="1"/>
  <c r="L46" i="3" s="1"/>
  <c r="I41" i="3"/>
  <c r="J41" i="3" s="1"/>
  <c r="K41" i="3" s="1"/>
  <c r="L41" i="3" s="1"/>
  <c r="E41" i="3"/>
  <c r="E37" i="3"/>
  <c r="E36" i="3"/>
  <c r="E47" i="3" l="1"/>
  <c r="F34" i="3" l="1"/>
  <c r="F39" i="3"/>
  <c r="F31" i="3"/>
  <c r="F45" i="3"/>
  <c r="F30" i="3"/>
  <c r="F35" i="3"/>
  <c r="F33" i="3"/>
  <c r="F42" i="3"/>
  <c r="F38" i="3"/>
  <c r="F46" i="3"/>
  <c r="F29" i="3"/>
  <c r="F28" i="3"/>
  <c r="F44" i="3"/>
  <c r="F32" i="3"/>
  <c r="F43" i="3"/>
  <c r="F40" i="3"/>
  <c r="F41" i="3"/>
  <c r="F37" i="3"/>
  <c r="F36" i="3"/>
  <c r="H27" i="3" l="1"/>
  <c r="H28" i="3"/>
  <c r="M28" i="3" s="1"/>
  <c r="G29" i="3" l="1"/>
  <c r="G30" i="3" s="1"/>
  <c r="H29" i="3"/>
  <c r="M29" i="3" s="1"/>
  <c r="H30" i="3" l="1"/>
  <c r="M30" i="3" s="1"/>
  <c r="G31" i="3"/>
  <c r="H31" i="3" l="1"/>
  <c r="M31" i="3" s="1"/>
  <c r="G32" i="3"/>
  <c r="G33" i="3" l="1"/>
  <c r="H32" i="3"/>
  <c r="M32" i="3" s="1"/>
  <c r="H33" i="3" l="1"/>
  <c r="M33" i="3" s="1"/>
  <c r="G34" i="3"/>
  <c r="G35" i="3" l="1"/>
  <c r="H34" i="3"/>
  <c r="M34" i="3" s="1"/>
  <c r="G36" i="3" l="1"/>
  <c r="H35" i="3"/>
  <c r="M35" i="3" s="1"/>
  <c r="G37" i="3" l="1"/>
  <c r="H36" i="3"/>
  <c r="M36" i="3" s="1"/>
  <c r="G38" i="3" l="1"/>
  <c r="H37" i="3"/>
  <c r="M37" i="3" s="1"/>
  <c r="G39" i="3" l="1"/>
  <c r="H38" i="3"/>
  <c r="M38" i="3" s="1"/>
  <c r="G40" i="3" l="1"/>
  <c r="H39" i="3"/>
  <c r="M39" i="3" s="1"/>
  <c r="G41" i="3" l="1"/>
  <c r="H40" i="3"/>
  <c r="M40" i="3" s="1"/>
  <c r="G42" i="3" l="1"/>
  <c r="H41" i="3"/>
  <c r="M41" i="3" s="1"/>
  <c r="G43" i="3" l="1"/>
  <c r="H42" i="3"/>
  <c r="M42" i="3" s="1"/>
  <c r="G44" i="3" l="1"/>
  <c r="H43" i="3"/>
  <c r="M43" i="3" s="1"/>
  <c r="G45" i="3" l="1"/>
  <c r="H44" i="3"/>
  <c r="M44" i="3" s="1"/>
  <c r="G46" i="3" l="1"/>
  <c r="H46" i="3" s="1"/>
  <c r="M46" i="3" s="1"/>
  <c r="H45" i="3"/>
  <c r="M45" i="3" s="1"/>
</calcChain>
</file>

<file path=xl/sharedStrings.xml><?xml version="1.0" encoding="utf-8"?>
<sst xmlns="http://schemas.openxmlformats.org/spreadsheetml/2006/main" count="201" uniqueCount="134">
  <si>
    <t>Показатель</t>
  </si>
  <si>
    <t>Источник/алгоритм расчета</t>
  </si>
  <si>
    <t>A</t>
  </si>
  <si>
    <t>B</t>
  </si>
  <si>
    <t>C</t>
  </si>
  <si>
    <t>D</t>
  </si>
  <si>
    <t>E</t>
  </si>
  <si>
    <t>F</t>
  </si>
  <si>
    <t>Продукт</t>
  </si>
  <si>
    <t>исх. данные</t>
  </si>
  <si>
    <t>3. Объем продаж конкурента в 2017 г., тыс. руб.</t>
  </si>
  <si>
    <t>4. Темп роста рынка, %</t>
  </si>
  <si>
    <t>5. Относительная доля рынка, %</t>
  </si>
  <si>
    <t>6. Тип товара в матрице</t>
  </si>
  <si>
    <t>(п.2/п.3)*100%</t>
  </si>
  <si>
    <t>(п.2/п.1)*100%</t>
  </si>
  <si>
    <t>рис. 1.1.</t>
  </si>
  <si>
    <t>Вариант</t>
  </si>
  <si>
    <t>2. Выручка от реализации товара в 2017 г., тыс.руб.</t>
  </si>
  <si>
    <t>1. Выручка от реализации товара в 2016 г., тыс.руб.</t>
  </si>
  <si>
    <t>обозначение</t>
  </si>
  <si>
    <t>продукция оцениваемого предприятия</t>
  </si>
  <si>
    <t>А</t>
  </si>
  <si>
    <t>Б</t>
  </si>
  <si>
    <t>В</t>
  </si>
  <si>
    <t>продукция предприятия конкурента</t>
  </si>
  <si>
    <t>Коэффициент значимости, Di</t>
  </si>
  <si>
    <t>1. Надежность, тыс. ч.</t>
  </si>
  <si>
    <t>2. Наработка на отказ, тыс. ч.</t>
  </si>
  <si>
    <t>3. Экономичность, л/сут.</t>
  </si>
  <si>
    <t>4. Рабочая температура, градусов</t>
  </si>
  <si>
    <t>5. Рабочий объем, м3</t>
  </si>
  <si>
    <t>6. Дизайн, баллы</t>
  </si>
  <si>
    <t>7. Технологичность, баллов</t>
  </si>
  <si>
    <t>8. Трудоемкость изготовления, тыс. ч.</t>
  </si>
  <si>
    <t>9. Материалоемкость, т.</t>
  </si>
  <si>
    <t>10. Цена, тыс. у. е.</t>
  </si>
  <si>
    <t>11. Потребительские затраты, тыс. у. е.</t>
  </si>
  <si>
    <t>12. Количество, предлагаемое на рынке, тыс. шт.</t>
  </si>
  <si>
    <t>13. Коэффициент значимости товара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</si>
  <si>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</si>
  <si>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</si>
  <si>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</si>
  <si>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</si>
  <si>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</si>
  <si>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</si>
  <si>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</si>
  <si>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</si>
  <si>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</si>
  <si>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S1</t>
  </si>
  <si>
    <t>S2</t>
  </si>
  <si>
    <t>n</t>
  </si>
  <si>
    <t>b</t>
  </si>
  <si>
    <t>-</t>
  </si>
  <si>
    <t>Частные индексы технических параметров (индексы качества)</t>
  </si>
  <si>
    <t>Индекс технических параметров</t>
  </si>
  <si>
    <t>Индекс экономических параметров</t>
  </si>
  <si>
    <t>Индекс конкурентоспособности товара</t>
  </si>
  <si>
    <t>Iтп1</t>
  </si>
  <si>
    <t>Iтп2</t>
  </si>
  <si>
    <t>Iтп3</t>
  </si>
  <si>
    <t>Iтп4</t>
  </si>
  <si>
    <t>Iтп5</t>
  </si>
  <si>
    <t>Iтп6</t>
  </si>
  <si>
    <t>Iтп7</t>
  </si>
  <si>
    <t>Iтп8</t>
  </si>
  <si>
    <t>Iтп9</t>
  </si>
  <si>
    <t>Iтп</t>
  </si>
  <si>
    <t>Iэп</t>
  </si>
  <si>
    <t>Iк</t>
  </si>
  <si>
    <t>Параметры оценки</t>
  </si>
  <si>
    <t>Алгоритм расчета</t>
  </si>
  <si>
    <t>Обозначение</t>
  </si>
  <si>
    <t>P1/P1k*D1</t>
  </si>
  <si>
    <t>сумма Iтпi</t>
  </si>
  <si>
    <t>(S1+S2)/(S1k+S2k)</t>
  </si>
  <si>
    <t>Iтп/Iэп</t>
  </si>
  <si>
    <t>P2/P2k*D2</t>
  </si>
  <si>
    <t>P3k/P3*D3</t>
  </si>
  <si>
    <t>P4/P14*D4</t>
  </si>
  <si>
    <t>P5/P5k*D5</t>
  </si>
  <si>
    <t>P6/P6k*D6</t>
  </si>
  <si>
    <t>P7/P7k*D7</t>
  </si>
  <si>
    <t>P8k/P8*D8</t>
  </si>
  <si>
    <t>P9k/P9*D9</t>
  </si>
  <si>
    <t>Индекс конкурентоспособности товарной массы</t>
  </si>
  <si>
    <t>Наименование товара</t>
  </si>
  <si>
    <t>Выручка от реализации, тыс. руб.</t>
  </si>
  <si>
    <t>июнь</t>
  </si>
  <si>
    <t>июль</t>
  </si>
  <si>
    <t>август</t>
  </si>
  <si>
    <t>Товар 1</t>
  </si>
  <si>
    <t>Товар 2</t>
  </si>
  <si>
    <t>Товар 3</t>
  </si>
  <si>
    <t>Товар 4</t>
  </si>
  <si>
    <t>Товар 5</t>
  </si>
  <si>
    <t>Товар 6</t>
  </si>
  <si>
    <t>Товар 7</t>
  </si>
  <si>
    <t>Товар 8</t>
  </si>
  <si>
    <t>Товар 9</t>
  </si>
  <si>
    <t>Товар 10</t>
  </si>
  <si>
    <t>Товар 11</t>
  </si>
  <si>
    <t>Товар 12</t>
  </si>
  <si>
    <t>Товар 13</t>
  </si>
  <si>
    <t>Товар 14</t>
  </si>
  <si>
    <t>Товар 15</t>
  </si>
  <si>
    <t>Товар 16</t>
  </si>
  <si>
    <t>Товар 17</t>
  </si>
  <si>
    <t>Товар 18</t>
  </si>
  <si>
    <t>Товар 19</t>
  </si>
  <si>
    <t>Товар 20</t>
  </si>
  <si>
    <t>квартал</t>
  </si>
  <si>
    <t>Доля в выручке</t>
  </si>
  <si>
    <t>Доля накопительным итогом</t>
  </si>
  <si>
    <t>Итого</t>
  </si>
  <si>
    <t>Среднеквадратическое отклонение</t>
  </si>
  <si>
    <t>Коэффициент вариации</t>
  </si>
  <si>
    <t>Среднее значение</t>
  </si>
  <si>
    <t>Группировка ABC</t>
  </si>
  <si>
    <t>Группировка XYZ</t>
  </si>
  <si>
    <t>Группировка ABC-XYZ</t>
  </si>
  <si>
    <t>X</t>
  </si>
  <si>
    <t>Y</t>
  </si>
  <si>
    <t>Z</t>
  </si>
  <si>
    <t>Дойные коровы</t>
  </si>
  <si>
    <r>
      <rPr>
        <b/>
        <sz val="11"/>
        <color theme="1"/>
        <rFont val="Calibri"/>
        <family val="2"/>
        <charset val="204"/>
        <scheme val="minor"/>
      </rPr>
      <t xml:space="preserve">Звезды (D, E)  </t>
    </r>
    <r>
      <rPr>
        <sz val="11"/>
        <color theme="1"/>
        <rFont val="Calibri"/>
        <family val="2"/>
        <charset val="204"/>
        <scheme val="minor"/>
      </rPr>
      <t>необходимо продолжать поддерживать лидерские позиции товаров D и E, а также попытаться развить товар C до категории "звезды"</t>
    </r>
  </si>
  <si>
    <t>Матрица ABC-XYZ</t>
  </si>
  <si>
    <t>Таким образом, полученные индексы конкурентоспособности продукции свидетельствуют о том, что продукты Б (IкБ = 1,06), В (IкВ = 1,1), выпускаемые предприятием, более конкурентоспособны по сравнению с аналогами конкурента. Продукт А (IкА = 0,98) менее конкурентоспособен по сравнению с товаром конкурента. Также, основываясь на индексе конкурентоспособности товарной массы (Ik=1,13), можно сделать вывод о том, что товары, производимые на предприятии, являются конкурентоспособными на рынке.</t>
  </si>
  <si>
    <t>10, 17, 5, 9, 13, 18</t>
  </si>
  <si>
    <t>15, 8, 19, 20, 12, 16</t>
  </si>
  <si>
    <t>6, 2, 11, 4, 1, 14, 7</t>
  </si>
  <si>
    <t xml:space="preserve">Дикие кошки </t>
  </si>
  <si>
    <r>
      <rPr>
        <b/>
        <sz val="11"/>
        <color theme="1"/>
        <rFont val="Calibri"/>
        <family val="2"/>
        <charset val="204"/>
        <scheme val="minor"/>
      </rPr>
      <t>Дохлые собаки (A, B, C, F)</t>
    </r>
    <r>
      <rPr>
        <sz val="11"/>
        <color theme="1"/>
        <rFont val="Calibri"/>
        <family val="2"/>
        <charset val="204"/>
        <scheme val="minor"/>
      </rPr>
      <t xml:space="preserve"> необходимо попытаться улучшить товары и перевести их в категорию "дойные коровы" либо убрать с рынка</t>
    </r>
  </si>
  <si>
    <t>Таким образом по товарам 6, 2, 11, 4, 1, 14, 7 следует уточнить периодичность поставок, что позволит снизить издержки хранения. Товар 3 имеет средний уровень дохода и случайное потребление. Необходимо не увеличивать страховой запас и привлекать поставщиков, обеспечить более частые поставки. По остальным товарам (группы АХ и ВХ) необходимо обеспечить контроль за их постоянным наличием на складе, так как спрос на них стабилен. В целом товарный ассортимент организации следует признать сбалансированным.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</si>
</sst>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3" fillId="0" borderId="0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Матрица БКГ</a:t>
            </a:r>
          </a:p>
        </c:rich>
      </c:tx>
      <c:layout>
        <c:manualLayout>
          <c:xMode val="edge"/>
          <c:yMode val="edge"/>
          <c:x val="0.381680446194225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'1.1'!$C$8:$H$8</c:f>
              <c:numCache>
                <c:formatCode>General</c:formatCode>
                <c:ptCount val="6"/>
                <c:pt idx="0">
                  <c:v>99.056603773584911</c:v>
                </c:pt>
                <c:pt idx="1">
                  <c:v>86.657496561210451</c:v>
                </c:pt>
                <c:pt idx="2">
                  <c:v>84.43743427970557</c:v>
                </c:pt>
                <c:pt idx="3">
                  <c:v>103.79198266522209</c:v>
                </c:pt>
                <c:pt idx="4">
                  <c:v>117.38410596026489</c:v>
                </c:pt>
                <c:pt idx="5">
                  <c:v>92.322097378277164</c:v>
                </c:pt>
              </c:numCache>
            </c:numRef>
          </c:xVal>
          <c:yVal>
            <c:numRef>
              <c:f>'1.1'!$C$6:$H$6</c:f>
              <c:numCache>
                <c:formatCode>General</c:formatCode>
                <c:ptCount val="6"/>
                <c:pt idx="0">
                  <c:v>87.5</c:v>
                </c:pt>
                <c:pt idx="1">
                  <c:v>77.777777777777786</c:v>
                </c:pt>
                <c:pt idx="2">
                  <c:v>90.224719101123597</c:v>
                </c:pt>
                <c:pt idx="3">
                  <c:v>131.23287671232876</c:v>
                </c:pt>
                <c:pt idx="4">
                  <c:v>139.01960784313724</c:v>
                </c:pt>
                <c:pt idx="5">
                  <c:v>53.297297297297298</c:v>
                </c:pt>
              </c:numCache>
            </c:numRef>
          </c:yVal>
          <c:bubbleSize>
            <c:numRef>
              <c:f>'1.1'!$C$4:$H$4</c:f>
              <c:numCache>
                <c:formatCode>General</c:formatCode>
                <c:ptCount val="6"/>
                <c:pt idx="0">
                  <c:v>525</c:v>
                </c:pt>
                <c:pt idx="1">
                  <c:v>630</c:v>
                </c:pt>
                <c:pt idx="2">
                  <c:v>803</c:v>
                </c:pt>
                <c:pt idx="3">
                  <c:v>958</c:v>
                </c:pt>
                <c:pt idx="4">
                  <c:v>709</c:v>
                </c:pt>
                <c:pt idx="5">
                  <c:v>493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EFDC-4D62-95C7-351F4B1CC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26118336"/>
        <c:axId val="1426119168"/>
      </c:bubbleChart>
      <c:valAx>
        <c:axId val="1426118336"/>
        <c:scaling>
          <c:orientation val="minMax"/>
          <c:max val="120"/>
          <c:min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Относительная</a:t>
                </a:r>
                <a:r>
                  <a:rPr lang="ru-RU" baseline="0"/>
                  <a:t> доля рынка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cross"/>
        <c:tickLblPos val="low"/>
        <c:spPr>
          <a:noFill/>
          <a:ln w="12700" cap="flat" cmpd="sng" algn="ctr">
            <a:noFill/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119168"/>
        <c:crossesAt val="110"/>
        <c:crossBetween val="midCat"/>
        <c:majorUnit val="5"/>
      </c:valAx>
      <c:valAx>
        <c:axId val="142611916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 роста рынка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6118336"/>
        <c:crossesAt val="100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11</xdr:row>
      <xdr:rowOff>72390</xdr:rowOff>
    </xdr:from>
    <xdr:to>
      <xdr:col>9</xdr:col>
      <xdr:colOff>518160</xdr:colOff>
      <xdr:row>26</xdr:row>
      <xdr:rowOff>72390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7E2EA58-5000-4F7B-9DA9-63FC341D3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D97B8-4FE9-4F4C-B9F9-E9B677103DDE}">
  <dimension ref="A1:R20"/>
  <sheetViews>
    <sheetView tabSelected="1" workbookViewId="0">
      <selection activeCell="J6" sqref="J6"/>
    </sheetView>
  </sheetViews>
  <sheetFormatPr defaultRowHeight="14.4" x14ac:dyDescent="0.3"/>
  <cols>
    <col min="1" max="1" width="29.44140625" customWidth="1"/>
    <col min="2" max="2" width="17.88671875" customWidth="1"/>
    <col min="16" max="16" width="8" customWidth="1"/>
    <col min="18" max="18" width="7.109375" customWidth="1"/>
  </cols>
  <sheetData>
    <row r="1" spans="1:18" ht="17.399999999999999" customHeight="1" x14ac:dyDescent="0.3">
      <c r="A1" s="13" t="s">
        <v>0</v>
      </c>
      <c r="B1" s="9" t="s">
        <v>1</v>
      </c>
      <c r="C1" s="10" t="s">
        <v>8</v>
      </c>
      <c r="D1" s="11"/>
      <c r="E1" s="11"/>
      <c r="F1" s="11"/>
      <c r="G1" s="11"/>
      <c r="H1" s="12"/>
      <c r="K1" s="2" t="s">
        <v>17</v>
      </c>
      <c r="L1" s="2">
        <v>1</v>
      </c>
    </row>
    <row r="2" spans="1:18" x14ac:dyDescent="0.3">
      <c r="A2" s="13"/>
      <c r="B2" s="9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18" ht="28.8" x14ac:dyDescent="0.3">
      <c r="A3" s="3" t="s">
        <v>19</v>
      </c>
      <c r="B3" s="2" t="s">
        <v>9</v>
      </c>
      <c r="C3" s="2">
        <v>600</v>
      </c>
      <c r="D3" s="2">
        <v>810</v>
      </c>
      <c r="E3" s="2">
        <v>890</v>
      </c>
      <c r="F3" s="2">
        <v>730</v>
      </c>
      <c r="G3" s="2">
        <v>510</v>
      </c>
      <c r="H3" s="2">
        <v>925</v>
      </c>
    </row>
    <row r="4" spans="1:18" ht="43.2" customHeight="1" x14ac:dyDescent="0.3">
      <c r="A4" s="3" t="s">
        <v>18</v>
      </c>
      <c r="B4" s="2" t="s">
        <v>9</v>
      </c>
      <c r="C4" s="2">
        <f>520+5*$L1</f>
        <v>525</v>
      </c>
      <c r="D4" s="2">
        <f>627+3*$L1</f>
        <v>630</v>
      </c>
      <c r="E4" s="2">
        <f>805-2*$L1</f>
        <v>803</v>
      </c>
      <c r="F4" s="2">
        <f>954+4*$L1</f>
        <v>958</v>
      </c>
      <c r="G4" s="2">
        <f>710-1*$L1</f>
        <v>709</v>
      </c>
      <c r="H4" s="2">
        <f>490+3*$L1</f>
        <v>493</v>
      </c>
      <c r="M4" s="14" t="s">
        <v>131</v>
      </c>
      <c r="N4" s="15"/>
      <c r="O4" s="15"/>
      <c r="P4" s="9" t="s">
        <v>125</v>
      </c>
      <c r="Q4" s="9"/>
      <c r="R4" s="9"/>
    </row>
    <row r="5" spans="1:18" ht="28.8" x14ac:dyDescent="0.3">
      <c r="A5" s="3" t="s">
        <v>10</v>
      </c>
      <c r="B5" s="2" t="s">
        <v>9</v>
      </c>
      <c r="C5" s="2">
        <f>525+5*$L1</f>
        <v>530</v>
      </c>
      <c r="D5" s="2">
        <f>729-2*$L1</f>
        <v>727</v>
      </c>
      <c r="E5" s="2">
        <f>950+1*$L1</f>
        <v>951</v>
      </c>
      <c r="F5" s="2">
        <f>926-3*$L1</f>
        <v>923</v>
      </c>
      <c r="G5" s="2">
        <f>600+4*$L1</f>
        <v>604</v>
      </c>
      <c r="H5" s="2">
        <f>530+4*$L1</f>
        <v>534</v>
      </c>
      <c r="M5" s="15"/>
      <c r="N5" s="15"/>
      <c r="O5" s="15"/>
      <c r="P5" s="9"/>
      <c r="Q5" s="9"/>
      <c r="R5" s="9"/>
    </row>
    <row r="6" spans="1:18" x14ac:dyDescent="0.3">
      <c r="A6" s="9" t="s">
        <v>11</v>
      </c>
      <c r="B6" s="13" t="s">
        <v>15</v>
      </c>
      <c r="C6" s="2">
        <f>C4/C3*100</f>
        <v>87.5</v>
      </c>
      <c r="D6" s="2">
        <f t="shared" ref="D6:H6" si="0">D4/D3*100</f>
        <v>77.777777777777786</v>
      </c>
      <c r="E6" s="2">
        <f t="shared" si="0"/>
        <v>90.224719101123597</v>
      </c>
      <c r="F6" s="2">
        <f t="shared" si="0"/>
        <v>131.23287671232876</v>
      </c>
      <c r="G6" s="2">
        <f t="shared" si="0"/>
        <v>139.01960784313724</v>
      </c>
      <c r="H6" s="2">
        <f t="shared" si="0"/>
        <v>53.297297297297298</v>
      </c>
      <c r="M6" s="15"/>
      <c r="N6" s="15"/>
      <c r="O6" s="15"/>
      <c r="P6" s="9"/>
      <c r="Q6" s="9"/>
      <c r="R6" s="9"/>
    </row>
    <row r="7" spans="1:18" x14ac:dyDescent="0.3">
      <c r="A7" s="9"/>
      <c r="B7" s="13"/>
      <c r="C7" s="2" t="str">
        <f t="shared" ref="C7:H7" si="1">IF(C6&gt;110, "Высокий","Низкий")</f>
        <v>Низкий</v>
      </c>
      <c r="D7" s="2" t="str">
        <f t="shared" si="1"/>
        <v>Низкий</v>
      </c>
      <c r="E7" s="2" t="str">
        <f t="shared" si="1"/>
        <v>Низкий</v>
      </c>
      <c r="F7" s="2" t="str">
        <f t="shared" si="1"/>
        <v>Высокий</v>
      </c>
      <c r="G7" s="2" t="str">
        <f t="shared" si="1"/>
        <v>Высокий</v>
      </c>
      <c r="H7" s="2" t="str">
        <f t="shared" si="1"/>
        <v>Низкий</v>
      </c>
      <c r="M7" s="15"/>
      <c r="N7" s="15"/>
      <c r="O7" s="15"/>
      <c r="P7" s="9"/>
      <c r="Q7" s="9"/>
      <c r="R7" s="9"/>
    </row>
    <row r="8" spans="1:18" ht="14.4" customHeight="1" x14ac:dyDescent="0.3">
      <c r="A8" s="9" t="s">
        <v>12</v>
      </c>
      <c r="B8" s="13" t="s">
        <v>14</v>
      </c>
      <c r="C8" s="2">
        <f>C4/C5*100</f>
        <v>99.056603773584911</v>
      </c>
      <c r="D8" s="2">
        <f t="shared" ref="D8:H8" si="2">D4/D5*100</f>
        <v>86.657496561210451</v>
      </c>
      <c r="E8" s="2">
        <f t="shared" si="2"/>
        <v>84.43743427970557</v>
      </c>
      <c r="F8" s="2">
        <f t="shared" si="2"/>
        <v>103.79198266522209</v>
      </c>
      <c r="G8" s="2">
        <f t="shared" si="2"/>
        <v>117.38410596026489</v>
      </c>
      <c r="H8" s="2">
        <f t="shared" si="2"/>
        <v>92.322097378277164</v>
      </c>
      <c r="M8" s="15" t="s">
        <v>132</v>
      </c>
      <c r="N8" s="15"/>
      <c r="O8" s="15"/>
      <c r="P8" s="14" t="s">
        <v>124</v>
      </c>
      <c r="Q8" s="15"/>
      <c r="R8" s="15"/>
    </row>
    <row r="9" spans="1:18" ht="14.4" customHeight="1" x14ac:dyDescent="0.3">
      <c r="A9" s="9"/>
      <c r="B9" s="13"/>
      <c r="C9" s="2" t="str">
        <f t="shared" ref="C9:H9" si="3">IF(C8&gt;100, "Высокий","Низкий")</f>
        <v>Низкий</v>
      </c>
      <c r="D9" s="2" t="str">
        <f t="shared" si="3"/>
        <v>Низкий</v>
      </c>
      <c r="E9" s="2" t="str">
        <f t="shared" si="3"/>
        <v>Низкий</v>
      </c>
      <c r="F9" s="2" t="str">
        <f t="shared" si="3"/>
        <v>Высокий</v>
      </c>
      <c r="G9" s="2" t="str">
        <f t="shared" si="3"/>
        <v>Высокий</v>
      </c>
      <c r="H9" s="2" t="str">
        <f t="shared" si="3"/>
        <v>Низкий</v>
      </c>
      <c r="M9" s="15"/>
      <c r="N9" s="15"/>
      <c r="O9" s="15"/>
      <c r="P9" s="15"/>
      <c r="Q9" s="15"/>
      <c r="R9" s="15"/>
    </row>
    <row r="10" spans="1:18" ht="29.4" customHeight="1" x14ac:dyDescent="0.3">
      <c r="A10" s="3" t="s">
        <v>13</v>
      </c>
      <c r="B10" s="2" t="s">
        <v>16</v>
      </c>
      <c r="C10" s="3" t="str">
        <f t="shared" ref="C10:G10" si="4">IF(AND(C7="Низкий",C9="Низкий"),"Дохлая собака",IF(AND(C7="Низкий",C9="Высокий"),"Дойная корова",IF(AND(C7="Высокий",C9="Высокий"),"Звезда",IF(AND(C7="Высокий",C9="Низкий"),"Дикая кошка"))))</f>
        <v>Дохлая собака</v>
      </c>
      <c r="D10" s="3" t="str">
        <f t="shared" si="4"/>
        <v>Дохлая собака</v>
      </c>
      <c r="E10" s="3" t="str">
        <f t="shared" si="4"/>
        <v>Дохлая собака</v>
      </c>
      <c r="F10" s="3" t="str">
        <f t="shared" si="4"/>
        <v>Звезда</v>
      </c>
      <c r="G10" s="3" t="str">
        <f t="shared" si="4"/>
        <v>Звезда</v>
      </c>
      <c r="H10" s="3" t="str">
        <f>IF(AND(H7="Низкий",H9="Низкий"),"Дохлая собака",IF(AND(H7="Низкий",H9="Высокий"),"Дойная корова",IF(AND(H7="Высокий",H9="Высокий"),"Звезда",IF(AND(H7="Высокий",H9="Низкий"),"Дикая кошка"))))</f>
        <v>Дохлая собака</v>
      </c>
      <c r="M10" s="15"/>
      <c r="N10" s="15"/>
      <c r="O10" s="15"/>
      <c r="P10" s="15"/>
      <c r="Q10" s="15"/>
      <c r="R10" s="15"/>
    </row>
    <row r="11" spans="1:18" x14ac:dyDescent="0.3">
      <c r="A11" s="1"/>
      <c r="M11" s="15"/>
      <c r="N11" s="15"/>
      <c r="O11" s="15"/>
      <c r="P11" s="15"/>
      <c r="Q11" s="15"/>
      <c r="R11" s="15"/>
    </row>
    <row r="12" spans="1:18" x14ac:dyDescent="0.3">
      <c r="A12" s="1"/>
      <c r="M12" s="15"/>
      <c r="N12" s="15"/>
      <c r="O12" s="15"/>
      <c r="P12" s="15"/>
      <c r="Q12" s="15"/>
      <c r="R12" s="15"/>
    </row>
    <row r="13" spans="1:18" x14ac:dyDescent="0.3">
      <c r="A13" s="1"/>
    </row>
    <row r="14" spans="1:18" x14ac:dyDescent="0.3">
      <c r="A14" s="1"/>
    </row>
    <row r="15" spans="1:18" ht="14.4" customHeight="1" x14ac:dyDescent="0.3"/>
    <row r="16" spans="1:18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</sheetData>
  <mergeCells count="11">
    <mergeCell ref="M4:O7"/>
    <mergeCell ref="P4:R7"/>
    <mergeCell ref="M8:O12"/>
    <mergeCell ref="P8:R12"/>
    <mergeCell ref="A8:A9"/>
    <mergeCell ref="B8:B9"/>
    <mergeCell ref="B1:B2"/>
    <mergeCell ref="C1:H1"/>
    <mergeCell ref="A1:A2"/>
    <mergeCell ref="A6:A7"/>
    <mergeCell ref="B6:B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48C81-196A-495F-B0A6-BBF5012B0687}">
  <dimension ref="A1:N37"/>
  <sheetViews>
    <sheetView workbookViewId="0">
      <selection activeCell="A46" sqref="A46"/>
    </sheetView>
  </sheetViews>
  <sheetFormatPr defaultRowHeight="14.4" x14ac:dyDescent="0.3"/>
  <cols>
    <col min="1" max="1" width="27.88671875" customWidth="1"/>
    <col min="2" max="2" width="8.77734375" customWidth="1"/>
    <col min="3" max="3" width="10.33203125" customWidth="1"/>
    <col min="4" max="4" width="11.44140625" bestFit="1" customWidth="1"/>
    <col min="9" max="9" width="22.5546875" customWidth="1"/>
  </cols>
  <sheetData>
    <row r="1" spans="1:12" ht="32.4" customHeight="1" x14ac:dyDescent="0.3">
      <c r="A1" s="9" t="s">
        <v>0</v>
      </c>
      <c r="B1" s="9" t="s">
        <v>20</v>
      </c>
      <c r="C1" s="9" t="s">
        <v>21</v>
      </c>
      <c r="D1" s="9"/>
      <c r="E1" s="9"/>
      <c r="F1" s="9" t="s">
        <v>25</v>
      </c>
      <c r="G1" s="9"/>
      <c r="H1" s="9"/>
      <c r="I1" s="9" t="s">
        <v>26</v>
      </c>
      <c r="J1" s="1"/>
      <c r="K1" s="3" t="s">
        <v>17</v>
      </c>
      <c r="L1" s="2">
        <v>1</v>
      </c>
    </row>
    <row r="2" spans="1:12" x14ac:dyDescent="0.3">
      <c r="A2" s="9"/>
      <c r="B2" s="9"/>
      <c r="C2" s="3" t="s">
        <v>22</v>
      </c>
      <c r="D2" s="3" t="s">
        <v>23</v>
      </c>
      <c r="E2" s="3" t="s">
        <v>24</v>
      </c>
      <c r="F2" s="3" t="s">
        <v>22</v>
      </c>
      <c r="G2" s="3" t="s">
        <v>23</v>
      </c>
      <c r="H2" s="3" t="s">
        <v>24</v>
      </c>
      <c r="I2" s="9"/>
      <c r="J2" s="1"/>
      <c r="K2" s="1"/>
    </row>
    <row r="3" spans="1:12" x14ac:dyDescent="0.3">
      <c r="A3" s="3" t="s">
        <v>27</v>
      </c>
      <c r="B3" s="3" t="s">
        <v>40</v>
      </c>
      <c r="C3" s="3">
        <f>68-1*L1</f>
        <v>67</v>
      </c>
      <c r="D3" s="3">
        <f>90+1.5*L1</f>
        <v>91.5</v>
      </c>
      <c r="E3" s="3">
        <f>87+0.5*L1</f>
        <v>87.5</v>
      </c>
      <c r="F3" s="3">
        <v>89</v>
      </c>
      <c r="G3" s="3">
        <v>88</v>
      </c>
      <c r="H3" s="3">
        <v>78</v>
      </c>
      <c r="I3" s="3">
        <v>0.18</v>
      </c>
      <c r="J3" s="1"/>
      <c r="K3" s="1"/>
    </row>
    <row r="4" spans="1:12" x14ac:dyDescent="0.3">
      <c r="A4" s="3" t="s">
        <v>28</v>
      </c>
      <c r="B4" s="3" t="s">
        <v>41</v>
      </c>
      <c r="C4" s="3">
        <f>48-1*L1</f>
        <v>47</v>
      </c>
      <c r="D4" s="3">
        <f>49+1.5*L1</f>
        <v>50.5</v>
      </c>
      <c r="E4" s="3">
        <f>50+0.5*L1</f>
        <v>50.5</v>
      </c>
      <c r="F4" s="3">
        <v>51</v>
      </c>
      <c r="G4" s="3">
        <v>52</v>
      </c>
      <c r="H4" s="3">
        <v>53</v>
      </c>
      <c r="I4" s="3">
        <v>0.11</v>
      </c>
      <c r="J4" s="1"/>
      <c r="K4" s="1"/>
    </row>
    <row r="5" spans="1:12" x14ac:dyDescent="0.3">
      <c r="A5" s="3" t="s">
        <v>29</v>
      </c>
      <c r="B5" s="3" t="s">
        <v>42</v>
      </c>
      <c r="C5" s="3">
        <f>30+0.5*L1</f>
        <v>30.5</v>
      </c>
      <c r="D5" s="3">
        <f>29-0.2*L1</f>
        <v>28.8</v>
      </c>
      <c r="E5" s="3">
        <f>28+0.3*L1</f>
        <v>28.3</v>
      </c>
      <c r="F5" s="3">
        <v>27</v>
      </c>
      <c r="G5" s="3">
        <v>26</v>
      </c>
      <c r="H5" s="3">
        <v>25</v>
      </c>
      <c r="I5" s="3">
        <v>0.17</v>
      </c>
      <c r="J5" s="1"/>
      <c r="K5" s="1"/>
    </row>
    <row r="6" spans="1:12" ht="28.8" x14ac:dyDescent="0.3">
      <c r="A6" s="3" t="s">
        <v>30</v>
      </c>
      <c r="B6" s="3" t="s">
        <v>43</v>
      </c>
      <c r="C6" s="3">
        <f>71+0.2*L1</f>
        <v>71.2</v>
      </c>
      <c r="D6" s="3">
        <f>78-0.1*L1</f>
        <v>77.900000000000006</v>
      </c>
      <c r="E6" s="3">
        <f>69+0.3*L1</f>
        <v>69.3</v>
      </c>
      <c r="F6" s="3">
        <v>88</v>
      </c>
      <c r="G6" s="3">
        <v>87</v>
      </c>
      <c r="H6" s="3">
        <v>74</v>
      </c>
      <c r="I6" s="3">
        <v>0.16</v>
      </c>
      <c r="J6" s="1"/>
      <c r="K6" s="1"/>
    </row>
    <row r="7" spans="1:12" x14ac:dyDescent="0.3">
      <c r="A7" s="3" t="s">
        <v>31</v>
      </c>
      <c r="B7" s="3" t="s">
        <v>44</v>
      </c>
      <c r="C7" s="3">
        <f>185-0.5*L1</f>
        <v>184.5</v>
      </c>
      <c r="D7" s="3">
        <f>163+0.5*L1</f>
        <v>163.5</v>
      </c>
      <c r="E7" s="3">
        <f>168+1*L1</f>
        <v>169</v>
      </c>
      <c r="F7" s="3">
        <v>171</v>
      </c>
      <c r="G7" s="3">
        <v>173</v>
      </c>
      <c r="H7" s="3">
        <v>172</v>
      </c>
      <c r="I7" s="3">
        <v>0.1</v>
      </c>
      <c r="J7" s="1"/>
      <c r="K7" s="1"/>
    </row>
    <row r="8" spans="1:12" x14ac:dyDescent="0.3">
      <c r="A8" s="3" t="s">
        <v>32</v>
      </c>
      <c r="B8" s="3" t="s">
        <v>45</v>
      </c>
      <c r="C8" s="3">
        <v>6</v>
      </c>
      <c r="D8" s="3">
        <v>4</v>
      </c>
      <c r="E8" s="3">
        <v>7</v>
      </c>
      <c r="F8" s="3">
        <v>3</v>
      </c>
      <c r="G8" s="3">
        <v>4</v>
      </c>
      <c r="H8" s="3">
        <v>6</v>
      </c>
      <c r="I8" s="3">
        <v>0.02</v>
      </c>
      <c r="J8" s="1"/>
      <c r="K8" s="1"/>
    </row>
    <row r="9" spans="1:12" ht="16.8" customHeight="1" x14ac:dyDescent="0.3">
      <c r="A9" s="3" t="s">
        <v>33</v>
      </c>
      <c r="B9" s="3" t="s">
        <v>46</v>
      </c>
      <c r="C9" s="3">
        <v>9</v>
      </c>
      <c r="D9" s="3">
        <v>10</v>
      </c>
      <c r="E9" s="3">
        <v>7</v>
      </c>
      <c r="F9" s="3">
        <v>7</v>
      </c>
      <c r="G9" s="3">
        <v>6</v>
      </c>
      <c r="H9" s="3">
        <v>5</v>
      </c>
      <c r="I9" s="3">
        <v>0.08</v>
      </c>
      <c r="J9" s="1"/>
      <c r="K9" s="1"/>
    </row>
    <row r="10" spans="1:12" ht="28.8" x14ac:dyDescent="0.3">
      <c r="A10" s="3" t="s">
        <v>34</v>
      </c>
      <c r="B10" s="3" t="s">
        <v>47</v>
      </c>
      <c r="C10" s="3">
        <f>1.67-0.5*L1</f>
        <v>1.17</v>
      </c>
      <c r="D10" s="3">
        <f>1.56+0.2*L1</f>
        <v>1.76</v>
      </c>
      <c r="E10" s="3">
        <f>1.58+0.4*L1</f>
        <v>1.98</v>
      </c>
      <c r="F10" s="3">
        <v>1.59</v>
      </c>
      <c r="G10" s="3">
        <v>1.61</v>
      </c>
      <c r="H10" s="3">
        <v>1.73</v>
      </c>
      <c r="I10" s="3">
        <v>0.05</v>
      </c>
      <c r="J10" s="1"/>
      <c r="K10" s="1"/>
    </row>
    <row r="11" spans="1:12" ht="20.399999999999999" customHeight="1" x14ac:dyDescent="0.3">
      <c r="A11" s="3" t="s">
        <v>35</v>
      </c>
      <c r="B11" s="3" t="s">
        <v>48</v>
      </c>
      <c r="C11" s="3">
        <f>1.41+0.1*L1</f>
        <v>1.51</v>
      </c>
      <c r="D11" s="3">
        <f>1.35-0.2*L1</f>
        <v>1.1500000000000001</v>
      </c>
      <c r="E11" s="3">
        <f>1.33+0.1*L1</f>
        <v>1.4300000000000002</v>
      </c>
      <c r="F11" s="3">
        <v>1.31</v>
      </c>
      <c r="G11" s="3">
        <v>1.29</v>
      </c>
      <c r="H11" s="3">
        <v>1.27</v>
      </c>
      <c r="I11" s="3">
        <v>0.13</v>
      </c>
      <c r="J11" s="1"/>
      <c r="K11" s="1"/>
    </row>
    <row r="12" spans="1:12" x14ac:dyDescent="0.3">
      <c r="A12" s="3" t="s">
        <v>36</v>
      </c>
      <c r="B12" s="3" t="s">
        <v>49</v>
      </c>
      <c r="C12" s="3">
        <f>11.4+0.5*L1</f>
        <v>11.9</v>
      </c>
      <c r="D12" s="3">
        <f>11.4+0.3*L1</f>
        <v>11.700000000000001</v>
      </c>
      <c r="E12" s="3">
        <f>11.5-0.1*L1</f>
        <v>11.4</v>
      </c>
      <c r="F12" s="3">
        <v>11.6</v>
      </c>
      <c r="G12" s="3">
        <v>11</v>
      </c>
      <c r="H12" s="3">
        <v>12.1</v>
      </c>
      <c r="I12" s="3" t="s">
        <v>53</v>
      </c>
      <c r="J12" s="1"/>
      <c r="K12" s="1"/>
    </row>
    <row r="13" spans="1:12" ht="28.8" x14ac:dyDescent="0.3">
      <c r="A13" s="3" t="s">
        <v>37</v>
      </c>
      <c r="B13" s="3" t="s">
        <v>50</v>
      </c>
      <c r="C13" s="3">
        <f>27.1+0.1*L1</f>
        <v>27.200000000000003</v>
      </c>
      <c r="D13" s="3">
        <f>27.2-0.1*L1</f>
        <v>27.099999999999998</v>
      </c>
      <c r="E13" s="3">
        <f>27.3+0.3*L1</f>
        <v>27.6</v>
      </c>
      <c r="F13" s="3">
        <v>28.8</v>
      </c>
      <c r="G13" s="3">
        <v>29</v>
      </c>
      <c r="H13" s="3">
        <v>31</v>
      </c>
      <c r="I13" s="3" t="s">
        <v>53</v>
      </c>
      <c r="J13" s="1"/>
      <c r="K13" s="1"/>
    </row>
    <row r="14" spans="1:12" ht="34.200000000000003" customHeight="1" x14ac:dyDescent="0.3">
      <c r="A14" s="3" t="s">
        <v>38</v>
      </c>
      <c r="B14" s="3" t="s">
        <v>51</v>
      </c>
      <c r="C14" s="3">
        <f>1.1+0.5*L1</f>
        <v>1.6</v>
      </c>
      <c r="D14" s="3">
        <f>1.25+0.2*L1</f>
        <v>1.45</v>
      </c>
      <c r="E14" s="3">
        <f>1.27+0.1*L1</f>
        <v>1.37</v>
      </c>
      <c r="F14" s="3">
        <v>1.29</v>
      </c>
      <c r="G14" s="3">
        <v>1.31</v>
      </c>
      <c r="H14" s="3">
        <v>1.5</v>
      </c>
      <c r="I14" s="3" t="s">
        <v>53</v>
      </c>
      <c r="J14" s="1"/>
      <c r="K14" s="1"/>
    </row>
    <row r="15" spans="1:12" ht="28.8" x14ac:dyDescent="0.3">
      <c r="A15" s="3" t="s">
        <v>39</v>
      </c>
      <c r="B15" s="3" t="s">
        <v>52</v>
      </c>
      <c r="C15" s="3">
        <v>0.23</v>
      </c>
      <c r="D15" s="3">
        <v>0.42</v>
      </c>
      <c r="E15" s="3">
        <v>0.35</v>
      </c>
      <c r="F15" s="3" t="s">
        <v>53</v>
      </c>
      <c r="G15" s="3" t="s">
        <v>53</v>
      </c>
      <c r="H15" s="3" t="s">
        <v>53</v>
      </c>
      <c r="I15" s="3" t="s">
        <v>53</v>
      </c>
      <c r="J15" s="1"/>
      <c r="K15" s="1"/>
    </row>
    <row r="16" spans="1:12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4" ht="27" customHeight="1" x14ac:dyDescent="0.3">
      <c r="A18" s="9" t="s">
        <v>0</v>
      </c>
      <c r="B18" s="9" t="s">
        <v>72</v>
      </c>
      <c r="C18" s="9" t="s">
        <v>71</v>
      </c>
      <c r="D18" s="9" t="s">
        <v>70</v>
      </c>
      <c r="E18" s="9"/>
      <c r="F18" s="9"/>
      <c r="I18" s="1"/>
      <c r="J18" s="1"/>
      <c r="K18" s="1"/>
    </row>
    <row r="19" spans="1:14" x14ac:dyDescent="0.3">
      <c r="A19" s="9"/>
      <c r="B19" s="9"/>
      <c r="C19" s="9"/>
      <c r="D19" s="3" t="s">
        <v>22</v>
      </c>
      <c r="E19" s="3" t="s">
        <v>23</v>
      </c>
      <c r="F19" s="3" t="s">
        <v>24</v>
      </c>
      <c r="I19" s="1"/>
      <c r="J19" s="1"/>
      <c r="K19" s="1"/>
    </row>
    <row r="20" spans="1:14" ht="14.4" customHeight="1" x14ac:dyDescent="0.3">
      <c r="A20" s="18" t="s">
        <v>54</v>
      </c>
      <c r="B20" s="19"/>
      <c r="C20" s="19"/>
      <c r="D20" s="19"/>
      <c r="E20" s="19"/>
      <c r="F20" s="20"/>
      <c r="G20" s="1"/>
      <c r="H20" s="1"/>
      <c r="I20" s="1"/>
      <c r="J20" s="1"/>
      <c r="K20" s="1"/>
    </row>
    <row r="21" spans="1:14" x14ac:dyDescent="0.3">
      <c r="A21" s="3" t="s">
        <v>27</v>
      </c>
      <c r="B21" s="3" t="s">
        <v>58</v>
      </c>
      <c r="C21" s="2" t="s">
        <v>73</v>
      </c>
      <c r="D21" s="3">
        <f>C3/F3*$I3</f>
        <v>0.13550561797752808</v>
      </c>
      <c r="E21" s="3">
        <f>D3/G3*$I3</f>
        <v>0.18715909090909091</v>
      </c>
      <c r="F21" s="3">
        <f>E3/H3*$I3</f>
        <v>0.20192307692307693</v>
      </c>
      <c r="G21" s="1"/>
      <c r="H21" s="1"/>
      <c r="I21" s="1"/>
      <c r="J21" s="1"/>
      <c r="K21" s="1"/>
    </row>
    <row r="22" spans="1:14" x14ac:dyDescent="0.3">
      <c r="A22" s="3" t="s">
        <v>28</v>
      </c>
      <c r="B22" s="3" t="s">
        <v>59</v>
      </c>
      <c r="C22" s="2" t="s">
        <v>77</v>
      </c>
      <c r="D22" s="3">
        <f>C4/F4*$I4</f>
        <v>0.10137254901960784</v>
      </c>
      <c r="E22" s="3">
        <f t="shared" ref="E22:F27" si="0">D4/G4*$I4</f>
        <v>0.10682692307692308</v>
      </c>
      <c r="F22" s="3">
        <f t="shared" si="0"/>
        <v>0.10481132075471698</v>
      </c>
      <c r="G22" s="1"/>
      <c r="H22" s="1"/>
      <c r="I22" s="1"/>
      <c r="J22" s="1"/>
      <c r="K22" s="1"/>
    </row>
    <row r="23" spans="1:14" x14ac:dyDescent="0.3">
      <c r="A23" s="3" t="s">
        <v>29</v>
      </c>
      <c r="B23" s="3" t="s">
        <v>60</v>
      </c>
      <c r="C23" s="2" t="s">
        <v>78</v>
      </c>
      <c r="D23" s="3">
        <f>F5/C5*$I5</f>
        <v>0.15049180327868852</v>
      </c>
      <c r="E23" s="3">
        <f>G5/D5*$I5</f>
        <v>0.15347222222222223</v>
      </c>
      <c r="F23" s="3">
        <f>H5/E5*$I5</f>
        <v>0.15017667844522969</v>
      </c>
      <c r="G23" s="1"/>
      <c r="H23" s="1"/>
      <c r="I23" s="1"/>
      <c r="J23" s="1"/>
      <c r="K23" s="1"/>
    </row>
    <row r="24" spans="1:14" ht="28.8" x14ac:dyDescent="0.3">
      <c r="A24" s="3" t="s">
        <v>30</v>
      </c>
      <c r="B24" s="3" t="s">
        <v>61</v>
      </c>
      <c r="C24" s="2" t="s">
        <v>79</v>
      </c>
      <c r="D24" s="3">
        <f>C6/F6*$I6</f>
        <v>0.12945454545454546</v>
      </c>
      <c r="E24" s="3">
        <f t="shared" si="0"/>
        <v>0.14326436781609198</v>
      </c>
      <c r="F24" s="3">
        <f t="shared" si="0"/>
        <v>0.14983783783783783</v>
      </c>
      <c r="G24" s="1"/>
      <c r="H24" s="1"/>
      <c r="I24" s="1"/>
      <c r="J24" s="1"/>
      <c r="K24" s="1"/>
    </row>
    <row r="25" spans="1:14" x14ac:dyDescent="0.3">
      <c r="A25" s="3" t="s">
        <v>31</v>
      </c>
      <c r="B25" s="3" t="s">
        <v>62</v>
      </c>
      <c r="C25" s="2" t="s">
        <v>80</v>
      </c>
      <c r="D25" s="3">
        <f>C7/F7*$I7</f>
        <v>0.10789473684210527</v>
      </c>
      <c r="E25" s="3">
        <f t="shared" si="0"/>
        <v>9.4508670520231222E-2</v>
      </c>
      <c r="F25" s="3">
        <f t="shared" si="0"/>
        <v>9.8255813953488369E-2</v>
      </c>
      <c r="G25" s="1"/>
      <c r="H25" s="1"/>
      <c r="I25" s="1"/>
      <c r="J25" s="1"/>
      <c r="K25" s="1"/>
    </row>
    <row r="26" spans="1:14" x14ac:dyDescent="0.3">
      <c r="A26" s="3" t="s">
        <v>32</v>
      </c>
      <c r="B26" s="3" t="s">
        <v>63</v>
      </c>
      <c r="C26" s="2" t="s">
        <v>81</v>
      </c>
      <c r="D26" s="3">
        <f>C8/F8*$I8</f>
        <v>0.04</v>
      </c>
      <c r="E26" s="3">
        <f t="shared" si="0"/>
        <v>0.02</v>
      </c>
      <c r="F26" s="3">
        <f t="shared" si="0"/>
        <v>2.3333333333333334E-2</v>
      </c>
    </row>
    <row r="27" spans="1:14" x14ac:dyDescent="0.3">
      <c r="A27" s="3" t="s">
        <v>33</v>
      </c>
      <c r="B27" s="3" t="s">
        <v>64</v>
      </c>
      <c r="C27" s="2" t="s">
        <v>82</v>
      </c>
      <c r="D27" s="3">
        <f>C9/F9*$I9</f>
        <v>0.10285714285714287</v>
      </c>
      <c r="E27" s="3">
        <f t="shared" si="0"/>
        <v>0.13333333333333333</v>
      </c>
      <c r="F27" s="3">
        <f t="shared" si="0"/>
        <v>0.11199999999999999</v>
      </c>
    </row>
    <row r="28" spans="1:14" ht="28.8" x14ac:dyDescent="0.3">
      <c r="A28" s="3" t="s">
        <v>34</v>
      </c>
      <c r="B28" s="3" t="s">
        <v>65</v>
      </c>
      <c r="C28" s="2" t="s">
        <v>83</v>
      </c>
      <c r="D28" s="3">
        <f t="shared" ref="D28:F29" si="1">F10/C10*$I10</f>
        <v>6.7948717948717957E-2</v>
      </c>
      <c r="E28" s="3">
        <f t="shared" si="1"/>
        <v>4.573863636363637E-2</v>
      </c>
      <c r="F28" s="3">
        <f t="shared" si="1"/>
        <v>4.3686868686868691E-2</v>
      </c>
    </row>
    <row r="29" spans="1:14" x14ac:dyDescent="0.3">
      <c r="A29" s="3" t="s">
        <v>35</v>
      </c>
      <c r="B29" s="3" t="s">
        <v>66</v>
      </c>
      <c r="C29" s="2" t="s">
        <v>84</v>
      </c>
      <c r="D29" s="3">
        <f t="shared" si="1"/>
        <v>0.11278145695364239</v>
      </c>
      <c r="E29" s="3">
        <f t="shared" si="1"/>
        <v>0.14582608695652174</v>
      </c>
      <c r="F29" s="3">
        <f t="shared" si="1"/>
        <v>0.11545454545454545</v>
      </c>
    </row>
    <row r="30" spans="1:14" ht="28.8" x14ac:dyDescent="0.3">
      <c r="A30" s="3" t="s">
        <v>55</v>
      </c>
      <c r="B30" s="3" t="s">
        <v>67</v>
      </c>
      <c r="C30" s="2" t="s">
        <v>74</v>
      </c>
      <c r="D30" s="3">
        <f>SUM(D21:D29)</f>
        <v>0.9483065703319784</v>
      </c>
      <c r="E30" s="3">
        <f>SUM(E21:E29)</f>
        <v>1.0301293311980508</v>
      </c>
      <c r="F30" s="3">
        <f>SUM(F21:F29)</f>
        <v>0.99947947538909732</v>
      </c>
    </row>
    <row r="31" spans="1:14" ht="28.8" x14ac:dyDescent="0.3">
      <c r="A31" s="3" t="s">
        <v>56</v>
      </c>
      <c r="B31" s="3" t="s">
        <v>68</v>
      </c>
      <c r="C31" s="3" t="s">
        <v>75</v>
      </c>
      <c r="D31" s="3">
        <f>(C12+C13)/(F12+F13)</f>
        <v>0.9678217821782179</v>
      </c>
      <c r="E31" s="3">
        <f>(D12+D13)/(G12+G13)</f>
        <v>0.97</v>
      </c>
      <c r="F31" s="3">
        <f>(E12+E13)/(H12+H13)</f>
        <v>0.90487238979118323</v>
      </c>
    </row>
    <row r="32" spans="1:14" ht="43.2" customHeight="1" x14ac:dyDescent="0.3">
      <c r="A32" s="3" t="s">
        <v>57</v>
      </c>
      <c r="B32" s="3" t="s">
        <v>69</v>
      </c>
      <c r="C32" s="2" t="s">
        <v>76</v>
      </c>
      <c r="D32" s="3">
        <f>D30/D31</f>
        <v>0.97983594479314384</v>
      </c>
      <c r="E32" s="3">
        <f>E30/E31</f>
        <v>1.0619890012351041</v>
      </c>
      <c r="F32" s="3">
        <f>F30/F31</f>
        <v>1.1045529586992333</v>
      </c>
      <c r="H32" s="17" t="s">
        <v>127</v>
      </c>
      <c r="I32" s="17"/>
      <c r="J32" s="17"/>
      <c r="K32" s="17"/>
      <c r="L32" s="17"/>
      <c r="M32" s="17"/>
      <c r="N32" s="8"/>
    </row>
    <row r="33" spans="1:14" ht="14.4" customHeight="1" x14ac:dyDescent="0.3">
      <c r="H33" s="17"/>
      <c r="I33" s="17"/>
      <c r="J33" s="17"/>
      <c r="K33" s="17"/>
      <c r="L33" s="17"/>
      <c r="M33" s="17"/>
      <c r="N33" s="8"/>
    </row>
    <row r="34" spans="1:14" ht="25.8" customHeight="1" x14ac:dyDescent="0.3">
      <c r="A34" s="16" t="s">
        <v>85</v>
      </c>
      <c r="B34" s="16"/>
      <c r="C34" s="16"/>
      <c r="D34" s="2">
        <f>C15*(C14*D32/F14)+D15*(D14*E32/G14)+E15*(E14*F32/H14)</f>
        <v>1.1263111374722887</v>
      </c>
      <c r="H34" s="17"/>
      <c r="I34" s="17"/>
      <c r="J34" s="17"/>
      <c r="K34" s="17"/>
      <c r="L34" s="17"/>
      <c r="M34" s="17"/>
      <c r="N34" s="8"/>
    </row>
    <row r="35" spans="1:14" ht="14.4" customHeight="1" x14ac:dyDescent="0.3">
      <c r="H35" s="17"/>
      <c r="I35" s="17"/>
      <c r="J35" s="17"/>
      <c r="K35" s="17"/>
      <c r="L35" s="17"/>
      <c r="M35" s="17"/>
      <c r="N35" s="8"/>
    </row>
    <row r="36" spans="1:14" ht="14.4" customHeight="1" x14ac:dyDescent="0.3">
      <c r="H36" s="17"/>
      <c r="I36" s="17"/>
      <c r="J36" s="17"/>
      <c r="K36" s="17"/>
      <c r="L36" s="17"/>
      <c r="M36" s="17"/>
    </row>
    <row r="37" spans="1:14" x14ac:dyDescent="0.3">
      <c r="H37" s="17"/>
      <c r="I37" s="17"/>
      <c r="J37" s="17"/>
      <c r="K37" s="17"/>
      <c r="L37" s="17"/>
      <c r="M37" s="17"/>
    </row>
  </sheetData>
  <mergeCells count="12">
    <mergeCell ref="A34:C34"/>
    <mergeCell ref="H32:M37"/>
    <mergeCell ref="B18:B19"/>
    <mergeCell ref="A18:A19"/>
    <mergeCell ref="D18:F18"/>
    <mergeCell ref="C18:C19"/>
    <mergeCell ref="A20:F20"/>
    <mergeCell ref="C1:E1"/>
    <mergeCell ref="F1:H1"/>
    <mergeCell ref="A1:A2"/>
    <mergeCell ref="B1:B2"/>
    <mergeCell ref="I1:I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B9567-56C1-4281-A38D-7C7F6D5FB7B6}">
  <dimension ref="A1:T48"/>
  <sheetViews>
    <sheetView topLeftCell="A25" workbookViewId="0">
      <selection activeCell="G29" sqref="G29"/>
    </sheetView>
  </sheetViews>
  <sheetFormatPr defaultRowHeight="14.4" x14ac:dyDescent="0.3"/>
  <cols>
    <col min="1" max="1" width="16.33203125" customWidth="1"/>
    <col min="6" max="6" width="11" customWidth="1"/>
    <col min="7" max="7" width="14.77734375" customWidth="1"/>
    <col min="8" max="8" width="12.33203125" customWidth="1"/>
    <col min="9" max="9" width="12.77734375" customWidth="1"/>
    <col min="10" max="10" width="23.21875" customWidth="1"/>
    <col min="11" max="11" width="14.21875" customWidth="1"/>
    <col min="12" max="12" width="13.6640625" customWidth="1"/>
    <col min="13" max="13" width="12.77734375" customWidth="1"/>
    <col min="16" max="16" width="20.5546875" customWidth="1"/>
    <col min="17" max="17" width="20.44140625" customWidth="1"/>
    <col min="18" max="18" width="20.21875" customWidth="1"/>
  </cols>
  <sheetData>
    <row r="1" spans="1:7" ht="30" customHeight="1" x14ac:dyDescent="0.3">
      <c r="A1" s="9" t="s">
        <v>86</v>
      </c>
      <c r="B1" s="9" t="s">
        <v>87</v>
      </c>
      <c r="C1" s="9"/>
      <c r="D1" s="9"/>
      <c r="F1" s="2" t="s">
        <v>17</v>
      </c>
      <c r="G1" s="2">
        <v>1</v>
      </c>
    </row>
    <row r="2" spans="1:7" x14ac:dyDescent="0.3">
      <c r="A2" s="9"/>
      <c r="B2" s="3" t="s">
        <v>88</v>
      </c>
      <c r="C2" s="3" t="s">
        <v>89</v>
      </c>
      <c r="D2" s="3" t="s">
        <v>90</v>
      </c>
    </row>
    <row r="3" spans="1:7" x14ac:dyDescent="0.3">
      <c r="A3" s="2" t="s">
        <v>91</v>
      </c>
      <c r="B3" s="2">
        <v>15.2</v>
      </c>
      <c r="C3" s="2">
        <f>B3-0.8*G1</f>
        <v>14.399999999999999</v>
      </c>
      <c r="D3" s="2">
        <f>B3+1.3*G1</f>
        <v>16.5</v>
      </c>
    </row>
    <row r="4" spans="1:7" x14ac:dyDescent="0.3">
      <c r="A4" s="2" t="s">
        <v>92</v>
      </c>
      <c r="B4" s="2">
        <f>8.4*G1</f>
        <v>8.4</v>
      </c>
      <c r="C4" s="2">
        <f>B4+0.5*G1</f>
        <v>8.9</v>
      </c>
      <c r="D4" s="2">
        <f>B4+0.7*G1</f>
        <v>9.1</v>
      </c>
    </row>
    <row r="5" spans="1:7" x14ac:dyDescent="0.3">
      <c r="A5" s="2" t="s">
        <v>93</v>
      </c>
      <c r="B5" s="2">
        <v>31.5</v>
      </c>
      <c r="C5" s="2">
        <f>B5+1.9*G1</f>
        <v>33.4</v>
      </c>
      <c r="D5" s="2">
        <f>B5-0.3*G1</f>
        <v>31.2</v>
      </c>
    </row>
    <row r="6" spans="1:7" x14ac:dyDescent="0.3">
      <c r="A6" s="2" t="s">
        <v>94</v>
      </c>
      <c r="B6" s="2">
        <v>17</v>
      </c>
      <c r="C6" s="2">
        <f>B6+0.2*G1</f>
        <v>17.2</v>
      </c>
      <c r="D6" s="2">
        <f>B6+0.4*G1</f>
        <v>17.399999999999999</v>
      </c>
    </row>
    <row r="7" spans="1:7" x14ac:dyDescent="0.3">
      <c r="A7" s="2" t="s">
        <v>95</v>
      </c>
      <c r="B7" s="2">
        <v>211.5</v>
      </c>
      <c r="C7" s="2">
        <f>B7-0.1*G1</f>
        <v>211.4</v>
      </c>
      <c r="D7" s="2">
        <f>B7+0.2*G1</f>
        <v>211.7</v>
      </c>
    </row>
    <row r="8" spans="1:7" x14ac:dyDescent="0.3">
      <c r="A8" s="2" t="s">
        <v>96</v>
      </c>
      <c r="B8" s="2">
        <v>26.9</v>
      </c>
      <c r="C8" s="2">
        <f>B8+0.7*G1</f>
        <v>27.599999999999998</v>
      </c>
      <c r="D8" s="2">
        <f>B8+0.3*G1</f>
        <v>27.2</v>
      </c>
    </row>
    <row r="9" spans="1:7" x14ac:dyDescent="0.3">
      <c r="A9" s="2" t="s">
        <v>97</v>
      </c>
      <c r="B9" s="2">
        <f>2.4*G1</f>
        <v>2.4</v>
      </c>
      <c r="C9" s="2">
        <f>B9+0.1*G1</f>
        <v>2.5</v>
      </c>
      <c r="D9" s="2">
        <f>B9-0.1*G1</f>
        <v>2.2999999999999998</v>
      </c>
    </row>
    <row r="10" spans="1:7" x14ac:dyDescent="0.3">
      <c r="A10" s="2" t="s">
        <v>98</v>
      </c>
      <c r="B10" s="2">
        <v>55.6</v>
      </c>
      <c r="C10" s="2">
        <f>B10-0.3*G1</f>
        <v>55.300000000000004</v>
      </c>
      <c r="D10" s="2">
        <f>B10-0.5*G1</f>
        <v>55.1</v>
      </c>
    </row>
    <row r="11" spans="1:7" x14ac:dyDescent="0.3">
      <c r="A11" s="2" t="s">
        <v>99</v>
      </c>
      <c r="B11" s="2">
        <v>183.1</v>
      </c>
      <c r="C11" s="2">
        <f>B11+0.3*G1</f>
        <v>183.4</v>
      </c>
      <c r="D11" s="2">
        <f>B11+0.1*G1</f>
        <v>183.2</v>
      </c>
    </row>
    <row r="12" spans="1:7" x14ac:dyDescent="0.3">
      <c r="A12" s="2" t="s">
        <v>100</v>
      </c>
      <c r="B12" s="2">
        <v>320.39999999999998</v>
      </c>
      <c r="C12" s="2">
        <f>B12+0.2*G1</f>
        <v>320.59999999999997</v>
      </c>
      <c r="D12" s="2">
        <f>B12-0.1*G1</f>
        <v>320.29999999999995</v>
      </c>
    </row>
    <row r="13" spans="1:7" x14ac:dyDescent="0.3">
      <c r="A13" s="2" t="s">
        <v>101</v>
      </c>
      <c r="B13" s="2">
        <v>15.9</v>
      </c>
      <c r="C13" s="2">
        <f>B13+1.3*G1</f>
        <v>17.2</v>
      </c>
      <c r="D13" s="2">
        <f>B13+1*G1</f>
        <v>16.899999999999999</v>
      </c>
    </row>
    <row r="14" spans="1:7" x14ac:dyDescent="0.3">
      <c r="A14" s="2" t="s">
        <v>102</v>
      </c>
      <c r="B14" s="2">
        <f>11.8*G1</f>
        <v>11.8</v>
      </c>
      <c r="C14" s="2">
        <f>B14+0.8*G1</f>
        <v>12.600000000000001</v>
      </c>
      <c r="D14" s="2">
        <f>B14-0.2*G1</f>
        <v>11.600000000000001</v>
      </c>
    </row>
    <row r="15" spans="1:7" x14ac:dyDescent="0.3">
      <c r="A15" s="2" t="s">
        <v>103</v>
      </c>
      <c r="B15" s="2">
        <v>105.4</v>
      </c>
      <c r="C15" s="2">
        <f>B15+0.7*G1</f>
        <v>106.10000000000001</v>
      </c>
      <c r="D15" s="2">
        <f>B15+0.3*G1</f>
        <v>105.7</v>
      </c>
    </row>
    <row r="16" spans="1:7" x14ac:dyDescent="0.3">
      <c r="A16" s="2" t="s">
        <v>104</v>
      </c>
      <c r="B16" s="2">
        <v>15.4</v>
      </c>
      <c r="C16" s="2">
        <f>B16-0.1*G1</f>
        <v>15.3</v>
      </c>
      <c r="D16" s="2">
        <f>B16+0.1*G1</f>
        <v>15.5</v>
      </c>
    </row>
    <row r="17" spans="1:20" x14ac:dyDescent="0.3">
      <c r="A17" s="2" t="s">
        <v>105</v>
      </c>
      <c r="B17" s="2">
        <v>61.3</v>
      </c>
      <c r="C17" s="2">
        <f>B17+0.3*G1</f>
        <v>61.599999999999994</v>
      </c>
      <c r="D17" s="2">
        <f>B17+0.2*G1</f>
        <v>61.5</v>
      </c>
    </row>
    <row r="18" spans="1:20" x14ac:dyDescent="0.3">
      <c r="A18" s="2" t="s">
        <v>106</v>
      </c>
      <c r="B18" s="2">
        <v>30.2</v>
      </c>
      <c r="C18" s="2">
        <f>B18+1.1*G1</f>
        <v>31.3</v>
      </c>
      <c r="D18" s="2">
        <f>B18+0.8*G1</f>
        <v>31</v>
      </c>
    </row>
    <row r="19" spans="1:20" x14ac:dyDescent="0.3">
      <c r="A19" s="2" t="s">
        <v>107</v>
      </c>
      <c r="B19" s="2">
        <v>277.39999999999998</v>
      </c>
      <c r="C19" s="2">
        <f>B19+0.3*G1</f>
        <v>277.7</v>
      </c>
      <c r="D19" s="2">
        <f>B19+0.5*G1</f>
        <v>277.89999999999998</v>
      </c>
    </row>
    <row r="20" spans="1:20" x14ac:dyDescent="0.3">
      <c r="A20" s="2" t="s">
        <v>108</v>
      </c>
      <c r="B20" s="2">
        <v>75.599999999999994</v>
      </c>
      <c r="C20" s="2">
        <f>B20-0.4*G1</f>
        <v>75.199999999999989</v>
      </c>
      <c r="D20" s="2">
        <f>B20-0.3*G1</f>
        <v>75.3</v>
      </c>
    </row>
    <row r="21" spans="1:20" x14ac:dyDescent="0.3">
      <c r="A21" s="2" t="s">
        <v>109</v>
      </c>
      <c r="B21" s="2">
        <v>53.8</v>
      </c>
      <c r="C21" s="2">
        <f>B21+0.1*G1</f>
        <v>53.9</v>
      </c>
      <c r="D21" s="2">
        <f>B21+0.5*G1</f>
        <v>54.3</v>
      </c>
    </row>
    <row r="22" spans="1:20" x14ac:dyDescent="0.3">
      <c r="A22" s="2" t="s">
        <v>110</v>
      </c>
      <c r="B22" s="2">
        <f>14.3*G1</f>
        <v>14.3</v>
      </c>
      <c r="C22" s="2">
        <f>B22-0.2*G1</f>
        <v>14.100000000000001</v>
      </c>
      <c r="D22" s="2">
        <f>B22+0.3*G1</f>
        <v>14.600000000000001</v>
      </c>
    </row>
    <row r="25" spans="1:20" ht="46.2" customHeight="1" x14ac:dyDescent="0.3">
      <c r="A25" s="9" t="s">
        <v>86</v>
      </c>
      <c r="B25" s="9" t="s">
        <v>87</v>
      </c>
      <c r="C25" s="9"/>
      <c r="D25" s="9"/>
      <c r="E25" s="9"/>
      <c r="F25" s="21" t="s">
        <v>112</v>
      </c>
      <c r="G25" s="21" t="s">
        <v>113</v>
      </c>
      <c r="H25" s="21" t="s">
        <v>118</v>
      </c>
      <c r="I25" s="21" t="s">
        <v>117</v>
      </c>
      <c r="J25" s="9" t="s">
        <v>115</v>
      </c>
      <c r="K25" s="9" t="s">
        <v>116</v>
      </c>
      <c r="L25" s="9" t="s">
        <v>119</v>
      </c>
      <c r="M25" s="9" t="s">
        <v>120</v>
      </c>
    </row>
    <row r="26" spans="1:20" x14ac:dyDescent="0.3">
      <c r="A26" s="9"/>
      <c r="B26" s="3" t="s">
        <v>88</v>
      </c>
      <c r="C26" s="3" t="s">
        <v>89</v>
      </c>
      <c r="D26" s="3" t="s">
        <v>90</v>
      </c>
      <c r="E26" s="4" t="s">
        <v>111</v>
      </c>
      <c r="F26" s="22"/>
      <c r="G26" s="22"/>
      <c r="H26" s="22"/>
      <c r="I26" s="22"/>
      <c r="J26" s="9"/>
      <c r="K26" s="9"/>
      <c r="L26" s="9"/>
      <c r="M26" s="9"/>
      <c r="O26" s="13" t="s">
        <v>126</v>
      </c>
      <c r="P26" s="13"/>
      <c r="Q26" s="13"/>
      <c r="R26" s="13"/>
    </row>
    <row r="27" spans="1:20" x14ac:dyDescent="0.3">
      <c r="A27" s="2" t="s">
        <v>100</v>
      </c>
      <c r="B27" s="2">
        <v>320.39999999999998</v>
      </c>
      <c r="C27" s="2">
        <f>B27+0.2*G1</f>
        <v>320.59999999999997</v>
      </c>
      <c r="D27" s="2">
        <f>B27-0.1*G1</f>
        <v>320.29999999999995</v>
      </c>
      <c r="E27" s="2">
        <f t="shared" ref="E27:E46" si="0">SUM(B27:D27)</f>
        <v>961.3</v>
      </c>
      <c r="F27" s="2">
        <f>E27/E47*100</f>
        <v>20.936969116173721</v>
      </c>
      <c r="G27" s="2">
        <f>E27/E47*100</f>
        <v>20.936969116173721</v>
      </c>
      <c r="H27" s="2" t="str">
        <f>IF(AND(G27&gt;0,G27&lt;=80),"A",IF(AND(G27&gt;80,G27&lt;=95),"B","C"))</f>
        <v>A</v>
      </c>
      <c r="I27" s="2">
        <f>SUM(B27:D27)/3</f>
        <v>320.43333333333334</v>
      </c>
      <c r="J27" s="2">
        <f>SQRT(((B27-I27)^2+(C27-I27)^2+(D27-I27)^2)/3)</f>
        <v>0.12472191289246776</v>
      </c>
      <c r="K27" s="2">
        <f>J27/I27*100</f>
        <v>3.8922889699095319E-2</v>
      </c>
      <c r="L27" s="2" t="str">
        <f>IF(AND(K27&gt;0,K27&lt;=9),"X",IF(AND(K27&gt;10,K27&lt;=25),"Y","Z"))</f>
        <v>X</v>
      </c>
      <c r="M27" s="2" t="str">
        <f>_xlfn.CONCAT(H27,L27)</f>
        <v>AX</v>
      </c>
      <c r="O27" s="2"/>
      <c r="P27" s="2" t="s">
        <v>2</v>
      </c>
      <c r="Q27" s="2" t="s">
        <v>3</v>
      </c>
      <c r="R27" s="2" t="s">
        <v>4</v>
      </c>
    </row>
    <row r="28" spans="1:20" ht="14.4" customHeight="1" x14ac:dyDescent="0.3">
      <c r="A28" s="2" t="s">
        <v>107</v>
      </c>
      <c r="B28" s="2">
        <v>277.39999999999998</v>
      </c>
      <c r="C28" s="2">
        <f>B28+0.3*G1</f>
        <v>277.7</v>
      </c>
      <c r="D28" s="2">
        <f>B28+0.5*G1</f>
        <v>277.89999999999998</v>
      </c>
      <c r="E28" s="2">
        <f t="shared" si="0"/>
        <v>832.99999999999989</v>
      </c>
      <c r="F28" s="2">
        <f>E28/E47*100</f>
        <v>18.142614453107985</v>
      </c>
      <c r="G28" s="2">
        <f>G27+F28</f>
        <v>39.079583569281709</v>
      </c>
      <c r="H28" s="2" t="str">
        <f t="shared" ref="H28:H45" si="1">IF(AND(G28&gt;0,G28&lt;=80),"A",IF(AND(G28&gt;80,G28&lt;=95),"B","C"))</f>
        <v>A</v>
      </c>
      <c r="I28" s="2">
        <f t="shared" ref="I28:I46" si="2">SUM(B28:D28)/3</f>
        <v>277.66666666666663</v>
      </c>
      <c r="J28" s="2">
        <f>SQRT(((B28-I28)^2+(C28-I28)^2+(D28-I28)^2)/3)</f>
        <v>0.20548046676563317</v>
      </c>
      <c r="K28" s="2">
        <f t="shared" ref="K28:K46" si="3">J28/I28*100</f>
        <v>7.4002569063253254E-2</v>
      </c>
      <c r="L28" s="2" t="str">
        <f t="shared" ref="L28:L46" si="4">IF(AND(K28&gt;0,K28&lt;=9),"X",IF(AND(K28&gt;10,K28&lt;=25),"Y","Z"))</f>
        <v>X</v>
      </c>
      <c r="M28" s="2" t="str">
        <f t="shared" ref="M28:M46" si="5">_xlfn.CONCAT(H28,L28)</f>
        <v>AX</v>
      </c>
      <c r="O28" s="2" t="s">
        <v>121</v>
      </c>
      <c r="P28" s="3" t="s">
        <v>128</v>
      </c>
      <c r="Q28" s="3" t="s">
        <v>129</v>
      </c>
      <c r="R28" s="3" t="s">
        <v>130</v>
      </c>
    </row>
    <row r="29" spans="1:20" x14ac:dyDescent="0.3">
      <c r="A29" s="2" t="s">
        <v>95</v>
      </c>
      <c r="B29" s="2">
        <v>211.5</v>
      </c>
      <c r="C29" s="2">
        <f>B29-0.1*G1</f>
        <v>211.4</v>
      </c>
      <c r="D29" s="2">
        <f>B29+0.2*G1</f>
        <v>211.7</v>
      </c>
      <c r="E29" s="2">
        <f t="shared" si="0"/>
        <v>634.59999999999991</v>
      </c>
      <c r="F29" s="2">
        <f>E29/E47*100</f>
        <v>13.821492355272905</v>
      </c>
      <c r="G29" s="2">
        <f t="shared" ref="G29:G46" si="6">G28+F29</f>
        <v>52.901075924554618</v>
      </c>
      <c r="H29" s="2" t="str">
        <f t="shared" si="1"/>
        <v>A</v>
      </c>
      <c r="I29" s="2">
        <f t="shared" si="2"/>
        <v>211.5333333333333</v>
      </c>
      <c r="J29" s="2">
        <f t="shared" ref="J29:J46" si="7">SQRT(((B29-I29)^2+(C29-I29)^2+(D29-I29)^2)/3)</f>
        <v>0.12472191289245763</v>
      </c>
      <c r="K29" s="2">
        <f t="shared" si="3"/>
        <v>5.896087908562448E-2</v>
      </c>
      <c r="L29" s="2" t="str">
        <f t="shared" si="4"/>
        <v>X</v>
      </c>
      <c r="M29" s="2" t="str">
        <f t="shared" si="5"/>
        <v>AX</v>
      </c>
      <c r="O29" s="2" t="s">
        <v>122</v>
      </c>
      <c r="P29" s="3" t="s">
        <v>53</v>
      </c>
      <c r="Q29" s="3" t="s">
        <v>53</v>
      </c>
      <c r="R29" s="3" t="s">
        <v>53</v>
      </c>
    </row>
    <row r="30" spans="1:20" x14ac:dyDescent="0.3">
      <c r="A30" s="2" t="s">
        <v>99</v>
      </c>
      <c r="B30" s="2">
        <v>183.1</v>
      </c>
      <c r="C30" s="2">
        <f>B30+0.3*G1</f>
        <v>183.4</v>
      </c>
      <c r="D30" s="2">
        <f>B30+0.1*G1</f>
        <v>183.2</v>
      </c>
      <c r="E30" s="2">
        <f t="shared" si="0"/>
        <v>549.70000000000005</v>
      </c>
      <c r="F30" s="2">
        <f>E30/E47*100</f>
        <v>11.972383151108598</v>
      </c>
      <c r="G30" s="2">
        <f t="shared" si="6"/>
        <v>64.87345907566322</v>
      </c>
      <c r="H30" s="2" t="str">
        <f t="shared" si="1"/>
        <v>A</v>
      </c>
      <c r="I30" s="2">
        <f t="shared" si="2"/>
        <v>183.23333333333335</v>
      </c>
      <c r="J30" s="2">
        <f t="shared" si="7"/>
        <v>0.12472191289247028</v>
      </c>
      <c r="K30" s="2">
        <f t="shared" si="3"/>
        <v>6.8067261902385087E-2</v>
      </c>
      <c r="L30" s="2" t="str">
        <f t="shared" si="4"/>
        <v>X</v>
      </c>
      <c r="M30" s="2" t="str">
        <f t="shared" si="5"/>
        <v>AX</v>
      </c>
      <c r="O30" s="2" t="s">
        <v>123</v>
      </c>
      <c r="P30" s="3" t="s">
        <v>53</v>
      </c>
      <c r="Q30" s="3">
        <v>3</v>
      </c>
      <c r="R30" s="3" t="s">
        <v>53</v>
      </c>
    </row>
    <row r="31" spans="1:20" x14ac:dyDescent="0.3">
      <c r="A31" s="2" t="s">
        <v>103</v>
      </c>
      <c r="B31" s="2">
        <v>105.4</v>
      </c>
      <c r="C31" s="2">
        <f>B31+0.7*G1</f>
        <v>106.10000000000001</v>
      </c>
      <c r="D31" s="2">
        <f>B31+0.3*G1</f>
        <v>105.7</v>
      </c>
      <c r="E31" s="2">
        <f t="shared" si="0"/>
        <v>317.2</v>
      </c>
      <c r="F31" s="2">
        <f>E31/E47*100</f>
        <v>6.9085681927081071</v>
      </c>
      <c r="G31" s="2">
        <f t="shared" si="6"/>
        <v>71.782027268371323</v>
      </c>
      <c r="H31" s="2" t="str">
        <f t="shared" si="1"/>
        <v>A</v>
      </c>
      <c r="I31" s="2">
        <f t="shared" si="2"/>
        <v>105.73333333333333</v>
      </c>
      <c r="J31" s="2">
        <f t="shared" si="7"/>
        <v>0.2867441755680889</v>
      </c>
      <c r="K31" s="2">
        <f t="shared" si="3"/>
        <v>0.27119562632543087</v>
      </c>
      <c r="L31" s="2" t="str">
        <f t="shared" si="4"/>
        <v>X</v>
      </c>
      <c r="M31" s="2" t="str">
        <f t="shared" si="5"/>
        <v>AX</v>
      </c>
    </row>
    <row r="32" spans="1:20" ht="14.4" customHeight="1" x14ac:dyDescent="0.3">
      <c r="A32" s="2" t="s">
        <v>108</v>
      </c>
      <c r="B32" s="2">
        <v>75.599999999999994</v>
      </c>
      <c r="C32" s="2">
        <f>B32-0.4*G1</f>
        <v>75.199999999999989</v>
      </c>
      <c r="D32" s="2">
        <f>B32-0.3*G1</f>
        <v>75.3</v>
      </c>
      <c r="E32" s="2">
        <f t="shared" si="0"/>
        <v>226.09999999999997</v>
      </c>
      <c r="F32" s="2">
        <f>E32/E47*100</f>
        <v>4.9244239229864535</v>
      </c>
      <c r="G32" s="2">
        <f t="shared" si="6"/>
        <v>76.706451191357772</v>
      </c>
      <c r="H32" s="2" t="str">
        <f t="shared" si="1"/>
        <v>A</v>
      </c>
      <c r="I32" s="2">
        <f t="shared" si="2"/>
        <v>75.36666666666666</v>
      </c>
      <c r="J32" s="2">
        <f t="shared" si="7"/>
        <v>0.16996731711976099</v>
      </c>
      <c r="K32" s="2">
        <f t="shared" si="3"/>
        <v>0.22552054460826315</v>
      </c>
      <c r="L32" s="2" t="str">
        <f t="shared" si="4"/>
        <v>X</v>
      </c>
      <c r="M32" s="2" t="str">
        <f t="shared" si="5"/>
        <v>AX</v>
      </c>
      <c r="O32" s="23" t="s">
        <v>133</v>
      </c>
      <c r="P32" s="23"/>
      <c r="Q32" s="23"/>
      <c r="R32" s="23"/>
      <c r="S32" s="23"/>
      <c r="T32" s="23"/>
    </row>
    <row r="33" spans="1:20" x14ac:dyDescent="0.3">
      <c r="A33" s="2" t="s">
        <v>105</v>
      </c>
      <c r="B33" s="2">
        <v>61.3</v>
      </c>
      <c r="C33" s="2">
        <f>B33+0.3*G1</f>
        <v>61.599999999999994</v>
      </c>
      <c r="D33" s="2">
        <f>B33+0.2*G1</f>
        <v>61.5</v>
      </c>
      <c r="E33" s="2">
        <f t="shared" si="0"/>
        <v>184.39999999999998</v>
      </c>
      <c r="F33" s="2">
        <f>E33/E47*100</f>
        <v>4.016204207866882</v>
      </c>
      <c r="G33" s="2">
        <f t="shared" si="6"/>
        <v>80.722655399224649</v>
      </c>
      <c r="H33" s="2" t="str">
        <f t="shared" si="1"/>
        <v>B</v>
      </c>
      <c r="I33" s="2">
        <f t="shared" si="2"/>
        <v>61.466666666666661</v>
      </c>
      <c r="J33" s="2">
        <f t="shared" si="7"/>
        <v>0.12472191289246395</v>
      </c>
      <c r="K33" s="2">
        <f t="shared" si="3"/>
        <v>0.20290983659294573</v>
      </c>
      <c r="L33" s="2" t="str">
        <f t="shared" si="4"/>
        <v>X</v>
      </c>
      <c r="M33" s="2" t="str">
        <f t="shared" si="5"/>
        <v>BX</v>
      </c>
      <c r="O33" s="23"/>
      <c r="P33" s="23"/>
      <c r="Q33" s="23"/>
      <c r="R33" s="23"/>
      <c r="S33" s="23"/>
      <c r="T33" s="23"/>
    </row>
    <row r="34" spans="1:20" x14ac:dyDescent="0.3">
      <c r="A34" s="2" t="s">
        <v>98</v>
      </c>
      <c r="B34" s="2">
        <v>55.6</v>
      </c>
      <c r="C34" s="2">
        <f>B34-0.3*G1</f>
        <v>55.300000000000004</v>
      </c>
      <c r="D34" s="2">
        <f>B34-0.5*G1</f>
        <v>55.1</v>
      </c>
      <c r="E34" s="2">
        <f t="shared" si="0"/>
        <v>166</v>
      </c>
      <c r="F34" s="2">
        <f>E34/E47*100</f>
        <v>3.6154549810515322</v>
      </c>
      <c r="G34" s="2">
        <f t="shared" si="6"/>
        <v>84.338110380276177</v>
      </c>
      <c r="H34" s="2" t="str">
        <f t="shared" si="1"/>
        <v>B</v>
      </c>
      <c r="I34" s="2">
        <f t="shared" si="2"/>
        <v>55.333333333333336</v>
      </c>
      <c r="J34" s="2">
        <f t="shared" si="7"/>
        <v>0.20548046676563239</v>
      </c>
      <c r="K34" s="2">
        <f t="shared" si="3"/>
        <v>0.37135024114270915</v>
      </c>
      <c r="L34" s="2" t="str">
        <f t="shared" si="4"/>
        <v>X</v>
      </c>
      <c r="M34" s="2" t="str">
        <f t="shared" si="5"/>
        <v>BX</v>
      </c>
      <c r="O34" s="23"/>
      <c r="P34" s="23"/>
      <c r="Q34" s="23"/>
      <c r="R34" s="23"/>
      <c r="S34" s="23"/>
      <c r="T34" s="23"/>
    </row>
    <row r="35" spans="1:20" x14ac:dyDescent="0.3">
      <c r="A35" s="2" t="s">
        <v>109</v>
      </c>
      <c r="B35" s="2">
        <v>53.8</v>
      </c>
      <c r="C35" s="2">
        <f>B35+0.1*G1</f>
        <v>53.9</v>
      </c>
      <c r="D35" s="2">
        <f>B35+0.5*G1</f>
        <v>54.3</v>
      </c>
      <c r="E35" s="2">
        <f t="shared" si="0"/>
        <v>162</v>
      </c>
      <c r="F35" s="2">
        <f>E35/E47*100</f>
        <v>3.5283355839177606</v>
      </c>
      <c r="G35" s="2">
        <f t="shared" si="6"/>
        <v>87.866445964193943</v>
      </c>
      <c r="H35" s="2" t="str">
        <f t="shared" si="1"/>
        <v>B</v>
      </c>
      <c r="I35" s="2">
        <f t="shared" si="2"/>
        <v>54</v>
      </c>
      <c r="J35" s="2">
        <f t="shared" si="7"/>
        <v>0.21602468994692844</v>
      </c>
      <c r="K35" s="2">
        <f t="shared" si="3"/>
        <v>0.40004572212394157</v>
      </c>
      <c r="L35" s="2" t="str">
        <f t="shared" si="4"/>
        <v>X</v>
      </c>
      <c r="M35" s="2" t="str">
        <f t="shared" si="5"/>
        <v>BX</v>
      </c>
      <c r="O35" s="23"/>
      <c r="P35" s="23"/>
      <c r="Q35" s="23"/>
      <c r="R35" s="23"/>
      <c r="S35" s="23"/>
      <c r="T35" s="23"/>
    </row>
    <row r="36" spans="1:20" x14ac:dyDescent="0.3">
      <c r="A36" s="2" t="s">
        <v>110</v>
      </c>
      <c r="B36" s="2">
        <f>14.3*G1</f>
        <v>14.3</v>
      </c>
      <c r="C36" s="2">
        <f>B36-0.2*G1</f>
        <v>14.100000000000001</v>
      </c>
      <c r="D36" s="2">
        <f>B36+0.3*G1</f>
        <v>14.600000000000001</v>
      </c>
      <c r="E36" s="2">
        <f t="shared" si="0"/>
        <v>43</v>
      </c>
      <c r="F36" s="2">
        <f>E36/E47*100</f>
        <v>0.93653351918804739</v>
      </c>
      <c r="G36" s="2">
        <f t="shared" si="6"/>
        <v>88.802979483381989</v>
      </c>
      <c r="H36" s="2" t="str">
        <f t="shared" si="1"/>
        <v>B</v>
      </c>
      <c r="I36" s="2">
        <f t="shared" si="2"/>
        <v>14.333333333333334</v>
      </c>
      <c r="J36" s="2">
        <f t="shared" si="7"/>
        <v>0.20548046676563259</v>
      </c>
      <c r="K36" s="2">
        <f t="shared" si="3"/>
        <v>1.4335846518532507</v>
      </c>
      <c r="L36" s="2" t="str">
        <f t="shared" si="4"/>
        <v>X</v>
      </c>
      <c r="M36" s="2" t="str">
        <f t="shared" si="5"/>
        <v>BX</v>
      </c>
      <c r="O36" s="23"/>
      <c r="P36" s="23"/>
      <c r="Q36" s="23"/>
      <c r="R36" s="23"/>
      <c r="S36" s="23"/>
      <c r="T36" s="23"/>
    </row>
    <row r="37" spans="1:20" x14ac:dyDescent="0.3">
      <c r="A37" s="2" t="s">
        <v>102</v>
      </c>
      <c r="B37" s="2">
        <f>11.8*G1</f>
        <v>11.8</v>
      </c>
      <c r="C37" s="2">
        <f>B37+0.8*G1</f>
        <v>12.600000000000001</v>
      </c>
      <c r="D37" s="2">
        <f>B37-0.2*G1</f>
        <v>11.600000000000001</v>
      </c>
      <c r="E37" s="2">
        <f t="shared" si="0"/>
        <v>36</v>
      </c>
      <c r="F37" s="2">
        <f>E37/E47*100</f>
        <v>0.78407457420394677</v>
      </c>
      <c r="G37" s="2">
        <f t="shared" si="6"/>
        <v>89.587054057585931</v>
      </c>
      <c r="H37" s="2" t="str">
        <f t="shared" si="1"/>
        <v>B</v>
      </c>
      <c r="I37" s="2">
        <f t="shared" si="2"/>
        <v>12</v>
      </c>
      <c r="J37" s="2">
        <f t="shared" si="7"/>
        <v>0.43204937989385744</v>
      </c>
      <c r="K37" s="2">
        <f t="shared" si="3"/>
        <v>3.6004114991154785</v>
      </c>
      <c r="L37" s="2" t="str">
        <f t="shared" si="4"/>
        <v>X</v>
      </c>
      <c r="M37" s="2" t="str">
        <f t="shared" si="5"/>
        <v>BX</v>
      </c>
      <c r="O37" s="23"/>
      <c r="P37" s="23"/>
      <c r="Q37" s="23"/>
      <c r="R37" s="23"/>
      <c r="S37" s="23"/>
      <c r="T37" s="23"/>
    </row>
    <row r="38" spans="1:20" x14ac:dyDescent="0.3">
      <c r="A38" s="2" t="s">
        <v>93</v>
      </c>
      <c r="B38" s="2">
        <v>31.5</v>
      </c>
      <c r="C38" s="2">
        <f>B38+1.9*G1</f>
        <v>33.4</v>
      </c>
      <c r="D38" s="2">
        <f>B14-0.3*G1</f>
        <v>11.5</v>
      </c>
      <c r="E38" s="2">
        <f t="shared" si="0"/>
        <v>76.400000000000006</v>
      </c>
      <c r="F38" s="2">
        <f>E38/E47*100</f>
        <v>1.6639804852550428</v>
      </c>
      <c r="G38" s="2">
        <f t="shared" si="6"/>
        <v>91.251034542840969</v>
      </c>
      <c r="H38" s="2" t="str">
        <f t="shared" si="1"/>
        <v>B</v>
      </c>
      <c r="I38" s="2">
        <f t="shared" si="2"/>
        <v>25.466666666666669</v>
      </c>
      <c r="J38" s="2">
        <f t="shared" si="7"/>
        <v>9.9063391601315338</v>
      </c>
      <c r="K38" s="2">
        <f t="shared" si="3"/>
        <v>38.899237539783506</v>
      </c>
      <c r="L38" s="2" t="str">
        <f t="shared" si="4"/>
        <v>Z</v>
      </c>
      <c r="M38" s="2" t="str">
        <f t="shared" si="5"/>
        <v>BZ</v>
      </c>
      <c r="O38" s="23"/>
      <c r="P38" s="23"/>
      <c r="Q38" s="23"/>
      <c r="R38" s="23"/>
      <c r="S38" s="23"/>
      <c r="T38" s="23"/>
    </row>
    <row r="39" spans="1:20" x14ac:dyDescent="0.3">
      <c r="A39" s="2" t="s">
        <v>106</v>
      </c>
      <c r="B39" s="2">
        <v>30.2</v>
      </c>
      <c r="C39" s="2">
        <f>B39+1.1*G1</f>
        <v>31.3</v>
      </c>
      <c r="D39" s="2">
        <f>B39+0.8*G1</f>
        <v>31</v>
      </c>
      <c r="E39" s="2">
        <f t="shared" si="0"/>
        <v>92.5</v>
      </c>
      <c r="F39" s="2">
        <f>E39/E47*100</f>
        <v>2.0146360587184744</v>
      </c>
      <c r="G39" s="2">
        <f t="shared" si="6"/>
        <v>93.265670601559449</v>
      </c>
      <c r="H39" s="2" t="str">
        <f t="shared" si="1"/>
        <v>B</v>
      </c>
      <c r="I39" s="2">
        <f t="shared" si="2"/>
        <v>30.833333333333332</v>
      </c>
      <c r="J39" s="2">
        <f t="shared" si="7"/>
        <v>0.4642796092394712</v>
      </c>
      <c r="K39" s="2">
        <f t="shared" si="3"/>
        <v>1.5057717056415283</v>
      </c>
      <c r="L39" s="2" t="str">
        <f t="shared" si="4"/>
        <v>X</v>
      </c>
      <c r="M39" s="2" t="str">
        <f t="shared" si="5"/>
        <v>BX</v>
      </c>
      <c r="O39" s="23"/>
      <c r="P39" s="23"/>
      <c r="Q39" s="23"/>
      <c r="R39" s="23"/>
      <c r="S39" s="23"/>
      <c r="T39" s="23"/>
    </row>
    <row r="40" spans="1:20" x14ac:dyDescent="0.3">
      <c r="A40" s="2" t="s">
        <v>96</v>
      </c>
      <c r="B40" s="2">
        <v>26.9</v>
      </c>
      <c r="C40" s="2">
        <f>B40+0.7*G1</f>
        <v>27.599999999999998</v>
      </c>
      <c r="D40" s="2">
        <f>B40+0.3*G1</f>
        <v>27.2</v>
      </c>
      <c r="E40" s="2">
        <f t="shared" si="0"/>
        <v>81.7</v>
      </c>
      <c r="F40" s="2">
        <f>E40/E47*100</f>
        <v>1.77941368645729</v>
      </c>
      <c r="G40" s="2">
        <f t="shared" si="6"/>
        <v>95.045084288016739</v>
      </c>
      <c r="H40" s="2" t="str">
        <f t="shared" si="1"/>
        <v>C</v>
      </c>
      <c r="I40" s="2">
        <f t="shared" si="2"/>
        <v>27.233333333333334</v>
      </c>
      <c r="J40" s="2">
        <f t="shared" si="7"/>
        <v>0.28674417556808723</v>
      </c>
      <c r="K40" s="2">
        <f t="shared" si="3"/>
        <v>1.0529161893565013</v>
      </c>
      <c r="L40" s="2" t="str">
        <f t="shared" si="4"/>
        <v>X</v>
      </c>
      <c r="M40" s="2" t="str">
        <f t="shared" si="5"/>
        <v>CX</v>
      </c>
      <c r="O40" s="23"/>
      <c r="P40" s="23"/>
      <c r="Q40" s="23"/>
      <c r="R40" s="23"/>
      <c r="S40" s="23"/>
      <c r="T40" s="23"/>
    </row>
    <row r="41" spans="1:20" x14ac:dyDescent="0.3">
      <c r="A41" s="2" t="s">
        <v>92</v>
      </c>
      <c r="B41" s="2">
        <f>8.4*G1</f>
        <v>8.4</v>
      </c>
      <c r="C41" s="2">
        <f>B41+0.5*G1</f>
        <v>8.9</v>
      </c>
      <c r="D41" s="2">
        <f>B41+0.7*G1</f>
        <v>9.1</v>
      </c>
      <c r="E41" s="2">
        <f t="shared" si="0"/>
        <v>26.4</v>
      </c>
      <c r="F41" s="2">
        <f>E41/E47*100</f>
        <v>0.57498802108289426</v>
      </c>
      <c r="G41" s="2">
        <f t="shared" si="6"/>
        <v>95.620072309099626</v>
      </c>
      <c r="H41" s="2" t="str">
        <f t="shared" si="1"/>
        <v>C</v>
      </c>
      <c r="I41" s="2">
        <f t="shared" si="2"/>
        <v>8.7999999999999989</v>
      </c>
      <c r="J41" s="2">
        <f t="shared" si="7"/>
        <v>0.29439202887759464</v>
      </c>
      <c r="K41" s="2">
        <f t="shared" si="3"/>
        <v>3.3453639645181212</v>
      </c>
      <c r="L41" s="2" t="str">
        <f t="shared" si="4"/>
        <v>X</v>
      </c>
      <c r="M41" s="2" t="str">
        <f t="shared" si="5"/>
        <v>CX</v>
      </c>
      <c r="O41" s="23"/>
      <c r="P41" s="23"/>
      <c r="Q41" s="23"/>
      <c r="R41" s="23"/>
      <c r="S41" s="23"/>
      <c r="T41" s="23"/>
    </row>
    <row r="42" spans="1:20" x14ac:dyDescent="0.3">
      <c r="A42" s="2" t="s">
        <v>101</v>
      </c>
      <c r="B42" s="2">
        <v>15.9</v>
      </c>
      <c r="C42" s="2">
        <f>B42+1.3*G1</f>
        <v>17.2</v>
      </c>
      <c r="D42" s="2">
        <f>B42+1*G1</f>
        <v>16.899999999999999</v>
      </c>
      <c r="E42" s="2">
        <f t="shared" si="0"/>
        <v>50</v>
      </c>
      <c r="F42" s="2">
        <f>E42/E47*100</f>
        <v>1.0889924641721482</v>
      </c>
      <c r="G42" s="2">
        <f t="shared" si="6"/>
        <v>96.709064773271777</v>
      </c>
      <c r="H42" s="2" t="str">
        <f t="shared" si="1"/>
        <v>C</v>
      </c>
      <c r="I42" s="2">
        <f t="shared" si="2"/>
        <v>16.666666666666668</v>
      </c>
      <c r="J42" s="2">
        <f t="shared" si="7"/>
        <v>0.5557777333511017</v>
      </c>
      <c r="K42" s="2">
        <f t="shared" si="3"/>
        <v>3.3346664001066095</v>
      </c>
      <c r="L42" s="2" t="str">
        <f t="shared" si="4"/>
        <v>X</v>
      </c>
      <c r="M42" s="2" t="str">
        <f t="shared" si="5"/>
        <v>CX</v>
      </c>
      <c r="O42" s="23"/>
      <c r="P42" s="23"/>
      <c r="Q42" s="23"/>
      <c r="R42" s="23"/>
      <c r="S42" s="23"/>
      <c r="T42" s="23"/>
    </row>
    <row r="43" spans="1:20" x14ac:dyDescent="0.3">
      <c r="A43" s="2" t="s">
        <v>94</v>
      </c>
      <c r="B43" s="2">
        <v>17</v>
      </c>
      <c r="C43" s="2">
        <f>B43+0.2*G1</f>
        <v>17.2</v>
      </c>
      <c r="D43" s="2">
        <f>B43+0.4*G1</f>
        <v>17.399999999999999</v>
      </c>
      <c r="E43" s="2">
        <f t="shared" si="0"/>
        <v>51.6</v>
      </c>
      <c r="F43" s="2">
        <f>E43/E47*100</f>
        <v>1.123840223025657</v>
      </c>
      <c r="G43" s="2">
        <f t="shared" si="6"/>
        <v>97.83290499629743</v>
      </c>
      <c r="H43" s="2" t="str">
        <f t="shared" si="1"/>
        <v>C</v>
      </c>
      <c r="I43" s="2">
        <f t="shared" si="2"/>
        <v>17.2</v>
      </c>
      <c r="J43" s="2">
        <f t="shared" si="7"/>
        <v>0.16329931618554464</v>
      </c>
      <c r="K43" s="2">
        <f t="shared" si="3"/>
        <v>0.9494146289857246</v>
      </c>
      <c r="L43" s="2" t="str">
        <f t="shared" si="4"/>
        <v>X</v>
      </c>
      <c r="M43" s="2" t="str">
        <f t="shared" si="5"/>
        <v>CX</v>
      </c>
      <c r="O43" s="23"/>
      <c r="P43" s="23"/>
      <c r="Q43" s="23"/>
      <c r="R43" s="23"/>
      <c r="S43" s="23"/>
      <c r="T43" s="23"/>
    </row>
    <row r="44" spans="1:20" x14ac:dyDescent="0.3">
      <c r="A44" s="2" t="s">
        <v>91</v>
      </c>
      <c r="B44" s="2">
        <v>15.2</v>
      </c>
      <c r="C44" s="2">
        <f>B44-0.8*G1</f>
        <v>14.399999999999999</v>
      </c>
      <c r="D44" s="2">
        <f>B44+1.3*G1</f>
        <v>16.5</v>
      </c>
      <c r="E44" s="2">
        <f t="shared" si="0"/>
        <v>46.099999999999994</v>
      </c>
      <c r="F44" s="2">
        <f>E44/E47*100</f>
        <v>1.0040510519667205</v>
      </c>
      <c r="G44" s="2">
        <f t="shared" si="6"/>
        <v>98.836956048264156</v>
      </c>
      <c r="H44" s="2" t="str">
        <f t="shared" si="1"/>
        <v>C</v>
      </c>
      <c r="I44" s="2">
        <f t="shared" si="2"/>
        <v>15.366666666666665</v>
      </c>
      <c r="J44" s="2">
        <f t="shared" si="7"/>
        <v>0.86538366571647862</v>
      </c>
      <c r="K44" s="2">
        <f t="shared" si="3"/>
        <v>5.6315639851397741</v>
      </c>
      <c r="L44" s="2" t="str">
        <f t="shared" si="4"/>
        <v>X</v>
      </c>
      <c r="M44" s="2" t="str">
        <f t="shared" si="5"/>
        <v>CX</v>
      </c>
    </row>
    <row r="45" spans="1:20" x14ac:dyDescent="0.3">
      <c r="A45" s="2" t="s">
        <v>104</v>
      </c>
      <c r="B45" s="2">
        <v>15.4</v>
      </c>
      <c r="C45" s="2">
        <f>B45-0.1*G1</f>
        <v>15.3</v>
      </c>
      <c r="D45" s="2">
        <f>B45+0.1*G1</f>
        <v>15.5</v>
      </c>
      <c r="E45" s="2">
        <f t="shared" si="0"/>
        <v>46.2</v>
      </c>
      <c r="F45" s="2">
        <f>E45/E47*100</f>
        <v>1.006229036895065</v>
      </c>
      <c r="G45" s="2">
        <f t="shared" si="6"/>
        <v>99.84318508515922</v>
      </c>
      <c r="H45" s="2" t="str">
        <f t="shared" si="1"/>
        <v>C</v>
      </c>
      <c r="I45" s="2">
        <f t="shared" si="2"/>
        <v>15.4</v>
      </c>
      <c r="J45" s="2">
        <f t="shared" si="7"/>
        <v>8.1649658092772318E-2</v>
      </c>
      <c r="K45" s="2">
        <f t="shared" si="3"/>
        <v>0.53019258501800204</v>
      </c>
      <c r="L45" s="2" t="str">
        <f t="shared" si="4"/>
        <v>X</v>
      </c>
      <c r="M45" s="2" t="str">
        <f t="shared" si="5"/>
        <v>CX</v>
      </c>
    </row>
    <row r="46" spans="1:20" x14ac:dyDescent="0.3">
      <c r="A46" s="2" t="s">
        <v>97</v>
      </c>
      <c r="B46" s="2">
        <f>2.4*G1</f>
        <v>2.4</v>
      </c>
      <c r="C46" s="2">
        <f>B46+0.1*G1</f>
        <v>2.5</v>
      </c>
      <c r="D46" s="2">
        <f>B46-0.1*G1</f>
        <v>2.2999999999999998</v>
      </c>
      <c r="E46" s="2">
        <f t="shared" si="0"/>
        <v>7.2</v>
      </c>
      <c r="F46" s="2">
        <f>E46/E47*100</f>
        <v>0.15681491484078935</v>
      </c>
      <c r="G46" s="2">
        <f t="shared" si="6"/>
        <v>100.00000000000001</v>
      </c>
      <c r="H46" s="2" t="str">
        <f>IF(AND(G46&gt;0,G46&lt;=80),"A",IF(AND(G46&gt;80,G46&lt;=95),"B","C"))</f>
        <v>C</v>
      </c>
      <c r="I46" s="2">
        <f t="shared" si="2"/>
        <v>2.4</v>
      </c>
      <c r="J46" s="2">
        <f t="shared" si="7"/>
        <v>8.1649658092772678E-2</v>
      </c>
      <c r="K46" s="2">
        <f t="shared" si="3"/>
        <v>3.4020690871988619</v>
      </c>
      <c r="L46" s="2" t="str">
        <f t="shared" si="4"/>
        <v>X</v>
      </c>
      <c r="M46" s="2" t="str">
        <f t="shared" si="5"/>
        <v>CX</v>
      </c>
    </row>
    <row r="47" spans="1:20" x14ac:dyDescent="0.3">
      <c r="A47" s="5" t="s">
        <v>114</v>
      </c>
      <c r="B47" s="2">
        <f>SUM(B27:B46)</f>
        <v>1533.1000000000001</v>
      </c>
      <c r="C47" s="2">
        <f>SUM(C27:C46)</f>
        <v>1539.6999999999998</v>
      </c>
      <c r="D47" s="2">
        <f>SUM(D27:D46)</f>
        <v>1518.5999999999997</v>
      </c>
      <c r="E47" s="5">
        <f>SUM(E27:E46)</f>
        <v>4591.3999999999987</v>
      </c>
      <c r="F47" s="2">
        <f>SUM(F27:F46)</f>
        <v>100.00000000000001</v>
      </c>
      <c r="G47" s="2" t="s">
        <v>53</v>
      </c>
      <c r="H47" s="2" t="s">
        <v>53</v>
      </c>
      <c r="I47" s="2" t="s">
        <v>53</v>
      </c>
      <c r="J47" s="2" t="s">
        <v>53</v>
      </c>
      <c r="K47" s="2" t="s">
        <v>53</v>
      </c>
      <c r="L47" s="2" t="s">
        <v>53</v>
      </c>
      <c r="M47" s="2" t="s">
        <v>53</v>
      </c>
    </row>
    <row r="48" spans="1:20" x14ac:dyDescent="0.3">
      <c r="C48" s="6"/>
      <c r="D48" s="6"/>
      <c r="E48" s="7"/>
      <c r="F48" s="6"/>
    </row>
  </sheetData>
  <sortState xmlns:xlrd2="http://schemas.microsoft.com/office/spreadsheetml/2017/richdata2" ref="A27:F46">
    <sortCondition descending="1" ref="F27:F46"/>
  </sortState>
  <mergeCells count="14">
    <mergeCell ref="M25:M26"/>
    <mergeCell ref="O32:T43"/>
    <mergeCell ref="O26:R26"/>
    <mergeCell ref="G25:G26"/>
    <mergeCell ref="H25:H26"/>
    <mergeCell ref="J25:J26"/>
    <mergeCell ref="K25:K26"/>
    <mergeCell ref="L25:L26"/>
    <mergeCell ref="I25:I26"/>
    <mergeCell ref="B1:D1"/>
    <mergeCell ref="A1:A2"/>
    <mergeCell ref="A25:A26"/>
    <mergeCell ref="B25:E25"/>
    <mergeCell ref="F25:F2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1.1</vt:lpstr>
      <vt:lpstr>1.2</vt:lpstr>
      <vt:lpstr>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Masha Protskaya</dc:creator>
  <cp:lastModifiedBy>Masha</cp:lastModifiedBy>
  <dcterms:created xsi:type="dcterms:W3CDTF">2022-02-02T15:53:17Z</dcterms:created>
  <dcterms:modified xsi:type="dcterms:W3CDTF">2022-03-15T11:19:23Z</dcterms:modified>
</cp:coreProperties>
</file>