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b8eac8dc0da2c/Учеба/4 курс/ОБПИТ/"/>
    </mc:Choice>
  </mc:AlternateContent>
  <xr:revisionPtr revIDLastSave="22" documentId="13_ncr:1_{D1C7F4D6-C3DE-45A7-ADF2-EE62FCCEF981}" xr6:coauthVersionLast="47" xr6:coauthVersionMax="47" xr10:uidLastSave="{0B438766-EB84-482B-AE60-3AA6401EBCE6}"/>
  <bookViews>
    <workbookView xWindow="-108" yWindow="-108" windowWidth="23256" windowHeight="12456" activeTab="1" xr2:uid="{A541BABE-40E9-4985-80CD-4AE4E42DC1F5}"/>
  </bookViews>
  <sheets>
    <sheet name="2.1" sheetId="1" r:id="rId1"/>
    <sheet name="2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D29" i="2"/>
  <c r="D28" i="2"/>
  <c r="D18" i="2"/>
  <c r="G18" i="1"/>
  <c r="C17" i="2"/>
  <c r="E18" i="2" s="1"/>
  <c r="C19" i="2"/>
  <c r="F20" i="2" s="1"/>
  <c r="D25" i="2"/>
  <c r="B12" i="2"/>
  <c r="B11" i="2"/>
  <c r="B13" i="2"/>
  <c r="F25" i="2" s="1"/>
  <c r="F27" i="2"/>
  <c r="E27" i="2"/>
  <c r="D27" i="2"/>
  <c r="F24" i="2"/>
  <c r="E24" i="2"/>
  <c r="D24" i="2"/>
  <c r="F22" i="2"/>
  <c r="E22" i="2"/>
  <c r="D22" i="2"/>
  <c r="F18" i="2" l="1"/>
  <c r="D20" i="2"/>
  <c r="E20" i="2"/>
  <c r="E25" i="2"/>
  <c r="E28" i="2"/>
  <c r="E29" i="2" s="1"/>
  <c r="F28" i="2"/>
  <c r="F29" i="2" s="1"/>
  <c r="G25" i="1"/>
  <c r="G26" i="1"/>
  <c r="M7" i="1"/>
  <c r="L13" i="1"/>
  <c r="L16" i="1"/>
  <c r="J16" i="1"/>
  <c r="I16" i="1"/>
  <c r="H16" i="1"/>
  <c r="J15" i="1"/>
  <c r="M15" i="1" s="1"/>
  <c r="I15" i="1"/>
  <c r="L15" i="1" s="1"/>
  <c r="H15" i="1"/>
  <c r="J14" i="1"/>
  <c r="I14" i="1"/>
  <c r="L14" i="1" s="1"/>
  <c r="H14" i="1"/>
  <c r="J13" i="1"/>
  <c r="M13" i="1" s="1"/>
  <c r="I13" i="1"/>
  <c r="H13" i="1"/>
  <c r="K13" i="1" s="1"/>
  <c r="J12" i="1"/>
  <c r="I12" i="1"/>
  <c r="H12" i="1"/>
  <c r="K12" i="1" s="1"/>
  <c r="J11" i="1"/>
  <c r="M11" i="1" s="1"/>
  <c r="I11" i="1"/>
  <c r="L11" i="1" s="1"/>
  <c r="H11" i="1"/>
  <c r="K11" i="1" s="1"/>
  <c r="J10" i="1"/>
  <c r="I10" i="1"/>
  <c r="L10" i="1" s="1"/>
  <c r="H10" i="1"/>
  <c r="K10" i="1" s="1"/>
  <c r="I9" i="1"/>
  <c r="L9" i="1" s="1"/>
  <c r="H9" i="1"/>
  <c r="K9" i="1" s="1"/>
  <c r="H8" i="1"/>
  <c r="K8" i="1" s="1"/>
  <c r="D17" i="1"/>
  <c r="D18" i="1"/>
  <c r="D16" i="1"/>
  <c r="D15" i="1"/>
  <c r="D14" i="1"/>
  <c r="D13" i="1"/>
  <c r="D12" i="1"/>
  <c r="C17" i="1"/>
  <c r="C18" i="1"/>
  <c r="C16" i="1"/>
  <c r="C15" i="1"/>
  <c r="C14" i="1"/>
  <c r="C13" i="1"/>
  <c r="C12" i="1"/>
  <c r="C11" i="1"/>
  <c r="B17" i="1"/>
  <c r="B18" i="1"/>
  <c r="B16" i="1"/>
  <c r="B15" i="1"/>
  <c r="B14" i="1"/>
  <c r="B13" i="1"/>
  <c r="B12" i="1"/>
  <c r="B11" i="1"/>
  <c r="B10" i="1"/>
  <c r="M14" i="1"/>
  <c r="B27" i="1"/>
  <c r="B32" i="1" s="1"/>
  <c r="G23" i="1"/>
  <c r="G22" i="1"/>
  <c r="M9" i="1"/>
  <c r="M8" i="1"/>
  <c r="L8" i="1"/>
  <c r="M12" i="1" l="1"/>
  <c r="L12" i="1"/>
  <c r="M16" i="1"/>
  <c r="M10" i="1"/>
  <c r="K7" i="1"/>
  <c r="L7" i="1"/>
  <c r="K16" i="1"/>
  <c r="K15" i="1"/>
  <c r="K14" i="1"/>
  <c r="M17" i="1" l="1"/>
  <c r="L17" i="1"/>
  <c r="K17" i="1"/>
  <c r="G21" i="1" s="1"/>
  <c r="G24" i="1" s="1"/>
  <c r="G27" i="1" s="1"/>
</calcChain>
</file>

<file path=xl/sharedStrings.xml><?xml version="1.0" encoding="utf-8"?>
<sst xmlns="http://schemas.openxmlformats.org/spreadsheetml/2006/main" count="162" uniqueCount="121">
  <si>
    <t>Характеристики</t>
  </si>
  <si>
    <t>Значение</t>
  </si>
  <si>
    <t>Показатель</t>
  </si>
  <si>
    <t>Коэфициент дисконтирования</t>
  </si>
  <si>
    <t>оптимистичный</t>
  </si>
  <si>
    <t>реалистичный</t>
  </si>
  <si>
    <t>пессимистичный</t>
  </si>
  <si>
    <t>ссылка</t>
  </si>
  <si>
    <t>ст2*ст3</t>
  </si>
  <si>
    <t>ст2*ст4</t>
  </si>
  <si>
    <t>ст2*ст5</t>
  </si>
  <si>
    <t>Год</t>
  </si>
  <si>
    <t>Сценарий</t>
  </si>
  <si>
    <t>Показатели</t>
  </si>
  <si>
    <t>исх. данные</t>
  </si>
  <si>
    <t>1. Отрасль промышленности</t>
  </si>
  <si>
    <t>2. Тип лицензии</t>
  </si>
  <si>
    <t>3. Степень ценности лицензии</t>
  </si>
  <si>
    <t>Вариант</t>
  </si>
  <si>
    <t>Источник / алгоритм расчета</t>
  </si>
  <si>
    <t>Значения</t>
  </si>
  <si>
    <t>ставка рефинансирования</t>
  </si>
  <si>
    <t>исходные данные</t>
  </si>
  <si>
    <t>10. Ставка налога на прибыль</t>
  </si>
  <si>
    <t>1. Безрисковая ставка, %</t>
  </si>
  <si>
    <t>2. Показатели риска, %</t>
  </si>
  <si>
    <t>3. Общерыночный риск, %</t>
  </si>
  <si>
    <t>4. Риск для среднего бизнеса, %</t>
  </si>
  <si>
    <t>5. Риск на качество менеджмента, %</t>
  </si>
  <si>
    <t>6. Доходность собственного капитала, %</t>
  </si>
  <si>
    <t>7. Доля заемного капитала в активах, %</t>
  </si>
  <si>
    <t>8. Доля собственного капитала в активах, %</t>
  </si>
  <si>
    <t>9. Ставка по заемному капиталу, %</t>
  </si>
  <si>
    <t>11. Средневзвешенная стоимость капитала, %</t>
  </si>
  <si>
    <t>п.1 + п.2 * п.3 + п.4 + п.5</t>
  </si>
  <si>
    <t>п.7 -1</t>
  </si>
  <si>
    <t>п.6 * п.8 + п.9 * п.7 * (1 -п.10)</t>
  </si>
  <si>
    <t>Поток выручки от реализации, тыс. руб.</t>
  </si>
  <si>
    <t>Дисконтированный поток от выручки, тыс. руб</t>
  </si>
  <si>
    <t>Итого</t>
  </si>
  <si>
    <t>Источник</t>
  </si>
  <si>
    <t>итого ст.6 табл. 2.5</t>
  </si>
  <si>
    <t>итого ст.7 табл. 2.5</t>
  </si>
  <si>
    <t>итого ст.8 табл. 2.5</t>
  </si>
  <si>
    <t>(п.1 + 4 * п.2 + п.3) / 6</t>
  </si>
  <si>
    <t>таблица 2.7</t>
  </si>
  <si>
    <t>таблица 2.8</t>
  </si>
  <si>
    <t>п.4 * п.5 * п.6</t>
  </si>
  <si>
    <t>1. Дисконтированный оптимистичный денежный поток, тыс. руб</t>
  </si>
  <si>
    <t>2. Дисконтивный реалистичный денежный потток, тыс. руб.</t>
  </si>
  <si>
    <t>3. Дисконтивный пессимистичный денежный поток, тыс. руб.</t>
  </si>
  <si>
    <t>4. Средняя стоимость бизнеса тыс. руб.</t>
  </si>
  <si>
    <t>5. Стандартная ставка роялти от выручки</t>
  </si>
  <si>
    <t>6. Поправки на ценность и защищенность ОИС</t>
  </si>
  <si>
    <t>7. Стоимость ОИС, тыс. руб.</t>
  </si>
  <si>
    <t>Поправочный коэффициент</t>
  </si>
  <si>
    <t>Ставка роялти</t>
  </si>
  <si>
    <t>ОИС</t>
  </si>
  <si>
    <t>Аналоги</t>
  </si>
  <si>
    <t>малый</t>
  </si>
  <si>
    <t>A</t>
  </si>
  <si>
    <t>B</t>
  </si>
  <si>
    <t>C</t>
  </si>
  <si>
    <t>-</t>
  </si>
  <si>
    <t>нелицензионное</t>
  </si>
  <si>
    <t>крупный</t>
  </si>
  <si>
    <t>средний</t>
  </si>
  <si>
    <t>крупносерийный</t>
  </si>
  <si>
    <t>серийный</t>
  </si>
  <si>
    <t>массовый</t>
  </si>
  <si>
    <t>1. Размер бизнеса</t>
  </si>
  <si>
    <t>2. Масштаб производства</t>
  </si>
  <si>
    <t>3. Срок использования ОИС</t>
  </si>
  <si>
    <t>1. Стоимость ОИС, тыс. руб.</t>
  </si>
  <si>
    <t>3. Отрасль использования ОИС</t>
  </si>
  <si>
    <t>3. Ценность и защищенность ОИС</t>
  </si>
  <si>
    <t>4. Размер бизнеса</t>
  </si>
  <si>
    <t>5. Масштаб использования ОИС</t>
  </si>
  <si>
    <t>6. Срок использования ОИС</t>
  </si>
  <si>
    <t>Оцениваемые ОИС</t>
  </si>
  <si>
    <t>патент, ср. цен.</t>
  </si>
  <si>
    <t>химическая</t>
  </si>
  <si>
    <t>фармацевтическая</t>
  </si>
  <si>
    <t>пищевая</t>
  </si>
  <si>
    <t>без патента, ср. цен.</t>
  </si>
  <si>
    <t>1. Cтавка роялти в отраслях R, %</t>
  </si>
  <si>
    <t>2. Индекс отрасли, Iо</t>
  </si>
  <si>
    <t>3. Коэффициенты защищенности, Kz</t>
  </si>
  <si>
    <t>4. Индекс защищенности, Iz</t>
  </si>
  <si>
    <t>5. Коэффициент размера бизнеса, Kв</t>
  </si>
  <si>
    <t>6. Индекс размера бизнеса, Iв</t>
  </si>
  <si>
    <t>10. Риск использования ОИС, Р, %</t>
  </si>
  <si>
    <t>11. Индекс риска, Ip</t>
  </si>
  <si>
    <t>12. Интегральный  показатель, Iинт</t>
  </si>
  <si>
    <t>13. Скорректир стоимость аналогов, Si, тыс. руб.</t>
  </si>
  <si>
    <t>14. Стоимость оцениваемого ОИС, Soис, тыс. руб.</t>
  </si>
  <si>
    <t>п.2 табл. 2.10, табл 2.7</t>
  </si>
  <si>
    <t>Rоис / Rаналог</t>
  </si>
  <si>
    <t>п.3 табл. 2.10, табл. 2.8</t>
  </si>
  <si>
    <t>Kz_оис / Kz_аналог</t>
  </si>
  <si>
    <t>п.4 табл 2.10, табл. 2.12</t>
  </si>
  <si>
    <t>Kв_оис / Kв_аналог</t>
  </si>
  <si>
    <t>п.5 табл. 2.10, табл. 2.13</t>
  </si>
  <si>
    <t>п.6 табл. 2.10</t>
  </si>
  <si>
    <t>п.5 табл. 2.10, табл. 2.14</t>
  </si>
  <si>
    <t>Pоис / Раналог</t>
  </si>
  <si>
    <t>Io * Iz * Iв * Iт * Iр</t>
  </si>
  <si>
    <t>Kм_оис / Kм_аналог</t>
  </si>
  <si>
    <t>7. Коэффициент масштаба использования, Kм</t>
  </si>
  <si>
    <t>8. Индекс масштаба использования, Iм</t>
  </si>
  <si>
    <t>9. Индекс срока использования, Iт</t>
  </si>
  <si>
    <t>Iинт * п.1 табл. 2.10</t>
  </si>
  <si>
    <t>(Sа + Sб + Sв) / 3</t>
  </si>
  <si>
    <t>единичное</t>
  </si>
  <si>
    <t>Электронная</t>
  </si>
  <si>
    <t>Исключительная патентная</t>
  </si>
  <si>
    <t>Малоценная</t>
  </si>
  <si>
    <t>Таким образом, стоимость исключительной патентной лицензии малой ценности на создание новой электронной техники, оцененная методом освобождения от роялти, составит 3654,38 тыс. руб.</t>
  </si>
  <si>
    <t>электронная</t>
  </si>
  <si>
    <t>патент., мало ценная</t>
  </si>
  <si>
    <t>Таким образом, стоимость оцениваемого объекта интеллектуальной собственности, рассчитанная на основе сравнительного метода, составит 2682,3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</si>
</sst>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1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center" wrapText="1"/>
    </xf>
    <xf numFmtId="1" fontId="0" fillId="0" borderId="2" xfId="0" applyNumberFormat="1" applyFont="1" applyBorder="1" applyAlignment="1">
      <alignment wrapText="1"/>
    </xf>
    <xf numFmtId="1" fontId="0" fillId="0" borderId="2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64" fontId="0" fillId="0" borderId="2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164" fontId="0" fillId="0" borderId="2" xfId="0" applyNumberFormat="1" applyFont="1" applyBorder="1" applyAlignment="1">
      <alignment horizontal="center" wrapText="1"/>
    </xf>
    <xf numFmtId="0" fontId="0" fillId="0" borderId="2" xfId="0" applyFont="1" applyFill="1" applyBorder="1" applyAlignment="1">
      <alignment wrapText="1"/>
    </xf>
    <xf numFmtId="1" fontId="0" fillId="0" borderId="2" xfId="0" applyNumberFormat="1" applyFont="1" applyFill="1" applyBorder="1" applyAlignment="1">
      <alignment wrapText="1"/>
    </xf>
    <xf numFmtId="9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wrapText="1"/>
    </xf>
    <xf numFmtId="0" fontId="0" fillId="0" borderId="2" xfId="0" applyFont="1" applyBorder="1" applyAlignment="1">
      <alignment horizontal="left" wrapText="1"/>
    </xf>
    <xf numFmtId="9" fontId="0" fillId="0" borderId="2" xfId="0" applyNumberFormat="1" applyFont="1" applyBorder="1" applyAlignment="1">
      <alignment horizontal="left" wrapText="1"/>
    </xf>
    <xf numFmtId="0" fontId="2" fillId="0" borderId="0" xfId="0" applyFont="1" applyAlignment="1">
      <alignment vertical="top" wrapText="1"/>
    </xf>
    <xf numFmtId="0" fontId="0" fillId="0" borderId="2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wrapText="1"/>
    </xf>
    <xf numFmtId="10" fontId="0" fillId="0" borderId="2" xfId="0" applyNumberFormat="1" applyFont="1" applyBorder="1" applyAlignment="1">
      <alignment wrapText="1"/>
    </xf>
    <xf numFmtId="0" fontId="0" fillId="2" borderId="0" xfId="0" applyFont="1" applyFill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right" wrapText="1"/>
    </xf>
    <xf numFmtId="0" fontId="0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horizontal="righ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F52B9FE7-4DC5-452E-8CA6-264F2A2AC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218E-EE7E-4DCE-86F3-42D036AA714E}">
  <dimension ref="A1:M32"/>
  <sheetViews>
    <sheetView topLeftCell="A21" zoomScaleNormal="100" workbookViewId="0">
      <selection activeCell="G24" sqref="G24"/>
    </sheetView>
  </sheetViews>
  <sheetFormatPr defaultRowHeight="14.4" x14ac:dyDescent="0.3"/>
  <cols>
    <col min="1" max="1" width="26.33203125" style="2" customWidth="1"/>
    <col min="2" max="2" width="26.88671875" style="2" customWidth="1"/>
    <col min="3" max="3" width="22.33203125" style="2" customWidth="1"/>
    <col min="4" max="4" width="19.21875" style="2" customWidth="1"/>
    <col min="5" max="5" width="8.88671875" style="2"/>
    <col min="6" max="6" width="25.6640625" style="2" customWidth="1"/>
    <col min="7" max="7" width="18.21875" style="2" customWidth="1"/>
    <col min="8" max="8" width="18.5546875" style="2" customWidth="1"/>
    <col min="9" max="9" width="16.33203125" style="2" customWidth="1"/>
    <col min="10" max="10" width="18.33203125" style="2" customWidth="1"/>
    <col min="11" max="11" width="17.6640625" style="2" customWidth="1"/>
    <col min="12" max="12" width="14.77734375" style="2" customWidth="1"/>
    <col min="13" max="13" width="18.33203125" style="2" customWidth="1"/>
    <col min="14" max="16384" width="8.88671875" style="2"/>
  </cols>
  <sheetData>
    <row r="1" spans="1:13" x14ac:dyDescent="0.3">
      <c r="A1" s="3" t="s">
        <v>18</v>
      </c>
      <c r="B1" s="9">
        <v>1</v>
      </c>
    </row>
    <row r="2" spans="1:13" x14ac:dyDescent="0.3">
      <c r="A2" s="10" t="s">
        <v>0</v>
      </c>
      <c r="B2" s="3" t="s">
        <v>1</v>
      </c>
      <c r="C2" s="10" t="s">
        <v>0</v>
      </c>
      <c r="D2" s="3" t="s">
        <v>1</v>
      </c>
      <c r="F2" s="29" t="s">
        <v>11</v>
      </c>
      <c r="G2" s="24" t="s">
        <v>2</v>
      </c>
      <c r="H2" s="25"/>
      <c r="I2" s="25"/>
      <c r="J2" s="25"/>
      <c r="K2" s="25"/>
      <c r="L2" s="25"/>
      <c r="M2" s="26"/>
    </row>
    <row r="3" spans="1:13" ht="32.4" customHeight="1" x14ac:dyDescent="0.3">
      <c r="A3" s="3" t="s">
        <v>15</v>
      </c>
      <c r="B3" s="4" t="s">
        <v>114</v>
      </c>
      <c r="C3" s="16" t="s">
        <v>56</v>
      </c>
      <c r="D3" s="17">
        <v>7.0000000000000007E-2</v>
      </c>
      <c r="F3" s="31"/>
      <c r="G3" s="29" t="s">
        <v>3</v>
      </c>
      <c r="H3" s="24" t="s">
        <v>37</v>
      </c>
      <c r="I3" s="25"/>
      <c r="J3" s="26"/>
      <c r="K3" s="24" t="s">
        <v>38</v>
      </c>
      <c r="L3" s="25"/>
      <c r="M3" s="26"/>
    </row>
    <row r="4" spans="1:13" x14ac:dyDescent="0.3">
      <c r="A4" s="3" t="s">
        <v>16</v>
      </c>
      <c r="B4" s="4" t="s">
        <v>115</v>
      </c>
      <c r="C4" s="35" t="s">
        <v>55</v>
      </c>
      <c r="D4" s="35">
        <v>0.8</v>
      </c>
      <c r="F4" s="31"/>
      <c r="G4" s="30"/>
      <c r="H4" s="3" t="s">
        <v>4</v>
      </c>
      <c r="I4" s="3" t="s">
        <v>5</v>
      </c>
      <c r="J4" s="3" t="s">
        <v>6</v>
      </c>
      <c r="K4" s="3" t="s">
        <v>4</v>
      </c>
      <c r="L4" s="3" t="s">
        <v>5</v>
      </c>
      <c r="M4" s="3" t="s">
        <v>6</v>
      </c>
    </row>
    <row r="5" spans="1:13" ht="28.8" x14ac:dyDescent="0.3">
      <c r="A5" s="3" t="s">
        <v>17</v>
      </c>
      <c r="B5" s="4" t="s">
        <v>116</v>
      </c>
      <c r="C5" s="35"/>
      <c r="D5" s="35"/>
      <c r="F5" s="30"/>
      <c r="G5" s="3" t="s">
        <v>7</v>
      </c>
      <c r="H5" s="3" t="s">
        <v>14</v>
      </c>
      <c r="I5" s="3" t="s">
        <v>14</v>
      </c>
      <c r="J5" s="3" t="s">
        <v>14</v>
      </c>
      <c r="K5" s="3" t="s">
        <v>8</v>
      </c>
      <c r="L5" s="3" t="s">
        <v>9</v>
      </c>
      <c r="M5" s="3" t="s">
        <v>10</v>
      </c>
    </row>
    <row r="6" spans="1:13" x14ac:dyDescent="0.3"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8</v>
      </c>
    </row>
    <row r="7" spans="1:13" x14ac:dyDescent="0.3">
      <c r="F7" s="3">
        <v>1</v>
      </c>
      <c r="G7" s="3">
        <v>0.82399999999999995</v>
      </c>
      <c r="H7" s="3">
        <v>0</v>
      </c>
      <c r="I7" s="3">
        <v>0</v>
      </c>
      <c r="J7" s="3">
        <v>0</v>
      </c>
      <c r="K7" s="3">
        <f>G7*H7</f>
        <v>0</v>
      </c>
      <c r="L7" s="3">
        <f>G7*I7</f>
        <v>0</v>
      </c>
      <c r="M7" s="3">
        <f>G7*J7</f>
        <v>0</v>
      </c>
    </row>
    <row r="8" spans="1:13" x14ac:dyDescent="0.3">
      <c r="A8" s="27" t="s">
        <v>11</v>
      </c>
      <c r="B8" s="28" t="s">
        <v>12</v>
      </c>
      <c r="C8" s="27"/>
      <c r="D8" s="27"/>
      <c r="F8" s="3">
        <v>2</v>
      </c>
      <c r="G8" s="3">
        <v>0.67800000000000005</v>
      </c>
      <c r="H8" s="4">
        <f>2500+10*$B$1</f>
        <v>2510</v>
      </c>
      <c r="I8" s="4">
        <v>0</v>
      </c>
      <c r="J8" s="4">
        <v>0</v>
      </c>
      <c r="K8" s="5">
        <f>G8*H8</f>
        <v>1701.7800000000002</v>
      </c>
      <c r="L8" s="3">
        <f t="shared" ref="L8:L16" si="0">G8*I8</f>
        <v>0</v>
      </c>
      <c r="M8" s="3">
        <f t="shared" ref="M8:M16" si="1">G8*J8</f>
        <v>0</v>
      </c>
    </row>
    <row r="9" spans="1:13" x14ac:dyDescent="0.3">
      <c r="A9" s="27"/>
      <c r="B9" s="3" t="s">
        <v>4</v>
      </c>
      <c r="C9" s="4" t="s">
        <v>5</v>
      </c>
      <c r="D9" s="4" t="s">
        <v>6</v>
      </c>
      <c r="E9" s="8"/>
      <c r="F9" s="3">
        <v>3</v>
      </c>
      <c r="G9" s="3">
        <v>0.55800000000000005</v>
      </c>
      <c r="H9" s="4">
        <f>6717+10*$B$1</f>
        <v>6727</v>
      </c>
      <c r="I9" s="11">
        <f>4798+$B$1</f>
        <v>4799</v>
      </c>
      <c r="J9" s="4">
        <v>0</v>
      </c>
      <c r="K9" s="5">
        <f>G9*H9</f>
        <v>3753.6660000000002</v>
      </c>
      <c r="L9" s="3">
        <f t="shared" si="0"/>
        <v>2677.8420000000001</v>
      </c>
      <c r="M9" s="3">
        <f t="shared" si="1"/>
        <v>0</v>
      </c>
    </row>
    <row r="10" spans="1:13" x14ac:dyDescent="0.3">
      <c r="A10" s="3">
        <v>1</v>
      </c>
      <c r="B10" s="4">
        <f>2500+10*$B$1</f>
        <v>2510</v>
      </c>
      <c r="C10" s="4">
        <v>0</v>
      </c>
      <c r="D10" s="4">
        <v>0</v>
      </c>
      <c r="F10" s="3">
        <v>4</v>
      </c>
      <c r="G10" s="3">
        <v>0.46</v>
      </c>
      <c r="H10" s="4">
        <f>23659+10*$B$1</f>
        <v>23669</v>
      </c>
      <c r="I10" s="11">
        <f>16899+$B$1</f>
        <v>16900</v>
      </c>
      <c r="J10" s="4">
        <f>13519-5*$B$1</f>
        <v>13514</v>
      </c>
      <c r="K10" s="5">
        <f t="shared" ref="K10:K16" si="2">G10*H10</f>
        <v>10887.74</v>
      </c>
      <c r="L10" s="3">
        <f t="shared" si="0"/>
        <v>7774</v>
      </c>
      <c r="M10" s="3">
        <f t="shared" si="1"/>
        <v>6216.4400000000005</v>
      </c>
    </row>
    <row r="11" spans="1:13" x14ac:dyDescent="0.3">
      <c r="A11" s="3">
        <v>2</v>
      </c>
      <c r="B11" s="4">
        <f>6717+10*$B$1</f>
        <v>6727</v>
      </c>
      <c r="C11" s="11">
        <f>4798+$B$1</f>
        <v>4799</v>
      </c>
      <c r="D11" s="4">
        <v>0</v>
      </c>
      <c r="F11" s="3">
        <v>5</v>
      </c>
      <c r="G11" s="3">
        <v>0.379</v>
      </c>
      <c r="H11" s="4">
        <f>34626+15*$B$1</f>
        <v>34641</v>
      </c>
      <c r="I11" s="4">
        <f>24733+5*$B$1</f>
        <v>24738</v>
      </c>
      <c r="J11" s="4">
        <f>19786-10*$B$1</f>
        <v>19776</v>
      </c>
      <c r="K11" s="5">
        <f t="shared" si="2"/>
        <v>13128.939</v>
      </c>
      <c r="L11" s="3">
        <f t="shared" si="0"/>
        <v>9375.7019999999993</v>
      </c>
      <c r="M11" s="3">
        <f t="shared" si="1"/>
        <v>7495.1040000000003</v>
      </c>
    </row>
    <row r="12" spans="1:13" x14ac:dyDescent="0.3">
      <c r="A12" s="3">
        <v>3</v>
      </c>
      <c r="B12" s="4">
        <f>23659+10*$B$1</f>
        <v>23669</v>
      </c>
      <c r="C12" s="11">
        <f>16899+$B$1</f>
        <v>16900</v>
      </c>
      <c r="D12" s="4">
        <f>13519-5*$B$1</f>
        <v>13514</v>
      </c>
      <c r="F12" s="3">
        <v>6</v>
      </c>
      <c r="G12" s="3">
        <v>0.312</v>
      </c>
      <c r="H12" s="4">
        <f>43145+15*$B$1</f>
        <v>43160</v>
      </c>
      <c r="I12" s="4">
        <f>30818+5*$B$1</f>
        <v>30823</v>
      </c>
      <c r="J12" s="4">
        <f>24654-10*$B$1</f>
        <v>24644</v>
      </c>
      <c r="K12" s="5">
        <f t="shared" si="2"/>
        <v>13465.92</v>
      </c>
      <c r="L12" s="3">
        <f t="shared" si="0"/>
        <v>9616.7759999999998</v>
      </c>
      <c r="M12" s="3">
        <f t="shared" si="1"/>
        <v>7688.9279999999999</v>
      </c>
    </row>
    <row r="13" spans="1:13" x14ac:dyDescent="0.3">
      <c r="A13" s="3">
        <v>4</v>
      </c>
      <c r="B13" s="4">
        <f>34626+15*$B$1</f>
        <v>34641</v>
      </c>
      <c r="C13" s="4">
        <f>24733+5*$B$1</f>
        <v>24738</v>
      </c>
      <c r="D13" s="4">
        <f>19786-10*$B$1</f>
        <v>19776</v>
      </c>
      <c r="F13" s="3">
        <v>7</v>
      </c>
      <c r="G13" s="3">
        <v>0.25700000000000001</v>
      </c>
      <c r="H13" s="4">
        <f>60183+15*$B$1</f>
        <v>60198</v>
      </c>
      <c r="I13" s="4">
        <f>42988+5*$B$1</f>
        <v>42993</v>
      </c>
      <c r="J13" s="4">
        <f>34390-10*$B$1</f>
        <v>34380</v>
      </c>
      <c r="K13" s="5">
        <f t="shared" si="2"/>
        <v>15470.886</v>
      </c>
      <c r="L13" s="3">
        <f t="shared" si="0"/>
        <v>11049.201000000001</v>
      </c>
      <c r="M13" s="3">
        <f t="shared" si="1"/>
        <v>8835.66</v>
      </c>
    </row>
    <row r="14" spans="1:13" x14ac:dyDescent="0.3">
      <c r="A14" s="3">
        <v>5</v>
      </c>
      <c r="B14" s="4">
        <f>43145+15*$B$1</f>
        <v>43160</v>
      </c>
      <c r="C14" s="4">
        <f>30818+5*$B$1</f>
        <v>30823</v>
      </c>
      <c r="D14" s="4">
        <f>24654-10*$B$1</f>
        <v>24644</v>
      </c>
      <c r="F14" s="3">
        <v>8</v>
      </c>
      <c r="G14" s="3">
        <v>0.21099999999999999</v>
      </c>
      <c r="H14" s="4">
        <f>60183+20*$B$1</f>
        <v>60203</v>
      </c>
      <c r="I14" s="4">
        <f>42988+10*$B$1</f>
        <v>42998</v>
      </c>
      <c r="J14" s="4">
        <f>34390-15*$B$1</f>
        <v>34375</v>
      </c>
      <c r="K14" s="5">
        <f t="shared" si="2"/>
        <v>12702.832999999999</v>
      </c>
      <c r="L14" s="3">
        <f t="shared" si="0"/>
        <v>9072.5779999999995</v>
      </c>
      <c r="M14" s="3">
        <f t="shared" si="1"/>
        <v>7253.125</v>
      </c>
    </row>
    <row r="15" spans="1:13" x14ac:dyDescent="0.3">
      <c r="A15" s="3">
        <v>6</v>
      </c>
      <c r="B15" s="4">
        <f>60183+15*$B$1</f>
        <v>60198</v>
      </c>
      <c r="C15" s="4">
        <f>42988+5*$B$1</f>
        <v>42993</v>
      </c>
      <c r="D15" s="4">
        <f>34390-10*$B$1</f>
        <v>34380</v>
      </c>
      <c r="F15" s="3">
        <v>9</v>
      </c>
      <c r="G15" s="3">
        <v>0.17399999999999999</v>
      </c>
      <c r="H15" s="4">
        <f t="shared" ref="H15:H16" si="3">60183+20*$B$1</f>
        <v>60203</v>
      </c>
      <c r="I15" s="4">
        <f t="shared" ref="I15:I16" si="4">42988+10*$B$1</f>
        <v>42998</v>
      </c>
      <c r="J15" s="4">
        <f t="shared" ref="J15:J16" si="5">34390-15*$B$1</f>
        <v>34375</v>
      </c>
      <c r="K15" s="5">
        <f t="shared" si="2"/>
        <v>10475.322</v>
      </c>
      <c r="L15" s="3">
        <f t="shared" si="0"/>
        <v>7481.6519999999991</v>
      </c>
      <c r="M15" s="3">
        <f t="shared" si="1"/>
        <v>5981.25</v>
      </c>
    </row>
    <row r="16" spans="1:13" x14ac:dyDescent="0.3">
      <c r="A16" s="3">
        <v>7</v>
      </c>
      <c r="B16" s="4">
        <f>60183+20*$B$1</f>
        <v>60203</v>
      </c>
      <c r="C16" s="4">
        <f>42988+10*$B$1</f>
        <v>42998</v>
      </c>
      <c r="D16" s="4">
        <f>34390-15*$B$1</f>
        <v>34375</v>
      </c>
      <c r="F16" s="3">
        <v>10</v>
      </c>
      <c r="G16" s="3">
        <v>0.14299999999999999</v>
      </c>
      <c r="H16" s="4">
        <f t="shared" si="3"/>
        <v>60203</v>
      </c>
      <c r="I16" s="4">
        <f t="shared" si="4"/>
        <v>42998</v>
      </c>
      <c r="J16" s="4">
        <f t="shared" si="5"/>
        <v>34375</v>
      </c>
      <c r="K16" s="5">
        <f t="shared" si="2"/>
        <v>8609.0289999999986</v>
      </c>
      <c r="L16" s="3">
        <f t="shared" si="0"/>
        <v>6148.7139999999999</v>
      </c>
      <c r="M16" s="3">
        <f t="shared" si="1"/>
        <v>4915.625</v>
      </c>
    </row>
    <row r="17" spans="1:13" x14ac:dyDescent="0.3">
      <c r="A17" s="3">
        <v>8</v>
      </c>
      <c r="B17" s="4">
        <f t="shared" ref="B17:B18" si="6">60183+20*$B$1</f>
        <v>60203</v>
      </c>
      <c r="C17" s="4">
        <f t="shared" ref="C17:C18" si="7">42988+10*$B$1</f>
        <v>42998</v>
      </c>
      <c r="D17" s="4">
        <f t="shared" ref="D17:D18" si="8">34390-15*$B$1</f>
        <v>34375</v>
      </c>
      <c r="F17" s="32" t="s">
        <v>39</v>
      </c>
      <c r="G17" s="33"/>
      <c r="H17" s="33"/>
      <c r="I17" s="33"/>
      <c r="J17" s="34"/>
      <c r="K17" s="13">
        <f>SUM(K7:K16)</f>
        <v>90196.114999999991</v>
      </c>
      <c r="L17" s="12">
        <f t="shared" ref="L17:M17" si="9">SUM(L7:L16)</f>
        <v>63196.465000000004</v>
      </c>
      <c r="M17" s="12">
        <f t="shared" si="9"/>
        <v>48386.131999999998</v>
      </c>
    </row>
    <row r="18" spans="1:13" x14ac:dyDescent="0.3">
      <c r="A18" s="3">
        <v>9</v>
      </c>
      <c r="B18" s="4">
        <f t="shared" si="6"/>
        <v>60203</v>
      </c>
      <c r="C18" s="4">
        <f t="shared" si="7"/>
        <v>42998</v>
      </c>
      <c r="D18" s="4">
        <f t="shared" si="8"/>
        <v>34375</v>
      </c>
      <c r="G18" s="22">
        <f>1/((1+B32)^F16)</f>
        <v>3.0948152620394296E-14</v>
      </c>
    </row>
    <row r="20" spans="1:13" ht="19.8" customHeight="1" x14ac:dyDescent="0.3">
      <c r="F20" s="4" t="s">
        <v>13</v>
      </c>
      <c r="G20" s="4" t="s">
        <v>20</v>
      </c>
      <c r="H20" s="4" t="s">
        <v>40</v>
      </c>
    </row>
    <row r="21" spans="1:13" ht="46.2" customHeight="1" x14ac:dyDescent="0.3">
      <c r="A21" s="4" t="s">
        <v>13</v>
      </c>
      <c r="B21" s="4" t="s">
        <v>20</v>
      </c>
      <c r="C21" s="3" t="s">
        <v>19</v>
      </c>
      <c r="F21" s="4" t="s">
        <v>48</v>
      </c>
      <c r="G21" s="6">
        <f>K17</f>
        <v>90196.114999999991</v>
      </c>
      <c r="H21" s="4" t="s">
        <v>41</v>
      </c>
    </row>
    <row r="22" spans="1:13" ht="43.8" customHeight="1" x14ac:dyDescent="0.3">
      <c r="A22" s="3" t="s">
        <v>24</v>
      </c>
      <c r="B22" s="7">
        <v>10.5</v>
      </c>
      <c r="C22" s="3" t="s">
        <v>21</v>
      </c>
      <c r="F22" s="4" t="s">
        <v>49</v>
      </c>
      <c r="G22" s="4">
        <f>63274</f>
        <v>63274</v>
      </c>
      <c r="H22" s="4" t="s">
        <v>42</v>
      </c>
    </row>
    <row r="23" spans="1:13" ht="45" customHeight="1" x14ac:dyDescent="0.3">
      <c r="A23" s="3" t="s">
        <v>25</v>
      </c>
      <c r="B23" s="7">
        <v>3.07</v>
      </c>
      <c r="C23" s="3" t="s">
        <v>22</v>
      </c>
      <c r="F23" s="4" t="s">
        <v>50</v>
      </c>
      <c r="G23" s="4">
        <f>48249</f>
        <v>48249</v>
      </c>
      <c r="H23" s="4" t="s">
        <v>43</v>
      </c>
    </row>
    <row r="24" spans="1:13" ht="30" customHeight="1" x14ac:dyDescent="0.3">
      <c r="A24" s="3" t="s">
        <v>26</v>
      </c>
      <c r="B24" s="7">
        <v>4.37</v>
      </c>
      <c r="C24" s="3" t="s">
        <v>22</v>
      </c>
      <c r="F24" s="4" t="s">
        <v>51</v>
      </c>
      <c r="G24" s="4">
        <f>(G21+4*G22+G23)/6</f>
        <v>65256.852500000001</v>
      </c>
      <c r="H24" s="4" t="s">
        <v>44</v>
      </c>
    </row>
    <row r="25" spans="1:13" ht="32.4" customHeight="1" x14ac:dyDescent="0.3">
      <c r="A25" s="3" t="s">
        <v>27</v>
      </c>
      <c r="B25" s="7">
        <v>1.81</v>
      </c>
      <c r="C25" s="3" t="s">
        <v>22</v>
      </c>
      <c r="F25" s="4" t="s">
        <v>52</v>
      </c>
      <c r="G25" s="7">
        <f>D3</f>
        <v>7.0000000000000007E-2</v>
      </c>
      <c r="H25" s="4" t="s">
        <v>45</v>
      </c>
      <c r="I25" s="14"/>
    </row>
    <row r="26" spans="1:13" ht="28.8" customHeight="1" x14ac:dyDescent="0.3">
      <c r="A26" s="3" t="s">
        <v>28</v>
      </c>
      <c r="B26" s="7">
        <v>3</v>
      </c>
      <c r="C26" s="3" t="s">
        <v>22</v>
      </c>
      <c r="F26" s="4" t="s">
        <v>53</v>
      </c>
      <c r="G26" s="4">
        <f>D4</f>
        <v>0.8</v>
      </c>
      <c r="H26" s="4" t="s">
        <v>46</v>
      </c>
      <c r="I26" s="15"/>
    </row>
    <row r="27" spans="1:13" ht="33.6" customHeight="1" x14ac:dyDescent="0.3">
      <c r="A27" s="3" t="s">
        <v>29</v>
      </c>
      <c r="B27" s="7">
        <f>B22+B23*B24+B25+B26</f>
        <v>28.725899999999999</v>
      </c>
      <c r="C27" s="3" t="s">
        <v>34</v>
      </c>
      <c r="F27" s="4" t="s">
        <v>54</v>
      </c>
      <c r="G27" s="4">
        <f>G24*G25*G26</f>
        <v>3654.3837400000007</v>
      </c>
      <c r="H27" s="4" t="s">
        <v>47</v>
      </c>
    </row>
    <row r="28" spans="1:13" ht="28.8" x14ac:dyDescent="0.3">
      <c r="A28" s="3" t="s">
        <v>30</v>
      </c>
      <c r="B28" s="7">
        <v>0.4</v>
      </c>
      <c r="C28" s="3" t="s">
        <v>22</v>
      </c>
    </row>
    <row r="29" spans="1:13" ht="28.8" customHeight="1" x14ac:dyDescent="0.3">
      <c r="A29" s="3" t="s">
        <v>31</v>
      </c>
      <c r="B29" s="7">
        <v>0.6</v>
      </c>
      <c r="C29" s="3" t="s">
        <v>35</v>
      </c>
      <c r="F29" s="23" t="s">
        <v>117</v>
      </c>
      <c r="G29" s="23"/>
      <c r="H29" s="23"/>
    </row>
    <row r="30" spans="1:13" ht="28.8" x14ac:dyDescent="0.3">
      <c r="A30" s="3" t="s">
        <v>32</v>
      </c>
      <c r="B30" s="7">
        <v>15</v>
      </c>
      <c r="C30" s="3" t="s">
        <v>22</v>
      </c>
      <c r="F30" s="23"/>
      <c r="G30" s="23"/>
      <c r="H30" s="23"/>
    </row>
    <row r="31" spans="1:13" ht="16.2" customHeight="1" x14ac:dyDescent="0.3">
      <c r="A31" s="3" t="s">
        <v>23</v>
      </c>
      <c r="B31" s="7">
        <v>0.3</v>
      </c>
      <c r="C31" s="3" t="s">
        <v>22</v>
      </c>
      <c r="F31" s="23"/>
      <c r="G31" s="23"/>
      <c r="H31" s="23"/>
    </row>
    <row r="32" spans="1:13" ht="28.8" x14ac:dyDescent="0.3">
      <c r="A32" s="3" t="s">
        <v>33</v>
      </c>
      <c r="B32" s="4">
        <f>B27*B29+B28*B30*(1-B31)</f>
        <v>21.43554</v>
      </c>
      <c r="C32" s="3" t="s">
        <v>36</v>
      </c>
      <c r="F32" s="18"/>
      <c r="G32" s="18"/>
      <c r="H32" s="18"/>
    </row>
  </sheetData>
  <mergeCells count="11">
    <mergeCell ref="F29:H31"/>
    <mergeCell ref="G2:M2"/>
    <mergeCell ref="H3:J3"/>
    <mergeCell ref="K3:M3"/>
    <mergeCell ref="A8:A9"/>
    <mergeCell ref="B8:D8"/>
    <mergeCell ref="G3:G4"/>
    <mergeCell ref="F2:F5"/>
    <mergeCell ref="F17:J17"/>
    <mergeCell ref="C4:C5"/>
    <mergeCell ref="D4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A6FB-FB33-4D8B-BB14-526DBE24400A}">
  <dimension ref="A1:L30"/>
  <sheetViews>
    <sheetView tabSelected="1" topLeftCell="A19" workbookViewId="0">
      <selection activeCell="C31" sqref="C31"/>
    </sheetView>
  </sheetViews>
  <sheetFormatPr defaultRowHeight="14.4" x14ac:dyDescent="0.3"/>
  <cols>
    <col min="1" max="1" width="29.21875" style="2" customWidth="1"/>
    <col min="2" max="2" width="15.44140625" style="2" customWidth="1"/>
    <col min="3" max="3" width="17.44140625" style="2" customWidth="1"/>
    <col min="4" max="4" width="17.88671875" style="2" customWidth="1"/>
    <col min="5" max="5" width="17.5546875" style="2" customWidth="1"/>
    <col min="6" max="6" width="8.88671875" style="2"/>
    <col min="7" max="7" width="9.33203125" style="2" customWidth="1"/>
    <col min="8" max="16384" width="8.88671875" style="2"/>
  </cols>
  <sheetData>
    <row r="1" spans="1:6" x14ac:dyDescent="0.3">
      <c r="A1" s="3" t="s">
        <v>0</v>
      </c>
      <c r="B1" s="3" t="s">
        <v>20</v>
      </c>
      <c r="D1" s="3" t="s">
        <v>18</v>
      </c>
      <c r="E1" s="3">
        <v>1</v>
      </c>
    </row>
    <row r="2" spans="1:6" x14ac:dyDescent="0.3">
      <c r="A2" s="3" t="s">
        <v>70</v>
      </c>
      <c r="B2" s="3" t="s">
        <v>59</v>
      </c>
    </row>
    <row r="3" spans="1:6" x14ac:dyDescent="0.3">
      <c r="A3" s="3" t="s">
        <v>71</v>
      </c>
      <c r="B3" s="3" t="s">
        <v>113</v>
      </c>
    </row>
    <row r="4" spans="1:6" x14ac:dyDescent="0.3">
      <c r="A4" s="3" t="s">
        <v>72</v>
      </c>
      <c r="B4" s="3">
        <v>5</v>
      </c>
    </row>
    <row r="6" spans="1:6" x14ac:dyDescent="0.3">
      <c r="A6" s="37" t="s">
        <v>13</v>
      </c>
      <c r="B6" s="37" t="s">
        <v>79</v>
      </c>
      <c r="C6" s="28" t="s">
        <v>58</v>
      </c>
      <c r="D6" s="28"/>
      <c r="E6" s="28"/>
    </row>
    <row r="7" spans="1:6" x14ac:dyDescent="0.3">
      <c r="A7" s="37"/>
      <c r="B7" s="37"/>
      <c r="C7" s="8" t="s">
        <v>60</v>
      </c>
      <c r="D7" s="4" t="s">
        <v>61</v>
      </c>
      <c r="E7" s="4" t="s">
        <v>62</v>
      </c>
    </row>
    <row r="8" spans="1:6" x14ac:dyDescent="0.3">
      <c r="A8" s="4" t="s">
        <v>73</v>
      </c>
      <c r="B8" s="4" t="s">
        <v>63</v>
      </c>
      <c r="C8" s="4">
        <v>1000</v>
      </c>
      <c r="D8" s="4">
        <v>2300</v>
      </c>
      <c r="E8" s="4">
        <v>3500</v>
      </c>
    </row>
    <row r="9" spans="1:6" x14ac:dyDescent="0.3">
      <c r="A9" s="4" t="s">
        <v>74</v>
      </c>
      <c r="B9" s="4" t="s">
        <v>118</v>
      </c>
      <c r="C9" s="4" t="s">
        <v>81</v>
      </c>
      <c r="D9" s="4" t="s">
        <v>82</v>
      </c>
      <c r="E9" s="4" t="s">
        <v>83</v>
      </c>
    </row>
    <row r="10" spans="1:6" ht="28.8" x14ac:dyDescent="0.3">
      <c r="A10" s="4" t="s">
        <v>75</v>
      </c>
      <c r="B10" s="4" t="s">
        <v>119</v>
      </c>
      <c r="C10" s="4" t="s">
        <v>80</v>
      </c>
      <c r="D10" s="4" t="s">
        <v>84</v>
      </c>
      <c r="E10" s="4" t="s">
        <v>64</v>
      </c>
    </row>
    <row r="11" spans="1:6" x14ac:dyDescent="0.3">
      <c r="A11" s="4" t="s">
        <v>76</v>
      </c>
      <c r="B11" s="4" t="str">
        <f>$B$2</f>
        <v>малый</v>
      </c>
      <c r="C11" s="4" t="s">
        <v>65</v>
      </c>
      <c r="D11" s="4" t="s">
        <v>66</v>
      </c>
      <c r="E11" s="4" t="s">
        <v>59</v>
      </c>
    </row>
    <row r="12" spans="1:6" x14ac:dyDescent="0.3">
      <c r="A12" s="4" t="s">
        <v>77</v>
      </c>
      <c r="B12" s="4" t="str">
        <f>$B$3</f>
        <v>единичное</v>
      </c>
      <c r="C12" s="4" t="s">
        <v>67</v>
      </c>
      <c r="D12" s="4" t="s">
        <v>68</v>
      </c>
      <c r="E12" s="4" t="s">
        <v>69</v>
      </c>
    </row>
    <row r="13" spans="1:6" x14ac:dyDescent="0.3">
      <c r="A13" s="4" t="s">
        <v>78</v>
      </c>
      <c r="B13" s="4">
        <f>$B$4</f>
        <v>5</v>
      </c>
      <c r="C13" s="4">
        <v>8</v>
      </c>
      <c r="D13" s="4">
        <v>7</v>
      </c>
      <c r="E13" s="4">
        <v>10</v>
      </c>
    </row>
    <row r="15" spans="1:6" ht="21.6" customHeight="1" x14ac:dyDescent="0.3">
      <c r="A15" s="37" t="s">
        <v>13</v>
      </c>
      <c r="B15" s="28" t="s">
        <v>19</v>
      </c>
      <c r="C15" s="41" t="s">
        <v>57</v>
      </c>
      <c r="D15" s="38" t="s">
        <v>58</v>
      </c>
      <c r="E15" s="39"/>
      <c r="F15" s="40"/>
    </row>
    <row r="16" spans="1:6" ht="19.2" customHeight="1" x14ac:dyDescent="0.3">
      <c r="A16" s="37"/>
      <c r="B16" s="28"/>
      <c r="C16" s="42"/>
      <c r="D16" s="19" t="s">
        <v>60</v>
      </c>
      <c r="E16" s="19" t="s">
        <v>61</v>
      </c>
      <c r="F16" s="19" t="s">
        <v>62</v>
      </c>
    </row>
    <row r="17" spans="1:12" ht="28.8" x14ac:dyDescent="0.3">
      <c r="A17" s="16" t="s">
        <v>85</v>
      </c>
      <c r="B17" s="3" t="s">
        <v>96</v>
      </c>
      <c r="C17" s="21">
        <f>'2.1'!D3</f>
        <v>7.0000000000000007E-2</v>
      </c>
      <c r="D17" s="21">
        <v>1.4999999999999999E-2</v>
      </c>
      <c r="E17" s="21">
        <v>3.5000000000000003E-2</v>
      </c>
      <c r="F17" s="21">
        <v>8.9999999999999993E-3</v>
      </c>
    </row>
    <row r="18" spans="1:12" x14ac:dyDescent="0.3">
      <c r="A18" s="16" t="s">
        <v>86</v>
      </c>
      <c r="B18" s="3" t="s">
        <v>97</v>
      </c>
      <c r="C18" s="3" t="s">
        <v>63</v>
      </c>
      <c r="D18" s="21">
        <f>$C$17/D17</f>
        <v>4.666666666666667</v>
      </c>
      <c r="E18" s="3">
        <f>$C$17/E17</f>
        <v>2</v>
      </c>
      <c r="F18" s="3">
        <f>$C$17/F17</f>
        <v>7.7777777777777795</v>
      </c>
    </row>
    <row r="19" spans="1:12" ht="28.8" x14ac:dyDescent="0.3">
      <c r="A19" s="16" t="s">
        <v>87</v>
      </c>
      <c r="B19" s="3" t="s">
        <v>98</v>
      </c>
      <c r="C19" s="3">
        <f>'2.1'!D4</f>
        <v>0.8</v>
      </c>
      <c r="D19" s="3">
        <v>1</v>
      </c>
      <c r="E19" s="3">
        <v>0.6</v>
      </c>
      <c r="F19" s="3">
        <v>0.7</v>
      </c>
    </row>
    <row r="20" spans="1:12" ht="28.8" x14ac:dyDescent="0.3">
      <c r="A20" s="16" t="s">
        <v>88</v>
      </c>
      <c r="B20" s="3" t="s">
        <v>99</v>
      </c>
      <c r="C20" s="3" t="s">
        <v>63</v>
      </c>
      <c r="D20" s="3">
        <f>$C$19/D19</f>
        <v>0.8</v>
      </c>
      <c r="E20" s="3">
        <f>$C$19/E19</f>
        <v>1.3333333333333335</v>
      </c>
      <c r="F20" s="3">
        <f>$C$19/F19</f>
        <v>1.142857142857143</v>
      </c>
    </row>
    <row r="21" spans="1:12" ht="28.8" x14ac:dyDescent="0.3">
      <c r="A21" s="16" t="s">
        <v>89</v>
      </c>
      <c r="B21" s="3" t="s">
        <v>100</v>
      </c>
      <c r="C21" s="3">
        <v>3.35</v>
      </c>
      <c r="D21" s="3">
        <v>0.95</v>
      </c>
      <c r="E21" s="3">
        <v>1.81</v>
      </c>
      <c r="F21" s="3">
        <v>4.0199999999999996</v>
      </c>
    </row>
    <row r="22" spans="1:12" ht="28.8" x14ac:dyDescent="0.3">
      <c r="A22" s="16" t="s">
        <v>90</v>
      </c>
      <c r="B22" s="3" t="s">
        <v>101</v>
      </c>
      <c r="C22" s="3" t="s">
        <v>63</v>
      </c>
      <c r="D22" s="3">
        <f>$C$21/D21</f>
        <v>3.5263157894736845</v>
      </c>
      <c r="E22" s="3">
        <f>$C$21/E21</f>
        <v>1.850828729281768</v>
      </c>
      <c r="F22" s="3">
        <f>$C$21/F21</f>
        <v>0.83333333333333348</v>
      </c>
    </row>
    <row r="23" spans="1:12" ht="28.8" x14ac:dyDescent="0.3">
      <c r="A23" s="16" t="s">
        <v>108</v>
      </c>
      <c r="B23" s="3" t="s">
        <v>102</v>
      </c>
      <c r="C23" s="3">
        <v>0.09</v>
      </c>
      <c r="D23" s="3">
        <v>0.4</v>
      </c>
      <c r="E23" s="3">
        <v>0.3</v>
      </c>
      <c r="F23" s="3">
        <v>0.5</v>
      </c>
    </row>
    <row r="24" spans="1:12" ht="28.8" x14ac:dyDescent="0.3">
      <c r="A24" s="16" t="s">
        <v>109</v>
      </c>
      <c r="B24" s="3" t="s">
        <v>107</v>
      </c>
      <c r="C24" s="3" t="s">
        <v>63</v>
      </c>
      <c r="D24" s="3">
        <f>$C$23/D23</f>
        <v>0.22499999999999998</v>
      </c>
      <c r="E24" s="3">
        <f>$C$23/E23</f>
        <v>0.3</v>
      </c>
      <c r="F24" s="3">
        <f>$C$23/F23</f>
        <v>0.18</v>
      </c>
    </row>
    <row r="25" spans="1:12" ht="28.8" x14ac:dyDescent="0.3">
      <c r="A25" s="16" t="s">
        <v>110</v>
      </c>
      <c r="B25" s="3" t="s">
        <v>103</v>
      </c>
      <c r="C25" s="3" t="s">
        <v>63</v>
      </c>
      <c r="D25" s="20">
        <f>$B$13/C13</f>
        <v>0.625</v>
      </c>
      <c r="E25" s="20">
        <f>$B$13/D13</f>
        <v>0.7142857142857143</v>
      </c>
      <c r="F25" s="20">
        <f>$B$13/E13</f>
        <v>0.5</v>
      </c>
    </row>
    <row r="26" spans="1:12" ht="28.8" x14ac:dyDescent="0.3">
      <c r="A26" s="16" t="s">
        <v>91</v>
      </c>
      <c r="B26" s="3" t="s">
        <v>104</v>
      </c>
      <c r="C26" s="21">
        <v>0.80900000000000005</v>
      </c>
      <c r="D26" s="21">
        <v>0.57840000000000003</v>
      </c>
      <c r="E26" s="21">
        <v>0.78349999999999997</v>
      </c>
      <c r="F26" s="21">
        <v>0.64080000000000004</v>
      </c>
    </row>
    <row r="27" spans="1:12" x14ac:dyDescent="0.3">
      <c r="A27" s="16" t="s">
        <v>92</v>
      </c>
      <c r="B27" s="3" t="s">
        <v>105</v>
      </c>
      <c r="C27" s="3" t="s">
        <v>63</v>
      </c>
      <c r="D27" s="3">
        <f>$C$26/D26</f>
        <v>1.3986860304287692</v>
      </c>
      <c r="E27" s="3">
        <f>$C$26/E26</f>
        <v>1.0325462667517551</v>
      </c>
      <c r="F27" s="3">
        <f>$C$26/F26</f>
        <v>1.2624843945068664</v>
      </c>
    </row>
    <row r="28" spans="1:12" ht="28.8" x14ac:dyDescent="0.3">
      <c r="A28" s="16" t="s">
        <v>93</v>
      </c>
      <c r="B28" s="3" t="s">
        <v>106</v>
      </c>
      <c r="C28" s="3" t="s">
        <v>63</v>
      </c>
      <c r="D28" s="3">
        <f>D18*D20*D22*D24*D25*D27</f>
        <v>2.5894095326490505</v>
      </c>
      <c r="E28" s="3">
        <f t="shared" ref="E28:F28" si="0">E18*E20*E22*E24*E25*E27</f>
        <v>1.0920378827524484</v>
      </c>
      <c r="F28" s="3">
        <f t="shared" si="0"/>
        <v>0.84165626300457819</v>
      </c>
      <c r="H28" s="23" t="s">
        <v>120</v>
      </c>
      <c r="I28" s="36"/>
      <c r="J28" s="36"/>
      <c r="K28" s="36"/>
      <c r="L28" s="36"/>
    </row>
    <row r="29" spans="1:12" ht="28.8" x14ac:dyDescent="0.3">
      <c r="A29" s="3" t="s">
        <v>94</v>
      </c>
      <c r="B29" s="3" t="s">
        <v>111</v>
      </c>
      <c r="C29" s="3" t="s">
        <v>63</v>
      </c>
      <c r="D29" s="3">
        <f>D28*C8</f>
        <v>2589.4095326490506</v>
      </c>
      <c r="E29" s="3">
        <f>E28*D8</f>
        <v>2511.6871303306311</v>
      </c>
      <c r="F29" s="3">
        <f>F28*E8</f>
        <v>2945.7969205160239</v>
      </c>
      <c r="H29" s="36"/>
      <c r="I29" s="36"/>
      <c r="J29" s="36"/>
      <c r="K29" s="36"/>
      <c r="L29" s="36"/>
    </row>
    <row r="30" spans="1:12" ht="28.8" x14ac:dyDescent="0.3">
      <c r="A30" s="16" t="s">
        <v>95</v>
      </c>
      <c r="B30" s="3" t="s">
        <v>112</v>
      </c>
      <c r="C30" s="3">
        <f>(D29+E29+F29)/3</f>
        <v>2682.2978611652356</v>
      </c>
      <c r="D30" s="3" t="s">
        <v>63</v>
      </c>
      <c r="E30" s="3" t="s">
        <v>63</v>
      </c>
      <c r="F30" s="3" t="s">
        <v>63</v>
      </c>
      <c r="H30" s="36"/>
      <c r="I30" s="36"/>
      <c r="J30" s="36"/>
      <c r="K30" s="36"/>
      <c r="L30" s="36"/>
    </row>
  </sheetData>
  <mergeCells count="8">
    <mergeCell ref="H28:L30"/>
    <mergeCell ref="C6:E6"/>
    <mergeCell ref="B6:B7"/>
    <mergeCell ref="A6:A7"/>
    <mergeCell ref="B15:B16"/>
    <mergeCell ref="A15:A16"/>
    <mergeCell ref="D15:F15"/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2.1</vt:lpstr>
      <vt:lpstr>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 Protskaya</dc:creator>
  <cp:lastModifiedBy>Masha</cp:lastModifiedBy>
  <dcterms:created xsi:type="dcterms:W3CDTF">2022-02-03T07:15:08Z</dcterms:created>
  <dcterms:modified xsi:type="dcterms:W3CDTF">2022-03-10T07:45:06Z</dcterms:modified>
</cp:coreProperties>
</file>