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/>
  <xr:revisionPtr revIDLastSave="84" documentId="13_ncr:1_{F95A6CCD-79C8-4C66-A1A6-55F3A2326571}" xr6:coauthVersionLast="47" xr6:coauthVersionMax="47" xr10:uidLastSave="{F7D544B8-F19E-4ABB-9314-91166DAFCEC4}"/>
  <bookViews>
    <workbookView xWindow="-108" yWindow="-108" windowWidth="23256" windowHeight="12456" xr2:uid="{00000000-000D-0000-FFFF-FFFF00000000}"/>
  </bookViews>
  <sheets>
    <sheet name="3.1" sheetId="1" r:id="rId1"/>
    <sheet name="3.2" sheetId="3" r:id="rId2"/>
    <sheet name="3.3" sheetId="4" r:id="rId3"/>
    <sheet name="3.4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" i="1" l="1"/>
  <c r="D42" i="1"/>
  <c r="D41" i="1"/>
  <c r="D40" i="1"/>
  <c r="D39" i="1"/>
  <c r="D38" i="1"/>
  <c r="D37" i="1"/>
  <c r="D36" i="1"/>
  <c r="D35" i="1"/>
  <c r="D34" i="1"/>
  <c r="G43" i="1"/>
  <c r="G40" i="1"/>
  <c r="G38" i="1"/>
  <c r="G37" i="1"/>
  <c r="G34" i="1"/>
  <c r="G36" i="1"/>
  <c r="I23" i="5"/>
  <c r="C36" i="4"/>
  <c r="C35" i="4"/>
  <c r="C34" i="4"/>
  <c r="C4" i="4"/>
  <c r="B35" i="3"/>
  <c r="B34" i="3"/>
  <c r="B33" i="3"/>
  <c r="B32" i="3"/>
  <c r="C32" i="3" s="1"/>
  <c r="D32" i="3" s="1"/>
  <c r="B29" i="3"/>
  <c r="B28" i="3"/>
  <c r="B27" i="3"/>
  <c r="B26" i="3"/>
  <c r="C26" i="3" s="1"/>
  <c r="B23" i="3"/>
  <c r="C23" i="3" s="1"/>
  <c r="B22" i="3"/>
  <c r="C22" i="3" s="1"/>
  <c r="B21" i="3"/>
  <c r="C21" i="3" s="1"/>
  <c r="B20" i="3"/>
  <c r="C20" i="3" s="1"/>
  <c r="B14" i="3"/>
  <c r="C14" i="3" s="1"/>
  <c r="E14" i="3" s="1"/>
  <c r="B17" i="3"/>
  <c r="B16" i="3"/>
  <c r="B15" i="3"/>
  <c r="B10" i="3"/>
  <c r="B11" i="3"/>
  <c r="C11" i="3" s="1"/>
  <c r="B8" i="3"/>
  <c r="C8" i="3" s="1"/>
  <c r="D8" i="3" s="1"/>
  <c r="B9" i="3"/>
  <c r="C9" i="3" s="1"/>
  <c r="F19" i="1"/>
  <c r="G28" i="5"/>
  <c r="C10" i="3"/>
  <c r="B16" i="5"/>
  <c r="B15" i="5"/>
  <c r="B14" i="5"/>
  <c r="B13" i="5"/>
  <c r="B12" i="5"/>
  <c r="B11" i="5"/>
  <c r="B9" i="5"/>
  <c r="B6" i="5"/>
  <c r="B5" i="5"/>
  <c r="B4" i="5"/>
  <c r="B3" i="5"/>
  <c r="D26" i="4"/>
  <c r="C26" i="4"/>
  <c r="D14" i="4"/>
  <c r="D12" i="4"/>
  <c r="D9" i="4"/>
  <c r="D8" i="4"/>
  <c r="D7" i="4"/>
  <c r="D6" i="4"/>
  <c r="D5" i="4"/>
  <c r="D4" i="4"/>
  <c r="C14" i="4"/>
  <c r="C12" i="4"/>
  <c r="C9" i="4"/>
  <c r="C8" i="4"/>
  <c r="C7" i="4"/>
  <c r="C6" i="4"/>
  <c r="C5" i="4"/>
  <c r="C19" i="4"/>
  <c r="C27" i="3" l="1"/>
  <c r="C28" i="3" s="1"/>
  <c r="G10" i="5"/>
  <c r="G11" i="5"/>
  <c r="E20" i="3"/>
  <c r="E21" i="3" s="1"/>
  <c r="D20" i="3"/>
  <c r="D21" i="3" s="1"/>
  <c r="D22" i="3" s="1"/>
  <c r="D23" i="3" s="1"/>
  <c r="F43" i="1"/>
  <c r="F40" i="1"/>
  <c r="F38" i="1"/>
  <c r="F37" i="1"/>
  <c r="F36" i="1"/>
  <c r="F34" i="1"/>
  <c r="C43" i="1"/>
  <c r="B43" i="1"/>
  <c r="C42" i="1"/>
  <c r="B42" i="1"/>
  <c r="C41" i="1"/>
  <c r="B41" i="1"/>
  <c r="C40" i="1"/>
  <c r="B40" i="1"/>
  <c r="C39" i="1"/>
  <c r="C38" i="1"/>
  <c r="C37" i="1"/>
  <c r="B37" i="1"/>
  <c r="C36" i="1"/>
  <c r="B36" i="1"/>
  <c r="C35" i="1"/>
  <c r="B35" i="1"/>
  <c r="C34" i="1"/>
  <c r="E34" i="1" s="1"/>
  <c r="B34" i="1"/>
  <c r="D28" i="1"/>
  <c r="D25" i="1"/>
  <c r="D23" i="1"/>
  <c r="D22" i="1"/>
  <c r="D21" i="1"/>
  <c r="D19" i="1"/>
  <c r="C28" i="1"/>
  <c r="B28" i="1"/>
  <c r="C27" i="1"/>
  <c r="B27" i="1"/>
  <c r="C26" i="1"/>
  <c r="B26" i="1"/>
  <c r="C25" i="1"/>
  <c r="B25" i="1"/>
  <c r="C24" i="1"/>
  <c r="C23" i="1"/>
  <c r="C22" i="1"/>
  <c r="B22" i="1"/>
  <c r="C21" i="1"/>
  <c r="B21" i="1"/>
  <c r="C20" i="1"/>
  <c r="B20" i="1"/>
  <c r="C19" i="1"/>
  <c r="B19" i="1"/>
  <c r="E14" i="1"/>
  <c r="E11" i="1"/>
  <c r="E9" i="1"/>
  <c r="E8" i="1"/>
  <c r="E7" i="1"/>
  <c r="E5" i="1"/>
  <c r="C14" i="1"/>
  <c r="C13" i="1"/>
  <c r="C12" i="1"/>
  <c r="C11" i="1"/>
  <c r="C10" i="1"/>
  <c r="C9" i="1"/>
  <c r="C8" i="1"/>
  <c r="C7" i="1"/>
  <c r="C6" i="1"/>
  <c r="C5" i="1"/>
  <c r="B14" i="1"/>
  <c r="B13" i="1"/>
  <c r="B12" i="1"/>
  <c r="B11" i="1"/>
  <c r="B8" i="1"/>
  <c r="B7" i="1"/>
  <c r="B6" i="1"/>
  <c r="B5" i="1"/>
  <c r="G13" i="5"/>
  <c r="G14" i="5" s="1"/>
  <c r="C29" i="3" l="1"/>
  <c r="E19" i="1"/>
  <c r="F20" i="1"/>
  <c r="G12" i="5"/>
  <c r="G15" i="5" l="1"/>
  <c r="G16" i="5" s="1"/>
  <c r="G22" i="5" l="1"/>
  <c r="G32" i="5"/>
  <c r="H28" i="5"/>
  <c r="G29" i="5" s="1"/>
  <c r="G20" i="5"/>
  <c r="H32" i="5"/>
  <c r="G33" i="5" s="1"/>
  <c r="G30" i="5"/>
  <c r="G23" i="5"/>
  <c r="H30" i="5"/>
  <c r="G21" i="5"/>
  <c r="D27" i="4"/>
  <c r="C20" i="4"/>
  <c r="G31" i="5" l="1"/>
  <c r="D19" i="4"/>
  <c r="D20" i="4" s="1"/>
  <c r="D22" i="4" s="1"/>
  <c r="C27" i="4"/>
  <c r="C28" i="4" s="1"/>
  <c r="C22" i="4"/>
  <c r="C21" i="4"/>
  <c r="C23" i="4" s="1"/>
  <c r="C29" i="4" s="1"/>
  <c r="D28" i="4"/>
  <c r="C24" i="4"/>
  <c r="C25" i="4" s="1"/>
  <c r="D24" i="4"/>
  <c r="D25" i="4" s="1"/>
  <c r="D21" i="4" l="1"/>
  <c r="D23" i="4" s="1"/>
  <c r="D29" i="4"/>
  <c r="A39" i="4" s="1"/>
  <c r="D35" i="4" l="1"/>
  <c r="D34" i="4"/>
  <c r="D36" i="4" l="1"/>
  <c r="E36" i="4" s="1"/>
  <c r="E34" i="4"/>
  <c r="E35" i="4"/>
  <c r="A38" i="4"/>
  <c r="C35" i="3"/>
  <c r="C34" i="3"/>
  <c r="C33" i="3"/>
  <c r="D33" i="3" s="1"/>
  <c r="C17" i="3"/>
  <c r="C16" i="3"/>
  <c r="C15" i="3"/>
  <c r="E15" i="3" s="1"/>
  <c r="D9" i="3"/>
  <c r="E16" i="3" l="1"/>
  <c r="E17" i="3" s="1"/>
  <c r="D14" i="3"/>
  <c r="D15" i="3" s="1"/>
  <c r="D16" i="3" s="1"/>
  <c r="D17" i="3" s="1"/>
  <c r="E8" i="3"/>
  <c r="E9" i="3" s="1"/>
  <c r="E10" i="3" s="1"/>
  <c r="E11" i="3" s="1"/>
  <c r="D10" i="3"/>
  <c r="D11" i="3" s="1"/>
  <c r="E32" i="3"/>
  <c r="E33" i="3" s="1"/>
  <c r="E34" i="3" s="1"/>
  <c r="E35" i="3" s="1"/>
  <c r="D34" i="3"/>
  <c r="D35" i="3" s="1"/>
  <c r="E26" i="3"/>
  <c r="E22" i="3"/>
  <c r="E23" i="3" s="1"/>
  <c r="D26" i="3" l="1"/>
  <c r="D27" i="3" s="1"/>
  <c r="D28" i="3" l="1"/>
  <c r="E27" i="3"/>
  <c r="E28" i="3" l="1"/>
  <c r="D29" i="3" l="1"/>
  <c r="E29" i="3"/>
  <c r="D53" i="1"/>
  <c r="C53" i="1"/>
  <c r="D49" i="1"/>
  <c r="C49" i="1"/>
  <c r="E39" i="1"/>
  <c r="E38" i="1"/>
  <c r="E37" i="1"/>
  <c r="E36" i="1"/>
  <c r="E40" i="1"/>
  <c r="F26" i="1" l="1"/>
  <c r="C44" i="1"/>
  <c r="F21" i="1"/>
  <c r="F27" i="1"/>
  <c r="F22" i="1"/>
  <c r="F23" i="1"/>
  <c r="F24" i="1"/>
  <c r="B44" i="1"/>
  <c r="C50" i="1" s="1"/>
  <c r="F25" i="1"/>
  <c r="F28" i="1"/>
  <c r="F44" i="1"/>
  <c r="K9" i="1"/>
  <c r="K8" i="1"/>
  <c r="H36" i="1"/>
  <c r="I36" i="1" s="1"/>
  <c r="H37" i="1"/>
  <c r="I37" i="1" s="1"/>
  <c r="H38" i="1"/>
  <c r="I38" i="1" s="1"/>
  <c r="H40" i="1"/>
  <c r="I40" i="1" s="1"/>
  <c r="H43" i="1"/>
  <c r="H34" i="1"/>
  <c r="I34" i="1" s="1"/>
  <c r="E35" i="1"/>
  <c r="I35" i="1" s="1"/>
  <c r="I39" i="1"/>
  <c r="E41" i="1"/>
  <c r="I41" i="1" s="1"/>
  <c r="E42" i="1"/>
  <c r="I42" i="1" s="1"/>
  <c r="E43" i="1"/>
  <c r="D29" i="1"/>
  <c r="C29" i="1"/>
  <c r="B29" i="1"/>
  <c r="C52" i="1" l="1"/>
  <c r="C54" i="1"/>
  <c r="C51" i="1"/>
  <c r="J29" i="1"/>
  <c r="H44" i="1"/>
  <c r="I43" i="1"/>
  <c r="E44" i="1"/>
  <c r="E27" i="1"/>
  <c r="E26" i="1"/>
  <c r="E24" i="1"/>
  <c r="E20" i="1"/>
  <c r="E21" i="1"/>
  <c r="E22" i="1"/>
  <c r="E23" i="1"/>
  <c r="E25" i="1"/>
  <c r="E28" i="1"/>
  <c r="G23" i="1" l="1"/>
  <c r="G24" i="1"/>
  <c r="H24" i="1" s="1"/>
  <c r="G19" i="1"/>
  <c r="H19" i="1" s="1"/>
  <c r="G26" i="1"/>
  <c r="H26" i="1" s="1"/>
  <c r="G21" i="1"/>
  <c r="H21" i="1" s="1"/>
  <c r="G27" i="1"/>
  <c r="H27" i="1" s="1"/>
  <c r="G22" i="1"/>
  <c r="H22" i="1" s="1"/>
  <c r="G28" i="1"/>
  <c r="G25" i="1"/>
  <c r="H25" i="1" s="1"/>
  <c r="G20" i="1"/>
  <c r="H20" i="1" s="1"/>
  <c r="I44" i="1"/>
  <c r="D50" i="1" s="1"/>
  <c r="E29" i="1"/>
  <c r="J28" i="1" s="1"/>
  <c r="H23" i="1"/>
  <c r="H28" i="1"/>
  <c r="D54" i="1" l="1"/>
  <c r="E54" i="1" s="1"/>
  <c r="D52" i="1"/>
  <c r="E52" i="1" s="1"/>
  <c r="D51" i="1"/>
  <c r="H51" i="1" l="1"/>
  <c r="E51" i="1"/>
</calcChain>
</file>

<file path=xl/sharedStrings.xml><?xml version="1.0" encoding="utf-8"?>
<sst xmlns="http://schemas.openxmlformats.org/spreadsheetml/2006/main" count="325" uniqueCount="209">
  <si>
    <t>Виды основных средств</t>
  </si>
  <si>
    <t>1. Здания</t>
  </si>
  <si>
    <t>2. Сооружения</t>
  </si>
  <si>
    <t>3. Передаточные устройства</t>
  </si>
  <si>
    <t>4. Рабочие и силовые машины, механизмы, оборудование</t>
  </si>
  <si>
    <t>5. Измерительные и регулирующие приборы</t>
  </si>
  <si>
    <t>6. Вычислительная техника</t>
  </si>
  <si>
    <t>7. Транспортные средства</t>
  </si>
  <si>
    <t>8. Прочее имущество</t>
  </si>
  <si>
    <t>Стоимость основных средств, тыс. руб.</t>
  </si>
  <si>
    <t>на начало года</t>
  </si>
  <si>
    <t>введенных</t>
  </si>
  <si>
    <t>выбывших</t>
  </si>
  <si>
    <t>сумма</t>
  </si>
  <si>
    <t>дата</t>
  </si>
  <si>
    <t>-</t>
  </si>
  <si>
    <t>Объем выпущенной продукции, тыс. руб.</t>
  </si>
  <si>
    <t>Среднесписочная численность ППП, чел.</t>
  </si>
  <si>
    <t>виды основных средств</t>
  </si>
  <si>
    <t>Структура ОС, %</t>
  </si>
  <si>
    <t>начало</t>
  </si>
  <si>
    <t>выбытых</t>
  </si>
  <si>
    <t>на конец года</t>
  </si>
  <si>
    <t>Начало года</t>
  </si>
  <si>
    <t xml:space="preserve">Конец года </t>
  </si>
  <si>
    <t xml:space="preserve"> Изменение</t>
  </si>
  <si>
    <t>Показатели</t>
  </si>
  <si>
    <t>Значения по периодам</t>
  </si>
  <si>
    <t>базовый</t>
  </si>
  <si>
    <t>отчетный</t>
  </si>
  <si>
    <t>1. Объем выпущенной продукции</t>
  </si>
  <si>
    <t>2. Среднесписочная численность ППП</t>
  </si>
  <si>
    <t>9. Итого</t>
  </si>
  <si>
    <t>КВВ=</t>
  </si>
  <si>
    <t>КВЫБ</t>
  </si>
  <si>
    <t>стоимость ОС на начало года ОСн</t>
  </si>
  <si>
    <t>Введенные ОС</t>
  </si>
  <si>
    <t>Сумма Освв</t>
  </si>
  <si>
    <t>Число месяцев</t>
  </si>
  <si>
    <t>Выбывшие ОС</t>
  </si>
  <si>
    <t>Сумма Освыб</t>
  </si>
  <si>
    <t>Источник</t>
  </si>
  <si>
    <t>2. Среднегодовая стоимость ОС</t>
  </si>
  <si>
    <t>3. Фондоотдача</t>
  </si>
  <si>
    <t>4. Фондоемкость</t>
  </si>
  <si>
    <t>5. Среднесписочная численность ППП</t>
  </si>
  <si>
    <t>6. Фондовооруженность</t>
  </si>
  <si>
    <t>исх. данные, табл. 4.3</t>
  </si>
  <si>
    <t>см. табл. 4.5</t>
  </si>
  <si>
    <t>п. 1 / п. 2</t>
  </si>
  <si>
    <t>п. 2 / п. 1</t>
  </si>
  <si>
    <t>п.2 / п. 5</t>
  </si>
  <si>
    <t>дельта ВП=</t>
  </si>
  <si>
    <t>Среднегодовая стоимость ОС ОСср.г</t>
  </si>
  <si>
    <t>ср. год. сумма Освв</t>
  </si>
  <si>
    <t>Таблица 3.8</t>
  </si>
  <si>
    <t>Таблица 3.9</t>
  </si>
  <si>
    <t>Значения</t>
  </si>
  <si>
    <t>значения по годам</t>
  </si>
  <si>
    <t>1. Стоимость единицы оборудования</t>
  </si>
  <si>
    <t>2. Нормативный срок службы</t>
  </si>
  <si>
    <t>Объем производства продукции</t>
  </si>
  <si>
    <t>год</t>
  </si>
  <si>
    <t>амортизационные отчисления</t>
  </si>
  <si>
    <t>остаточная стоимость</t>
  </si>
  <si>
    <t>амортизационный фонд</t>
  </si>
  <si>
    <t>норма амортизации</t>
  </si>
  <si>
    <t>Таблица 3.15</t>
  </si>
  <si>
    <t>показатели</t>
  </si>
  <si>
    <t>обозначения</t>
  </si>
  <si>
    <t>значения</t>
  </si>
  <si>
    <t>1. Норма расхода материала на изделие</t>
  </si>
  <si>
    <t>M</t>
  </si>
  <si>
    <t>2. Цена материала</t>
  </si>
  <si>
    <t>Цm</t>
  </si>
  <si>
    <t>3. Годовая программа выпуска</t>
  </si>
  <si>
    <t>V</t>
  </si>
  <si>
    <t>4. Отпускная цена изделия</t>
  </si>
  <si>
    <t>Цотп</t>
  </si>
  <si>
    <t>5. Себестоимость единицы изделия</t>
  </si>
  <si>
    <t>С</t>
  </si>
  <si>
    <t>3. Интервал между поставками</t>
  </si>
  <si>
    <t>Tпост</t>
  </si>
  <si>
    <t>4. Страховой запас</t>
  </si>
  <si>
    <t>Tстрах</t>
  </si>
  <si>
    <t>5. Коэффициент нарастания затрат</t>
  </si>
  <si>
    <t>kнз</t>
  </si>
  <si>
    <t>6. Длительность производственного цикла</t>
  </si>
  <si>
    <t>Tпроизв</t>
  </si>
  <si>
    <t>7. Норматив расходов будущих периодов</t>
  </si>
  <si>
    <t>НБП</t>
  </si>
  <si>
    <t>8. Норма запаса готовой продукции</t>
  </si>
  <si>
    <t>Tгп</t>
  </si>
  <si>
    <t>Таблица 3.17</t>
  </si>
  <si>
    <t>1. Потребность в материалах на программу выпуска</t>
  </si>
  <si>
    <t>V· m</t>
  </si>
  <si>
    <t>2. Однодневная потребность в материалах</t>
  </si>
  <si>
    <t>п.1 / 360</t>
  </si>
  <si>
    <t>3. Текущий запас материалов</t>
  </si>
  <si>
    <t>п.2 · Tпост</t>
  </si>
  <si>
    <t>4. Страховой запас материалов</t>
  </si>
  <si>
    <t>п.2 · Tстрах</t>
  </si>
  <si>
    <t>5. Норматив производственных запасов</t>
  </si>
  <si>
    <t>(п.3 / 2 + п.4) · Цm</t>
  </si>
  <si>
    <t>6. Однодневный выпуск в продукции</t>
  </si>
  <si>
    <t>V / 360</t>
  </si>
  <si>
    <t>7. Норматив незавершенного производства</t>
  </si>
  <si>
    <t>kнз· п.6 ·С· Tпроизв</t>
  </si>
  <si>
    <t>8. Норматив расходов будущих периодов</t>
  </si>
  <si>
    <t>9. Годовой объем выпущенной продукции</t>
  </si>
  <si>
    <t>V· Цотп</t>
  </si>
  <si>
    <t>10. Норматив запасов готовой продукции</t>
  </si>
  <si>
    <t>п.9/360 · Tгп</t>
  </si>
  <si>
    <t>11. Норматив оборотных средств</t>
  </si>
  <si>
    <t>п.5 + п.7 + п.8 + п.10</t>
  </si>
  <si>
    <t>Таблица 3.18</t>
  </si>
  <si>
    <t>1. Коэффициент оборачиваемости, оборотов</t>
  </si>
  <si>
    <t>п.9 табл.3.17 / п.11 табл.3.17</t>
  </si>
  <si>
    <t>2. Коэффициент загрузки</t>
  </si>
  <si>
    <t>п.11 табл. 3.17 / п.9 табл. 3.17</t>
  </si>
  <si>
    <t>3. Длительность одного оборота, дней</t>
  </si>
  <si>
    <t>360 / п.1</t>
  </si>
  <si>
    <t>Таблица 3.19</t>
  </si>
  <si>
    <t>Таблица 3.21</t>
  </si>
  <si>
    <t>Обозначения</t>
  </si>
  <si>
    <t>1. Годовая программа выпуска</t>
  </si>
  <si>
    <t>1. Списочная численность промышленнопроизводственного персонала предприятия</t>
  </si>
  <si>
    <t>Ч б ППП</t>
  </si>
  <si>
    <t>2. Норма выработки в смену</t>
  </si>
  <si>
    <t>Нвыр</t>
  </si>
  <si>
    <t>2. Списочная численность работников предприятия</t>
  </si>
  <si>
    <t>Ч б сп</t>
  </si>
  <si>
    <t>3. Коэффициент выполнения норм выработки</t>
  </si>
  <si>
    <t>kвыр</t>
  </si>
  <si>
    <t>3. Годовая программа выпуска, млн. шт.</t>
  </si>
  <si>
    <t>V б</t>
  </si>
  <si>
    <t>4. Количество рабочих дней в году</t>
  </si>
  <si>
    <t>Т</t>
  </si>
  <si>
    <t>4. Отпускная цена единицы продукции, руб</t>
  </si>
  <si>
    <t>Ц б отп</t>
  </si>
  <si>
    <t>5. Режим работы, смены</t>
  </si>
  <si>
    <t>kсм</t>
  </si>
  <si>
    <t>6. Норма обслуживания</t>
  </si>
  <si>
    <t>Нобсл</t>
  </si>
  <si>
    <t>Таблица 3.22</t>
  </si>
  <si>
    <t>7. Количество установленного оборудования</t>
  </si>
  <si>
    <t>Р</t>
  </si>
  <si>
    <t>Значение</t>
  </si>
  <si>
    <t>8. Коэффициент приведения явочной численности в списочную</t>
  </si>
  <si>
    <t>kприв</t>
  </si>
  <si>
    <t>Нвыр · Т</t>
  </si>
  <si>
    <t>9. Списочная численность служащих предприятия</t>
  </si>
  <si>
    <t>Чсл</t>
  </si>
  <si>
    <t>2. Численность основных рабочих</t>
  </si>
  <si>
    <t>V / ( п.1 · kвыр)</t>
  </si>
  <si>
    <t>10. Списочная численность непроизводственного персонала</t>
  </si>
  <si>
    <t>Чнепр</t>
  </si>
  <si>
    <t>3. Однодневная потребность в материалах</t>
  </si>
  <si>
    <t>11. Количество работников, выбывших в течение года</t>
  </si>
  <si>
    <t>Чвыб</t>
  </si>
  <si>
    <t>4. Явочная численность вспомогательных рабочих</t>
  </si>
  <si>
    <t>(Р / Нобсл) · kсм</t>
  </si>
  <si>
    <t>12. Количество работников, принятых в течение года</t>
  </si>
  <si>
    <t>Чпр</t>
  </si>
  <si>
    <t>5. Списочная численность вспомогательных рабочих</t>
  </si>
  <si>
    <t>п.4 · kприв</t>
  </si>
  <si>
    <t>13. Отпускная цена единицы продукции</t>
  </si>
  <si>
    <t>6. Списочная численность промышленнопроизводственного персонала</t>
  </si>
  <si>
    <t>п.2 + п. 5 + Чсл</t>
  </si>
  <si>
    <t>14. Нормативная трудоемкость изготовления изделия</t>
  </si>
  <si>
    <t>t</t>
  </si>
  <si>
    <t>7. Списочная численность работников предприятия</t>
  </si>
  <si>
    <t>п.6 + Чнепр</t>
  </si>
  <si>
    <t>Таблица 3.23</t>
  </si>
  <si>
    <t>1. Коэффициент выбытия кадров</t>
  </si>
  <si>
    <t>Чвыб / Чсп</t>
  </si>
  <si>
    <t>2. Коэффициент приема кадров</t>
  </si>
  <si>
    <t>Чпр / Чсп</t>
  </si>
  <si>
    <t>3. Коэффициент стабильности кадров</t>
  </si>
  <si>
    <t>(Чсп - Чвыб - Чпр) / Чсп</t>
  </si>
  <si>
    <t>4. Коэффициент замещения</t>
  </si>
  <si>
    <t>(Чпр - Чвыб) / Чсп</t>
  </si>
  <si>
    <t>∆Ч=</t>
  </si>
  <si>
    <t>Таблица 3.24</t>
  </si>
  <si>
    <t>1. Производительность труда (натуральная)</t>
  </si>
  <si>
    <t>V / Чсп</t>
  </si>
  <si>
    <t>W отч н / W б н</t>
  </si>
  <si>
    <t>2. Производительность труда (стоимостная)</t>
  </si>
  <si>
    <t>V· Цотп / Чсп</t>
  </si>
  <si>
    <t>W отч ст / W б ст</t>
  </si>
  <si>
    <t>3. Производительность труда (трудовая)</t>
  </si>
  <si>
    <t>V· t / Чсп· 60</t>
  </si>
  <si>
    <t>W отч тр / W бтр</t>
  </si>
  <si>
    <t>Линейный способ</t>
  </si>
  <si>
    <t>Производительный способ начисления амортизации</t>
  </si>
  <si>
    <t>Вариант</t>
  </si>
  <si>
    <t>Изменение</t>
  </si>
  <si>
    <t>Нелинейный (прямой метод суммы лет)</t>
  </si>
  <si>
    <t>Нелинейный (обратный метод суммы лет)</t>
  </si>
  <si>
    <t>Нелинейный (метод уменьшаемого остатка с коэффициентом ускорения 2)</t>
  </si>
  <si>
    <t>исх. данные, табл. 3.16</t>
  </si>
  <si>
    <t>абсолютное высвобождение</t>
  </si>
  <si>
    <t>относительное высвобождение</t>
  </si>
  <si>
    <t>1. Годовая норма выработки одним рабочим сдельщиком</t>
  </si>
  <si>
    <t>15220 / 16500</t>
  </si>
  <si>
    <t>150 / 158</t>
  </si>
  <si>
    <t>Таким образом, эффективность использования оборотных средств предприятия увеличилась: коэффициент оборачиваемости увеличился на 0,0512 оборота, а длительность одного оборота уменьшилась на 5,5 дня. В результате этого в отчётном периоде было высвобождено оборотных средств на сумму 153,03 тыс. руб.</t>
  </si>
  <si>
    <t>Таким образом, производительность труда работников в отчетном периоде выросла по сравнению с базисным более чем на 6,8%.</t>
  </si>
  <si>
    <t xml:space="preserve">Таким образом, фондоотдача увеличилась на 0,15 руб/руб, фондоемкость уменьшилась на 0,005 руб/руб, за счет увеличения фондоотдачи объем выпуска продукции в отчетном периоде увеличился на 460,05 тыс. руб.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</si>
</sst>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5" fillId="0" borderId="1" xfId="0" applyFont="1" applyBorder="1" applyAlignment="1">
      <alignment wrapText="1"/>
    </xf>
    <xf numFmtId="14" fontId="5" fillId="0" borderId="1" xfId="0" applyNumberFormat="1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0" borderId="1" xfId="0" applyFont="1" applyBorder="1" applyAlignment="1">
      <alignment horizontal="right" wrapText="1"/>
    </xf>
    <xf numFmtId="0" fontId="5" fillId="0" borderId="5" xfId="0" applyFont="1" applyBorder="1" applyAlignment="1">
      <alignment wrapText="1"/>
    </xf>
    <xf numFmtId="0" fontId="5" fillId="0" borderId="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wrapText="1"/>
    </xf>
    <xf numFmtId="14" fontId="5" fillId="0" borderId="0" xfId="0" applyNumberFormat="1" applyFont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10" fontId="5" fillId="0" borderId="1" xfId="0" applyNumberFormat="1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0" xfId="0" applyFont="1"/>
    <xf numFmtId="0" fontId="4" fillId="0" borderId="1" xfId="0" applyFont="1" applyBorder="1"/>
    <xf numFmtId="0" fontId="9" fillId="0" borderId="0" xfId="0" applyFont="1"/>
    <xf numFmtId="0" fontId="9" fillId="0" borderId="1" xfId="0" applyFont="1" applyBorder="1"/>
    <xf numFmtId="0" fontId="9" fillId="0" borderId="7" xfId="0" applyFont="1" applyBorder="1"/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1" xfId="0" applyFont="1" applyBorder="1" applyAlignment="1">
      <alignment horizontal="right" wrapText="1"/>
    </xf>
    <xf numFmtId="2" fontId="5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5" fillId="0" borderId="3" xfId="0" applyFont="1" applyBorder="1" applyAlignment="1">
      <alignment horizontal="center" wrapText="1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" wrapText="1"/>
    </xf>
    <xf numFmtId="0" fontId="4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3" xfId="0" applyFont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wrapText="1"/>
    </xf>
    <xf numFmtId="0" fontId="5" fillId="0" borderId="3" xfId="0" applyFont="1" applyBorder="1" applyAlignment="1">
      <alignment horizontal="center" vertical="top" wrapText="1"/>
    </xf>
    <xf numFmtId="0" fontId="5" fillId="2" borderId="8" xfId="0" applyFont="1" applyFill="1" applyBorder="1" applyAlignment="1">
      <alignment horizontal="center" wrapText="1"/>
    </xf>
    <xf numFmtId="0" fontId="4" fillId="2" borderId="9" xfId="0" applyFont="1" applyFill="1" applyBorder="1" applyAlignment="1">
      <alignment horizontal="center" wrapText="1"/>
    </xf>
    <xf numFmtId="0" fontId="8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1" fillId="0" borderId="1" xfId="0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55"/>
  <sheetViews>
    <sheetView tabSelected="1" topLeftCell="A34" zoomScale="90" zoomScaleNormal="90" workbookViewId="0">
      <selection activeCell="J56" sqref="J56"/>
    </sheetView>
  </sheetViews>
  <sheetFormatPr defaultColWidth="9.109375" defaultRowHeight="14.4" x14ac:dyDescent="0.3"/>
  <cols>
    <col min="1" max="1" width="36.33203125" style="4" customWidth="1"/>
    <col min="2" max="2" width="13.6640625" style="4" customWidth="1"/>
    <col min="3" max="3" width="11.33203125" style="4" bestFit="1" customWidth="1"/>
    <col min="4" max="4" width="11.109375" style="4" customWidth="1"/>
    <col min="5" max="5" width="16.88671875" style="4" customWidth="1"/>
    <col min="6" max="6" width="12.109375" style="4" bestFit="1" customWidth="1"/>
    <col min="7" max="7" width="11.88671875" style="4" bestFit="1" customWidth="1"/>
    <col min="8" max="8" width="37" style="4" customWidth="1"/>
    <col min="9" max="9" width="21.33203125" style="4" customWidth="1"/>
    <col min="10" max="10" width="11.21875" style="4" customWidth="1"/>
    <col min="11" max="11" width="10.88671875" style="4" customWidth="1"/>
    <col min="12" max="12" width="11" style="4" bestFit="1" customWidth="1"/>
    <col min="13" max="16384" width="9.109375" style="4"/>
  </cols>
  <sheetData>
    <row r="2" spans="1:13" ht="28.8" x14ac:dyDescent="0.3">
      <c r="A2" s="50" t="s">
        <v>0</v>
      </c>
      <c r="B2" s="50" t="s">
        <v>9</v>
      </c>
      <c r="C2" s="50"/>
      <c r="D2" s="50"/>
      <c r="E2" s="50"/>
      <c r="F2" s="50"/>
      <c r="H2" s="5" t="s">
        <v>16</v>
      </c>
      <c r="I2" s="5" t="s">
        <v>17</v>
      </c>
      <c r="L2" s="5" t="s">
        <v>195</v>
      </c>
      <c r="M2" s="5">
        <v>1</v>
      </c>
    </row>
    <row r="3" spans="1:13" x14ac:dyDescent="0.3">
      <c r="A3" s="50"/>
      <c r="B3" s="50" t="s">
        <v>10</v>
      </c>
      <c r="C3" s="50" t="s">
        <v>11</v>
      </c>
      <c r="D3" s="50"/>
      <c r="E3" s="50" t="s">
        <v>12</v>
      </c>
      <c r="F3" s="50"/>
      <c r="H3" s="37" t="s">
        <v>204</v>
      </c>
      <c r="I3" s="37" t="s">
        <v>205</v>
      </c>
    </row>
    <row r="4" spans="1:13" x14ac:dyDescent="0.3">
      <c r="A4" s="50"/>
      <c r="B4" s="50"/>
      <c r="C4" s="1" t="s">
        <v>13</v>
      </c>
      <c r="D4" s="1" t="s">
        <v>14</v>
      </c>
      <c r="E4" s="1" t="s">
        <v>13</v>
      </c>
      <c r="F4" s="1" t="s">
        <v>14</v>
      </c>
    </row>
    <row r="5" spans="1:13" x14ac:dyDescent="0.3">
      <c r="A5" s="5" t="s">
        <v>1</v>
      </c>
      <c r="B5" s="5">
        <f>785+5*$M$2</f>
        <v>790</v>
      </c>
      <c r="C5" s="5">
        <f>10+$M$2</f>
        <v>11</v>
      </c>
      <c r="D5" s="6">
        <v>44256</v>
      </c>
      <c r="E5" s="5">
        <f>25-$M$2</f>
        <v>24</v>
      </c>
      <c r="F5" s="6">
        <v>44476</v>
      </c>
    </row>
    <row r="6" spans="1:13" x14ac:dyDescent="0.3">
      <c r="A6" s="5" t="s">
        <v>2</v>
      </c>
      <c r="B6" s="5">
        <f>235-2*$M$2</f>
        <v>233</v>
      </c>
      <c r="C6" s="5">
        <f>50-$M$2</f>
        <v>49</v>
      </c>
      <c r="D6" s="6">
        <v>44226</v>
      </c>
      <c r="E6" s="5" t="s">
        <v>15</v>
      </c>
      <c r="F6" s="6" t="s">
        <v>15</v>
      </c>
      <c r="H6" s="50" t="s">
        <v>26</v>
      </c>
      <c r="I6" s="50" t="s">
        <v>27</v>
      </c>
      <c r="J6" s="50"/>
      <c r="K6" s="42" t="s">
        <v>196</v>
      </c>
    </row>
    <row r="7" spans="1:13" x14ac:dyDescent="0.3">
      <c r="A7" s="5" t="s">
        <v>3</v>
      </c>
      <c r="B7" s="5">
        <f>310+7*$M$2</f>
        <v>317</v>
      </c>
      <c r="C7" s="5">
        <f>45-$M$2</f>
        <v>44</v>
      </c>
      <c r="D7" s="6">
        <v>44311</v>
      </c>
      <c r="E7" s="5">
        <f>20+$M$2</f>
        <v>21</v>
      </c>
      <c r="F7" s="6">
        <v>44526</v>
      </c>
      <c r="H7" s="50"/>
      <c r="I7" s="7" t="s">
        <v>28</v>
      </c>
      <c r="J7" s="5" t="s">
        <v>29</v>
      </c>
      <c r="K7" s="42"/>
    </row>
    <row r="8" spans="1:13" x14ac:dyDescent="0.3">
      <c r="A8" s="48" t="s">
        <v>4</v>
      </c>
      <c r="B8" s="48">
        <f>595+10*$M$2</f>
        <v>605</v>
      </c>
      <c r="C8" s="5">
        <f>15+$M$2</f>
        <v>16</v>
      </c>
      <c r="D8" s="6">
        <v>44260</v>
      </c>
      <c r="E8" s="5">
        <f>33-$M$2</f>
        <v>32</v>
      </c>
      <c r="F8" s="6">
        <v>44231</v>
      </c>
      <c r="H8" s="5" t="s">
        <v>30</v>
      </c>
      <c r="I8" s="5">
        <v>15220</v>
      </c>
      <c r="J8" s="5">
        <v>16500</v>
      </c>
      <c r="K8" s="5">
        <f>J8/I8</f>
        <v>1.0840998685939554</v>
      </c>
    </row>
    <row r="9" spans="1:13" x14ac:dyDescent="0.3">
      <c r="A9" s="48"/>
      <c r="B9" s="48"/>
      <c r="C9" s="5">
        <f>70+$M$2</f>
        <v>71</v>
      </c>
      <c r="D9" s="6">
        <v>44419</v>
      </c>
      <c r="E9" s="5">
        <f>10+$M$2</f>
        <v>11</v>
      </c>
      <c r="F9" s="6">
        <v>44348</v>
      </c>
      <c r="H9" s="5" t="s">
        <v>31</v>
      </c>
      <c r="I9" s="5">
        <v>150</v>
      </c>
      <c r="J9" s="5">
        <v>158</v>
      </c>
      <c r="K9" s="5">
        <f>J9/I9</f>
        <v>1.0533333333333332</v>
      </c>
    </row>
    <row r="10" spans="1:13" x14ac:dyDescent="0.3">
      <c r="A10" s="48"/>
      <c r="B10" s="48"/>
      <c r="C10" s="5">
        <f>65-$M$2</f>
        <v>64</v>
      </c>
      <c r="D10" s="6">
        <v>44470</v>
      </c>
      <c r="E10" s="5" t="s">
        <v>15</v>
      </c>
      <c r="F10" s="6" t="s">
        <v>15</v>
      </c>
    </row>
    <row r="11" spans="1:13" ht="28.8" x14ac:dyDescent="0.3">
      <c r="A11" s="5" t="s">
        <v>5</v>
      </c>
      <c r="B11" s="5">
        <f>380-$M$2</f>
        <v>379</v>
      </c>
      <c r="C11" s="5">
        <f>14+$M$2</f>
        <v>15</v>
      </c>
      <c r="D11" s="6">
        <v>44379</v>
      </c>
      <c r="E11" s="5">
        <f>7+$M$2</f>
        <v>8</v>
      </c>
      <c r="F11" s="6">
        <v>44258</v>
      </c>
      <c r="L11" s="16">
        <v>44561</v>
      </c>
    </row>
    <row r="12" spans="1:13" x14ac:dyDescent="0.3">
      <c r="A12" s="5" t="s">
        <v>6</v>
      </c>
      <c r="B12" s="5">
        <f>195+$M$2</f>
        <v>196</v>
      </c>
      <c r="C12" s="5">
        <f>34-$M$2</f>
        <v>33</v>
      </c>
      <c r="D12" s="6">
        <v>44449</v>
      </c>
      <c r="E12" s="5" t="s">
        <v>15</v>
      </c>
      <c r="F12" s="6" t="s">
        <v>15</v>
      </c>
    </row>
    <row r="13" spans="1:13" x14ac:dyDescent="0.3">
      <c r="A13" s="5" t="s">
        <v>7</v>
      </c>
      <c r="B13" s="5">
        <f>225+4*$M$2</f>
        <v>229</v>
      </c>
      <c r="C13" s="5">
        <f>49+$M$2</f>
        <v>50</v>
      </c>
      <c r="D13" s="6">
        <v>44295</v>
      </c>
      <c r="E13" s="5" t="s">
        <v>15</v>
      </c>
      <c r="F13" s="6" t="s">
        <v>15</v>
      </c>
    </row>
    <row r="14" spans="1:13" x14ac:dyDescent="0.3">
      <c r="A14" s="5" t="s">
        <v>8</v>
      </c>
      <c r="B14" s="5">
        <f>170+3*$M$2</f>
        <v>173</v>
      </c>
      <c r="C14" s="5">
        <f>23+$M$2</f>
        <v>24</v>
      </c>
      <c r="D14" s="6">
        <v>44353</v>
      </c>
      <c r="E14" s="5">
        <f>20-$M$2</f>
        <v>19</v>
      </c>
      <c r="F14" s="6">
        <v>44473</v>
      </c>
    </row>
    <row r="17" spans="1:10" x14ac:dyDescent="0.3">
      <c r="A17" s="46" t="s">
        <v>18</v>
      </c>
      <c r="B17" s="50" t="s">
        <v>9</v>
      </c>
      <c r="C17" s="50"/>
      <c r="D17" s="50"/>
      <c r="E17" s="50"/>
      <c r="F17" s="50" t="s">
        <v>19</v>
      </c>
      <c r="G17" s="50"/>
      <c r="H17" s="50"/>
    </row>
    <row r="18" spans="1:10" x14ac:dyDescent="0.3">
      <c r="A18" s="47"/>
      <c r="B18" s="1" t="s">
        <v>20</v>
      </c>
      <c r="C18" s="1" t="s">
        <v>11</v>
      </c>
      <c r="D18" s="1" t="s">
        <v>21</v>
      </c>
      <c r="E18" s="1" t="s">
        <v>22</v>
      </c>
      <c r="F18" s="5" t="s">
        <v>23</v>
      </c>
      <c r="G18" s="5" t="s">
        <v>24</v>
      </c>
      <c r="H18" s="5" t="s">
        <v>25</v>
      </c>
    </row>
    <row r="19" spans="1:10" x14ac:dyDescent="0.3">
      <c r="A19" s="8" t="s">
        <v>1</v>
      </c>
      <c r="B19" s="5">
        <f>785+5*$M$2</f>
        <v>790</v>
      </c>
      <c r="C19" s="5">
        <f>10+$M$2</f>
        <v>11</v>
      </c>
      <c r="D19" s="5">
        <f>25-$M$2</f>
        <v>24</v>
      </c>
      <c r="E19" s="1">
        <f>B19+C19-D19</f>
        <v>777</v>
      </c>
      <c r="F19" s="1">
        <f>B19/SUM($B$19:$B$28)*100</f>
        <v>27.036276522929498</v>
      </c>
      <c r="G19" s="1">
        <f>E19/SUM($E$19:$E$28)*100</f>
        <v>24.403266331658291</v>
      </c>
      <c r="H19" s="1">
        <f>G19-F19</f>
        <v>-2.6330101912712074</v>
      </c>
    </row>
    <row r="20" spans="1:10" x14ac:dyDescent="0.3">
      <c r="A20" s="9" t="s">
        <v>2</v>
      </c>
      <c r="B20" s="5">
        <f>235-2*$M$2</f>
        <v>233</v>
      </c>
      <c r="C20" s="5">
        <f>50-$M$2</f>
        <v>49</v>
      </c>
      <c r="D20" s="5" t="s">
        <v>15</v>
      </c>
      <c r="E20" s="1">
        <f>B20+C20</f>
        <v>282</v>
      </c>
      <c r="F20" s="1">
        <f>B20/SUM($B$19:$B$28)*100</f>
        <v>7.9739904175222449</v>
      </c>
      <c r="G20" s="1">
        <f t="shared" ref="G20:G28" si="0">E20/SUM($E$19:$E$28)*100</f>
        <v>8.8567839195979889</v>
      </c>
      <c r="H20" s="1">
        <f t="shared" ref="H20:H28" si="1">G20-F20</f>
        <v>0.88279350207574403</v>
      </c>
    </row>
    <row r="21" spans="1:10" x14ac:dyDescent="0.3">
      <c r="A21" s="9" t="s">
        <v>3</v>
      </c>
      <c r="B21" s="5">
        <f>310+7*$M$2</f>
        <v>317</v>
      </c>
      <c r="C21" s="5">
        <f>45-$M$2</f>
        <v>44</v>
      </c>
      <c r="D21" s="5">
        <f>20+$M$2</f>
        <v>21</v>
      </c>
      <c r="E21" s="1">
        <f t="shared" ref="E21:E28" si="2">B21+C21-D21</f>
        <v>340</v>
      </c>
      <c r="F21" s="1">
        <f t="shared" ref="F21:F22" si="3">B21/SUM($B$19:$B$28)*100</f>
        <v>10.84873374401095</v>
      </c>
      <c r="G21" s="1">
        <f t="shared" si="0"/>
        <v>10.678391959798995</v>
      </c>
      <c r="H21" s="1">
        <f t="shared" si="1"/>
        <v>-0.17034178421195456</v>
      </c>
    </row>
    <row r="22" spans="1:10" x14ac:dyDescent="0.3">
      <c r="A22" s="45" t="s">
        <v>4</v>
      </c>
      <c r="B22" s="48">
        <f>595+10*$M$2</f>
        <v>605</v>
      </c>
      <c r="C22" s="5">
        <f>15+$M$2</f>
        <v>16</v>
      </c>
      <c r="D22" s="5">
        <f>33-$M$2</f>
        <v>32</v>
      </c>
      <c r="E22" s="1">
        <f t="shared" si="2"/>
        <v>589</v>
      </c>
      <c r="F22" s="1">
        <f t="shared" si="3"/>
        <v>20.704996577686515</v>
      </c>
      <c r="G22" s="1">
        <f t="shared" si="0"/>
        <v>18.498743718592962</v>
      </c>
      <c r="H22" s="1">
        <f t="shared" si="1"/>
        <v>-2.2062528590935528</v>
      </c>
    </row>
    <row r="23" spans="1:10" x14ac:dyDescent="0.3">
      <c r="A23" s="45"/>
      <c r="B23" s="48"/>
      <c r="C23" s="5">
        <f>70+$M$2</f>
        <v>71</v>
      </c>
      <c r="D23" s="5">
        <f>10+$M$2</f>
        <v>11</v>
      </c>
      <c r="E23" s="1">
        <f t="shared" si="2"/>
        <v>60</v>
      </c>
      <c r="F23" s="1">
        <f>B22/SUM($B$19:$B$28)*100</f>
        <v>20.704996577686515</v>
      </c>
      <c r="G23" s="1">
        <f t="shared" si="0"/>
        <v>1.8844221105527637</v>
      </c>
      <c r="H23" s="1">
        <f t="shared" si="1"/>
        <v>-18.820574467133753</v>
      </c>
    </row>
    <row r="24" spans="1:10" x14ac:dyDescent="0.3">
      <c r="A24" s="45"/>
      <c r="B24" s="48"/>
      <c r="C24" s="5">
        <f>65-$M$2</f>
        <v>64</v>
      </c>
      <c r="D24" s="5" t="s">
        <v>15</v>
      </c>
      <c r="E24" s="1">
        <f>B24+C24</f>
        <v>64</v>
      </c>
      <c r="F24" s="1">
        <f>B22/SUM($B$19:$B$28)*100</f>
        <v>20.704996577686515</v>
      </c>
      <c r="G24" s="1">
        <f t="shared" si="0"/>
        <v>2.0100502512562812</v>
      </c>
      <c r="H24" s="1">
        <f t="shared" si="1"/>
        <v>-18.694946326430234</v>
      </c>
    </row>
    <row r="25" spans="1:10" ht="28.8" x14ac:dyDescent="0.3">
      <c r="A25" s="9" t="s">
        <v>5</v>
      </c>
      <c r="B25" s="5">
        <f>380-$M$2</f>
        <v>379</v>
      </c>
      <c r="C25" s="5">
        <f>14+$M$2</f>
        <v>15</v>
      </c>
      <c r="D25" s="5">
        <f>7+$M$2</f>
        <v>8</v>
      </c>
      <c r="E25" s="1">
        <f t="shared" si="2"/>
        <v>386</v>
      </c>
      <c r="F25" s="1">
        <f>B25/SUM($B$19:$B$28)*100</f>
        <v>12.97056810403833</v>
      </c>
      <c r="G25" s="1">
        <f t="shared" si="0"/>
        <v>12.123115577889447</v>
      </c>
      <c r="H25" s="1">
        <f t="shared" si="1"/>
        <v>-0.84745252614888322</v>
      </c>
    </row>
    <row r="26" spans="1:10" x14ac:dyDescent="0.3">
      <c r="A26" s="9" t="s">
        <v>6</v>
      </c>
      <c r="B26" s="5">
        <f>195+$M$2</f>
        <v>196</v>
      </c>
      <c r="C26" s="5">
        <f>34-$M$2</f>
        <v>33</v>
      </c>
      <c r="D26" s="5" t="s">
        <v>15</v>
      </c>
      <c r="E26" s="1">
        <f>B26+C26</f>
        <v>229</v>
      </c>
      <c r="F26" s="1">
        <f>B26/SUM($B$19:$B$28)*100</f>
        <v>6.707734428473648</v>
      </c>
      <c r="G26" s="1">
        <f t="shared" si="0"/>
        <v>7.192211055276382</v>
      </c>
      <c r="H26" s="1">
        <f t="shared" si="1"/>
        <v>0.48447662680273407</v>
      </c>
    </row>
    <row r="27" spans="1:10" x14ac:dyDescent="0.3">
      <c r="A27" s="9" t="s">
        <v>7</v>
      </c>
      <c r="B27" s="5">
        <f>225+4*$M$2</f>
        <v>229</v>
      </c>
      <c r="C27" s="5">
        <f>49+$M$2</f>
        <v>50</v>
      </c>
      <c r="D27" s="5" t="s">
        <v>15</v>
      </c>
      <c r="E27" s="1">
        <f>B27+C27</f>
        <v>279</v>
      </c>
      <c r="F27" s="1">
        <f>B27/SUM($B$19:$B$28)*100</f>
        <v>7.8370978781656397</v>
      </c>
      <c r="G27" s="1">
        <f t="shared" si="0"/>
        <v>8.7625628140703515</v>
      </c>
      <c r="H27" s="1">
        <f t="shared" si="1"/>
        <v>0.92546493590471179</v>
      </c>
    </row>
    <row r="28" spans="1:10" x14ac:dyDescent="0.3">
      <c r="A28" s="9" t="s">
        <v>8</v>
      </c>
      <c r="B28" s="5">
        <f>170+3*$M$2</f>
        <v>173</v>
      </c>
      <c r="C28" s="5">
        <f>23+$M$2</f>
        <v>24</v>
      </c>
      <c r="D28" s="5">
        <f>20-$M$2</f>
        <v>19</v>
      </c>
      <c r="E28" s="1">
        <f t="shared" si="2"/>
        <v>178</v>
      </c>
      <c r="F28" s="1">
        <f>B28/SUM($B$19:$B$28)*100</f>
        <v>5.9206023271731691</v>
      </c>
      <c r="G28" s="1">
        <f t="shared" si="0"/>
        <v>5.5904522613065328</v>
      </c>
      <c r="H28" s="1">
        <f t="shared" si="1"/>
        <v>-0.33015006586663631</v>
      </c>
      <c r="I28" s="10" t="s">
        <v>33</v>
      </c>
      <c r="J28" s="5">
        <f>C29/E29</f>
        <v>0.11840452261306533</v>
      </c>
    </row>
    <row r="29" spans="1:10" x14ac:dyDescent="0.3">
      <c r="A29" s="5" t="s">
        <v>32</v>
      </c>
      <c r="B29" s="1">
        <f>SUM(B19:B28)</f>
        <v>2922</v>
      </c>
      <c r="C29" s="1">
        <f>SUM(C19:C28)</f>
        <v>377</v>
      </c>
      <c r="D29" s="1">
        <f>SUM(D19:D28)</f>
        <v>115</v>
      </c>
      <c r="E29" s="1">
        <f>SUM(E19:E28)</f>
        <v>3184</v>
      </c>
      <c r="F29" s="1" t="s">
        <v>15</v>
      </c>
      <c r="G29" s="1" t="s">
        <v>15</v>
      </c>
      <c r="H29" s="1" t="s">
        <v>15</v>
      </c>
      <c r="I29" s="10" t="s">
        <v>34</v>
      </c>
      <c r="J29" s="5">
        <f>D29/B29</f>
        <v>3.9356605065023954E-2</v>
      </c>
    </row>
    <row r="32" spans="1:10" x14ac:dyDescent="0.3">
      <c r="A32" s="50" t="s">
        <v>0</v>
      </c>
      <c r="B32" s="50" t="s">
        <v>35</v>
      </c>
      <c r="C32" s="50" t="s">
        <v>36</v>
      </c>
      <c r="D32" s="50"/>
      <c r="E32" s="50"/>
      <c r="F32" s="50" t="s">
        <v>39</v>
      </c>
      <c r="G32" s="50"/>
      <c r="H32" s="50"/>
      <c r="I32" s="50" t="s">
        <v>53</v>
      </c>
    </row>
    <row r="33" spans="1:9" ht="28.8" x14ac:dyDescent="0.3">
      <c r="A33" s="50"/>
      <c r="B33" s="50"/>
      <c r="C33" s="5" t="s">
        <v>37</v>
      </c>
      <c r="D33" s="11" t="s">
        <v>38</v>
      </c>
      <c r="E33" s="5" t="s">
        <v>54</v>
      </c>
      <c r="F33" s="5" t="s">
        <v>40</v>
      </c>
      <c r="G33" s="11" t="s">
        <v>38</v>
      </c>
      <c r="H33" s="7" t="s">
        <v>54</v>
      </c>
      <c r="I33" s="50"/>
    </row>
    <row r="34" spans="1:9" x14ac:dyDescent="0.3">
      <c r="A34" s="8" t="s">
        <v>1</v>
      </c>
      <c r="B34" s="5">
        <f>785+5*$M$2</f>
        <v>790</v>
      </c>
      <c r="C34" s="5">
        <f>10+$M$2</f>
        <v>11</v>
      </c>
      <c r="D34" s="1">
        <f>MONTH($L$11) -MONTH(D5)+1</f>
        <v>10</v>
      </c>
      <c r="E34" s="12">
        <f>C34*D34/12</f>
        <v>9.1666666666666661</v>
      </c>
      <c r="F34" s="5">
        <f>25-$M$2</f>
        <v>24</v>
      </c>
      <c r="G34" s="1">
        <f>MONTH($L$11)-MONTH(F5)+1</f>
        <v>3</v>
      </c>
      <c r="H34" s="12">
        <f>F34*G34/12</f>
        <v>6</v>
      </c>
      <c r="I34" s="1">
        <f>B34+E34-H34</f>
        <v>793.16666666666663</v>
      </c>
    </row>
    <row r="35" spans="1:9" x14ac:dyDescent="0.3">
      <c r="A35" s="9" t="s">
        <v>2</v>
      </c>
      <c r="B35" s="5">
        <f>235-2*$M$2</f>
        <v>233</v>
      </c>
      <c r="C35" s="5">
        <f>50-$M$2</f>
        <v>49</v>
      </c>
      <c r="D35" s="1">
        <f>MONTH($L$11) -MONTH(D6)</f>
        <v>11</v>
      </c>
      <c r="E35" s="12">
        <f t="shared" ref="E35:E43" si="4">C35*D35/12</f>
        <v>44.916666666666664</v>
      </c>
      <c r="F35" s="5" t="s">
        <v>15</v>
      </c>
      <c r="G35" s="1" t="s">
        <v>15</v>
      </c>
      <c r="H35" s="12" t="s">
        <v>15</v>
      </c>
      <c r="I35" s="1">
        <f>B35+E35</f>
        <v>277.91666666666669</v>
      </c>
    </row>
    <row r="36" spans="1:9" x14ac:dyDescent="0.3">
      <c r="A36" s="9" t="s">
        <v>3</v>
      </c>
      <c r="B36" s="5">
        <f>310+7*$M$2</f>
        <v>317</v>
      </c>
      <c r="C36" s="5">
        <f>45-$M$2</f>
        <v>44</v>
      </c>
      <c r="D36" s="1">
        <f>MONTH($L$11) -MONTH(D7)</f>
        <v>8</v>
      </c>
      <c r="E36" s="12">
        <f t="shared" si="4"/>
        <v>29.333333333333332</v>
      </c>
      <c r="F36" s="5">
        <f>20+$M$2</f>
        <v>21</v>
      </c>
      <c r="G36" s="1">
        <f>MONTH($L$11)-MONTH(F7)</f>
        <v>1</v>
      </c>
      <c r="H36" s="12">
        <f t="shared" ref="H36:H43" si="5">F36*G36/12</f>
        <v>1.75</v>
      </c>
      <c r="I36" s="1">
        <f t="shared" ref="I36:I43" si="6">B36+E36-H36</f>
        <v>344.58333333333331</v>
      </c>
    </row>
    <row r="37" spans="1:9" x14ac:dyDescent="0.3">
      <c r="A37" s="45" t="s">
        <v>4</v>
      </c>
      <c r="B37" s="48">
        <f>595+10*$M$2</f>
        <v>605</v>
      </c>
      <c r="C37" s="5">
        <f>15+$M$2</f>
        <v>16</v>
      </c>
      <c r="D37" s="1">
        <f t="shared" ref="D37:D43" si="7">MONTH($L$11) -MONTH(D8)+1</f>
        <v>10</v>
      </c>
      <c r="E37" s="12">
        <f t="shared" si="4"/>
        <v>13.333333333333334</v>
      </c>
      <c r="F37" s="5">
        <f>33-$M$2</f>
        <v>32</v>
      </c>
      <c r="G37" s="1">
        <f>MONTH($L$11)-MONTH(F8)+1</f>
        <v>11</v>
      </c>
      <c r="H37" s="12">
        <f t="shared" si="5"/>
        <v>29.333333333333332</v>
      </c>
      <c r="I37" s="1">
        <f t="shared" si="6"/>
        <v>589</v>
      </c>
    </row>
    <row r="38" spans="1:9" x14ac:dyDescent="0.3">
      <c r="A38" s="45"/>
      <c r="B38" s="48"/>
      <c r="C38" s="5">
        <f>70+$M$2</f>
        <v>71</v>
      </c>
      <c r="D38" s="1">
        <f t="shared" si="7"/>
        <v>5</v>
      </c>
      <c r="E38" s="12">
        <f t="shared" si="4"/>
        <v>29.583333333333332</v>
      </c>
      <c r="F38" s="5">
        <f>10+$M$2</f>
        <v>11</v>
      </c>
      <c r="G38" s="1">
        <f>MONTH($L$11)-MONTH(F9)+1</f>
        <v>7</v>
      </c>
      <c r="H38" s="12">
        <f t="shared" si="5"/>
        <v>6.416666666666667</v>
      </c>
      <c r="I38" s="1">
        <f t="shared" si="6"/>
        <v>23.166666666666664</v>
      </c>
    </row>
    <row r="39" spans="1:9" x14ac:dyDescent="0.3">
      <c r="A39" s="45"/>
      <c r="B39" s="48"/>
      <c r="C39" s="5">
        <f>65-$M$2</f>
        <v>64</v>
      </c>
      <c r="D39" s="1">
        <f t="shared" si="7"/>
        <v>3</v>
      </c>
      <c r="E39" s="12">
        <f t="shared" si="4"/>
        <v>16</v>
      </c>
      <c r="F39" s="5" t="s">
        <v>15</v>
      </c>
      <c r="G39" s="1" t="s">
        <v>15</v>
      </c>
      <c r="H39" s="12" t="s">
        <v>15</v>
      </c>
      <c r="I39" s="1">
        <f>B39+E39</f>
        <v>16</v>
      </c>
    </row>
    <row r="40" spans="1:9" ht="28.8" x14ac:dyDescent="0.3">
      <c r="A40" s="9" t="s">
        <v>5</v>
      </c>
      <c r="B40" s="5">
        <f>380-$M$2</f>
        <v>379</v>
      </c>
      <c r="C40" s="5">
        <f>14+$M$2</f>
        <v>15</v>
      </c>
      <c r="D40" s="1">
        <f t="shared" si="7"/>
        <v>6</v>
      </c>
      <c r="E40" s="12">
        <f t="shared" si="4"/>
        <v>7.5</v>
      </c>
      <c r="F40" s="5">
        <f>7+$M$2</f>
        <v>8</v>
      </c>
      <c r="G40" s="1">
        <f>MONTH($L$11)-MONTH(F11)+1</f>
        <v>10</v>
      </c>
      <c r="H40" s="12">
        <f t="shared" si="5"/>
        <v>6.666666666666667</v>
      </c>
      <c r="I40" s="1">
        <f t="shared" si="6"/>
        <v>379.83333333333331</v>
      </c>
    </row>
    <row r="41" spans="1:9" x14ac:dyDescent="0.3">
      <c r="A41" s="9" t="s">
        <v>6</v>
      </c>
      <c r="B41" s="5">
        <f>195+$M$2</f>
        <v>196</v>
      </c>
      <c r="C41" s="5">
        <f>34-$M$2</f>
        <v>33</v>
      </c>
      <c r="D41" s="1">
        <f t="shared" si="7"/>
        <v>4</v>
      </c>
      <c r="E41" s="12">
        <f t="shared" si="4"/>
        <v>11</v>
      </c>
      <c r="F41" s="5" t="s">
        <v>15</v>
      </c>
      <c r="G41" s="1" t="s">
        <v>15</v>
      </c>
      <c r="H41" s="12" t="s">
        <v>15</v>
      </c>
      <c r="I41" s="1">
        <f>B41+E41</f>
        <v>207</v>
      </c>
    </row>
    <row r="42" spans="1:9" x14ac:dyDescent="0.3">
      <c r="A42" s="9" t="s">
        <v>7</v>
      </c>
      <c r="B42" s="5">
        <f>225+4*$M$2</f>
        <v>229</v>
      </c>
      <c r="C42" s="5">
        <f>49+$M$2</f>
        <v>50</v>
      </c>
      <c r="D42" s="1">
        <f t="shared" si="7"/>
        <v>9</v>
      </c>
      <c r="E42" s="12">
        <f t="shared" si="4"/>
        <v>37.5</v>
      </c>
      <c r="F42" s="5" t="s">
        <v>15</v>
      </c>
      <c r="G42" s="1" t="s">
        <v>15</v>
      </c>
      <c r="H42" s="12" t="s">
        <v>15</v>
      </c>
      <c r="I42" s="1">
        <f>B42+E42</f>
        <v>266.5</v>
      </c>
    </row>
    <row r="43" spans="1:9" x14ac:dyDescent="0.3">
      <c r="A43" s="9" t="s">
        <v>8</v>
      </c>
      <c r="B43" s="5">
        <f>170+3*$M$2</f>
        <v>173</v>
      </c>
      <c r="C43" s="5">
        <f>23+$M$2</f>
        <v>24</v>
      </c>
      <c r="D43" s="1">
        <f t="shared" si="7"/>
        <v>7</v>
      </c>
      <c r="E43" s="12">
        <f t="shared" si="4"/>
        <v>14</v>
      </c>
      <c r="F43" s="5">
        <f>20-$M$2</f>
        <v>19</v>
      </c>
      <c r="G43" s="1">
        <f>MONTH($L$11)-MONTH(F14)+1</f>
        <v>3</v>
      </c>
      <c r="H43" s="12">
        <f t="shared" si="5"/>
        <v>4.75</v>
      </c>
      <c r="I43" s="1">
        <f t="shared" si="6"/>
        <v>182.25</v>
      </c>
    </row>
    <row r="44" spans="1:9" ht="18" x14ac:dyDescent="0.3">
      <c r="A44" s="5" t="s">
        <v>32</v>
      </c>
      <c r="B44" s="1">
        <f>SUM(B34:B43)</f>
        <v>2922</v>
      </c>
      <c r="C44" s="1">
        <f>SUM(C34:C43)</f>
        <v>377</v>
      </c>
      <c r="D44" s="13" t="s">
        <v>15</v>
      </c>
      <c r="E44" s="1">
        <f>SUM(E34:E43)</f>
        <v>212.33333333333331</v>
      </c>
      <c r="F44" s="14">
        <f>SUM(F34:F43)</f>
        <v>115</v>
      </c>
      <c r="G44" s="2" t="s">
        <v>15</v>
      </c>
      <c r="H44" s="12">
        <f>H34+H36+H37+H38+H40</f>
        <v>50.166666666666657</v>
      </c>
      <c r="I44" s="1">
        <f>SUM(I34:I43)</f>
        <v>3079.4166666666665</v>
      </c>
    </row>
    <row r="47" spans="1:9" x14ac:dyDescent="0.3">
      <c r="A47" s="50" t="s">
        <v>26</v>
      </c>
      <c r="B47" s="50" t="s">
        <v>41</v>
      </c>
      <c r="C47" s="49" t="s">
        <v>27</v>
      </c>
      <c r="D47" s="49"/>
      <c r="E47" s="43" t="s">
        <v>196</v>
      </c>
    </row>
    <row r="48" spans="1:9" x14ac:dyDescent="0.3">
      <c r="A48" s="50"/>
      <c r="B48" s="50"/>
      <c r="C48" s="11" t="s">
        <v>28</v>
      </c>
      <c r="D48" s="11" t="s">
        <v>29</v>
      </c>
      <c r="E48" s="44"/>
    </row>
    <row r="49" spans="1:9" ht="28.8" x14ac:dyDescent="0.3">
      <c r="A49" s="5" t="s">
        <v>30</v>
      </c>
      <c r="B49" s="9" t="s">
        <v>47</v>
      </c>
      <c r="C49" s="1">
        <f>I8</f>
        <v>15220</v>
      </c>
      <c r="D49" s="1">
        <f>J8</f>
        <v>16500</v>
      </c>
      <c r="E49" s="5" t="s">
        <v>15</v>
      </c>
    </row>
    <row r="50" spans="1:9" x14ac:dyDescent="0.3">
      <c r="A50" s="5" t="s">
        <v>42</v>
      </c>
      <c r="B50" s="9" t="s">
        <v>48</v>
      </c>
      <c r="C50" s="3">
        <f>B44</f>
        <v>2922</v>
      </c>
      <c r="D50" s="3">
        <f>I44</f>
        <v>3079.4166666666665</v>
      </c>
      <c r="E50" s="5" t="s">
        <v>15</v>
      </c>
    </row>
    <row r="51" spans="1:9" x14ac:dyDescent="0.3">
      <c r="A51" s="5" t="s">
        <v>43</v>
      </c>
      <c r="B51" s="9" t="s">
        <v>49</v>
      </c>
      <c r="C51" s="5">
        <f>C49/C50</f>
        <v>5.2087611225188226</v>
      </c>
      <c r="D51" s="5">
        <f>D49/D50</f>
        <v>5.3581576597299279</v>
      </c>
      <c r="E51" s="5">
        <f>D51-C51</f>
        <v>0.14939653721110524</v>
      </c>
      <c r="G51" s="5" t="s">
        <v>52</v>
      </c>
      <c r="H51" s="5">
        <f>(D51-C51)*D50</f>
        <v>460.05418663016428</v>
      </c>
    </row>
    <row r="52" spans="1:9" x14ac:dyDescent="0.3">
      <c r="A52" s="5" t="s">
        <v>44</v>
      </c>
      <c r="B52" s="9" t="s">
        <v>50</v>
      </c>
      <c r="C52" s="5">
        <f>C50/C49</f>
        <v>0.19198423127463862</v>
      </c>
      <c r="D52" s="5">
        <f>D50/D49</f>
        <v>0.18663131313131312</v>
      </c>
      <c r="E52" s="5">
        <f>D52-C52</f>
        <v>-5.3529181433255024E-3</v>
      </c>
    </row>
    <row r="53" spans="1:9" ht="28.8" x14ac:dyDescent="0.3">
      <c r="A53" s="5" t="s">
        <v>45</v>
      </c>
      <c r="B53" s="9" t="s">
        <v>47</v>
      </c>
      <c r="C53" s="1">
        <f>I9</f>
        <v>150</v>
      </c>
      <c r="D53" s="1">
        <f>J9</f>
        <v>158</v>
      </c>
      <c r="E53" s="5" t="s">
        <v>15</v>
      </c>
      <c r="G53" s="61" t="s">
        <v>208</v>
      </c>
      <c r="H53" s="41"/>
      <c r="I53" s="41"/>
    </row>
    <row r="54" spans="1:9" x14ac:dyDescent="0.3">
      <c r="A54" s="5" t="s">
        <v>46</v>
      </c>
      <c r="B54" s="5" t="s">
        <v>51</v>
      </c>
      <c r="C54" s="15">
        <f>C50/C53</f>
        <v>19.48</v>
      </c>
      <c r="D54" s="15">
        <f>D50/D53</f>
        <v>19.489978902953585</v>
      </c>
      <c r="E54" s="5">
        <f>D54-C54</f>
        <v>9.9789029535841678E-3</v>
      </c>
      <c r="G54" s="41"/>
      <c r="H54" s="41"/>
      <c r="I54" s="41"/>
    </row>
    <row r="55" spans="1:9" x14ac:dyDescent="0.3">
      <c r="G55" s="41"/>
      <c r="H55" s="41"/>
      <c r="I55" s="41"/>
    </row>
  </sheetData>
  <mergeCells count="27">
    <mergeCell ref="F17:H17"/>
    <mergeCell ref="A32:A33"/>
    <mergeCell ref="B37:B39"/>
    <mergeCell ref="A8:A10"/>
    <mergeCell ref="B8:B10"/>
    <mergeCell ref="B17:E17"/>
    <mergeCell ref="B2:F2"/>
    <mergeCell ref="A2:A4"/>
    <mergeCell ref="C3:D3"/>
    <mergeCell ref="B3:B4"/>
    <mergeCell ref="E3:F3"/>
    <mergeCell ref="G53:I55"/>
    <mergeCell ref="K6:K7"/>
    <mergeCell ref="E47:E48"/>
    <mergeCell ref="A22:A24"/>
    <mergeCell ref="A17:A18"/>
    <mergeCell ref="B22:B24"/>
    <mergeCell ref="C47:D47"/>
    <mergeCell ref="A47:A48"/>
    <mergeCell ref="B47:B48"/>
    <mergeCell ref="I6:J6"/>
    <mergeCell ref="H6:H7"/>
    <mergeCell ref="A37:A39"/>
    <mergeCell ref="B32:B33"/>
    <mergeCell ref="C32:E32"/>
    <mergeCell ref="F32:H32"/>
    <mergeCell ref="I32:I3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71A9B-18AB-4364-A728-8BA0B4BFB493}">
  <dimension ref="A1:J35"/>
  <sheetViews>
    <sheetView topLeftCell="A16" zoomScale="85" zoomScaleNormal="85" workbookViewId="0">
      <selection activeCell="H34" sqref="H34"/>
    </sheetView>
  </sheetViews>
  <sheetFormatPr defaultColWidth="9.109375" defaultRowHeight="14.4" x14ac:dyDescent="0.3"/>
  <cols>
    <col min="1" max="1" width="21.5546875" style="18" customWidth="1"/>
    <col min="2" max="2" width="18.21875" style="18" customWidth="1"/>
    <col min="3" max="3" width="23.77734375" style="18" customWidth="1"/>
    <col min="4" max="4" width="17.21875" style="18" customWidth="1"/>
    <col min="5" max="5" width="17.6640625" style="18" customWidth="1"/>
    <col min="6" max="6" width="11.88671875" style="18" bestFit="1" customWidth="1"/>
    <col min="7" max="11" width="9.109375" style="18"/>
    <col min="12" max="12" width="49.6640625" style="18" bestFit="1" customWidth="1"/>
    <col min="13" max="13" width="28.109375" style="18" bestFit="1" customWidth="1"/>
    <col min="14" max="14" width="10.33203125" style="18" bestFit="1" customWidth="1"/>
    <col min="15" max="15" width="11.88671875" style="18" bestFit="1" customWidth="1"/>
    <col min="16" max="16384" width="9.109375" style="18"/>
  </cols>
  <sheetData>
    <row r="1" spans="1:10" x14ac:dyDescent="0.3">
      <c r="A1" s="17" t="s">
        <v>55</v>
      </c>
      <c r="B1" s="17"/>
      <c r="C1" s="17"/>
      <c r="D1" s="17" t="s">
        <v>56</v>
      </c>
      <c r="E1" s="17"/>
      <c r="F1" s="17"/>
      <c r="G1" s="17"/>
      <c r="H1" s="17"/>
      <c r="I1" s="17"/>
      <c r="J1" s="17"/>
    </row>
    <row r="2" spans="1:10" x14ac:dyDescent="0.3">
      <c r="A2" s="7" t="s">
        <v>26</v>
      </c>
      <c r="B2" s="7" t="s">
        <v>57</v>
      </c>
      <c r="C2" s="17"/>
      <c r="D2" s="52" t="s">
        <v>26</v>
      </c>
      <c r="E2" s="50" t="s">
        <v>58</v>
      </c>
      <c r="F2" s="50"/>
      <c r="G2" s="50"/>
      <c r="H2" s="50"/>
      <c r="I2" s="39"/>
      <c r="J2" s="39"/>
    </row>
    <row r="3" spans="1:10" ht="30.6" customHeight="1" x14ac:dyDescent="0.3">
      <c r="A3" s="7" t="s">
        <v>59</v>
      </c>
      <c r="B3" s="7">
        <v>115</v>
      </c>
      <c r="C3" s="17"/>
      <c r="D3" s="52"/>
      <c r="E3" s="36">
        <v>1</v>
      </c>
      <c r="F3" s="36">
        <v>2</v>
      </c>
      <c r="G3" s="36">
        <v>3</v>
      </c>
      <c r="H3" s="36">
        <v>4</v>
      </c>
      <c r="I3" s="40"/>
      <c r="J3" s="40"/>
    </row>
    <row r="4" spans="1:10" ht="40.799999999999997" customHeight="1" x14ac:dyDescent="0.3">
      <c r="A4" s="7" t="s">
        <v>60</v>
      </c>
      <c r="B4" s="7">
        <v>4</v>
      </c>
      <c r="C4" s="17"/>
      <c r="D4" s="38" t="s">
        <v>61</v>
      </c>
      <c r="E4" s="36">
        <v>250</v>
      </c>
      <c r="F4" s="36">
        <v>232</v>
      </c>
      <c r="G4" s="36">
        <v>264</v>
      </c>
      <c r="H4" s="36">
        <v>280</v>
      </c>
      <c r="I4" s="40"/>
      <c r="J4" s="40"/>
    </row>
    <row r="5" spans="1:10" x14ac:dyDescent="0.3">
      <c r="A5" s="17"/>
      <c r="B5" s="17"/>
      <c r="C5" s="17"/>
      <c r="D5" s="17"/>
      <c r="E5" s="17"/>
      <c r="F5" s="17"/>
      <c r="G5" s="17"/>
      <c r="H5" s="17"/>
      <c r="I5" s="17"/>
      <c r="J5" s="17"/>
    </row>
    <row r="6" spans="1:10" x14ac:dyDescent="0.3">
      <c r="A6" s="53" t="s">
        <v>193</v>
      </c>
      <c r="B6" s="53"/>
      <c r="C6" s="53"/>
      <c r="D6" s="53"/>
      <c r="E6" s="53"/>
      <c r="F6" s="17"/>
      <c r="G6" s="17"/>
      <c r="H6" s="17"/>
      <c r="I6" s="17"/>
      <c r="J6" s="17"/>
    </row>
    <row r="7" spans="1:10" ht="27.6" customHeight="1" x14ac:dyDescent="0.3">
      <c r="A7" s="7" t="s">
        <v>62</v>
      </c>
      <c r="B7" s="21" t="s">
        <v>66</v>
      </c>
      <c r="C7" s="7" t="s">
        <v>63</v>
      </c>
      <c r="D7" s="7" t="s">
        <v>64</v>
      </c>
      <c r="E7" s="7" t="s">
        <v>65</v>
      </c>
      <c r="F7" s="17"/>
      <c r="G7" s="17"/>
      <c r="H7" s="17"/>
      <c r="I7" s="17"/>
      <c r="J7" s="17"/>
    </row>
    <row r="8" spans="1:10" x14ac:dyDescent="0.3">
      <c r="A8" s="7">
        <v>1</v>
      </c>
      <c r="B8" s="20">
        <f>100/4/100</f>
        <v>0.25</v>
      </c>
      <c r="C8" s="34">
        <f>B3*B8</f>
        <v>28.75</v>
      </c>
      <c r="D8" s="34">
        <f>B3-C8</f>
        <v>86.25</v>
      </c>
      <c r="E8" s="34">
        <f>C8</f>
        <v>28.75</v>
      </c>
      <c r="F8" s="17"/>
      <c r="G8" s="17"/>
      <c r="H8" s="17"/>
      <c r="I8" s="17"/>
      <c r="J8" s="17"/>
    </row>
    <row r="9" spans="1:10" x14ac:dyDescent="0.3">
      <c r="A9" s="7">
        <v>2</v>
      </c>
      <c r="B9" s="20">
        <f>100/4/100</f>
        <v>0.25</v>
      </c>
      <c r="C9" s="34">
        <f>B3*B9</f>
        <v>28.75</v>
      </c>
      <c r="D9" s="34">
        <f>D8-C9</f>
        <v>57.5</v>
      </c>
      <c r="E9" s="34">
        <f>E8+C9</f>
        <v>57.5</v>
      </c>
      <c r="F9" s="17"/>
      <c r="G9" s="17"/>
      <c r="H9" s="17"/>
      <c r="I9" s="17"/>
      <c r="J9" s="17"/>
    </row>
    <row r="10" spans="1:10" x14ac:dyDescent="0.3">
      <c r="A10" s="7">
        <v>3</v>
      </c>
      <c r="B10" s="20">
        <f t="shared" ref="B10:B11" si="0">100/4/100</f>
        <v>0.25</v>
      </c>
      <c r="C10" s="34">
        <f>B3*B10</f>
        <v>28.75</v>
      </c>
      <c r="D10" s="34">
        <f t="shared" ref="D10:D11" si="1">D9-C10</f>
        <v>28.75</v>
      </c>
      <c r="E10" s="34">
        <f t="shared" ref="E10:E11" si="2">E9+C10</f>
        <v>86.25</v>
      </c>
      <c r="F10" s="17"/>
      <c r="G10" s="17"/>
      <c r="H10" s="17"/>
      <c r="I10" s="17"/>
      <c r="J10" s="17"/>
    </row>
    <row r="11" spans="1:10" x14ac:dyDescent="0.3">
      <c r="A11" s="7">
        <v>4</v>
      </c>
      <c r="B11" s="20">
        <f t="shared" si="0"/>
        <v>0.25</v>
      </c>
      <c r="C11" s="34">
        <f>B3*B11</f>
        <v>28.75</v>
      </c>
      <c r="D11" s="34">
        <f t="shared" si="1"/>
        <v>0</v>
      </c>
      <c r="E11" s="34">
        <f t="shared" si="2"/>
        <v>115</v>
      </c>
      <c r="F11" s="17"/>
      <c r="G11" s="17"/>
      <c r="H11" s="17"/>
      <c r="I11" s="17"/>
      <c r="J11" s="17"/>
    </row>
    <row r="12" spans="1:10" ht="14.4" customHeight="1" x14ac:dyDescent="0.3">
      <c r="A12" s="54" t="s">
        <v>197</v>
      </c>
      <c r="B12" s="51"/>
      <c r="C12" s="51"/>
      <c r="D12" s="51"/>
      <c r="E12" s="51"/>
      <c r="F12" s="17"/>
      <c r="G12" s="17"/>
      <c r="H12" s="17"/>
      <c r="I12" s="17"/>
      <c r="J12" s="17"/>
    </row>
    <row r="13" spans="1:10" ht="28.8" x14ac:dyDescent="0.3">
      <c r="A13" s="7" t="s">
        <v>62</v>
      </c>
      <c r="B13" s="7" t="s">
        <v>66</v>
      </c>
      <c r="C13" s="7" t="s">
        <v>63</v>
      </c>
      <c r="D13" s="7" t="s">
        <v>64</v>
      </c>
      <c r="E13" s="7" t="s">
        <v>65</v>
      </c>
      <c r="F13" s="17"/>
      <c r="G13" s="17"/>
      <c r="H13" s="17"/>
      <c r="I13" s="17"/>
      <c r="J13" s="17"/>
    </row>
    <row r="14" spans="1:10" x14ac:dyDescent="0.3">
      <c r="A14" s="7">
        <v>1</v>
      </c>
      <c r="B14" s="20">
        <f>4/(4*(4+1)/2)</f>
        <v>0.4</v>
      </c>
      <c r="C14" s="34">
        <f>$B$3*B14</f>
        <v>46</v>
      </c>
      <c r="D14" s="34">
        <f>B3-C14</f>
        <v>69</v>
      </c>
      <c r="E14" s="34">
        <f>C14</f>
        <v>46</v>
      </c>
      <c r="F14" s="17"/>
      <c r="G14" s="17"/>
      <c r="H14" s="17"/>
      <c r="I14" s="17"/>
      <c r="J14" s="17"/>
    </row>
    <row r="15" spans="1:10" x14ac:dyDescent="0.3">
      <c r="A15" s="7">
        <v>2</v>
      </c>
      <c r="B15" s="20">
        <f>3/(4*(4+1)/2)</f>
        <v>0.3</v>
      </c>
      <c r="C15" s="34">
        <f t="shared" ref="C15:C17" si="3">$B$3*B15</f>
        <v>34.5</v>
      </c>
      <c r="D15" s="34">
        <f>D14-C15</f>
        <v>34.5</v>
      </c>
      <c r="E15" s="34">
        <f>E14+C15</f>
        <v>80.5</v>
      </c>
      <c r="F15" s="17"/>
      <c r="G15" s="17"/>
      <c r="H15" s="19"/>
      <c r="I15" s="17"/>
      <c r="J15" s="17"/>
    </row>
    <row r="16" spans="1:10" x14ac:dyDescent="0.3">
      <c r="A16" s="7">
        <v>3</v>
      </c>
      <c r="B16" s="20">
        <f>2/(4*(4+1)/2)</f>
        <v>0.2</v>
      </c>
      <c r="C16" s="34">
        <f t="shared" si="3"/>
        <v>23</v>
      </c>
      <c r="D16" s="34">
        <f t="shared" ref="D16:D17" si="4">D15-C16</f>
        <v>11.5</v>
      </c>
      <c r="E16" s="34">
        <f t="shared" ref="E16:E17" si="5">E15+C16</f>
        <v>103.5</v>
      </c>
      <c r="F16" s="17"/>
      <c r="G16" s="17"/>
      <c r="H16" s="19"/>
      <c r="I16" s="17"/>
      <c r="J16" s="17"/>
    </row>
    <row r="17" spans="1:10" x14ac:dyDescent="0.3">
      <c r="A17" s="7">
        <v>4</v>
      </c>
      <c r="B17" s="20">
        <f>1/(4*(4+1)/2)</f>
        <v>0.1</v>
      </c>
      <c r="C17" s="34">
        <f t="shared" si="3"/>
        <v>11.5</v>
      </c>
      <c r="D17" s="34">
        <f t="shared" si="4"/>
        <v>0</v>
      </c>
      <c r="E17" s="34">
        <f t="shared" si="5"/>
        <v>115</v>
      </c>
      <c r="F17" s="17"/>
      <c r="G17" s="17"/>
      <c r="H17" s="19"/>
      <c r="I17" s="17"/>
      <c r="J17" s="17"/>
    </row>
    <row r="18" spans="1:10" x14ac:dyDescent="0.3">
      <c r="A18" s="54" t="s">
        <v>198</v>
      </c>
      <c r="B18" s="51"/>
      <c r="C18" s="51"/>
      <c r="D18" s="51"/>
      <c r="E18" s="51"/>
      <c r="F18" s="17"/>
      <c r="G18" s="17"/>
      <c r="H18" s="19"/>
      <c r="I18" s="17"/>
      <c r="J18" s="17"/>
    </row>
    <row r="19" spans="1:10" ht="28.8" x14ac:dyDescent="0.3">
      <c r="A19" s="7" t="s">
        <v>62</v>
      </c>
      <c r="B19" s="7" t="s">
        <v>66</v>
      </c>
      <c r="C19" s="7" t="s">
        <v>63</v>
      </c>
      <c r="D19" s="7" t="s">
        <v>64</v>
      </c>
      <c r="E19" s="7" t="s">
        <v>65</v>
      </c>
      <c r="F19" s="17"/>
      <c r="G19" s="17"/>
      <c r="H19" s="17"/>
      <c r="I19" s="17"/>
      <c r="J19" s="17"/>
    </row>
    <row r="20" spans="1:10" x14ac:dyDescent="0.3">
      <c r="A20" s="7">
        <v>1</v>
      </c>
      <c r="B20" s="20">
        <f>(4-4+1)/(4*(4+1)/2)</f>
        <v>0.1</v>
      </c>
      <c r="C20" s="34">
        <f>$B$3*B20</f>
        <v>11.5</v>
      </c>
      <c r="D20" s="34">
        <f>$B$3-C20</f>
        <v>103.5</v>
      </c>
      <c r="E20" s="34">
        <f>C20</f>
        <v>11.5</v>
      </c>
      <c r="F20" s="17"/>
      <c r="G20" s="17"/>
      <c r="H20" s="17"/>
      <c r="I20" s="17"/>
      <c r="J20" s="17"/>
    </row>
    <row r="21" spans="1:10" x14ac:dyDescent="0.3">
      <c r="A21" s="7">
        <v>2</v>
      </c>
      <c r="B21" s="20">
        <f>(4-3+1)/(4*(4+1)/2)</f>
        <v>0.2</v>
      </c>
      <c r="C21" s="34">
        <f t="shared" ref="C21:C23" si="6">$B$3*B21</f>
        <v>23</v>
      </c>
      <c r="D21" s="34">
        <f>D20-C21</f>
        <v>80.5</v>
      </c>
      <c r="E21" s="34">
        <f>E20+C21</f>
        <v>34.5</v>
      </c>
      <c r="F21" s="17"/>
      <c r="G21" s="17"/>
      <c r="H21" s="17"/>
      <c r="I21" s="17"/>
      <c r="J21" s="17"/>
    </row>
    <row r="22" spans="1:10" x14ac:dyDescent="0.3">
      <c r="A22" s="7">
        <v>3</v>
      </c>
      <c r="B22" s="20">
        <f>(4-2+1)/(4*(4+1)/2)</f>
        <v>0.3</v>
      </c>
      <c r="C22" s="34">
        <f t="shared" si="6"/>
        <v>34.5</v>
      </c>
      <c r="D22" s="34">
        <f>D21-C22</f>
        <v>46</v>
      </c>
      <c r="E22" s="34">
        <f t="shared" ref="E22:E23" si="7">E21+C22</f>
        <v>69</v>
      </c>
      <c r="F22" s="17"/>
      <c r="G22" s="17"/>
      <c r="H22" s="17"/>
      <c r="I22" s="17"/>
      <c r="J22" s="17"/>
    </row>
    <row r="23" spans="1:10" x14ac:dyDescent="0.3">
      <c r="A23" s="7">
        <v>4</v>
      </c>
      <c r="B23" s="20">
        <f>(4-1+1)/(4*(4+1)/2)</f>
        <v>0.4</v>
      </c>
      <c r="C23" s="34">
        <f t="shared" si="6"/>
        <v>46</v>
      </c>
      <c r="D23" s="34">
        <f>D22-C23</f>
        <v>0</v>
      </c>
      <c r="E23" s="34">
        <f t="shared" si="7"/>
        <v>115</v>
      </c>
      <c r="F23" s="17"/>
      <c r="G23" s="17"/>
      <c r="H23" s="17"/>
      <c r="I23" s="17"/>
      <c r="J23" s="17"/>
    </row>
    <row r="24" spans="1:10" ht="14.4" customHeight="1" x14ac:dyDescent="0.3">
      <c r="A24" s="54" t="s">
        <v>199</v>
      </c>
      <c r="B24" s="51"/>
      <c r="C24" s="51"/>
      <c r="D24" s="51"/>
      <c r="E24" s="51"/>
      <c r="F24" s="17"/>
      <c r="G24" s="17"/>
      <c r="H24" s="17"/>
      <c r="I24" s="17"/>
      <c r="J24" s="17"/>
    </row>
    <row r="25" spans="1:10" ht="28.8" x14ac:dyDescent="0.3">
      <c r="A25" s="7" t="s">
        <v>62</v>
      </c>
      <c r="B25" s="7" t="s">
        <v>66</v>
      </c>
      <c r="C25" s="7" t="s">
        <v>63</v>
      </c>
      <c r="D25" s="7" t="s">
        <v>64</v>
      </c>
      <c r="E25" s="7" t="s">
        <v>65</v>
      </c>
      <c r="F25" s="17"/>
      <c r="G25" s="17"/>
      <c r="H25" s="17"/>
      <c r="I25" s="17"/>
      <c r="J25" s="17"/>
    </row>
    <row r="26" spans="1:10" x14ac:dyDescent="0.3">
      <c r="A26" s="7">
        <v>1</v>
      </c>
      <c r="B26" s="20">
        <f>(100/4)*2/100</f>
        <v>0.5</v>
      </c>
      <c r="C26" s="34">
        <f>$B$3*B26</f>
        <v>57.5</v>
      </c>
      <c r="D26" s="34">
        <f>B3-C26</f>
        <v>57.5</v>
      </c>
      <c r="E26" s="34">
        <f>C26</f>
        <v>57.5</v>
      </c>
      <c r="F26" s="17"/>
      <c r="G26" s="17"/>
      <c r="H26" s="17"/>
      <c r="I26" s="17"/>
      <c r="J26" s="17"/>
    </row>
    <row r="27" spans="1:10" x14ac:dyDescent="0.3">
      <c r="A27" s="7">
        <v>2</v>
      </c>
      <c r="B27" s="20">
        <f>(100/4)*2/100</f>
        <v>0.5</v>
      </c>
      <c r="C27" s="34">
        <f>($B$3-C26)*B27</f>
        <v>28.75</v>
      </c>
      <c r="D27" s="34">
        <f>D26-C27</f>
        <v>28.75</v>
      </c>
      <c r="E27" s="34">
        <f>E26+C27</f>
        <v>86.25</v>
      </c>
      <c r="F27" s="17"/>
      <c r="G27" s="17"/>
      <c r="H27" s="17"/>
      <c r="I27" s="17"/>
      <c r="J27" s="17"/>
    </row>
    <row r="28" spans="1:10" x14ac:dyDescent="0.3">
      <c r="A28" s="7">
        <v>3</v>
      </c>
      <c r="B28" s="20">
        <f>(100/4)*2/100</f>
        <v>0.5</v>
      </c>
      <c r="C28" s="34">
        <f>($B$3-C26-C27)*B28</f>
        <v>14.375</v>
      </c>
      <c r="D28" s="34">
        <f t="shared" ref="D28:D29" si="8">D27-C28</f>
        <v>14.375</v>
      </c>
      <c r="E28" s="34">
        <f t="shared" ref="E28:E29" si="9">E27+C28</f>
        <v>100.625</v>
      </c>
      <c r="F28" s="17"/>
      <c r="G28" s="17"/>
      <c r="H28" s="17"/>
      <c r="I28" s="17"/>
      <c r="J28" s="17"/>
    </row>
    <row r="29" spans="1:10" x14ac:dyDescent="0.3">
      <c r="A29" s="7">
        <v>4</v>
      </c>
      <c r="B29" s="20">
        <f>(100/4)*2/100</f>
        <v>0.5</v>
      </c>
      <c r="C29" s="34">
        <f>$B$3-C26-C27-C28</f>
        <v>14.375</v>
      </c>
      <c r="D29" s="34">
        <f t="shared" si="8"/>
        <v>0</v>
      </c>
      <c r="E29" s="34">
        <f t="shared" si="9"/>
        <v>115</v>
      </c>
      <c r="F29" s="17"/>
      <c r="G29" s="17"/>
      <c r="H29" s="17"/>
      <c r="I29" s="17"/>
      <c r="J29" s="17"/>
    </row>
    <row r="30" spans="1:10" ht="14.4" customHeight="1" x14ac:dyDescent="0.3">
      <c r="A30" s="51" t="s">
        <v>194</v>
      </c>
      <c r="B30" s="51"/>
      <c r="C30" s="51"/>
      <c r="D30" s="51"/>
      <c r="E30" s="51"/>
      <c r="F30" s="17"/>
      <c r="G30" s="17"/>
      <c r="H30" s="17"/>
      <c r="I30" s="17"/>
      <c r="J30" s="17"/>
    </row>
    <row r="31" spans="1:10" ht="28.8" x14ac:dyDescent="0.3">
      <c r="A31" s="7" t="s">
        <v>62</v>
      </c>
      <c r="B31" s="7" t="s">
        <v>66</v>
      </c>
      <c r="C31" s="7" t="s">
        <v>63</v>
      </c>
      <c r="D31" s="7" t="s">
        <v>64</v>
      </c>
      <c r="E31" s="7" t="s">
        <v>65</v>
      </c>
      <c r="F31" s="17"/>
      <c r="G31" s="17"/>
      <c r="H31" s="17"/>
      <c r="I31" s="17"/>
      <c r="J31" s="17"/>
    </row>
    <row r="32" spans="1:10" x14ac:dyDescent="0.3">
      <c r="A32" s="7">
        <v>1</v>
      </c>
      <c r="B32" s="20">
        <f>E4/SUM($E$4:$H$4)</f>
        <v>0.24366471734892786</v>
      </c>
      <c r="C32" s="34">
        <f t="shared" ref="C32:C35" si="10">$B$3*B32</f>
        <v>28.021442495126703</v>
      </c>
      <c r="D32" s="34">
        <f>$B$3-C32</f>
        <v>86.978557504873294</v>
      </c>
      <c r="E32" s="34">
        <f>C32</f>
        <v>28.021442495126703</v>
      </c>
      <c r="F32" s="17"/>
      <c r="G32" s="17"/>
      <c r="H32" s="17"/>
      <c r="I32" s="17"/>
      <c r="J32" s="17"/>
    </row>
    <row r="33" spans="1:10" x14ac:dyDescent="0.3">
      <c r="A33" s="7">
        <v>2</v>
      </c>
      <c r="B33" s="20">
        <f>F4/SUM($E$4:$H$4)</f>
        <v>0.22612085769980506</v>
      </c>
      <c r="C33" s="34">
        <f t="shared" si="10"/>
        <v>26.003898635477583</v>
      </c>
      <c r="D33" s="34">
        <f>D32-C33</f>
        <v>60.974658869395711</v>
      </c>
      <c r="E33" s="34">
        <f>E32+C33</f>
        <v>54.025341130604289</v>
      </c>
      <c r="F33" s="17"/>
      <c r="G33" s="17"/>
      <c r="H33" s="17"/>
      <c r="I33" s="17"/>
      <c r="J33" s="17"/>
    </row>
    <row r="34" spans="1:10" x14ac:dyDescent="0.3">
      <c r="A34" s="7">
        <v>3</v>
      </c>
      <c r="B34" s="20">
        <f>G4/SUM($E$4:$H$4)</f>
        <v>0.25730994152046782</v>
      </c>
      <c r="C34" s="34">
        <f t="shared" si="10"/>
        <v>29.5906432748538</v>
      </c>
      <c r="D34" s="34">
        <f>D33-C34</f>
        <v>31.384015594541911</v>
      </c>
      <c r="E34" s="34">
        <f t="shared" ref="E34:E35" si="11">E33+C34</f>
        <v>83.615984405458093</v>
      </c>
      <c r="F34" s="17"/>
      <c r="G34" s="17"/>
      <c r="H34" s="17"/>
      <c r="I34" s="17"/>
      <c r="J34" s="17"/>
    </row>
    <row r="35" spans="1:10" x14ac:dyDescent="0.3">
      <c r="A35" s="7">
        <v>4</v>
      </c>
      <c r="B35" s="20">
        <f>H4/SUM($E$4:$H$4)</f>
        <v>0.27290448343079921</v>
      </c>
      <c r="C35" s="34">
        <f t="shared" si="10"/>
        <v>31.384015594541907</v>
      </c>
      <c r="D35" s="34">
        <f>D34-C35</f>
        <v>0</v>
      </c>
      <c r="E35" s="34">
        <f t="shared" si="11"/>
        <v>115</v>
      </c>
      <c r="F35" s="17"/>
      <c r="G35" s="17"/>
      <c r="H35" s="17"/>
      <c r="I35" s="17"/>
      <c r="J35" s="17"/>
    </row>
  </sheetData>
  <mergeCells count="7">
    <mergeCell ref="A30:E30"/>
    <mergeCell ref="D2:D3"/>
    <mergeCell ref="A6:E6"/>
    <mergeCell ref="A12:E12"/>
    <mergeCell ref="A18:E18"/>
    <mergeCell ref="A24:E24"/>
    <mergeCell ref="E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D0C7C-DFA0-4DA2-BFD8-D37E6F1A8CAF}">
  <dimension ref="A1:H41"/>
  <sheetViews>
    <sheetView topLeftCell="A16" zoomScale="85" zoomScaleNormal="85" workbookViewId="0">
      <selection activeCell="H41" sqref="H41"/>
    </sheetView>
  </sheetViews>
  <sheetFormatPr defaultColWidth="9.109375" defaultRowHeight="14.4" x14ac:dyDescent="0.3"/>
  <cols>
    <col min="1" max="1" width="54.33203125" style="22" bestFit="1" customWidth="1"/>
    <col min="2" max="2" width="31.6640625" style="22" bestFit="1" customWidth="1"/>
    <col min="3" max="4" width="14.33203125" style="22" bestFit="1" customWidth="1"/>
    <col min="5" max="16384" width="9.109375" style="22"/>
  </cols>
  <sheetData>
    <row r="1" spans="1:8" x14ac:dyDescent="0.3">
      <c r="A1" s="24" t="s">
        <v>67</v>
      </c>
      <c r="B1" s="24"/>
      <c r="C1" s="24"/>
      <c r="D1" s="24"/>
    </row>
    <row r="2" spans="1:8" x14ac:dyDescent="0.3">
      <c r="A2" s="56" t="s">
        <v>68</v>
      </c>
      <c r="B2" s="56" t="s">
        <v>69</v>
      </c>
      <c r="C2" s="57" t="s">
        <v>70</v>
      </c>
      <c r="D2" s="58"/>
      <c r="G2" s="23" t="s">
        <v>195</v>
      </c>
      <c r="H2" s="23">
        <v>1</v>
      </c>
    </row>
    <row r="3" spans="1:8" x14ac:dyDescent="0.3">
      <c r="A3" s="56"/>
      <c r="B3" s="56"/>
      <c r="C3" s="25" t="s">
        <v>28</v>
      </c>
      <c r="D3" s="25" t="s">
        <v>29</v>
      </c>
    </row>
    <row r="4" spans="1:8" x14ac:dyDescent="0.3">
      <c r="A4" s="25" t="s">
        <v>71</v>
      </c>
      <c r="B4" s="25" t="s">
        <v>72</v>
      </c>
      <c r="C4" s="25">
        <f>45+$H$2</f>
        <v>46</v>
      </c>
      <c r="D4" s="25">
        <f>45+$H$2</f>
        <v>46</v>
      </c>
    </row>
    <row r="5" spans="1:8" x14ac:dyDescent="0.3">
      <c r="A5" s="25" t="s">
        <v>73</v>
      </c>
      <c r="B5" s="25" t="s">
        <v>74</v>
      </c>
      <c r="C5" s="25">
        <f>7.5+0.2*$H$2</f>
        <v>7.7</v>
      </c>
      <c r="D5" s="25">
        <f>8+0.3*$H$2</f>
        <v>8.3000000000000007</v>
      </c>
    </row>
    <row r="6" spans="1:8" x14ac:dyDescent="0.3">
      <c r="A6" s="25" t="s">
        <v>75</v>
      </c>
      <c r="B6" s="25" t="s">
        <v>76</v>
      </c>
      <c r="C6" s="25">
        <f>200+5*$H$2</f>
        <v>205</v>
      </c>
      <c r="D6" s="25">
        <f>210+10*$H$2</f>
        <v>220</v>
      </c>
    </row>
    <row r="7" spans="1:8" x14ac:dyDescent="0.3">
      <c r="A7" s="25" t="s">
        <v>77</v>
      </c>
      <c r="B7" s="25" t="s">
        <v>78</v>
      </c>
      <c r="C7" s="25">
        <f>81+0.1*$H$2</f>
        <v>81.099999999999994</v>
      </c>
      <c r="D7" s="25">
        <f>83+0.2*$H$2</f>
        <v>83.2</v>
      </c>
    </row>
    <row r="8" spans="1:8" x14ac:dyDescent="0.3">
      <c r="A8" s="25" t="s">
        <v>79</v>
      </c>
      <c r="B8" s="25" t="s">
        <v>80</v>
      </c>
      <c r="C8" s="25">
        <f>62+0.1*$H$2</f>
        <v>62.1</v>
      </c>
      <c r="D8" s="25">
        <f>64+0.2*$H$2</f>
        <v>64.2</v>
      </c>
    </row>
    <row r="9" spans="1:8" x14ac:dyDescent="0.3">
      <c r="A9" s="25" t="s">
        <v>81</v>
      </c>
      <c r="B9" s="25" t="s">
        <v>82</v>
      </c>
      <c r="C9" s="25">
        <f>60-$H$2</f>
        <v>59</v>
      </c>
      <c r="D9" s="25">
        <f>54-$H$2</f>
        <v>53</v>
      </c>
    </row>
    <row r="10" spans="1:8" x14ac:dyDescent="0.3">
      <c r="A10" s="25" t="s">
        <v>83</v>
      </c>
      <c r="B10" s="25" t="s">
        <v>84</v>
      </c>
      <c r="C10" s="25">
        <v>7</v>
      </c>
      <c r="D10" s="25">
        <v>7</v>
      </c>
    </row>
    <row r="11" spans="1:8" x14ac:dyDescent="0.3">
      <c r="A11" s="25" t="s">
        <v>85</v>
      </c>
      <c r="B11" s="25" t="s">
        <v>86</v>
      </c>
      <c r="C11" s="25">
        <v>0.83</v>
      </c>
      <c r="D11" s="25">
        <v>0.83</v>
      </c>
    </row>
    <row r="12" spans="1:8" x14ac:dyDescent="0.3">
      <c r="A12" s="25" t="s">
        <v>87</v>
      </c>
      <c r="B12" s="25" t="s">
        <v>88</v>
      </c>
      <c r="C12" s="26">
        <f>30+$H$2</f>
        <v>31</v>
      </c>
      <c r="D12" s="25">
        <f>30+$H$2</f>
        <v>31</v>
      </c>
    </row>
    <row r="13" spans="1:8" x14ac:dyDescent="0.3">
      <c r="A13" s="25" t="s">
        <v>89</v>
      </c>
      <c r="B13" s="25" t="s">
        <v>90</v>
      </c>
      <c r="C13" s="25">
        <v>15</v>
      </c>
      <c r="D13" s="25">
        <v>15</v>
      </c>
    </row>
    <row r="14" spans="1:8" x14ac:dyDescent="0.3">
      <c r="A14" s="25" t="s">
        <v>91</v>
      </c>
      <c r="B14" s="25" t="s">
        <v>92</v>
      </c>
      <c r="C14" s="25">
        <f>20+$H$2</f>
        <v>21</v>
      </c>
      <c r="D14" s="25">
        <f>20+$H$2</f>
        <v>21</v>
      </c>
    </row>
    <row r="15" spans="1:8" x14ac:dyDescent="0.3">
      <c r="A15" s="24"/>
      <c r="B15" s="24"/>
      <c r="C15" s="24"/>
      <c r="D15" s="24"/>
    </row>
    <row r="16" spans="1:8" x14ac:dyDescent="0.3">
      <c r="A16" s="24" t="s">
        <v>93</v>
      </c>
      <c r="B16" s="24"/>
      <c r="C16" s="24"/>
      <c r="D16" s="24"/>
    </row>
    <row r="17" spans="1:4" x14ac:dyDescent="0.3">
      <c r="A17" s="56" t="s">
        <v>26</v>
      </c>
      <c r="B17" s="56" t="s">
        <v>41</v>
      </c>
      <c r="C17" s="56" t="s">
        <v>70</v>
      </c>
      <c r="D17" s="56"/>
    </row>
    <row r="18" spans="1:4" x14ac:dyDescent="0.3">
      <c r="A18" s="56"/>
      <c r="B18" s="56"/>
      <c r="C18" s="25" t="s">
        <v>28</v>
      </c>
      <c r="D18" s="25" t="s">
        <v>29</v>
      </c>
    </row>
    <row r="19" spans="1:4" x14ac:dyDescent="0.3">
      <c r="A19" s="25" t="s">
        <v>94</v>
      </c>
      <c r="B19" s="25" t="s">
        <v>95</v>
      </c>
      <c r="C19" s="25">
        <f>C4*C6</f>
        <v>9430</v>
      </c>
      <c r="D19" s="25">
        <f>D4*D6</f>
        <v>10120</v>
      </c>
    </row>
    <row r="20" spans="1:4" x14ac:dyDescent="0.3">
      <c r="A20" s="25" t="s">
        <v>96</v>
      </c>
      <c r="B20" s="25" t="s">
        <v>97</v>
      </c>
      <c r="C20" s="25">
        <f>C19/360</f>
        <v>26.194444444444443</v>
      </c>
      <c r="D20" s="25">
        <f>D19/360</f>
        <v>28.111111111111111</v>
      </c>
    </row>
    <row r="21" spans="1:4" x14ac:dyDescent="0.3">
      <c r="A21" s="25" t="s">
        <v>98</v>
      </c>
      <c r="B21" s="25" t="s">
        <v>99</v>
      </c>
      <c r="C21" s="25">
        <f>C9*C20</f>
        <v>1545.4722222222222</v>
      </c>
      <c r="D21" s="25">
        <f>D9*D20</f>
        <v>1489.8888888888889</v>
      </c>
    </row>
    <row r="22" spans="1:4" x14ac:dyDescent="0.3">
      <c r="A22" s="25" t="s">
        <v>100</v>
      </c>
      <c r="B22" s="25" t="s">
        <v>101</v>
      </c>
      <c r="C22" s="25">
        <f>C20*C10</f>
        <v>183.36111111111109</v>
      </c>
      <c r="D22" s="25">
        <f>D20*D10</f>
        <v>196.77777777777777</v>
      </c>
    </row>
    <row r="23" spans="1:4" x14ac:dyDescent="0.3">
      <c r="A23" s="25" t="s">
        <v>102</v>
      </c>
      <c r="B23" s="25" t="s">
        <v>103</v>
      </c>
      <c r="C23" s="25">
        <f>(C21/2+C22)*C5</f>
        <v>7361.9486111111109</v>
      </c>
      <c r="D23" s="25">
        <f>(D21/2+D22)*D5</f>
        <v>7816.2944444444447</v>
      </c>
    </row>
    <row r="24" spans="1:4" x14ac:dyDescent="0.3">
      <c r="A24" s="25" t="s">
        <v>104</v>
      </c>
      <c r="B24" s="25" t="s">
        <v>105</v>
      </c>
      <c r="C24" s="25">
        <f>C6/360</f>
        <v>0.56944444444444442</v>
      </c>
      <c r="D24" s="25">
        <f>D6/360</f>
        <v>0.61111111111111116</v>
      </c>
    </row>
    <row r="25" spans="1:4" x14ac:dyDescent="0.3">
      <c r="A25" s="25" t="s">
        <v>106</v>
      </c>
      <c r="B25" s="25" t="s">
        <v>107</v>
      </c>
      <c r="C25" s="25">
        <f>C11*C24*C8*C12</f>
        <v>909.87712499999998</v>
      </c>
      <c r="D25" s="25">
        <f>D11*D24*D8*D12</f>
        <v>1009.4736666666668</v>
      </c>
    </row>
    <row r="26" spans="1:4" x14ac:dyDescent="0.3">
      <c r="A26" s="25" t="s">
        <v>108</v>
      </c>
      <c r="B26" s="25" t="s">
        <v>200</v>
      </c>
      <c r="C26" s="25">
        <f>C13</f>
        <v>15</v>
      </c>
      <c r="D26" s="25">
        <f>D13</f>
        <v>15</v>
      </c>
    </row>
    <row r="27" spans="1:4" x14ac:dyDescent="0.3">
      <c r="A27" s="25" t="s">
        <v>109</v>
      </c>
      <c r="B27" s="25" t="s">
        <v>110</v>
      </c>
      <c r="C27" s="25">
        <f>C6*C7</f>
        <v>16625.5</v>
      </c>
      <c r="D27" s="25">
        <f>D6*D7</f>
        <v>18304</v>
      </c>
    </row>
    <row r="28" spans="1:4" x14ac:dyDescent="0.3">
      <c r="A28" s="25" t="s">
        <v>111</v>
      </c>
      <c r="B28" s="25" t="s">
        <v>112</v>
      </c>
      <c r="C28" s="25">
        <f>C27/360*C14</f>
        <v>969.82083333333344</v>
      </c>
      <c r="D28" s="25">
        <f>D27/360*D14</f>
        <v>1067.7333333333333</v>
      </c>
    </row>
    <row r="29" spans="1:4" x14ac:dyDescent="0.3">
      <c r="A29" s="25" t="s">
        <v>113</v>
      </c>
      <c r="B29" s="25" t="s">
        <v>114</v>
      </c>
      <c r="C29" s="25">
        <f>C23+C25+C26+C28</f>
        <v>9256.6465694444432</v>
      </c>
      <c r="D29" s="25">
        <f>D23+D25+D26+D28</f>
        <v>9908.501444444446</v>
      </c>
    </row>
    <row r="30" spans="1:4" x14ac:dyDescent="0.3">
      <c r="A30" s="24"/>
      <c r="B30" s="24"/>
      <c r="C30" s="24"/>
      <c r="D30" s="24"/>
    </row>
    <row r="31" spans="1:4" x14ac:dyDescent="0.3">
      <c r="A31" s="24" t="s">
        <v>115</v>
      </c>
      <c r="B31" s="24"/>
      <c r="C31" s="24"/>
      <c r="D31" s="24"/>
    </row>
    <row r="32" spans="1:4" x14ac:dyDescent="0.3">
      <c r="A32" s="56" t="s">
        <v>26</v>
      </c>
      <c r="B32" s="56" t="s">
        <v>41</v>
      </c>
      <c r="C32" s="56" t="s">
        <v>70</v>
      </c>
      <c r="D32" s="56"/>
    </row>
    <row r="33" spans="1:5" x14ac:dyDescent="0.3">
      <c r="A33" s="56"/>
      <c r="B33" s="56"/>
      <c r="C33" s="25" t="s">
        <v>28</v>
      </c>
      <c r="D33" s="25" t="s">
        <v>29</v>
      </c>
    </row>
    <row r="34" spans="1:5" x14ac:dyDescent="0.3">
      <c r="A34" s="25" t="s">
        <v>116</v>
      </c>
      <c r="B34" s="25" t="s">
        <v>117</v>
      </c>
      <c r="C34" s="25">
        <f>C27/C29</f>
        <v>1.7960607953726608</v>
      </c>
      <c r="D34" s="25">
        <f>D27/D29</f>
        <v>1.8473025515137598</v>
      </c>
      <c r="E34" s="22">
        <f>D34-C34</f>
        <v>5.1241756141098938E-2</v>
      </c>
    </row>
    <row r="35" spans="1:5" x14ac:dyDescent="0.3">
      <c r="A35" s="25" t="s">
        <v>118</v>
      </c>
      <c r="B35" s="25" t="s">
        <v>119</v>
      </c>
      <c r="C35" s="25">
        <f>C29/C27</f>
        <v>0.55677402601091353</v>
      </c>
      <c r="D35" s="25">
        <f>D29/D27</f>
        <v>0.54132984290015551</v>
      </c>
      <c r="E35" s="22">
        <f t="shared" ref="E35:E36" si="0">D35-C35</f>
        <v>-1.5444183110758014E-2</v>
      </c>
    </row>
    <row r="36" spans="1:5" x14ac:dyDescent="0.3">
      <c r="A36" s="25" t="s">
        <v>120</v>
      </c>
      <c r="B36" s="25" t="s">
        <v>121</v>
      </c>
      <c r="C36" s="25">
        <f>360/C34</f>
        <v>200.4386493639289</v>
      </c>
      <c r="D36" s="25">
        <f>360/D34</f>
        <v>194.87874344405597</v>
      </c>
      <c r="E36" s="22">
        <f t="shared" si="0"/>
        <v>-5.5599059198729321</v>
      </c>
    </row>
    <row r="37" spans="1:5" x14ac:dyDescent="0.3">
      <c r="A37" s="24"/>
      <c r="B37" s="24"/>
      <c r="C37" s="24"/>
      <c r="D37" s="24"/>
    </row>
    <row r="38" spans="1:5" x14ac:dyDescent="0.3">
      <c r="A38" s="24">
        <f>(C36-D36)*D29/360</f>
        <v>153.02871066121159</v>
      </c>
      <c r="B38" s="24" t="s">
        <v>201</v>
      </c>
      <c r="C38" s="24"/>
      <c r="D38" s="24"/>
    </row>
    <row r="39" spans="1:5" x14ac:dyDescent="0.3">
      <c r="A39" s="24">
        <f>C29*D27/C27-D29</f>
        <v>282.69032765931479</v>
      </c>
      <c r="B39" s="24" t="s">
        <v>202</v>
      </c>
      <c r="C39" s="24"/>
      <c r="D39" s="24"/>
    </row>
    <row r="41" spans="1:5" ht="76.2" customHeight="1" x14ac:dyDescent="0.3">
      <c r="A41" s="55" t="s">
        <v>206</v>
      </c>
      <c r="B41" s="55"/>
    </row>
  </sheetData>
  <mergeCells count="10">
    <mergeCell ref="A41:B41"/>
    <mergeCell ref="A32:A33"/>
    <mergeCell ref="B32:B33"/>
    <mergeCell ref="C32:D32"/>
    <mergeCell ref="A2:A3"/>
    <mergeCell ref="B2:B3"/>
    <mergeCell ref="C2:D2"/>
    <mergeCell ref="A17:A18"/>
    <mergeCell ref="B17:B18"/>
    <mergeCell ref="C17:D1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0BFB9-15C8-4B81-855C-AFCA118E3554}">
  <dimension ref="A1:I33"/>
  <sheetViews>
    <sheetView topLeftCell="A13" zoomScale="90" zoomScaleNormal="90" workbookViewId="0">
      <selection activeCell="G29" sqref="G29:H29"/>
    </sheetView>
  </sheetViews>
  <sheetFormatPr defaultColWidth="9.109375" defaultRowHeight="14.4" x14ac:dyDescent="0.3"/>
  <cols>
    <col min="1" max="1" width="29.44140625" style="28" customWidth="1"/>
    <col min="2" max="2" width="10.109375" style="28" bestFit="1" customWidth="1"/>
    <col min="3" max="3" width="12.88671875" style="28" bestFit="1" customWidth="1"/>
    <col min="4" max="4" width="9.109375" style="28"/>
    <col min="5" max="5" width="45" style="28" customWidth="1"/>
    <col min="6" max="6" width="15.5546875" style="28" customWidth="1"/>
    <col min="7" max="7" width="13.88671875" style="28" bestFit="1" customWidth="1"/>
    <col min="8" max="8" width="12.5546875" style="28" bestFit="1" customWidth="1"/>
    <col min="9" max="9" width="12.6640625" style="28" bestFit="1" customWidth="1"/>
    <col min="10" max="16384" width="9.109375" style="28"/>
  </cols>
  <sheetData>
    <row r="1" spans="1:7" x14ac:dyDescent="0.3">
      <c r="A1" s="28" t="s">
        <v>122</v>
      </c>
      <c r="E1" s="28" t="s">
        <v>123</v>
      </c>
    </row>
    <row r="2" spans="1:7" x14ac:dyDescent="0.3">
      <c r="A2" s="29" t="s">
        <v>26</v>
      </c>
      <c r="B2" s="30" t="s">
        <v>57</v>
      </c>
      <c r="C2" s="29" t="s">
        <v>124</v>
      </c>
      <c r="E2" s="29" t="s">
        <v>26</v>
      </c>
      <c r="F2" s="29" t="s">
        <v>57</v>
      </c>
      <c r="G2" s="29" t="s">
        <v>124</v>
      </c>
    </row>
    <row r="3" spans="1:7" ht="43.2" x14ac:dyDescent="0.3">
      <c r="A3" s="31" t="s">
        <v>125</v>
      </c>
      <c r="B3" s="27">
        <f>48+0.1*$C$18</f>
        <v>48.1</v>
      </c>
      <c r="C3" s="32" t="s">
        <v>76</v>
      </c>
      <c r="E3" s="29" t="s">
        <v>126</v>
      </c>
      <c r="F3" s="29">
        <v>504</v>
      </c>
      <c r="G3" s="29" t="s">
        <v>127</v>
      </c>
    </row>
    <row r="4" spans="1:7" ht="28.8" x14ac:dyDescent="0.3">
      <c r="A4" s="31" t="s">
        <v>128</v>
      </c>
      <c r="B4" s="27">
        <f>980-5*$C$18</f>
        <v>975</v>
      </c>
      <c r="C4" s="32" t="s">
        <v>129</v>
      </c>
      <c r="E4" s="29" t="s">
        <v>130</v>
      </c>
      <c r="F4" s="29">
        <v>527</v>
      </c>
      <c r="G4" s="29" t="s">
        <v>131</v>
      </c>
    </row>
    <row r="5" spans="1:7" ht="28.8" x14ac:dyDescent="0.3">
      <c r="A5" s="31" t="s">
        <v>132</v>
      </c>
      <c r="B5" s="27">
        <f>1.05+0.01*$C$18</f>
        <v>1.06</v>
      </c>
      <c r="C5" s="32" t="s">
        <v>133</v>
      </c>
      <c r="E5" s="29" t="s">
        <v>134</v>
      </c>
      <c r="F5" s="29">
        <v>45</v>
      </c>
      <c r="G5" s="29" t="s">
        <v>135</v>
      </c>
    </row>
    <row r="6" spans="1:7" ht="28.8" x14ac:dyDescent="0.3">
      <c r="A6" s="31" t="s">
        <v>136</v>
      </c>
      <c r="B6" s="27">
        <f>230+$C$18</f>
        <v>231</v>
      </c>
      <c r="C6" s="32" t="s">
        <v>137</v>
      </c>
      <c r="E6" s="29" t="s">
        <v>138</v>
      </c>
      <c r="F6" s="29">
        <v>119</v>
      </c>
      <c r="G6" s="29" t="s">
        <v>139</v>
      </c>
    </row>
    <row r="7" spans="1:7" x14ac:dyDescent="0.3">
      <c r="A7" s="31" t="s">
        <v>140</v>
      </c>
      <c r="B7" s="27">
        <v>2</v>
      </c>
      <c r="C7" s="32" t="s">
        <v>141</v>
      </c>
    </row>
    <row r="8" spans="1:7" x14ac:dyDescent="0.3">
      <c r="A8" s="31" t="s">
        <v>142</v>
      </c>
      <c r="B8" s="27">
        <v>6</v>
      </c>
      <c r="C8" s="32" t="s">
        <v>143</v>
      </c>
      <c r="E8" s="28" t="s">
        <v>144</v>
      </c>
    </row>
    <row r="9" spans="1:7" ht="28.8" x14ac:dyDescent="0.3">
      <c r="A9" s="31" t="s">
        <v>145</v>
      </c>
      <c r="B9" s="27">
        <f>440+5*$C$18</f>
        <v>445</v>
      </c>
      <c r="C9" s="32" t="s">
        <v>146</v>
      </c>
      <c r="E9" s="27" t="s">
        <v>26</v>
      </c>
      <c r="F9" s="27" t="s">
        <v>41</v>
      </c>
      <c r="G9" s="27" t="s">
        <v>147</v>
      </c>
    </row>
    <row r="10" spans="1:7" ht="42.6" customHeight="1" x14ac:dyDescent="0.3">
      <c r="A10" s="31" t="s">
        <v>148</v>
      </c>
      <c r="B10" s="27">
        <v>1.1000000000000001</v>
      </c>
      <c r="C10" s="32" t="s">
        <v>149</v>
      </c>
      <c r="E10" s="29" t="s">
        <v>203</v>
      </c>
      <c r="F10" s="29" t="s">
        <v>150</v>
      </c>
      <c r="G10" s="29">
        <f>B4*B6</f>
        <v>225225</v>
      </c>
    </row>
    <row r="11" spans="1:7" ht="28.8" x14ac:dyDescent="0.3">
      <c r="A11" s="31" t="s">
        <v>151</v>
      </c>
      <c r="B11" s="27">
        <f>105+$C$18</f>
        <v>106</v>
      </c>
      <c r="C11" s="32" t="s">
        <v>152</v>
      </c>
      <c r="E11" s="29" t="s">
        <v>153</v>
      </c>
      <c r="F11" s="29" t="s">
        <v>154</v>
      </c>
      <c r="G11" s="29">
        <f>B3*1000000/(G10*B5)</f>
        <v>201.47567317378639</v>
      </c>
    </row>
    <row r="12" spans="1:7" ht="43.2" x14ac:dyDescent="0.3">
      <c r="A12" s="31" t="s">
        <v>155</v>
      </c>
      <c r="B12" s="27">
        <f>32-$C$18</f>
        <v>31</v>
      </c>
      <c r="C12" s="32" t="s">
        <v>156</v>
      </c>
      <c r="E12" s="29" t="s">
        <v>157</v>
      </c>
      <c r="F12" s="29" t="s">
        <v>97</v>
      </c>
      <c r="G12" s="29">
        <f>G10/360</f>
        <v>625.625</v>
      </c>
    </row>
    <row r="13" spans="1:7" ht="28.8" x14ac:dyDescent="0.3">
      <c r="A13" s="31" t="s">
        <v>158</v>
      </c>
      <c r="B13" s="27">
        <f>21-$C$18</f>
        <v>20</v>
      </c>
      <c r="C13" s="32" t="s">
        <v>159</v>
      </c>
      <c r="E13" s="29" t="s">
        <v>160</v>
      </c>
      <c r="F13" s="29" t="s">
        <v>161</v>
      </c>
      <c r="G13" s="29">
        <f>(B9/B8)*B7</f>
        <v>148.33333333333334</v>
      </c>
    </row>
    <row r="14" spans="1:7" ht="28.8" x14ac:dyDescent="0.3">
      <c r="A14" s="31" t="s">
        <v>162</v>
      </c>
      <c r="B14" s="27">
        <f>28+$C$18</f>
        <v>29</v>
      </c>
      <c r="C14" s="32" t="s">
        <v>163</v>
      </c>
      <c r="E14" s="29" t="s">
        <v>164</v>
      </c>
      <c r="F14" s="29" t="s">
        <v>165</v>
      </c>
      <c r="G14" s="29">
        <f>G13*B10</f>
        <v>163.16666666666669</v>
      </c>
    </row>
    <row r="15" spans="1:7" ht="28.8" x14ac:dyDescent="0.3">
      <c r="A15" s="31" t="s">
        <v>166</v>
      </c>
      <c r="B15" s="27">
        <f>124+5*$C$18</f>
        <v>129</v>
      </c>
      <c r="C15" s="32" t="s">
        <v>78</v>
      </c>
      <c r="E15" s="29" t="s">
        <v>167</v>
      </c>
      <c r="F15" s="29" t="s">
        <v>168</v>
      </c>
      <c r="G15" s="29">
        <f>G14+G11+B11</f>
        <v>470.64233984045308</v>
      </c>
    </row>
    <row r="16" spans="1:7" ht="28.8" x14ac:dyDescent="0.3">
      <c r="A16" s="31" t="s">
        <v>169</v>
      </c>
      <c r="B16" s="27">
        <f>1.1+0.1*$C$18</f>
        <v>1.2000000000000002</v>
      </c>
      <c r="C16" s="32" t="s">
        <v>170</v>
      </c>
      <c r="E16" s="29" t="s">
        <v>171</v>
      </c>
      <c r="F16" s="29" t="s">
        <v>172</v>
      </c>
      <c r="G16" s="29">
        <f>G15+B12</f>
        <v>501.64233984045308</v>
      </c>
    </row>
    <row r="18" spans="1:9" x14ac:dyDescent="0.3">
      <c r="B18" s="29" t="s">
        <v>195</v>
      </c>
      <c r="C18" s="29">
        <v>1</v>
      </c>
      <c r="E18" s="28" t="s">
        <v>173</v>
      </c>
    </row>
    <row r="19" spans="1:9" x14ac:dyDescent="0.3">
      <c r="E19" s="27" t="s">
        <v>26</v>
      </c>
      <c r="F19" s="27" t="s">
        <v>41</v>
      </c>
      <c r="G19" s="27" t="s">
        <v>147</v>
      </c>
    </row>
    <row r="20" spans="1:9" x14ac:dyDescent="0.3">
      <c r="E20" s="29" t="s">
        <v>174</v>
      </c>
      <c r="F20" s="29" t="s">
        <v>175</v>
      </c>
      <c r="G20" s="29">
        <f>B13/G16</f>
        <v>3.9869042964676749E-2</v>
      </c>
    </row>
    <row r="21" spans="1:9" x14ac:dyDescent="0.3">
      <c r="E21" s="29" t="s">
        <v>176</v>
      </c>
      <c r="F21" s="29" t="s">
        <v>177</v>
      </c>
      <c r="G21" s="29">
        <f>B14/G16</f>
        <v>5.7810112298781288E-2</v>
      </c>
    </row>
    <row r="22" spans="1:9" ht="28.8" x14ac:dyDescent="0.3">
      <c r="E22" s="29" t="s">
        <v>178</v>
      </c>
      <c r="F22" s="29" t="s">
        <v>179</v>
      </c>
      <c r="G22" s="29">
        <f>(G16-B14-B13)/G16</f>
        <v>0.90232084473654195</v>
      </c>
    </row>
    <row r="23" spans="1:9" ht="28.8" x14ac:dyDescent="0.3">
      <c r="E23" s="29" t="s">
        <v>180</v>
      </c>
      <c r="F23" s="29" t="s">
        <v>181</v>
      </c>
      <c r="G23" s="29">
        <f>(B14-B13)/G16</f>
        <v>1.794106933410454E-2</v>
      </c>
      <c r="H23" s="33" t="s">
        <v>182</v>
      </c>
      <c r="I23" s="29">
        <f>F4*B3/F5-G16</f>
        <v>61.662104603991395</v>
      </c>
    </row>
    <row r="25" spans="1:9" x14ac:dyDescent="0.3">
      <c r="E25" s="28" t="s">
        <v>183</v>
      </c>
    </row>
    <row r="26" spans="1:9" x14ac:dyDescent="0.3">
      <c r="E26" s="59" t="s">
        <v>26</v>
      </c>
      <c r="F26" s="59" t="s">
        <v>41</v>
      </c>
      <c r="G26" s="59" t="s">
        <v>147</v>
      </c>
      <c r="H26" s="60"/>
    </row>
    <row r="27" spans="1:9" x14ac:dyDescent="0.3">
      <c r="E27" s="60"/>
      <c r="F27" s="60"/>
      <c r="G27" s="35" t="s">
        <v>28</v>
      </c>
      <c r="H27" s="29" t="s">
        <v>29</v>
      </c>
    </row>
    <row r="28" spans="1:9" ht="15.6" customHeight="1" x14ac:dyDescent="0.3">
      <c r="A28" s="55" t="s">
        <v>207</v>
      </c>
      <c r="B28" s="55"/>
      <c r="C28" s="55"/>
      <c r="E28" s="59" t="s">
        <v>184</v>
      </c>
      <c r="F28" s="27" t="s">
        <v>185</v>
      </c>
      <c r="G28" s="29">
        <f>F5*1000/F4</f>
        <v>85.388994307400381</v>
      </c>
      <c r="H28" s="29">
        <f>B3*1000/G16</f>
        <v>95.885048330047582</v>
      </c>
    </row>
    <row r="29" spans="1:9" x14ac:dyDescent="0.3">
      <c r="A29" s="55"/>
      <c r="B29" s="55"/>
      <c r="C29" s="55"/>
      <c r="E29" s="59"/>
      <c r="F29" s="21" t="s">
        <v>186</v>
      </c>
      <c r="G29" s="60">
        <f>H28/G28</f>
        <v>1.1229204548874461</v>
      </c>
      <c r="H29" s="60"/>
    </row>
    <row r="30" spans="1:9" x14ac:dyDescent="0.3">
      <c r="A30" s="55"/>
      <c r="B30" s="55"/>
      <c r="C30" s="55"/>
      <c r="E30" s="59" t="s">
        <v>187</v>
      </c>
      <c r="F30" s="21" t="s">
        <v>188</v>
      </c>
      <c r="G30" s="29">
        <f>F5*B15/G16</f>
        <v>11.571989720497427</v>
      </c>
      <c r="H30" s="29">
        <f>B3*B15/G16</f>
        <v>12.36917123457614</v>
      </c>
    </row>
    <row r="31" spans="1:9" x14ac:dyDescent="0.3">
      <c r="E31" s="59"/>
      <c r="F31" s="21" t="s">
        <v>189</v>
      </c>
      <c r="G31" s="60">
        <f>H30/G30</f>
        <v>1.068888888888889</v>
      </c>
      <c r="H31" s="60"/>
    </row>
    <row r="32" spans="1:9" x14ac:dyDescent="0.3">
      <c r="E32" s="59" t="s">
        <v>190</v>
      </c>
      <c r="F32" s="21" t="s">
        <v>191</v>
      </c>
      <c r="G32" s="29">
        <f>F5*60*B16/G16</f>
        <v>6.4587849602776348</v>
      </c>
      <c r="H32" s="29">
        <f>(B3*B16)/G16*60</f>
        <v>6.9037234797634284</v>
      </c>
    </row>
    <row r="33" spans="5:8" x14ac:dyDescent="0.3">
      <c r="E33" s="59"/>
      <c r="F33" s="21" t="s">
        <v>192</v>
      </c>
      <c r="G33" s="60">
        <f>H32/G32</f>
        <v>1.068888888888889</v>
      </c>
      <c r="H33" s="60"/>
    </row>
  </sheetData>
  <mergeCells count="10">
    <mergeCell ref="A28:C30"/>
    <mergeCell ref="E32:E33"/>
    <mergeCell ref="G33:H33"/>
    <mergeCell ref="E26:E27"/>
    <mergeCell ref="F26:F27"/>
    <mergeCell ref="G26:H26"/>
    <mergeCell ref="E28:E29"/>
    <mergeCell ref="G29:H29"/>
    <mergeCell ref="E30:E31"/>
    <mergeCell ref="G31:H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3.1</vt:lpstr>
      <vt:lpstr>3.2</vt:lpstr>
      <vt:lpstr>3.3</vt:lpstr>
      <vt:lpstr>3.4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2022-03-13T17:53:31Z</dcterms:modified>
</cp:coreProperties>
</file>