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/>
  <xr:revisionPtr revIDLastSave="42" documentId="13_ncr:1_{225A9E7E-7418-4A6A-A3DC-A001B059FE8D}" xr6:coauthVersionLast="47" xr6:coauthVersionMax="47" xr10:uidLastSave="{2E8A7153-AC2F-4401-AB80-950FE18F3F70}"/>
  <bookViews>
    <workbookView xWindow="-108" yWindow="-108" windowWidth="23256" windowHeight="12456" activeTab="1" xr2:uid="{00000000-000D-0000-FFFF-FFFF00000000}"/>
  </bookViews>
  <sheets>
    <sheet name="4.1" sheetId="1" r:id="rId1"/>
    <sheet name="4.2-4.4" sheetId="6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5" i="6" l="1"/>
  <c r="B38" i="6"/>
  <c r="B37" i="6"/>
  <c r="B36" i="6"/>
  <c r="B44" i="6"/>
  <c r="B43" i="6"/>
  <c r="B18" i="1"/>
  <c r="B139" i="6"/>
  <c r="B114" i="6"/>
  <c r="B113" i="6"/>
  <c r="B112" i="6"/>
  <c r="B111" i="6"/>
  <c r="B106" i="6"/>
  <c r="B105" i="6"/>
  <c r="B104" i="6"/>
  <c r="B103" i="6"/>
  <c r="B100" i="6"/>
  <c r="B95" i="6"/>
  <c r="B94" i="6"/>
  <c r="B93" i="6"/>
  <c r="B92" i="6"/>
  <c r="B82" i="6"/>
  <c r="B83" i="6" s="1"/>
  <c r="B124" i="6" s="1"/>
  <c r="B81" i="6"/>
  <c r="B122" i="6" s="1"/>
  <c r="B80" i="6"/>
  <c r="B121" i="6" s="1"/>
  <c r="B64" i="6"/>
  <c r="B63" i="6"/>
  <c r="B62" i="6"/>
  <c r="B61" i="6"/>
  <c r="B60" i="6"/>
  <c r="B59" i="6"/>
  <c r="B58" i="6"/>
  <c r="B57" i="6"/>
  <c r="B54" i="6"/>
  <c r="B53" i="6"/>
  <c r="B84" i="6" s="1"/>
  <c r="B52" i="6"/>
  <c r="B101" i="6" s="1"/>
  <c r="B46" i="6"/>
  <c r="B45" i="6"/>
  <c r="B40" i="6"/>
  <c r="B39" i="6"/>
  <c r="B127" i="6" l="1"/>
  <c r="B55" i="6"/>
  <c r="B115" i="6"/>
  <c r="B87" i="6" s="1"/>
  <c r="B130" i="6" s="1"/>
  <c r="B123" i="6"/>
  <c r="B125" i="6" s="1"/>
  <c r="B141" i="6" s="1"/>
  <c r="B96" i="6"/>
  <c r="B85" i="6" s="1"/>
  <c r="B128" i="6" s="1"/>
  <c r="B102" i="6"/>
  <c r="B107" i="6" s="1"/>
  <c r="B86" i="6" s="1"/>
  <c r="B129" i="6" s="1"/>
  <c r="B41" i="6"/>
  <c r="B47" i="6"/>
  <c r="B49" i="6" s="1"/>
  <c r="B50" i="6" s="1"/>
  <c r="B65" i="6"/>
  <c r="B131" i="6" l="1"/>
  <c r="B140" i="6" s="1"/>
  <c r="B88" i="6"/>
  <c r="B135" i="6" s="1"/>
  <c r="B66" i="6"/>
  <c r="C162" i="6" l="1"/>
  <c r="C161" i="6"/>
  <c r="D150" i="6"/>
  <c r="D151" i="6"/>
  <c r="D154" i="6"/>
  <c r="D152" i="6"/>
  <c r="D155" i="6"/>
  <c r="D153" i="6"/>
  <c r="D148" i="6"/>
  <c r="D147" i="6"/>
  <c r="D149" i="6"/>
  <c r="B73" i="6"/>
  <c r="B70" i="6"/>
  <c r="B137" i="6"/>
  <c r="B138" i="6" s="1"/>
  <c r="C159" i="6" s="1"/>
  <c r="B72" i="6"/>
  <c r="B74" i="6"/>
  <c r="B71" i="6"/>
  <c r="B142" i="6" l="1"/>
  <c r="B163" i="6" s="1"/>
  <c r="C163" i="6" s="1"/>
  <c r="B75" i="6"/>
  <c r="B57" i="1"/>
  <c r="B53" i="1"/>
  <c r="B55" i="1" s="1"/>
  <c r="B52" i="1"/>
  <c r="B12" i="1"/>
  <c r="B29" i="1"/>
  <c r="B27" i="1"/>
  <c r="B28" i="1" s="1"/>
  <c r="B38" i="1" s="1"/>
  <c r="B40" i="1" s="1"/>
  <c r="B13" i="1"/>
  <c r="B15" i="1" s="1"/>
  <c r="B17" i="1" s="1"/>
  <c r="B19" i="1" s="1"/>
  <c r="B20" i="1"/>
  <c r="B21" i="1" l="1"/>
  <c r="B25" i="1" s="1"/>
  <c r="B30" i="1"/>
  <c r="B31" i="1" s="1"/>
  <c r="B37" i="1"/>
  <c r="B47" i="1" s="1"/>
  <c r="B32" i="1" l="1"/>
  <c r="B33" i="1"/>
  <c r="B43" i="1"/>
  <c r="B46" i="1"/>
  <c r="B45" i="1"/>
  <c r="B42" i="1"/>
  <c r="B44" i="1"/>
  <c r="B41" i="1" l="1"/>
  <c r="B58" i="1"/>
  <c r="B62" i="1" s="1"/>
  <c r="B64" i="1" s="1"/>
  <c r="B65" i="1" s="1"/>
</calcChain>
</file>

<file path=xl/sharedStrings.xml><?xml version="1.0" encoding="utf-8"?>
<sst xmlns="http://schemas.openxmlformats.org/spreadsheetml/2006/main" count="350" uniqueCount="287">
  <si>
    <t>Показатели</t>
  </si>
  <si>
    <t>Источник</t>
  </si>
  <si>
    <t>Значения</t>
  </si>
  <si>
    <t>С</t>
  </si>
  <si>
    <t>Разряд рабочего</t>
  </si>
  <si>
    <t>Объем выпуска продукции, шт.</t>
  </si>
  <si>
    <t>Фактически отработанное время, ч.</t>
  </si>
  <si>
    <t>Норма времени, ч.</t>
  </si>
  <si>
    <t>Тарифный разряд</t>
  </si>
  <si>
    <t>Тарифный коэффициент</t>
  </si>
  <si>
    <t>Таблица 4.4</t>
  </si>
  <si>
    <t>Источники</t>
  </si>
  <si>
    <t>1.Тарифная ставка 1 разряда, руб.</t>
  </si>
  <si>
    <t>исх. данные</t>
  </si>
  <si>
    <t>2. Разряд работ</t>
  </si>
  <si>
    <t>3. Тарифный коэффициент</t>
  </si>
  <si>
    <t>4. Коэффициент повышения по технологическим видам работ</t>
  </si>
  <si>
    <t>6. Нормативный фонд рабочего времени, ч.</t>
  </si>
  <si>
    <t>8. Норма времени, ч</t>
  </si>
  <si>
    <t>9. Прямая сдельная расценка, руб.</t>
  </si>
  <si>
    <t>10. Объем производства в месяц, шт.</t>
  </si>
  <si>
    <t>11. Заработная плата, руб.</t>
  </si>
  <si>
    <t>таблица 4.5</t>
  </si>
  <si>
    <t>1. Заработная плата при прямой сдельной системе оплаты труда, руб.</t>
  </si>
  <si>
    <t>строка 11 табл. 4.4</t>
  </si>
  <si>
    <t>2. Нормативный фонд рабочего времени, ч.</t>
  </si>
  <si>
    <t>3. Норма времени, ч</t>
  </si>
  <si>
    <t>4. Объем производства в месяц по плану, шт</t>
  </si>
  <si>
    <t>5. Объем производства в месяц, шт.</t>
  </si>
  <si>
    <t>6. Процент перевыполнения плана, %</t>
  </si>
  <si>
    <t xml:space="preserve"> п.5 / п.4 · 100 -100</t>
  </si>
  <si>
    <t>7. Процент премии за перевыполнение плана, %</t>
  </si>
  <si>
    <t>п.6 · 0,5</t>
  </si>
  <si>
    <t>8. Премия за перевыполнения плана, руб.</t>
  </si>
  <si>
    <t>п.1 · п.7 / 100</t>
  </si>
  <si>
    <t>9. Заработная плата, руб.</t>
  </si>
  <si>
    <t>п.1 + п.8</t>
  </si>
  <si>
    <t>таблица 4.6</t>
  </si>
  <si>
    <t>1. Прямая сдельная расценка, руб</t>
  </si>
  <si>
    <t>строка 9 табл. 4.4</t>
  </si>
  <si>
    <t>2. Объем производства в месяц по плану, шт.</t>
  </si>
  <si>
    <t>строка 4 табл. 4.5</t>
  </si>
  <si>
    <t>3. Процент перевыполнения нормы выработки, необходимый для роста сдельной расценки, %</t>
  </si>
  <si>
    <t>столбец 1 табл. 4.3</t>
  </si>
  <si>
    <t>4. Десять процентов перевыполнения нормы выработки с учетом округления (в меньшую сторону) до целого числа, шт.</t>
  </si>
  <si>
    <t>п.2 · 10/100</t>
  </si>
  <si>
    <t>5. Заработная плата, руб., в т.ч.</t>
  </si>
  <si>
    <t>п.5.1 + п. 5.2 + п.5.3 + п.5.4</t>
  </si>
  <si>
    <t>5.1 оплата за объем производства по плану</t>
  </si>
  <si>
    <t>п.2 · п.1</t>
  </si>
  <si>
    <t>5.2 оплата за часть объема производства в интервале перевыполнения плана 101 – 110%</t>
  </si>
  <si>
    <t>п.4 · п.1 · 1,05</t>
  </si>
  <si>
    <t>5.3 оплата за часть объема производства в интервале перевыполнения плана 111 – 120%</t>
  </si>
  <si>
    <t>п.4 · п.1 · 1,10</t>
  </si>
  <si>
    <t>5.4 оплата за часть объема производства в интервале перевыполнения плана 121 – 130%</t>
  </si>
  <si>
    <t>таблица 4.7</t>
  </si>
  <si>
    <t>7. Фактический фонд рабочего времени, ч.</t>
  </si>
  <si>
    <t>8. Заработная плата, руб.</t>
  </si>
  <si>
    <t>1. Заработная плата при, руб.</t>
  </si>
  <si>
    <t>строка 8 табл. 4.7</t>
  </si>
  <si>
    <t>2. Процент премии за выполнение нормы выработки, %</t>
  </si>
  <si>
    <t>3. Премия за выполнение нормы выработки, руб.</t>
  </si>
  <si>
    <t>п.1 · п.2 / 100</t>
  </si>
  <si>
    <t>4. Заработная плата, руб.</t>
  </si>
  <si>
    <t>п.1 + п.3</t>
  </si>
  <si>
    <t>Таблица 4.9</t>
  </si>
  <si>
    <t xml:space="preserve">Изделие </t>
  </si>
  <si>
    <t>Вариант</t>
  </si>
  <si>
    <t>А</t>
  </si>
  <si>
    <t>Б</t>
  </si>
  <si>
    <t>1. Программа выпуска изделий цехом в год</t>
  </si>
  <si>
    <t>2. Количество наборов комплектующих</t>
  </si>
  <si>
    <t>3. Средняя цена набора комплектующих</t>
  </si>
  <si>
    <t>4. Затраты электроэнергии на производство одного изделия</t>
  </si>
  <si>
    <t>5. Цена за 1 кВт·ч электрической энергии</t>
  </si>
  <si>
    <t>6. Зарплата основная и дополнительная основных рабочих  за одно изделие (комплексная расценка)</t>
  </si>
  <si>
    <t>7. Зарплата вспомогательных рабочих цеха</t>
  </si>
  <si>
    <t>8. Зарплата административноуправленческого персонала предприятия</t>
  </si>
  <si>
    <t>9.Зарплата цехового административно-управленческого персонала</t>
  </si>
  <si>
    <t>10. Количество единиц занятого технологического оборудования</t>
  </si>
  <si>
    <t>11.Расходы по содержанию и эксплуатации единицы технологического оборудования</t>
  </si>
  <si>
    <t>12. Основные производственные средства общехозяйственного назначения</t>
  </si>
  <si>
    <t>13. Их средний нормативный срок службы</t>
  </si>
  <si>
    <t xml:space="preserve">14. Основные производственные средства цеха по производству продукции А, Б, В, </t>
  </si>
  <si>
    <t>15. Их средний процент амортизации</t>
  </si>
  <si>
    <t>16. Амортизация основных средств административноуправленческого назначения, тыс</t>
  </si>
  <si>
    <t>17. Плата за землю</t>
  </si>
  <si>
    <t>18. Плата за пользование природными ресурсами в пределах нормы</t>
  </si>
  <si>
    <t>19. Оплата аудиторских услуг, тыс</t>
  </si>
  <si>
    <t>20. Расходы по подготовке продукции к реализации</t>
  </si>
  <si>
    <t>21.Оплата рекламных слуг</t>
  </si>
  <si>
    <t>22. Расходы по продвижению товара на рынок</t>
  </si>
  <si>
    <t>23. Расходы по освещению цеха по производству продукции А, Б, В,</t>
  </si>
  <si>
    <t>24. Расходы по изучению конъюнктуры рынков сбыта продукции А, Б, В</t>
  </si>
  <si>
    <t>25. Расходы по отоплению зданий общепроизводственного назначения</t>
  </si>
  <si>
    <t>26. Расходы по освещению территории предприятия</t>
  </si>
  <si>
    <t>Таблица 4.10</t>
  </si>
  <si>
    <t xml:space="preserve">Показатели </t>
  </si>
  <si>
    <t xml:space="preserve">Значения </t>
  </si>
  <si>
    <t xml:space="preserve">Источник </t>
  </si>
  <si>
    <t xml:space="preserve">1. Материальные затраты </t>
  </si>
  <si>
    <t xml:space="preserve">1.1 Покупные комплектующие </t>
  </si>
  <si>
    <t xml:space="preserve">(п.1 (ст. 2) · п.2 (ст. 2) · п.3 (ст. 2)  + п.1 (ст. 3) · п.2 (ст. 3) · п.3 (ст. 3) + п.1 (ст. 4) · п.2 (ст. 4) · п.3 (ст. 4)) / 1000   </t>
  </si>
  <si>
    <t>1.2 Электроэнергия на технологические цели</t>
  </si>
  <si>
    <t xml:space="preserve">(п.1 (ст. 2) · п.4 (ст. 2) · п.5 (ст. 2)  + п.1 (ст. 3) · п.4 (ст. 3) · п.5 (ст. 3) + п.1 (ст. 4) · п.4 (ст. 4) · п.5 (ст. 4)) / 1000   </t>
  </si>
  <si>
    <t xml:space="preserve">1.3 Расходы  на освещение цеха по выпуску продукции А, Б, В </t>
  </si>
  <si>
    <t xml:space="preserve">п.23 (ст. 5) </t>
  </si>
  <si>
    <t xml:space="preserve">1.4 Расходы по отоплению зданий общепроизводственного назначения </t>
  </si>
  <si>
    <t xml:space="preserve">п.25 (ст. 5) </t>
  </si>
  <si>
    <t xml:space="preserve">1.5 Расходы по освещению территории предприятия </t>
  </si>
  <si>
    <t xml:space="preserve">п.26 (ст. 5) </t>
  </si>
  <si>
    <t>1.6 Итого материальных затрат</t>
  </si>
  <si>
    <t xml:space="preserve">п.1.1 + п.1.2 + п.1.3 + п.1.4 + п.1.5 </t>
  </si>
  <si>
    <t>2. Затраты на оплату труда</t>
  </si>
  <si>
    <t>2.1 Заработная плата основных производственных рабочих</t>
  </si>
  <si>
    <t xml:space="preserve">(п.1 (ст. 2) · п.6 (ст. 2) + п.1 (ст. 3) · п.6 (ст. 3) + п.1 (ст. 4) · п.6 (ст.4)) / 1000 </t>
  </si>
  <si>
    <t>2.2 Зарплата вспомогательных рабочих цеха</t>
  </si>
  <si>
    <t xml:space="preserve">п.7 (ст. 5) </t>
  </si>
  <si>
    <t>2.3 Зарплата административноуправленческого персонала предприятия</t>
  </si>
  <si>
    <t xml:space="preserve">п.8 (ст. 5) </t>
  </si>
  <si>
    <t>2.4 Зарплата цехового административно-управленческого персонала</t>
  </si>
  <si>
    <t xml:space="preserve">п.9 (ст. 5) </t>
  </si>
  <si>
    <t>2.5 Итого затрат на оплату труда</t>
  </si>
  <si>
    <t xml:space="preserve">п.2.1 + п.2.2 + п.2.3 + п.2.4 + п.2.5 </t>
  </si>
  <si>
    <t>3. Отчисления на социальные нужды</t>
  </si>
  <si>
    <t xml:space="preserve">3.1 Отчисления в фонд социальной защиты населения (34%) и на обязательное страхование от несчастных случаев и профессиональных заболеваний (0,6%) </t>
  </si>
  <si>
    <t xml:space="preserve">п.2.5 · 34,6 / 100 </t>
  </si>
  <si>
    <t xml:space="preserve">3.2  Итого отчислений  на социальные нужды </t>
  </si>
  <si>
    <t xml:space="preserve">п.3.1 </t>
  </si>
  <si>
    <t xml:space="preserve">4. Амортизация основных средств и нематериальных активов </t>
  </si>
  <si>
    <t xml:space="preserve">4.1 Амортизация основных производственных средств общехозяйственного назначения </t>
  </si>
  <si>
    <t>п.12(ст.5)/п.13</t>
  </si>
  <si>
    <t xml:space="preserve">4.2 Амортизация основных производственных средств цеха по производству продукции А,Б,В </t>
  </si>
  <si>
    <t>п14(ст5)*п15/100</t>
  </si>
  <si>
    <t xml:space="preserve">4.3 Амортизация основных средств административноуправленческого назначения </t>
  </si>
  <si>
    <t xml:space="preserve">п.16 (ст. 5) </t>
  </si>
  <si>
    <t xml:space="preserve">4.4  Итого амортизация основных средств </t>
  </si>
  <si>
    <t>п.4.1 + п.4.2 + п.4.3 5</t>
  </si>
  <si>
    <t>5. Прочие затраты
5. Прочие затраты
5. Прочие затраты
5. Прочие затраты
5. Прочие затраты</t>
  </si>
  <si>
    <t>5.1 Расходы на содержание и эксплуатацию основного технологического оборудования</t>
  </si>
  <si>
    <t>(п.10 (ст. 2) · п.11 (ст. 2) + п.10 (ст. 3) · п.11 (ст. 3) + п.10 (ст. 4) · п.11 (ст. 4)) / 1000</t>
  </si>
  <si>
    <t>5.2 Плата за землю</t>
  </si>
  <si>
    <t>п.17 (ст. 5)</t>
  </si>
  <si>
    <t>5.3 Плата за пользование природными ресурсами в пределах установленной нормы</t>
  </si>
  <si>
    <t>п.18 (ст. 5)</t>
  </si>
  <si>
    <t>5.4 Оплата аудиторских услуг</t>
  </si>
  <si>
    <t>п.19 (ст. 5)</t>
  </si>
  <si>
    <t>5.5 Расходы по подготовке продукции к реализации</t>
  </si>
  <si>
    <t>п.20 (ст. 5)</t>
  </si>
  <si>
    <t>5.6 Оплата рекламных услуг</t>
  </si>
  <si>
    <t>п.21 (ст. 5)</t>
  </si>
  <si>
    <t>5.7 Расходы по продвижению товара на рынок</t>
  </si>
  <si>
    <t>п.22 (ст. 5)</t>
  </si>
  <si>
    <t>5.8 Расходы по изучению конъюнктуры рынков сбыта продукции А,Б,В</t>
  </si>
  <si>
    <t>п.24 (ст.5)</t>
  </si>
  <si>
    <t>5.9 Итого прочих затрат</t>
  </si>
  <si>
    <t>п.5.1 + п.5.2 + п.5.3 + п.5.4 + п.5.5 + п.5.6 + п.5.7 + п.5.8</t>
  </si>
  <si>
    <t>6. ИТОГО по смете</t>
  </si>
  <si>
    <t>п.1.6 + п.2.5 + п.3.2 + п.4.4 + п.5.9</t>
  </si>
  <si>
    <t>Таблица 4.11</t>
  </si>
  <si>
    <t>1. Материальные затраты</t>
  </si>
  <si>
    <t>п. 1.6 табл. 4.10 / п.6 · 100</t>
  </si>
  <si>
    <t>п. 2.5 табл. 4.10 / п.6 · 100</t>
  </si>
  <si>
    <t>п. 3.2 табл. 4.10 / п.6 · 100</t>
  </si>
  <si>
    <t>4. Амортизация основных средств и нематериальных активов</t>
  </si>
  <si>
    <t>п. 4.4 табл. 4.10 / п.6 · 100</t>
  </si>
  <si>
    <t>5. Прочие затраты</t>
  </si>
  <si>
    <t>п. 5.9 табл. 4.10 / п.6 · 100</t>
  </si>
  <si>
    <t>Итого материальных затрат</t>
  </si>
  <si>
    <t>п.1 + п.2 + п.3 + п.4 + п.5</t>
  </si>
  <si>
    <t>таблица 4.12</t>
  </si>
  <si>
    <t xml:space="preserve">Статьи калькуляции  </t>
  </si>
  <si>
    <t>1. Покупные комплектующие изделия</t>
  </si>
  <si>
    <t>п.2 (ст. 2) табл. 4.9 · п.3 (ст. 2) табл. 4.9</t>
  </si>
  <si>
    <t>2. Электроэнергия на технологические цели</t>
  </si>
  <si>
    <t>п.4 (ст. 2) табл. 4.9 · п.5 (ст. 2) табл. 4.9</t>
  </si>
  <si>
    <t>3. Заработная плата основных производственных рабочих</t>
  </si>
  <si>
    <t>п.6 (ст. 2) табл. 4.9</t>
  </si>
  <si>
    <t>4. Отчисления на социальные нужды</t>
  </si>
  <si>
    <t>п.3 · 34,6/100</t>
  </si>
  <si>
    <t>5. Расходы на содержание и эксплуатацию основного технологического оборудования (РСЭО)</t>
  </si>
  <si>
    <t>(п.10 (ст. 2) табл. 4.9 · п.11 (ст. 2) табл. 4.9) / п.1 (ст. 2) табл. 4.9 + (п.4.2 табл. 4.10 · k · 1000) / п.1 (ст. 2) табл. 4.9</t>
  </si>
  <si>
    <t>6. Общепроизводственные затраты</t>
  </si>
  <si>
    <t>п.5 табл. 4.13 · k · 1000) / п.1 (ст. 2) табл. 4.9</t>
  </si>
  <si>
    <t>7. Общехозяйственные затраты</t>
  </si>
  <si>
    <t>п.8 табл. 4.14 · k · 1000) / п.1 (ст. 2) табл. 4.9</t>
  </si>
  <si>
    <t>8. Коммерческие затраты</t>
  </si>
  <si>
    <t>п.5 табл. 4.15 · k · 1000) / п.1 (ст. 2) табл. 4.9</t>
  </si>
  <si>
    <t>9. Полная себестоимость</t>
  </si>
  <si>
    <t>п.1 + п.2 + п.3 + п.4 + п.5 + п.6 + п.7 + п.8</t>
  </si>
  <si>
    <t>Таблица 4.13</t>
  </si>
  <si>
    <t>1. Зарплата вспомогательных рабочих цеха с отчислениями на социальное страхование</t>
  </si>
  <si>
    <t>п.7 (ст. 5) табл. 4.9 · ((100 + 34,6) / 100)</t>
  </si>
  <si>
    <t>2. Зарплата цехового административноуправленческого персонала с отчислениями на социальное страхование</t>
  </si>
  <si>
    <t>п.9 (ст. 5) табл. 4.9 · ((100 + 34,6) / 100)</t>
  </si>
  <si>
    <t>3. Расходы по освещению цеха по производству продукции А,Б,В</t>
  </si>
  <si>
    <t>п.23 (ст. 5) табл. 4.9</t>
  </si>
  <si>
    <t>4. Расходы по отоплению зданий общепроизводственного назначения</t>
  </si>
  <si>
    <t>п.25 (ст. 5) табл. 4.9</t>
  </si>
  <si>
    <t>5. Общепроизводственные расходы</t>
  </si>
  <si>
    <t>п.1 + п.2 + п.3 + п.4</t>
  </si>
  <si>
    <t>Таблица 4.14</t>
  </si>
  <si>
    <t>1. Зарплата административно- управленческого персонала предприятия с отчислениями на социальное страхование</t>
  </si>
  <si>
    <t>п.8 (ст. 5) табл. 4.9 · ((100 + 34,6) / 100)</t>
  </si>
  <si>
    <t>2. Амортизация основных производственных средств общехозяйственного назначения</t>
  </si>
  <si>
    <t>п.4.1 табл. 4.10</t>
  </si>
  <si>
    <t>3. Амортизация основных средств административно-управленческого назначения</t>
  </si>
  <si>
    <t>п.4.3 табл. 4.10</t>
  </si>
  <si>
    <t>4. Плата за землю</t>
  </si>
  <si>
    <t>п.17 (ст. 5) табл. 4.9</t>
  </si>
  <si>
    <t>5. Плата за пользование природными ресурсами в пределах установленной нормы</t>
  </si>
  <si>
    <t>п.18 (ст. 5) табл. 4.9</t>
  </si>
  <si>
    <t>6. Оплата аудиторских услуг</t>
  </si>
  <si>
    <t>п.19 (ст. 5) табл. 4.9</t>
  </si>
  <si>
    <t>7. Расходы по освещению территории предприятия</t>
  </si>
  <si>
    <t>п.26 (ст. 5) табл. 4.9</t>
  </si>
  <si>
    <t>8. Общепроизводственные расходы</t>
  </si>
  <si>
    <t>п.1 + п.2 + п.3 + п.4 + п.5 + п.6 + п.7</t>
  </si>
  <si>
    <t>Таблица 4,15</t>
  </si>
  <si>
    <t>1. Расходы по подготовке продукции к реализации</t>
  </si>
  <si>
    <t>п.20 (ст. 5) табл. 4.9</t>
  </si>
  <si>
    <t>2. Оплата рекламных услуг</t>
  </si>
  <si>
    <t>п.21 (ст. 5) табл. 4.9</t>
  </si>
  <si>
    <t>3. Расходы по продвижению товара на рынок</t>
  </si>
  <si>
    <t>п.22 (ст. 5) табл. 4.9</t>
  </si>
  <si>
    <t>4. Расходы по изучению конъюнктуры рынков сбыта продукции А,Б,В</t>
  </si>
  <si>
    <t>п.24 (ст. 5) табл. 4.9</t>
  </si>
  <si>
    <t>5. Коммерческие расходы</t>
  </si>
  <si>
    <t>Таблица 4.16</t>
  </si>
  <si>
    <t>Переменные затраты</t>
  </si>
  <si>
    <t>п.1 табл. 4.12</t>
  </si>
  <si>
    <t>п.2 табл. 4.12</t>
  </si>
  <si>
    <t>п.3 табл. 4.12</t>
  </si>
  <si>
    <t xml:space="preserve">п.4 табл. 4.12 </t>
  </si>
  <si>
    <t>5. Итого переменных затрат</t>
  </si>
  <si>
    <t>п.1+ п.2 + п.3 + п.4</t>
  </si>
  <si>
    <t>Постоянные затраты</t>
  </si>
  <si>
    <t>6. Расходы на содержание и эксплуатацию основного технологического оборудования (РСЭО)</t>
  </si>
  <si>
    <t>п.5 табл. 4.12</t>
  </si>
  <si>
    <t>7. Общепроизводственные затраты</t>
  </si>
  <si>
    <t>п.6 табл. 4.12</t>
  </si>
  <si>
    <t>8. Общехозяйственные затраты</t>
  </si>
  <si>
    <t>п.7 табл. 4.12</t>
  </si>
  <si>
    <t>9. Коммерческие затраты</t>
  </si>
  <si>
    <t>п.8 табл. 4.12</t>
  </si>
  <si>
    <t>10. Итого постоянных затрат</t>
  </si>
  <si>
    <t>п.6+ п.7 + п.8 + п.9</t>
  </si>
  <si>
    <t>Таблицы 4.17</t>
  </si>
  <si>
    <t>1. Полная себестоимость изделия А, руб.</t>
  </si>
  <si>
    <t>п.9 табл. 4.12</t>
  </si>
  <si>
    <t>2. Норма прибыли, %</t>
  </si>
  <si>
    <t>исходные данные</t>
  </si>
  <si>
    <t>3. Прибыль, руб.</t>
  </si>
  <si>
    <t>п.1 · 25/100</t>
  </si>
  <si>
    <t>4. Оптовая цена предприятия без НДС, руб.</t>
  </si>
  <si>
    <t>5. Объем производства (максимальный), шт.</t>
  </si>
  <si>
    <t>п.1 (ст. 2) табл. 4.9</t>
  </si>
  <si>
    <t>6. Валовые постоянные затраты (постоянные затраты на весь объем производства), руб.</t>
  </si>
  <si>
    <t>п.10 табл. 4.16 · п.5</t>
  </si>
  <si>
    <t>7. Переменные затраты на одно изделие, руб.</t>
  </si>
  <si>
    <t>п.5 табл. 4.16</t>
  </si>
  <si>
    <t>8. Безубыточный объем производства (точка безубыточности), шт.</t>
  </si>
  <si>
    <t>п.6 / (п.4 – п.7)</t>
  </si>
  <si>
    <t>5. Месячная тарифная ставка 5 разряда, руб.</t>
  </si>
  <si>
    <t>7. Часовая тарифная ставка 5 разряда, руб.</t>
  </si>
  <si>
    <t>таблица 4.8</t>
  </si>
  <si>
    <t>табл. 4.2</t>
  </si>
  <si>
    <t>5.5 оплата за часть объема производства в интервале перевыполнения плана 131 – 140%</t>
  </si>
  <si>
    <t>5.6 оплата за часть объема производства в интервале перевыполнения плана свыше 140%</t>
  </si>
  <si>
    <t>п.4 · п.1 · 1,20</t>
  </si>
  <si>
    <t>п.4 · п.1 · 1,30</t>
  </si>
  <si>
    <t>п.4 · п.1 · 1,40</t>
  </si>
  <si>
    <t>п.5 / п.6</t>
  </si>
  <si>
    <t>п.2 / п.3</t>
  </si>
  <si>
    <t>п.9 · п.10</t>
  </si>
  <si>
    <t>п.7 · п.8</t>
  </si>
  <si>
    <t>п.1 · п.3 · п.4</t>
  </si>
  <si>
    <t>п.5 · п.7 / п.6</t>
  </si>
  <si>
    <t>Задача 4.4</t>
  </si>
  <si>
    <t>Задача 4.3</t>
  </si>
  <si>
    <t>k</t>
  </si>
  <si>
    <t xml:space="preserve">Коэффициент для расчета косвенных затрат </t>
  </si>
  <si>
    <t>Прямая постоянных затрат</t>
  </si>
  <si>
    <t>Прямая себестоимости</t>
  </si>
  <si>
    <t>Таким образом, размер заработной платы при прямой сдельной системе оплаты – 255,13 руб, при сдельно-премиальной системе оплаты – 297,6 руб,  при сдельно-прогрессивной системе оплаты – 297,33 руб, при прямой повременной системе оплаты – 182,7 руб, при повременно-премиальной системе оплаты – 237,51 руб.</t>
  </si>
  <si>
    <t>Таким образом, безубыточный объем производства – 4213 шт.</t>
  </si>
  <si>
    <t>Таким образом, производство продукции является трудоемким и материалоемким. Затраты на оплату труда с отчислениями составляют 50,09% от общей суммы затрат на производство и реализации продукции, материальные затраты в структуре затрат занимают второе место и составляют 44,98%.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</si>
</sst>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  <xf numFmtId="0" fontId="6" fillId="0" borderId="0" xfId="0" applyFont="1" applyBorder="1" applyAlignment="1">
      <alignment wrapText="1"/>
    </xf>
    <xf numFmtId="0" fontId="6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[1]Аркуш1!$B$145:$B$147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</c:numCache>
            </c:numRef>
          </c:xVal>
          <c:yVal>
            <c:numRef>
              <c:f>[1]Аркуш1!$A$145:$A$147</c:f>
              <c:numCache>
                <c:formatCode>General</c:formatCode>
                <c:ptCount val="3"/>
                <c:pt idx="0">
                  <c:v>0</c:v>
                </c:pt>
                <c:pt idx="1">
                  <c:v>571890.44334455009</c:v>
                </c:pt>
                <c:pt idx="2">
                  <c:v>2859452.2167227506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5F-49EC-8C3D-FFA85EF5518F}"/>
            </c:ext>
          </c:extLst>
        </c:ser>
        <c:ser>
          <c:idx val="1"/>
          <c:order val="1"/>
          <c:tx>
            <c:v>C+Аркуш1!$B$150:$B$152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[1]Аркуш1!$B$150:$B$152</c:f>
              <c:numCache>
                <c:formatCode>General</c:formatCode>
                <c:ptCount val="3"/>
                <c:pt idx="0">
                  <c:v>0</c:v>
                </c:pt>
                <c:pt idx="1">
                  <c:v>2000</c:v>
                </c:pt>
                <c:pt idx="2">
                  <c:v>5000</c:v>
                </c:pt>
              </c:numCache>
            </c:numRef>
          </c:xVal>
          <c:yVal>
            <c:numRef>
              <c:f>[1]Аркуш1!$A$150:$A$152</c:f>
              <c:numCache>
                <c:formatCode>General</c:formatCode>
                <c:ptCount val="3"/>
                <c:pt idx="0">
                  <c:v>1254470.1763267883</c:v>
                </c:pt>
                <c:pt idx="1">
                  <c:v>1795026.1763267883</c:v>
                </c:pt>
                <c:pt idx="2">
                  <c:v>2605860.176326788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F-49EC-8C3D-FFA85EF5518F}"/>
            </c:ext>
          </c:extLst>
        </c:ser>
        <c:ser>
          <c:idx val="2"/>
          <c:order val="2"/>
          <c:tx>
            <c:v>Постоянная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[1]Аркуш1!$B$154:$B$156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</c:numCache>
            </c:numRef>
          </c:xVal>
          <c:yVal>
            <c:numRef>
              <c:f>[1]Аркуш1!$A$154:$A$156</c:f>
              <c:numCache>
                <c:formatCode>General</c:formatCode>
                <c:ptCount val="3"/>
                <c:pt idx="0">
                  <c:v>1254470.1763267883</c:v>
                </c:pt>
                <c:pt idx="1">
                  <c:v>1254470.1763267883</c:v>
                </c:pt>
                <c:pt idx="2">
                  <c:v>1254470.1763267883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5F-49EC-8C3D-FFA85EF55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350528"/>
        <c:axId val="836344288"/>
      </c:scatterChart>
      <c:valAx>
        <c:axId val="836350528"/>
        <c:scaling>
          <c:orientation val="minMax"/>
          <c:max val="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6344288"/>
        <c:crosses val="autoZero"/>
        <c:crossBetween val="midCat"/>
      </c:valAx>
      <c:valAx>
        <c:axId val="8363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635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точки безубыточности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Постоянные затраты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'4.2-4.4'!$B$147:$B$155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'4.2-4.4'!$D$147:$D$155</c:f>
              <c:numCache>
                <c:formatCode>General</c:formatCode>
                <c:ptCount val="9"/>
                <c:pt idx="0">
                  <c:v>1331463.3787556186</c:v>
                </c:pt>
                <c:pt idx="1">
                  <c:v>1331463.3787556186</c:v>
                </c:pt>
                <c:pt idx="2">
                  <c:v>1331463.3787556186</c:v>
                </c:pt>
                <c:pt idx="3">
                  <c:v>1331463.3787556186</c:v>
                </c:pt>
                <c:pt idx="4">
                  <c:v>1331463.3787556186</c:v>
                </c:pt>
                <c:pt idx="5">
                  <c:v>1331463.3787556186</c:v>
                </c:pt>
                <c:pt idx="6">
                  <c:v>1331463.3787556186</c:v>
                </c:pt>
                <c:pt idx="7">
                  <c:v>1331463.3787556186</c:v>
                </c:pt>
                <c:pt idx="8">
                  <c:v>1331463.3787556186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F1-4199-91EF-E78F20CFF4A9}"/>
            </c:ext>
          </c:extLst>
        </c:ser>
        <c:ser>
          <c:idx val="2"/>
          <c:order val="2"/>
          <c:tx>
            <c:v>Прямая постоянных затрат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'4.2-4.4'!$B$158:$B$159</c:f>
              <c:numCache>
                <c:formatCode>General</c:formatCode>
                <c:ptCount val="2"/>
                <c:pt idx="0">
                  <c:v>0</c:v>
                </c:pt>
                <c:pt idx="1">
                  <c:v>8000</c:v>
                </c:pt>
              </c:numCache>
            </c:numRef>
          </c:xVal>
          <c:yVal>
            <c:numRef>
              <c:f>'4.2-4.4'!$C$158:$C$159</c:f>
              <c:numCache>
                <c:formatCode>General</c:formatCode>
                <c:ptCount val="2"/>
                <c:pt idx="0">
                  <c:v>0</c:v>
                </c:pt>
                <c:pt idx="1">
                  <c:v>4690038.7742621191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F1-4199-91EF-E78F20CFF4A9}"/>
            </c:ext>
          </c:extLst>
        </c:ser>
        <c:ser>
          <c:idx val="3"/>
          <c:order val="3"/>
          <c:tx>
            <c:v>Прямая себестоимости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'4.2-4.4'!$B$161:$B$163</c:f>
              <c:numCache>
                <c:formatCode>General</c:formatCode>
                <c:ptCount val="3"/>
                <c:pt idx="0">
                  <c:v>0</c:v>
                </c:pt>
                <c:pt idx="1">
                  <c:v>8000</c:v>
                </c:pt>
                <c:pt idx="2">
                  <c:v>4213.8004487113712</c:v>
                </c:pt>
              </c:numCache>
            </c:numRef>
          </c:xVal>
          <c:yVal>
            <c:numRef>
              <c:f>'4.2-4.4'!$C$161:$C$163</c:f>
              <c:numCache>
                <c:formatCode>General</c:formatCode>
                <c:ptCount val="3"/>
                <c:pt idx="0">
                  <c:v>1331463.3787556186</c:v>
                </c:pt>
                <c:pt idx="1">
                  <c:v>3493687.3787556188</c:v>
                </c:pt>
                <c:pt idx="2">
                  <c:v>2470360.9364324305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F1-4199-91EF-E78F20CFF4A9}"/>
            </c:ext>
          </c:extLst>
        </c:ser>
        <c:ser>
          <c:idx val="4"/>
          <c:order val="4"/>
          <c:tx>
            <c:v>Точка безубыточности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'4.2-4.4'!$B$163</c:f>
              <c:numCache>
                <c:formatCode>General</c:formatCode>
                <c:ptCount val="1"/>
                <c:pt idx="0">
                  <c:v>4213.8004487113712</c:v>
                </c:pt>
              </c:numCache>
            </c:numRef>
          </c:xVal>
          <c:yVal>
            <c:numRef>
              <c:f>'4.2-4.4'!$C$163</c:f>
              <c:numCache>
                <c:formatCode>General</c:formatCode>
                <c:ptCount val="1"/>
                <c:pt idx="0">
                  <c:v>2470360.9364324305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F1-4199-91EF-E78F20CFF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334640"/>
        <c:axId val="1393345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'4.2-4.4'!$B$147:$B$156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'4.2-4.4'!$C$147:$C$156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500000</c:v>
                      </c:pt>
                      <c:pt idx="2">
                        <c:v>1000000</c:v>
                      </c:pt>
                      <c:pt idx="3">
                        <c:v>1500000</c:v>
                      </c:pt>
                      <c:pt idx="4">
                        <c:v>2000000</c:v>
                      </c:pt>
                      <c:pt idx="5">
                        <c:v>2500000</c:v>
                      </c:pt>
                      <c:pt idx="6">
                        <c:v>3000000</c:v>
                      </c:pt>
                      <c:pt idx="7">
                        <c:v>3500000</c:v>
                      </c:pt>
                      <c:pt idx="8">
                        <c:v>4000000</c:v>
                      </c:pt>
                      <c:pt idx="9">
                        <c:v>4500000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2F1-4199-91EF-E78F20CFF4A9}"/>
                  </c:ext>
                </c:extLst>
              </c15:ser>
            </c15:filteredScatterSeries>
          </c:ext>
        </c:extLst>
      </c:scatterChart>
      <c:valAx>
        <c:axId val="1393334640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 производства, шт.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3345040"/>
        <c:crosses val="autoZero"/>
        <c:crossBetween val="midCat"/>
      </c:valAx>
      <c:valAx>
        <c:axId val="1393345040"/>
        <c:scaling>
          <c:orientation val="minMax"/>
          <c:max val="4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333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4338916</xdr:colOff>
      <xdr:row>150</xdr:row>
      <xdr:rowOff>161365</xdr:rowOff>
    </xdr:from>
    <xdr:to>
      <xdr:col>0</xdr:col>
      <xdr:colOff>8910916</xdr:colOff>
      <xdr:row>166</xdr:row>
      <xdr:rowOff>35860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FDC04BA-C462-40BD-8567-904D5D716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2624418</xdr:colOff>
      <xdr:row>145</xdr:row>
      <xdr:rowOff>24372</xdr:rowOff>
    </xdr:from>
    <xdr:to>
      <xdr:col>4</xdr:col>
      <xdr:colOff>275665</xdr:colOff>
      <xdr:row>163</xdr:row>
      <xdr:rowOff>38659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B945D7A-58EC-4832-8115-C8B80647E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72;&#1076;&#1072;&#1095;&#1080;%20&#8212;%20&#1082;&#1086;&#1087;&#1080;&#1103;/4.2-4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ркуш1"/>
    </sheetNames>
    <sheetDataSet>
      <sheetData sheetId="0">
        <row r="145">
          <cell r="A145">
            <v>0</v>
          </cell>
          <cell r="B145">
            <v>0</v>
          </cell>
        </row>
        <row r="146">
          <cell r="A146">
            <v>571890.44334455009</v>
          </cell>
          <cell r="B146">
            <v>1000</v>
          </cell>
        </row>
        <row r="147">
          <cell r="A147">
            <v>2859452.2167227506</v>
          </cell>
          <cell r="B147">
            <v>5000</v>
          </cell>
        </row>
        <row r="150">
          <cell r="A150">
            <v>1254470.1763267883</v>
          </cell>
          <cell r="B150">
            <v>0</v>
          </cell>
        </row>
        <row r="151">
          <cell r="A151">
            <v>1795026.1763267883</v>
          </cell>
          <cell r="B151">
            <v>2000</v>
          </cell>
        </row>
        <row r="152">
          <cell r="A152">
            <v>2605860.176326788</v>
          </cell>
          <cell r="B152">
            <v>5000</v>
          </cell>
        </row>
        <row r="154">
          <cell r="A154">
            <v>1254470.1763267883</v>
          </cell>
          <cell r="B154">
            <v>0</v>
          </cell>
        </row>
        <row r="155">
          <cell r="A155">
            <v>1254470.1763267883</v>
          </cell>
          <cell r="B155">
            <v>1000</v>
          </cell>
        </row>
        <row r="156">
          <cell r="A156">
            <v>1254470.1763267883</v>
          </cell>
          <cell r="B156">
            <v>5000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1"/>
  <sheetViews>
    <sheetView topLeftCell="A52" zoomScale="90" zoomScaleNormal="90" workbookViewId="0">
      <selection activeCell="C79" sqref="C79"/>
    </sheetView>
  </sheetViews>
  <sheetFormatPr defaultColWidth="84.33203125" defaultRowHeight="14.4" x14ac:dyDescent="0.3"/>
  <cols>
    <col min="1" max="1" width="50.88671875" customWidth="1"/>
    <col min="2" max="2" width="29.88671875" customWidth="1"/>
    <col min="3" max="3" width="29.44140625" customWidth="1"/>
  </cols>
  <sheetData>
    <row r="1" spans="1:3" x14ac:dyDescent="0.3">
      <c r="A1" s="3" t="s">
        <v>67</v>
      </c>
      <c r="B1" s="3">
        <v>1</v>
      </c>
    </row>
    <row r="2" spans="1:3" x14ac:dyDescent="0.3">
      <c r="A2" s="1" t="s">
        <v>4</v>
      </c>
      <c r="B2" s="2">
        <v>2</v>
      </c>
    </row>
    <row r="3" spans="1:3" x14ac:dyDescent="0.3">
      <c r="A3" s="1" t="s">
        <v>5</v>
      </c>
      <c r="B3" s="2">
        <v>102</v>
      </c>
    </row>
    <row r="4" spans="1:3" x14ac:dyDescent="0.3">
      <c r="A4" s="1" t="s">
        <v>6</v>
      </c>
      <c r="B4" s="2">
        <v>168</v>
      </c>
    </row>
    <row r="5" spans="1:3" x14ac:dyDescent="0.3">
      <c r="A5" s="1" t="s">
        <v>7</v>
      </c>
      <c r="B5" s="2">
        <v>2.2999999999999998</v>
      </c>
    </row>
    <row r="6" spans="1:3" x14ac:dyDescent="0.3">
      <c r="A6" s="1" t="s">
        <v>8</v>
      </c>
      <c r="B6" s="2">
        <v>2</v>
      </c>
    </row>
    <row r="7" spans="1:3" x14ac:dyDescent="0.3">
      <c r="A7" s="1" t="s">
        <v>9</v>
      </c>
      <c r="B7" s="2">
        <v>1.1599999999999999</v>
      </c>
    </row>
    <row r="9" spans="1:3" x14ac:dyDescent="0.3">
      <c r="A9" t="s">
        <v>10</v>
      </c>
    </row>
    <row r="10" spans="1:3" x14ac:dyDescent="0.3">
      <c r="A10" s="3" t="s">
        <v>0</v>
      </c>
      <c r="B10" s="3" t="s">
        <v>2</v>
      </c>
      <c r="C10" s="3" t="s">
        <v>11</v>
      </c>
    </row>
    <row r="11" spans="1:3" x14ac:dyDescent="0.3">
      <c r="A11" s="19" t="s">
        <v>12</v>
      </c>
      <c r="B11" s="2">
        <v>150</v>
      </c>
      <c r="C11" s="2" t="s">
        <v>13</v>
      </c>
    </row>
    <row r="12" spans="1:3" x14ac:dyDescent="0.3">
      <c r="A12" s="19" t="s">
        <v>14</v>
      </c>
      <c r="B12" s="2">
        <f>B2</f>
        <v>2</v>
      </c>
      <c r="C12" s="2" t="s">
        <v>13</v>
      </c>
    </row>
    <row r="13" spans="1:3" x14ac:dyDescent="0.3">
      <c r="A13" s="19" t="s">
        <v>15</v>
      </c>
      <c r="B13" s="2">
        <f>B7</f>
        <v>1.1599999999999999</v>
      </c>
      <c r="C13" s="2" t="s">
        <v>266</v>
      </c>
    </row>
    <row r="14" spans="1:3" ht="28.8" x14ac:dyDescent="0.3">
      <c r="A14" s="19" t="s">
        <v>16</v>
      </c>
      <c r="B14" s="2">
        <v>1.1000000000000001</v>
      </c>
      <c r="C14" s="2" t="s">
        <v>13</v>
      </c>
    </row>
    <row r="15" spans="1:3" x14ac:dyDescent="0.3">
      <c r="A15" s="19" t="s">
        <v>263</v>
      </c>
      <c r="B15" s="2">
        <f>B11*B13*B14</f>
        <v>191.4</v>
      </c>
      <c r="C15" s="2" t="s">
        <v>276</v>
      </c>
    </row>
    <row r="16" spans="1:3" x14ac:dyDescent="0.3">
      <c r="A16" s="19" t="s">
        <v>17</v>
      </c>
      <c r="B16" s="2">
        <v>176</v>
      </c>
      <c r="C16" s="2" t="s">
        <v>13</v>
      </c>
    </row>
    <row r="17" spans="1:3" x14ac:dyDescent="0.3">
      <c r="A17" s="19" t="s">
        <v>264</v>
      </c>
      <c r="B17" s="2">
        <f>B15/B16</f>
        <v>1.0875000000000001</v>
      </c>
      <c r="C17" s="2" t="s">
        <v>272</v>
      </c>
    </row>
    <row r="18" spans="1:3" x14ac:dyDescent="0.3">
      <c r="A18" s="19" t="s">
        <v>18</v>
      </c>
      <c r="B18" s="2">
        <f>B5</f>
        <v>2.2999999999999998</v>
      </c>
      <c r="C18" s="2" t="s">
        <v>13</v>
      </c>
    </row>
    <row r="19" spans="1:3" x14ac:dyDescent="0.3">
      <c r="A19" s="19" t="s">
        <v>19</v>
      </c>
      <c r="B19" s="2">
        <f>B17*B18</f>
        <v>2.5012500000000002</v>
      </c>
      <c r="C19" s="2" t="s">
        <v>275</v>
      </c>
    </row>
    <row r="20" spans="1:3" x14ac:dyDescent="0.3">
      <c r="A20" s="19" t="s">
        <v>20</v>
      </c>
      <c r="B20" s="2">
        <f>B3</f>
        <v>102</v>
      </c>
      <c r="C20" s="2" t="s">
        <v>13</v>
      </c>
    </row>
    <row r="21" spans="1:3" x14ac:dyDescent="0.3">
      <c r="A21" s="19" t="s">
        <v>21</v>
      </c>
      <c r="B21" s="2">
        <f>B19*B20</f>
        <v>255.12750000000003</v>
      </c>
      <c r="C21" s="2" t="s">
        <v>274</v>
      </c>
    </row>
    <row r="23" spans="1:3" x14ac:dyDescent="0.3">
      <c r="A23" t="s">
        <v>22</v>
      </c>
    </row>
    <row r="24" spans="1:3" x14ac:dyDescent="0.3">
      <c r="A24" s="3" t="s">
        <v>0</v>
      </c>
      <c r="B24" s="3" t="s">
        <v>2</v>
      </c>
      <c r="C24" s="3" t="s">
        <v>11</v>
      </c>
    </row>
    <row r="25" spans="1:3" ht="28.8" x14ac:dyDescent="0.3">
      <c r="A25" s="19" t="s">
        <v>23</v>
      </c>
      <c r="B25" s="2">
        <f>B21</f>
        <v>255.12750000000003</v>
      </c>
      <c r="C25" s="2" t="s">
        <v>24</v>
      </c>
    </row>
    <row r="26" spans="1:3" x14ac:dyDescent="0.3">
      <c r="A26" s="19" t="s">
        <v>25</v>
      </c>
      <c r="B26" s="2">
        <v>176</v>
      </c>
      <c r="C26" s="2" t="s">
        <v>13</v>
      </c>
    </row>
    <row r="27" spans="1:3" x14ac:dyDescent="0.3">
      <c r="A27" s="19" t="s">
        <v>26</v>
      </c>
      <c r="B27" s="2">
        <f>B5</f>
        <v>2.2999999999999998</v>
      </c>
      <c r="C27" s="2" t="s">
        <v>13</v>
      </c>
    </row>
    <row r="28" spans="1:3" x14ac:dyDescent="0.3">
      <c r="A28" s="19" t="s">
        <v>27</v>
      </c>
      <c r="B28" s="2">
        <f>B26/B27</f>
        <v>76.521739130434796</v>
      </c>
      <c r="C28" s="2" t="s">
        <v>273</v>
      </c>
    </row>
    <row r="29" spans="1:3" x14ac:dyDescent="0.3">
      <c r="A29" s="19" t="s">
        <v>28</v>
      </c>
      <c r="B29" s="2">
        <f>B3</f>
        <v>102</v>
      </c>
      <c r="C29" s="2" t="s">
        <v>13</v>
      </c>
    </row>
    <row r="30" spans="1:3" x14ac:dyDescent="0.3">
      <c r="A30" s="19" t="s">
        <v>29</v>
      </c>
      <c r="B30" s="2">
        <f>B29/B28*100-100</f>
        <v>33.295454545454533</v>
      </c>
      <c r="C30" s="2" t="s">
        <v>30</v>
      </c>
    </row>
    <row r="31" spans="1:3" x14ac:dyDescent="0.3">
      <c r="A31" s="19" t="s">
        <v>31</v>
      </c>
      <c r="B31" s="2">
        <f>B30*0.5</f>
        <v>16.647727272727266</v>
      </c>
      <c r="C31" s="2" t="s">
        <v>32</v>
      </c>
    </row>
    <row r="32" spans="1:3" x14ac:dyDescent="0.3">
      <c r="A32" s="19" t="s">
        <v>33</v>
      </c>
      <c r="B32" s="2">
        <f>B25*B31/100</f>
        <v>42.472930397727261</v>
      </c>
      <c r="C32" s="2" t="s">
        <v>34</v>
      </c>
    </row>
    <row r="33" spans="1:3" x14ac:dyDescent="0.3">
      <c r="A33" s="19" t="s">
        <v>35</v>
      </c>
      <c r="B33" s="2">
        <f>B25+B32</f>
        <v>297.60043039772728</v>
      </c>
      <c r="C33" s="2" t="s">
        <v>36</v>
      </c>
    </row>
    <row r="35" spans="1:3" x14ac:dyDescent="0.3">
      <c r="A35" t="s">
        <v>37</v>
      </c>
    </row>
    <row r="36" spans="1:3" x14ac:dyDescent="0.3">
      <c r="A36" s="3" t="s">
        <v>0</v>
      </c>
      <c r="B36" s="3" t="s">
        <v>2</v>
      </c>
      <c r="C36" s="3" t="s">
        <v>11</v>
      </c>
    </row>
    <row r="37" spans="1:3" x14ac:dyDescent="0.3">
      <c r="A37" s="19" t="s">
        <v>38</v>
      </c>
      <c r="B37" s="2">
        <f>B19</f>
        <v>2.5012500000000002</v>
      </c>
      <c r="C37" s="2" t="s">
        <v>39</v>
      </c>
    </row>
    <row r="38" spans="1:3" x14ac:dyDescent="0.3">
      <c r="A38" s="19" t="s">
        <v>40</v>
      </c>
      <c r="B38" s="2">
        <f>B28</f>
        <v>76.521739130434796</v>
      </c>
      <c r="C38" s="2" t="s">
        <v>41</v>
      </c>
    </row>
    <row r="39" spans="1:3" ht="28.8" x14ac:dyDescent="0.3">
      <c r="A39" s="19" t="s">
        <v>42</v>
      </c>
      <c r="B39" s="2">
        <v>10</v>
      </c>
      <c r="C39" s="2" t="s">
        <v>43</v>
      </c>
    </row>
    <row r="40" spans="1:3" ht="43.2" x14ac:dyDescent="0.3">
      <c r="A40" s="19" t="s">
        <v>44</v>
      </c>
      <c r="B40" s="2">
        <f>ROUNDDOWN(B38*10%,0)</f>
        <v>7</v>
      </c>
      <c r="C40" s="2" t="s">
        <v>45</v>
      </c>
    </row>
    <row r="41" spans="1:3" x14ac:dyDescent="0.3">
      <c r="A41" s="19" t="s">
        <v>46</v>
      </c>
      <c r="B41" s="2">
        <f>SUM(B42:B47)</f>
        <v>297.32793750000002</v>
      </c>
      <c r="C41" s="2" t="s">
        <v>47</v>
      </c>
    </row>
    <row r="42" spans="1:3" x14ac:dyDescent="0.3">
      <c r="A42" s="19" t="s">
        <v>48</v>
      </c>
      <c r="B42" s="4">
        <f>B37*B38</f>
        <v>191.40000000000003</v>
      </c>
      <c r="C42" s="2" t="s">
        <v>49</v>
      </c>
    </row>
    <row r="43" spans="1:3" ht="28.8" x14ac:dyDescent="0.3">
      <c r="A43" s="19" t="s">
        <v>50</v>
      </c>
      <c r="B43" s="2">
        <f>B40*B37*1.05</f>
        <v>18.384187500000003</v>
      </c>
      <c r="C43" s="2" t="s">
        <v>51</v>
      </c>
    </row>
    <row r="44" spans="1:3" ht="28.8" x14ac:dyDescent="0.3">
      <c r="A44" s="19" t="s">
        <v>52</v>
      </c>
      <c r="B44" s="2">
        <f>B40*B37*1.1</f>
        <v>19.259625000000003</v>
      </c>
      <c r="C44" s="2" t="s">
        <v>53</v>
      </c>
    </row>
    <row r="45" spans="1:3" ht="28.8" x14ac:dyDescent="0.3">
      <c r="A45" s="19" t="s">
        <v>54</v>
      </c>
      <c r="B45" s="2">
        <f>B40*B37*1.2</f>
        <v>21.010500000000004</v>
      </c>
      <c r="C45" s="2" t="s">
        <v>269</v>
      </c>
    </row>
    <row r="46" spans="1:3" ht="28.8" x14ac:dyDescent="0.3">
      <c r="A46" s="19" t="s">
        <v>267</v>
      </c>
      <c r="B46" s="2">
        <f>B40*B37*1.3</f>
        <v>22.761375000000005</v>
      </c>
      <c r="C46" s="2" t="s">
        <v>270</v>
      </c>
    </row>
    <row r="47" spans="1:3" ht="28.8" x14ac:dyDescent="0.3">
      <c r="A47" s="19" t="s">
        <v>268</v>
      </c>
      <c r="B47" s="2">
        <f>B40*B37*1.4</f>
        <v>24.512250000000002</v>
      </c>
      <c r="C47" s="2" t="s">
        <v>271</v>
      </c>
    </row>
    <row r="49" spans="1:3" x14ac:dyDescent="0.3">
      <c r="A49" t="s">
        <v>55</v>
      </c>
    </row>
    <row r="50" spans="1:3" x14ac:dyDescent="0.3">
      <c r="A50" s="3" t="s">
        <v>0</v>
      </c>
      <c r="B50" s="3" t="s">
        <v>2</v>
      </c>
      <c r="C50" s="3" t="s">
        <v>11</v>
      </c>
    </row>
    <row r="51" spans="1:3" x14ac:dyDescent="0.3">
      <c r="A51" s="19" t="s">
        <v>12</v>
      </c>
      <c r="B51" s="2">
        <v>150</v>
      </c>
      <c r="C51" s="2" t="s">
        <v>13</v>
      </c>
    </row>
    <row r="52" spans="1:3" x14ac:dyDescent="0.3">
      <c r="A52" s="19" t="s">
        <v>14</v>
      </c>
      <c r="B52" s="2">
        <f>B2</f>
        <v>2</v>
      </c>
      <c r="C52" s="2" t="s">
        <v>13</v>
      </c>
    </row>
    <row r="53" spans="1:3" x14ac:dyDescent="0.3">
      <c r="A53" s="19" t="s">
        <v>15</v>
      </c>
      <c r="B53" s="2">
        <f>B7</f>
        <v>1.1599999999999999</v>
      </c>
      <c r="C53" s="2" t="s">
        <v>266</v>
      </c>
    </row>
    <row r="54" spans="1:3" ht="28.8" x14ac:dyDescent="0.3">
      <c r="A54" s="19" t="s">
        <v>16</v>
      </c>
      <c r="B54" s="2">
        <v>1.1000000000000001</v>
      </c>
      <c r="C54" s="2" t="s">
        <v>13</v>
      </c>
    </row>
    <row r="55" spans="1:3" x14ac:dyDescent="0.3">
      <c r="A55" s="19" t="s">
        <v>263</v>
      </c>
      <c r="B55" s="2">
        <f>B51*B53*B54</f>
        <v>191.4</v>
      </c>
      <c r="C55" s="2" t="s">
        <v>276</v>
      </c>
    </row>
    <row r="56" spans="1:3" x14ac:dyDescent="0.3">
      <c r="A56" s="19" t="s">
        <v>17</v>
      </c>
      <c r="B56" s="2">
        <v>176</v>
      </c>
      <c r="C56" s="2" t="s">
        <v>13</v>
      </c>
    </row>
    <row r="57" spans="1:3" x14ac:dyDescent="0.3">
      <c r="A57" s="19" t="s">
        <v>56</v>
      </c>
      <c r="B57" s="2">
        <f>B4</f>
        <v>168</v>
      </c>
      <c r="C57" s="2" t="s">
        <v>13</v>
      </c>
    </row>
    <row r="58" spans="1:3" x14ac:dyDescent="0.3">
      <c r="A58" s="19" t="s">
        <v>57</v>
      </c>
      <c r="B58" s="2">
        <f>B55*B57/B56</f>
        <v>182.70000000000002</v>
      </c>
      <c r="C58" s="2" t="s">
        <v>277</v>
      </c>
    </row>
    <row r="60" spans="1:3" x14ac:dyDescent="0.3">
      <c r="A60" t="s">
        <v>265</v>
      </c>
    </row>
    <row r="61" spans="1:3" x14ac:dyDescent="0.3">
      <c r="A61" s="3" t="s">
        <v>0</v>
      </c>
      <c r="B61" s="3" t="s">
        <v>2</v>
      </c>
      <c r="C61" s="3" t="s">
        <v>11</v>
      </c>
    </row>
    <row r="62" spans="1:3" x14ac:dyDescent="0.3">
      <c r="A62" s="19" t="s">
        <v>58</v>
      </c>
      <c r="B62" s="2">
        <f>B58</f>
        <v>182.70000000000002</v>
      </c>
      <c r="C62" s="2" t="s">
        <v>59</v>
      </c>
    </row>
    <row r="63" spans="1:3" x14ac:dyDescent="0.3">
      <c r="A63" s="19" t="s">
        <v>60</v>
      </c>
      <c r="B63" s="2">
        <v>30</v>
      </c>
      <c r="C63" s="2" t="s">
        <v>13</v>
      </c>
    </row>
    <row r="64" spans="1:3" x14ac:dyDescent="0.3">
      <c r="A64" s="19" t="s">
        <v>61</v>
      </c>
      <c r="B64" s="2">
        <f>B62*B63/100</f>
        <v>54.810000000000009</v>
      </c>
      <c r="C64" s="2" t="s">
        <v>62</v>
      </c>
    </row>
    <row r="65" spans="1:3" x14ac:dyDescent="0.3">
      <c r="A65" s="19" t="s">
        <v>63</v>
      </c>
      <c r="B65" s="2">
        <f>B62+B64</f>
        <v>237.51000000000002</v>
      </c>
      <c r="C65" s="2" t="s">
        <v>64</v>
      </c>
    </row>
    <row r="68" spans="1:3" ht="15.6" customHeight="1" x14ac:dyDescent="0.3">
      <c r="A68" s="27" t="s">
        <v>284</v>
      </c>
      <c r="B68" s="27"/>
      <c r="C68" s="27"/>
    </row>
    <row r="69" spans="1:3" ht="14.4" customHeight="1" x14ac:dyDescent="0.3">
      <c r="A69" s="27"/>
      <c r="B69" s="27"/>
      <c r="C69" s="27"/>
    </row>
    <row r="70" spans="1:3" ht="14.4" customHeight="1" x14ac:dyDescent="0.3">
      <c r="A70" s="27"/>
      <c r="B70" s="27"/>
      <c r="C70" s="27"/>
    </row>
    <row r="71" spans="1:3" x14ac:dyDescent="0.3">
      <c r="A71" s="27"/>
      <c r="B71" s="27"/>
      <c r="C71" s="27"/>
    </row>
  </sheetData>
  <mergeCells count="1">
    <mergeCell ref="A68:C71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94CB-AD19-4573-A092-002794F45A89}">
  <dimension ref="A1:I163"/>
  <sheetViews>
    <sheetView tabSelected="1" topLeftCell="A142" zoomScale="85" zoomScaleNormal="85" workbookViewId="0">
      <selection activeCell="L152" sqref="L152"/>
    </sheetView>
  </sheetViews>
  <sheetFormatPr defaultRowHeight="14.4" x14ac:dyDescent="0.3"/>
  <cols>
    <col min="1" max="1" width="47.6640625" style="6" customWidth="1"/>
    <col min="2" max="2" width="16.33203125" style="6" customWidth="1"/>
    <col min="3" max="3" width="25.33203125" style="6" customWidth="1"/>
    <col min="4" max="4" width="11.44140625" style="6" bestFit="1" customWidth="1"/>
    <col min="5" max="5" width="8.88671875" style="6"/>
    <col min="6" max="6" width="11.88671875" style="6" bestFit="1" customWidth="1"/>
    <col min="7" max="11" width="8.88671875" style="6"/>
    <col min="12" max="12" width="11.88671875" style="6" bestFit="1" customWidth="1"/>
    <col min="13" max="16384" width="8.88671875" style="6"/>
  </cols>
  <sheetData>
    <row r="1" spans="1:5" x14ac:dyDescent="0.3">
      <c r="A1" s="24" t="s">
        <v>65</v>
      </c>
      <c r="B1" s="5"/>
      <c r="C1" s="5"/>
      <c r="D1" s="5"/>
      <c r="E1" s="5"/>
    </row>
    <row r="2" spans="1:5" x14ac:dyDescent="0.3">
      <c r="A2" s="36" t="s">
        <v>0</v>
      </c>
      <c r="B2" s="36" t="s">
        <v>66</v>
      </c>
      <c r="C2" s="36"/>
      <c r="D2" s="36"/>
      <c r="E2" s="7" t="s">
        <v>67</v>
      </c>
    </row>
    <row r="3" spans="1:5" x14ac:dyDescent="0.3">
      <c r="A3" s="36"/>
      <c r="B3" s="8" t="s">
        <v>68</v>
      </c>
      <c r="C3" s="8" t="s">
        <v>69</v>
      </c>
      <c r="D3" s="8" t="s">
        <v>3</v>
      </c>
      <c r="E3" s="9">
        <v>1</v>
      </c>
    </row>
    <row r="4" spans="1:5" x14ac:dyDescent="0.3">
      <c r="A4" s="8">
        <v>1</v>
      </c>
      <c r="B4" s="8">
        <v>2</v>
      </c>
      <c r="C4" s="8">
        <v>3</v>
      </c>
      <c r="D4" s="8">
        <v>4</v>
      </c>
      <c r="E4" s="8">
        <v>5</v>
      </c>
    </row>
    <row r="5" spans="1:5" x14ac:dyDescent="0.3">
      <c r="A5" s="10" t="s">
        <v>70</v>
      </c>
      <c r="B5" s="11">
        <v>6.7</v>
      </c>
      <c r="C5" s="11">
        <v>7.1</v>
      </c>
      <c r="D5" s="11">
        <v>4.8</v>
      </c>
      <c r="E5" s="11"/>
    </row>
    <row r="6" spans="1:5" x14ac:dyDescent="0.3">
      <c r="A6" s="10" t="s">
        <v>71</v>
      </c>
      <c r="B6" s="11">
        <v>5</v>
      </c>
      <c r="C6" s="11">
        <v>6</v>
      </c>
      <c r="D6" s="11">
        <v>8</v>
      </c>
      <c r="E6" s="11"/>
    </row>
    <row r="7" spans="1:5" x14ac:dyDescent="0.3">
      <c r="A7" s="10" t="s">
        <v>72</v>
      </c>
      <c r="B7" s="11">
        <v>30</v>
      </c>
      <c r="C7" s="11">
        <v>40</v>
      </c>
      <c r="D7" s="11">
        <v>29</v>
      </c>
      <c r="E7" s="11"/>
    </row>
    <row r="8" spans="1:5" ht="28.8" x14ac:dyDescent="0.3">
      <c r="A8" s="10" t="s">
        <v>73</v>
      </c>
      <c r="B8" s="11">
        <v>115</v>
      </c>
      <c r="C8" s="11">
        <v>120</v>
      </c>
      <c r="D8" s="11">
        <v>105</v>
      </c>
      <c r="E8" s="11"/>
    </row>
    <row r="9" spans="1:5" x14ac:dyDescent="0.3">
      <c r="A9" s="10" t="s">
        <v>74</v>
      </c>
      <c r="B9" s="11">
        <v>0.25</v>
      </c>
      <c r="C9" s="11">
        <v>0.25</v>
      </c>
      <c r="D9" s="11">
        <v>0.25</v>
      </c>
      <c r="E9" s="11"/>
    </row>
    <row r="10" spans="1:5" ht="28.8" x14ac:dyDescent="0.3">
      <c r="A10" s="10" t="s">
        <v>75</v>
      </c>
      <c r="B10" s="11">
        <v>68</v>
      </c>
      <c r="C10" s="11">
        <v>59</v>
      </c>
      <c r="D10" s="11">
        <v>82</v>
      </c>
      <c r="E10" s="11"/>
    </row>
    <row r="11" spans="1:5" x14ac:dyDescent="0.3">
      <c r="A11" s="10" t="s">
        <v>76</v>
      </c>
      <c r="B11" s="11"/>
      <c r="C11" s="11"/>
      <c r="D11" s="11"/>
      <c r="E11" s="11">
        <v>97</v>
      </c>
    </row>
    <row r="12" spans="1:5" ht="28.8" x14ac:dyDescent="0.3">
      <c r="A12" s="10" t="s">
        <v>77</v>
      </c>
      <c r="B12" s="11"/>
      <c r="C12" s="11"/>
      <c r="D12" s="11"/>
      <c r="E12" s="11">
        <v>1900</v>
      </c>
    </row>
    <row r="13" spans="1:5" ht="28.8" x14ac:dyDescent="0.3">
      <c r="A13" s="10" t="s">
        <v>78</v>
      </c>
      <c r="B13" s="11"/>
      <c r="C13" s="11"/>
      <c r="D13" s="11"/>
      <c r="E13" s="11">
        <v>370</v>
      </c>
    </row>
    <row r="14" spans="1:5" ht="28.8" x14ac:dyDescent="0.3">
      <c r="A14" s="10" t="s">
        <v>79</v>
      </c>
      <c r="B14" s="11">
        <v>21</v>
      </c>
      <c r="C14" s="11">
        <v>19</v>
      </c>
      <c r="D14" s="11">
        <v>23</v>
      </c>
      <c r="E14" s="12"/>
    </row>
    <row r="15" spans="1:5" ht="28.8" x14ac:dyDescent="0.3">
      <c r="A15" s="10" t="s">
        <v>80</v>
      </c>
      <c r="B15" s="11">
        <v>114</v>
      </c>
      <c r="C15" s="11">
        <v>120</v>
      </c>
      <c r="D15" s="11">
        <v>103</v>
      </c>
      <c r="E15" s="12"/>
    </row>
    <row r="16" spans="1:5" ht="28.8" x14ac:dyDescent="0.3">
      <c r="A16" s="10" t="s">
        <v>81</v>
      </c>
      <c r="B16" s="11"/>
      <c r="C16" s="11"/>
      <c r="D16" s="11"/>
      <c r="E16" s="11">
        <v>3900</v>
      </c>
    </row>
    <row r="17" spans="1:5" x14ac:dyDescent="0.3">
      <c r="A17" s="10" t="s">
        <v>82</v>
      </c>
      <c r="B17" s="11"/>
      <c r="C17" s="11"/>
      <c r="D17" s="11"/>
      <c r="E17" s="11">
        <v>25</v>
      </c>
    </row>
    <row r="18" spans="1:5" ht="28.8" x14ac:dyDescent="0.3">
      <c r="A18" s="10" t="s">
        <v>83</v>
      </c>
      <c r="B18" s="11"/>
      <c r="C18" s="11"/>
      <c r="D18" s="11"/>
      <c r="E18" s="13">
        <v>1400</v>
      </c>
    </row>
    <row r="19" spans="1:5" x14ac:dyDescent="0.3">
      <c r="A19" s="10" t="s">
        <v>84</v>
      </c>
      <c r="B19" s="11"/>
      <c r="C19" s="11"/>
      <c r="D19" s="11"/>
      <c r="E19" s="13">
        <v>9</v>
      </c>
    </row>
    <row r="20" spans="1:5" ht="28.8" x14ac:dyDescent="0.3">
      <c r="A20" s="10" t="s">
        <v>85</v>
      </c>
      <c r="B20" s="11"/>
      <c r="C20" s="11"/>
      <c r="D20" s="11"/>
      <c r="E20" s="11">
        <v>120</v>
      </c>
    </row>
    <row r="21" spans="1:5" x14ac:dyDescent="0.3">
      <c r="A21" s="10" t="s">
        <v>86</v>
      </c>
      <c r="B21" s="11"/>
      <c r="C21" s="11"/>
      <c r="D21" s="11"/>
      <c r="E21" s="11">
        <v>11.3</v>
      </c>
    </row>
    <row r="22" spans="1:5" ht="28.8" x14ac:dyDescent="0.3">
      <c r="A22" s="10" t="s">
        <v>87</v>
      </c>
      <c r="B22" s="11"/>
      <c r="C22" s="11"/>
      <c r="D22" s="11"/>
      <c r="E22" s="11">
        <v>18.100000000000001</v>
      </c>
    </row>
    <row r="23" spans="1:5" x14ac:dyDescent="0.3">
      <c r="A23" s="10" t="s">
        <v>88</v>
      </c>
      <c r="B23" s="11"/>
      <c r="C23" s="11"/>
      <c r="D23" s="11"/>
      <c r="E23" s="11">
        <v>4.8</v>
      </c>
    </row>
    <row r="24" spans="1:5" x14ac:dyDescent="0.3">
      <c r="A24" s="10" t="s">
        <v>89</v>
      </c>
      <c r="B24" s="11"/>
      <c r="C24" s="11"/>
      <c r="D24" s="11"/>
      <c r="E24" s="11">
        <v>8.6999999999999993</v>
      </c>
    </row>
    <row r="25" spans="1:5" x14ac:dyDescent="0.3">
      <c r="A25" s="10" t="s">
        <v>90</v>
      </c>
      <c r="B25" s="11"/>
      <c r="C25" s="11"/>
      <c r="D25" s="11"/>
      <c r="E25" s="11">
        <v>14.5</v>
      </c>
    </row>
    <row r="26" spans="1:5" x14ac:dyDescent="0.3">
      <c r="A26" s="10" t="s">
        <v>91</v>
      </c>
      <c r="B26" s="11"/>
      <c r="C26" s="11"/>
      <c r="D26" s="11"/>
      <c r="E26" s="11">
        <v>7.7</v>
      </c>
    </row>
    <row r="27" spans="1:5" ht="28.8" x14ac:dyDescent="0.3">
      <c r="A27" s="10" t="s">
        <v>92</v>
      </c>
      <c r="B27" s="11"/>
      <c r="C27" s="11"/>
      <c r="D27" s="11"/>
      <c r="E27" s="11">
        <v>11.3</v>
      </c>
    </row>
    <row r="28" spans="1:5" ht="28.8" x14ac:dyDescent="0.3">
      <c r="A28" s="10" t="s">
        <v>93</v>
      </c>
      <c r="B28" s="11"/>
      <c r="C28" s="11"/>
      <c r="D28" s="11"/>
      <c r="E28" s="11">
        <v>7.5</v>
      </c>
    </row>
    <row r="29" spans="1:5" ht="28.8" x14ac:dyDescent="0.3">
      <c r="A29" s="10" t="s">
        <v>94</v>
      </c>
      <c r="B29" s="11"/>
      <c r="C29" s="11"/>
      <c r="D29" s="11"/>
      <c r="E29" s="11">
        <v>20.2</v>
      </c>
    </row>
    <row r="30" spans="1:5" x14ac:dyDescent="0.3">
      <c r="A30" s="10" t="s">
        <v>95</v>
      </c>
      <c r="B30" s="11"/>
      <c r="C30" s="11"/>
      <c r="D30" s="11"/>
      <c r="E30" s="11">
        <v>7.2</v>
      </c>
    </row>
    <row r="33" spans="1:3" x14ac:dyDescent="0.3">
      <c r="A33" s="6" t="s">
        <v>96</v>
      </c>
    </row>
    <row r="34" spans="1:3" x14ac:dyDescent="0.3">
      <c r="A34" s="8" t="s">
        <v>97</v>
      </c>
      <c r="B34" s="8" t="s">
        <v>98</v>
      </c>
      <c r="C34" s="8" t="s">
        <v>99</v>
      </c>
    </row>
    <row r="35" spans="1:3" x14ac:dyDescent="0.3">
      <c r="A35" s="36" t="s">
        <v>100</v>
      </c>
      <c r="B35" s="36"/>
      <c r="C35" s="36"/>
    </row>
    <row r="36" spans="1:3" ht="76.2" customHeight="1" x14ac:dyDescent="0.3">
      <c r="A36" s="14" t="s">
        <v>101</v>
      </c>
      <c r="B36" s="15">
        <f>(B5*B6*B7+C5*C6*C7+D5*D6*D7)</f>
        <v>3822.6</v>
      </c>
      <c r="C36" s="15" t="s">
        <v>102</v>
      </c>
    </row>
    <row r="37" spans="1:3" ht="57.6" x14ac:dyDescent="0.3">
      <c r="A37" s="14" t="s">
        <v>103</v>
      </c>
      <c r="B37" s="15">
        <f>(B5*B8*B9+C5*C8*C9+D5*D8*D9)</f>
        <v>531.625</v>
      </c>
      <c r="C37" s="15" t="s">
        <v>104</v>
      </c>
    </row>
    <row r="38" spans="1:3" ht="28.8" x14ac:dyDescent="0.3">
      <c r="A38" s="14" t="s">
        <v>105</v>
      </c>
      <c r="B38" s="15">
        <f>E27</f>
        <v>11.3</v>
      </c>
      <c r="C38" s="15" t="s">
        <v>106</v>
      </c>
    </row>
    <row r="39" spans="1:3" ht="28.8" x14ac:dyDescent="0.3">
      <c r="A39" s="14" t="s">
        <v>107</v>
      </c>
      <c r="B39" s="15">
        <f>E29</f>
        <v>20.2</v>
      </c>
      <c r="C39" s="15" t="s">
        <v>108</v>
      </c>
    </row>
    <row r="40" spans="1:3" x14ac:dyDescent="0.3">
      <c r="A40" s="14" t="s">
        <v>109</v>
      </c>
      <c r="B40" s="15">
        <f>E30</f>
        <v>7.2</v>
      </c>
      <c r="C40" s="15" t="s">
        <v>110</v>
      </c>
    </row>
    <row r="41" spans="1:3" ht="28.8" x14ac:dyDescent="0.3">
      <c r="A41" s="16" t="s">
        <v>111</v>
      </c>
      <c r="B41" s="8">
        <f>SUM(B36:B40)</f>
        <v>4392.9250000000002</v>
      </c>
      <c r="C41" s="8" t="s">
        <v>112</v>
      </c>
    </row>
    <row r="42" spans="1:3" x14ac:dyDescent="0.3">
      <c r="A42" s="32" t="s">
        <v>113</v>
      </c>
      <c r="B42" s="33"/>
      <c r="C42" s="34"/>
    </row>
    <row r="43" spans="1:3" ht="43.2" x14ac:dyDescent="0.3">
      <c r="A43" s="14" t="s">
        <v>114</v>
      </c>
      <c r="B43" s="15">
        <f>B5*B10+C5*C10+D5*D10</f>
        <v>1268.0999999999999</v>
      </c>
      <c r="C43" s="15" t="s">
        <v>115</v>
      </c>
    </row>
    <row r="44" spans="1:3" x14ac:dyDescent="0.3">
      <c r="A44" s="14" t="s">
        <v>116</v>
      </c>
      <c r="B44" s="15">
        <f>E11</f>
        <v>97</v>
      </c>
      <c r="C44" s="15" t="s">
        <v>117</v>
      </c>
    </row>
    <row r="45" spans="1:3" ht="28.8" x14ac:dyDescent="0.3">
      <c r="A45" s="14" t="s">
        <v>118</v>
      </c>
      <c r="B45" s="15">
        <f>E12</f>
        <v>1900</v>
      </c>
      <c r="C45" s="15" t="s">
        <v>119</v>
      </c>
    </row>
    <row r="46" spans="1:3" ht="28.8" x14ac:dyDescent="0.3">
      <c r="A46" s="14" t="s">
        <v>120</v>
      </c>
      <c r="B46" s="15">
        <f>E13</f>
        <v>370</v>
      </c>
      <c r="C46" s="15" t="s">
        <v>121</v>
      </c>
    </row>
    <row r="47" spans="1:3" ht="28.8" x14ac:dyDescent="0.3">
      <c r="A47" s="16" t="s">
        <v>122</v>
      </c>
      <c r="B47" s="8">
        <f>SUM(B43:B46)</f>
        <v>3635.1</v>
      </c>
      <c r="C47" s="8" t="s">
        <v>123</v>
      </c>
    </row>
    <row r="48" spans="1:3" x14ac:dyDescent="0.3">
      <c r="A48" s="32" t="s">
        <v>124</v>
      </c>
      <c r="B48" s="33"/>
      <c r="C48" s="34"/>
    </row>
    <row r="49" spans="1:3" ht="57.6" x14ac:dyDescent="0.3">
      <c r="A49" s="14" t="s">
        <v>125</v>
      </c>
      <c r="B49" s="15">
        <f>B47*34.6/100</f>
        <v>1257.7446</v>
      </c>
      <c r="C49" s="15" t="s">
        <v>126</v>
      </c>
    </row>
    <row r="50" spans="1:3" x14ac:dyDescent="0.3">
      <c r="A50" s="16" t="s">
        <v>127</v>
      </c>
      <c r="B50" s="8">
        <f>B49</f>
        <v>1257.7446</v>
      </c>
      <c r="C50" s="8" t="s">
        <v>128</v>
      </c>
    </row>
    <row r="51" spans="1:3" x14ac:dyDescent="0.3">
      <c r="A51" s="32" t="s">
        <v>129</v>
      </c>
      <c r="B51" s="33"/>
      <c r="C51" s="34"/>
    </row>
    <row r="52" spans="1:3" ht="28.8" x14ac:dyDescent="0.3">
      <c r="A52" s="14" t="s">
        <v>130</v>
      </c>
      <c r="B52" s="15">
        <f>E16/E17</f>
        <v>156</v>
      </c>
      <c r="C52" s="15" t="s">
        <v>131</v>
      </c>
    </row>
    <row r="53" spans="1:3" ht="28.8" x14ac:dyDescent="0.3">
      <c r="A53" s="14" t="s">
        <v>132</v>
      </c>
      <c r="B53" s="15">
        <f>E18*E19/100</f>
        <v>126</v>
      </c>
      <c r="C53" s="15" t="s">
        <v>133</v>
      </c>
    </row>
    <row r="54" spans="1:3" ht="28.8" x14ac:dyDescent="0.3">
      <c r="A54" s="14" t="s">
        <v>134</v>
      </c>
      <c r="B54" s="15">
        <f>E20</f>
        <v>120</v>
      </c>
      <c r="C54" s="15" t="s">
        <v>135</v>
      </c>
    </row>
    <row r="55" spans="1:3" x14ac:dyDescent="0.3">
      <c r="A55" s="16" t="s">
        <v>136</v>
      </c>
      <c r="B55" s="8">
        <f>SUM(B52:B54)</f>
        <v>402</v>
      </c>
      <c r="C55" s="8" t="s">
        <v>137</v>
      </c>
    </row>
    <row r="56" spans="1:3" x14ac:dyDescent="0.3">
      <c r="A56" s="32" t="s">
        <v>138</v>
      </c>
      <c r="B56" s="33"/>
      <c r="C56" s="34"/>
    </row>
    <row r="57" spans="1:3" ht="57.6" x14ac:dyDescent="0.3">
      <c r="A57" s="10" t="s">
        <v>139</v>
      </c>
      <c r="B57" s="15">
        <f>(B14*B15+C14*C15+D14*D15)/1000</f>
        <v>7.0430000000000001</v>
      </c>
      <c r="C57" s="10" t="s">
        <v>140</v>
      </c>
    </row>
    <row r="58" spans="1:3" x14ac:dyDescent="0.3">
      <c r="A58" s="10" t="s">
        <v>141</v>
      </c>
      <c r="B58" s="15">
        <f>E21</f>
        <v>11.3</v>
      </c>
      <c r="C58" s="10" t="s">
        <v>142</v>
      </c>
    </row>
    <row r="59" spans="1:3" ht="28.8" x14ac:dyDescent="0.3">
      <c r="A59" s="10" t="s">
        <v>143</v>
      </c>
      <c r="B59" s="15">
        <f t="shared" ref="B59:B62" si="0">E22</f>
        <v>18.100000000000001</v>
      </c>
      <c r="C59" s="10" t="s">
        <v>144</v>
      </c>
    </row>
    <row r="60" spans="1:3" x14ac:dyDescent="0.3">
      <c r="A60" s="10" t="s">
        <v>145</v>
      </c>
      <c r="B60" s="15">
        <f t="shared" si="0"/>
        <v>4.8</v>
      </c>
      <c r="C60" s="10" t="s">
        <v>146</v>
      </c>
    </row>
    <row r="61" spans="1:3" x14ac:dyDescent="0.3">
      <c r="A61" s="10" t="s">
        <v>147</v>
      </c>
      <c r="B61" s="15">
        <f t="shared" si="0"/>
        <v>8.6999999999999993</v>
      </c>
      <c r="C61" s="10" t="s">
        <v>148</v>
      </c>
    </row>
    <row r="62" spans="1:3" x14ac:dyDescent="0.3">
      <c r="A62" s="10" t="s">
        <v>149</v>
      </c>
      <c r="B62" s="15">
        <f t="shared" si="0"/>
        <v>14.5</v>
      </c>
      <c r="C62" s="10" t="s">
        <v>150</v>
      </c>
    </row>
    <row r="63" spans="1:3" x14ac:dyDescent="0.3">
      <c r="A63" s="10" t="s">
        <v>151</v>
      </c>
      <c r="B63" s="15">
        <f>E26</f>
        <v>7.7</v>
      </c>
      <c r="C63" s="10" t="s">
        <v>152</v>
      </c>
    </row>
    <row r="64" spans="1:3" ht="28.8" x14ac:dyDescent="0.3">
      <c r="A64" s="10" t="s">
        <v>153</v>
      </c>
      <c r="B64" s="15">
        <f>E28</f>
        <v>7.5</v>
      </c>
      <c r="C64" s="10" t="s">
        <v>154</v>
      </c>
    </row>
    <row r="65" spans="1:9" ht="28.2" customHeight="1" x14ac:dyDescent="0.3">
      <c r="A65" s="17" t="s">
        <v>155</v>
      </c>
      <c r="B65" s="8">
        <f>SUM(B57:B64)</f>
        <v>79.643000000000001</v>
      </c>
      <c r="C65" s="17" t="s">
        <v>156</v>
      </c>
    </row>
    <row r="66" spans="1:9" ht="28.8" x14ac:dyDescent="0.3">
      <c r="A66" s="17" t="s">
        <v>157</v>
      </c>
      <c r="B66" s="8">
        <f>B41+B47+B50+B55+B65</f>
        <v>9767.4125999999997</v>
      </c>
      <c r="C66" s="17" t="s">
        <v>158</v>
      </c>
    </row>
    <row r="67" spans="1:9" x14ac:dyDescent="0.3">
      <c r="A67" s="25"/>
      <c r="B67" s="26"/>
      <c r="C67" s="25"/>
    </row>
    <row r="68" spans="1:9" x14ac:dyDescent="0.3">
      <c r="A68" s="18" t="s">
        <v>159</v>
      </c>
      <c r="B68" s="18"/>
      <c r="C68" s="18"/>
    </row>
    <row r="69" spans="1:9" ht="14.4" customHeight="1" x14ac:dyDescent="0.3">
      <c r="A69" s="8" t="s">
        <v>97</v>
      </c>
      <c r="B69" s="8" t="s">
        <v>98</v>
      </c>
      <c r="C69" s="8" t="s">
        <v>99</v>
      </c>
      <c r="E69" s="30" t="s">
        <v>286</v>
      </c>
      <c r="F69" s="30"/>
      <c r="G69" s="30"/>
      <c r="H69" s="30"/>
      <c r="I69" s="30"/>
    </row>
    <row r="70" spans="1:9" x14ac:dyDescent="0.3">
      <c r="A70" s="19" t="s">
        <v>160</v>
      </c>
      <c r="B70" s="20">
        <f>B41/B66*100</f>
        <v>44.975319257015926</v>
      </c>
      <c r="C70" s="20" t="s">
        <v>161</v>
      </c>
      <c r="E70" s="30"/>
      <c r="F70" s="30"/>
      <c r="G70" s="30"/>
      <c r="H70" s="30"/>
      <c r="I70" s="30"/>
    </row>
    <row r="71" spans="1:9" ht="14.4" customHeight="1" x14ac:dyDescent="0.3">
      <c r="A71" s="19" t="s">
        <v>113</v>
      </c>
      <c r="B71" s="20">
        <f>B47/B66*100</f>
        <v>37.216611490334707</v>
      </c>
      <c r="C71" s="20" t="s">
        <v>162</v>
      </c>
      <c r="E71" s="30"/>
      <c r="F71" s="30"/>
      <c r="G71" s="30"/>
      <c r="H71" s="30"/>
      <c r="I71" s="30"/>
    </row>
    <row r="72" spans="1:9" ht="14.4" customHeight="1" x14ac:dyDescent="0.3">
      <c r="A72" s="19" t="s">
        <v>124</v>
      </c>
      <c r="B72" s="20">
        <f>B50/B66*100</f>
        <v>12.876947575655809</v>
      </c>
      <c r="C72" s="20" t="s">
        <v>163</v>
      </c>
      <c r="E72" s="30"/>
      <c r="F72" s="30"/>
      <c r="G72" s="30"/>
      <c r="H72" s="30"/>
      <c r="I72" s="30"/>
    </row>
    <row r="73" spans="1:9" ht="28.8" x14ac:dyDescent="0.3">
      <c r="A73" s="19" t="s">
        <v>164</v>
      </c>
      <c r="B73" s="20">
        <f>B55/B66*100</f>
        <v>4.1157266152553031</v>
      </c>
      <c r="C73" s="20" t="s">
        <v>165</v>
      </c>
      <c r="E73" s="30"/>
      <c r="F73" s="30"/>
      <c r="G73" s="30"/>
      <c r="H73" s="30"/>
      <c r="I73" s="30"/>
    </row>
    <row r="74" spans="1:9" x14ac:dyDescent="0.3">
      <c r="A74" s="19" t="s">
        <v>166</v>
      </c>
      <c r="B74" s="20">
        <f>B65/B66*100</f>
        <v>0.81539506173825416</v>
      </c>
      <c r="C74" s="20" t="s">
        <v>167</v>
      </c>
      <c r="E74" s="30"/>
      <c r="F74" s="30"/>
      <c r="G74" s="30"/>
      <c r="H74" s="30"/>
      <c r="I74" s="30"/>
    </row>
    <row r="75" spans="1:9" x14ac:dyDescent="0.3">
      <c r="A75" s="19" t="s">
        <v>168</v>
      </c>
      <c r="B75" s="20">
        <f>SUM(B70:B74)</f>
        <v>99.999999999999986</v>
      </c>
      <c r="C75" s="20" t="s">
        <v>169</v>
      </c>
      <c r="E75" s="30"/>
      <c r="F75" s="30"/>
      <c r="G75" s="30"/>
      <c r="H75" s="30"/>
      <c r="I75" s="30"/>
    </row>
    <row r="77" spans="1:9" ht="15.6" x14ac:dyDescent="0.3">
      <c r="A77" s="21" t="s">
        <v>279</v>
      </c>
    </row>
    <row r="78" spans="1:9" x14ac:dyDescent="0.3">
      <c r="A78" s="6" t="s">
        <v>170</v>
      </c>
    </row>
    <row r="79" spans="1:9" x14ac:dyDescent="0.3">
      <c r="A79" s="9" t="s">
        <v>171</v>
      </c>
      <c r="B79" s="9" t="s">
        <v>2</v>
      </c>
      <c r="C79" s="9" t="s">
        <v>1</v>
      </c>
    </row>
    <row r="80" spans="1:9" ht="28.8" x14ac:dyDescent="0.3">
      <c r="A80" s="19" t="s">
        <v>172</v>
      </c>
      <c r="B80" s="20">
        <f>B6*B7</f>
        <v>150</v>
      </c>
      <c r="C80" s="20" t="s">
        <v>173</v>
      </c>
    </row>
    <row r="81" spans="1:6" ht="28.8" x14ac:dyDescent="0.3">
      <c r="A81" s="19" t="s">
        <v>174</v>
      </c>
      <c r="B81" s="20">
        <f>B8*B9</f>
        <v>28.75</v>
      </c>
      <c r="C81" s="20" t="s">
        <v>175</v>
      </c>
    </row>
    <row r="82" spans="1:6" ht="28.8" x14ac:dyDescent="0.3">
      <c r="A82" s="19" t="s">
        <v>176</v>
      </c>
      <c r="B82" s="20">
        <f>B10</f>
        <v>68</v>
      </c>
      <c r="C82" s="20" t="s">
        <v>177</v>
      </c>
    </row>
    <row r="83" spans="1:6" x14ac:dyDescent="0.3">
      <c r="A83" s="19" t="s">
        <v>178</v>
      </c>
      <c r="B83" s="20">
        <f>B82*34.6/100</f>
        <v>23.528000000000002</v>
      </c>
      <c r="C83" s="20" t="s">
        <v>179</v>
      </c>
    </row>
    <row r="84" spans="1:6" ht="60.6" customHeight="1" x14ac:dyDescent="0.3">
      <c r="A84" s="19" t="s">
        <v>180</v>
      </c>
      <c r="B84" s="20">
        <f>B14*B15/B5/1000+(B53*F85*1000)/B5/1000</f>
        <v>7.1138783725093493</v>
      </c>
      <c r="C84" s="20" t="s">
        <v>181</v>
      </c>
      <c r="E84" s="31" t="s">
        <v>281</v>
      </c>
      <c r="F84" s="31"/>
    </row>
    <row r="85" spans="1:6" ht="28.8" x14ac:dyDescent="0.3">
      <c r="A85" s="19" t="s">
        <v>182</v>
      </c>
      <c r="B85" s="20">
        <f>B96*F85/B5</f>
        <v>35.395927765949054</v>
      </c>
      <c r="C85" s="20" t="s">
        <v>183</v>
      </c>
      <c r="E85" s="19" t="s">
        <v>280</v>
      </c>
      <c r="F85" s="19">
        <f>(B5*B10)/B43</f>
        <v>0.3592776594905765</v>
      </c>
    </row>
    <row r="86" spans="1:6" ht="28.8" x14ac:dyDescent="0.3">
      <c r="A86" s="19" t="s">
        <v>184</v>
      </c>
      <c r="B86" s="20">
        <f>B107*F85/B5</f>
        <v>154.15692768709093</v>
      </c>
      <c r="C86" s="20" t="s">
        <v>185</v>
      </c>
    </row>
    <row r="87" spans="1:6" ht="28.8" x14ac:dyDescent="0.3">
      <c r="A87" s="19" t="s">
        <v>186</v>
      </c>
      <c r="B87" s="20">
        <f>B115*F85/B5</f>
        <v>2.0591436006624084</v>
      </c>
      <c r="C87" s="20" t="s">
        <v>187</v>
      </c>
    </row>
    <row r="88" spans="1:6" ht="28.8" x14ac:dyDescent="0.3">
      <c r="A88" s="19" t="s">
        <v>188</v>
      </c>
      <c r="B88" s="20">
        <f>SUM(B80:B87)</f>
        <v>469.00387742621183</v>
      </c>
      <c r="C88" s="20" t="s">
        <v>189</v>
      </c>
    </row>
    <row r="90" spans="1:6" x14ac:dyDescent="0.3">
      <c r="A90" s="6" t="s">
        <v>190</v>
      </c>
    </row>
    <row r="91" spans="1:6" x14ac:dyDescent="0.3">
      <c r="A91" s="9" t="s">
        <v>171</v>
      </c>
      <c r="B91" s="9" t="s">
        <v>2</v>
      </c>
      <c r="C91" s="9" t="s">
        <v>1</v>
      </c>
    </row>
    <row r="92" spans="1:6" ht="28.8" x14ac:dyDescent="0.3">
      <c r="A92" s="19" t="s">
        <v>191</v>
      </c>
      <c r="B92" s="19">
        <f>E11*((100+34.6)/100)</f>
        <v>130.56199999999998</v>
      </c>
      <c r="C92" s="20" t="s">
        <v>192</v>
      </c>
    </row>
    <row r="93" spans="1:6" ht="43.2" x14ac:dyDescent="0.3">
      <c r="A93" s="19" t="s">
        <v>193</v>
      </c>
      <c r="B93" s="19">
        <f>E13*((100+34.6)/100)</f>
        <v>498.01999999999992</v>
      </c>
      <c r="C93" s="20" t="s">
        <v>194</v>
      </c>
    </row>
    <row r="94" spans="1:6" ht="28.8" x14ac:dyDescent="0.3">
      <c r="A94" s="19" t="s">
        <v>195</v>
      </c>
      <c r="B94" s="19">
        <f>E27</f>
        <v>11.3</v>
      </c>
      <c r="C94" s="20" t="s">
        <v>196</v>
      </c>
    </row>
    <row r="95" spans="1:6" ht="28.8" x14ac:dyDescent="0.3">
      <c r="A95" s="19" t="s">
        <v>197</v>
      </c>
      <c r="B95" s="19">
        <f>E29</f>
        <v>20.2</v>
      </c>
      <c r="C95" s="20" t="s">
        <v>198</v>
      </c>
    </row>
    <row r="96" spans="1:6" x14ac:dyDescent="0.3">
      <c r="A96" s="19" t="s">
        <v>199</v>
      </c>
      <c r="B96" s="19">
        <f>SUM(B92:B95)</f>
        <v>660.08199999999988</v>
      </c>
      <c r="C96" s="20" t="s">
        <v>200</v>
      </c>
    </row>
    <row r="98" spans="1:3" x14ac:dyDescent="0.3">
      <c r="A98" s="6" t="s">
        <v>201</v>
      </c>
    </row>
    <row r="99" spans="1:3" x14ac:dyDescent="0.3">
      <c r="A99" s="9" t="s">
        <v>171</v>
      </c>
      <c r="B99" s="9" t="s">
        <v>2</v>
      </c>
      <c r="C99" s="9" t="s">
        <v>1</v>
      </c>
    </row>
    <row r="100" spans="1:3" ht="43.2" x14ac:dyDescent="0.3">
      <c r="A100" s="19" t="s">
        <v>202</v>
      </c>
      <c r="B100" s="20">
        <f>E12*((100+34.6)/100)</f>
        <v>2557.3999999999996</v>
      </c>
      <c r="C100" s="20" t="s">
        <v>203</v>
      </c>
    </row>
    <row r="101" spans="1:3" ht="28.8" x14ac:dyDescent="0.3">
      <c r="A101" s="19" t="s">
        <v>204</v>
      </c>
      <c r="B101" s="20">
        <f>B52</f>
        <v>156</v>
      </c>
      <c r="C101" s="20" t="s">
        <v>205</v>
      </c>
    </row>
    <row r="102" spans="1:3" ht="28.8" x14ac:dyDescent="0.3">
      <c r="A102" s="19" t="s">
        <v>206</v>
      </c>
      <c r="B102" s="20">
        <f>B54</f>
        <v>120</v>
      </c>
      <c r="C102" s="20" t="s">
        <v>207</v>
      </c>
    </row>
    <row r="103" spans="1:3" x14ac:dyDescent="0.3">
      <c r="A103" s="19" t="s">
        <v>208</v>
      </c>
      <c r="B103" s="20">
        <f>E21</f>
        <v>11.3</v>
      </c>
      <c r="C103" s="20" t="s">
        <v>209</v>
      </c>
    </row>
    <row r="104" spans="1:3" ht="28.8" x14ac:dyDescent="0.3">
      <c r="A104" s="19" t="s">
        <v>210</v>
      </c>
      <c r="B104" s="20">
        <f>E22</f>
        <v>18.100000000000001</v>
      </c>
      <c r="C104" s="20" t="s">
        <v>211</v>
      </c>
    </row>
    <row r="105" spans="1:3" x14ac:dyDescent="0.3">
      <c r="A105" s="19" t="s">
        <v>212</v>
      </c>
      <c r="B105" s="20">
        <f>E23</f>
        <v>4.8</v>
      </c>
      <c r="C105" s="20" t="s">
        <v>213</v>
      </c>
    </row>
    <row r="106" spans="1:3" x14ac:dyDescent="0.3">
      <c r="A106" s="19" t="s">
        <v>214</v>
      </c>
      <c r="B106" s="20">
        <f>E30</f>
        <v>7.2</v>
      </c>
      <c r="C106" s="20" t="s">
        <v>215</v>
      </c>
    </row>
    <row r="107" spans="1:3" ht="28.8" x14ac:dyDescent="0.3">
      <c r="A107" s="19" t="s">
        <v>216</v>
      </c>
      <c r="B107" s="20">
        <f>SUM(B100:B106)</f>
        <v>2874.7999999999997</v>
      </c>
      <c r="C107" s="20" t="s">
        <v>217</v>
      </c>
    </row>
    <row r="109" spans="1:3" x14ac:dyDescent="0.3">
      <c r="A109" s="6" t="s">
        <v>218</v>
      </c>
    </row>
    <row r="110" spans="1:3" x14ac:dyDescent="0.3">
      <c r="A110" s="9" t="s">
        <v>171</v>
      </c>
      <c r="B110" s="9" t="s">
        <v>2</v>
      </c>
      <c r="C110" s="9" t="s">
        <v>1</v>
      </c>
    </row>
    <row r="111" spans="1:3" x14ac:dyDescent="0.3">
      <c r="A111" s="19" t="s">
        <v>219</v>
      </c>
      <c r="B111" s="20">
        <f>E24</f>
        <v>8.6999999999999993</v>
      </c>
      <c r="C111" s="20" t="s">
        <v>220</v>
      </c>
    </row>
    <row r="112" spans="1:3" x14ac:dyDescent="0.3">
      <c r="A112" s="19" t="s">
        <v>221</v>
      </c>
      <c r="B112" s="20">
        <f>E25</f>
        <v>14.5</v>
      </c>
      <c r="C112" s="20" t="s">
        <v>222</v>
      </c>
    </row>
    <row r="113" spans="1:3" x14ac:dyDescent="0.3">
      <c r="A113" s="19" t="s">
        <v>223</v>
      </c>
      <c r="B113" s="20">
        <f>E26</f>
        <v>7.7</v>
      </c>
      <c r="C113" s="20" t="s">
        <v>224</v>
      </c>
    </row>
    <row r="114" spans="1:3" ht="28.8" x14ac:dyDescent="0.3">
      <c r="A114" s="19" t="s">
        <v>225</v>
      </c>
      <c r="B114" s="20">
        <f>E28</f>
        <v>7.5</v>
      </c>
      <c r="C114" s="20" t="s">
        <v>226</v>
      </c>
    </row>
    <row r="115" spans="1:3" x14ac:dyDescent="0.3">
      <c r="A115" s="19" t="s">
        <v>227</v>
      </c>
      <c r="B115" s="20">
        <f>SUM(B111:B114)</f>
        <v>38.4</v>
      </c>
      <c r="C115" s="20" t="s">
        <v>200</v>
      </c>
    </row>
    <row r="117" spans="1:3" ht="15.6" x14ac:dyDescent="0.3">
      <c r="A117" s="21" t="s">
        <v>278</v>
      </c>
    </row>
    <row r="118" spans="1:3" x14ac:dyDescent="0.3">
      <c r="A118" s="6" t="s">
        <v>228</v>
      </c>
    </row>
    <row r="119" spans="1:3" x14ac:dyDescent="0.3">
      <c r="A119" s="9" t="s">
        <v>171</v>
      </c>
      <c r="B119" s="9" t="s">
        <v>2</v>
      </c>
      <c r="C119" s="9" t="s">
        <v>1</v>
      </c>
    </row>
    <row r="120" spans="1:3" x14ac:dyDescent="0.3">
      <c r="A120" s="35" t="s">
        <v>229</v>
      </c>
      <c r="B120" s="35"/>
      <c r="C120" s="35"/>
    </row>
    <row r="121" spans="1:3" x14ac:dyDescent="0.3">
      <c r="A121" s="19" t="s">
        <v>172</v>
      </c>
      <c r="B121" s="20">
        <f>B80</f>
        <v>150</v>
      </c>
      <c r="C121" s="20" t="s">
        <v>230</v>
      </c>
    </row>
    <row r="122" spans="1:3" x14ac:dyDescent="0.3">
      <c r="A122" s="19" t="s">
        <v>174</v>
      </c>
      <c r="B122" s="20">
        <f t="shared" ref="B122:B124" si="1">B81</f>
        <v>28.75</v>
      </c>
      <c r="C122" s="20" t="s">
        <v>231</v>
      </c>
    </row>
    <row r="123" spans="1:3" ht="28.8" x14ac:dyDescent="0.3">
      <c r="A123" s="19" t="s">
        <v>176</v>
      </c>
      <c r="B123" s="20">
        <f t="shared" si="1"/>
        <v>68</v>
      </c>
      <c r="C123" s="20" t="s">
        <v>232</v>
      </c>
    </row>
    <row r="124" spans="1:3" x14ac:dyDescent="0.3">
      <c r="A124" s="19" t="s">
        <v>178</v>
      </c>
      <c r="B124" s="20">
        <f t="shared" si="1"/>
        <v>23.528000000000002</v>
      </c>
      <c r="C124" s="20" t="s">
        <v>233</v>
      </c>
    </row>
    <row r="125" spans="1:3" x14ac:dyDescent="0.3">
      <c r="A125" s="22" t="s">
        <v>234</v>
      </c>
      <c r="B125" s="20">
        <f>SUM(B121:B124)</f>
        <v>270.27800000000002</v>
      </c>
      <c r="C125" s="20" t="s">
        <v>235</v>
      </c>
    </row>
    <row r="126" spans="1:3" x14ac:dyDescent="0.3">
      <c r="A126" s="35" t="s">
        <v>236</v>
      </c>
      <c r="B126" s="35"/>
      <c r="C126" s="35"/>
    </row>
    <row r="127" spans="1:3" ht="28.8" x14ac:dyDescent="0.3">
      <c r="A127" s="19" t="s">
        <v>237</v>
      </c>
      <c r="B127" s="20">
        <f>B84</f>
        <v>7.1138783725093493</v>
      </c>
      <c r="C127" s="20" t="s">
        <v>238</v>
      </c>
    </row>
    <row r="128" spans="1:3" x14ac:dyDescent="0.3">
      <c r="A128" s="19" t="s">
        <v>239</v>
      </c>
      <c r="B128" s="20">
        <f t="shared" ref="B128:B130" si="2">B85</f>
        <v>35.395927765949054</v>
      </c>
      <c r="C128" s="20" t="s">
        <v>240</v>
      </c>
    </row>
    <row r="129" spans="1:8" x14ac:dyDescent="0.3">
      <c r="A129" s="19" t="s">
        <v>241</v>
      </c>
      <c r="B129" s="20">
        <f t="shared" si="2"/>
        <v>154.15692768709093</v>
      </c>
      <c r="C129" s="20" t="s">
        <v>242</v>
      </c>
    </row>
    <row r="130" spans="1:8" x14ac:dyDescent="0.3">
      <c r="A130" s="19" t="s">
        <v>243</v>
      </c>
      <c r="B130" s="20">
        <f t="shared" si="2"/>
        <v>2.0591436006624084</v>
      </c>
      <c r="C130" s="20" t="s">
        <v>244</v>
      </c>
    </row>
    <row r="131" spans="1:8" x14ac:dyDescent="0.3">
      <c r="A131" s="17" t="s">
        <v>245</v>
      </c>
      <c r="B131" s="20">
        <f>SUM(B127:B130)</f>
        <v>198.72587742621172</v>
      </c>
      <c r="C131" s="20" t="s">
        <v>246</v>
      </c>
    </row>
    <row r="133" spans="1:8" x14ac:dyDescent="0.3">
      <c r="A133" s="6" t="s">
        <v>247</v>
      </c>
    </row>
    <row r="134" spans="1:8" x14ac:dyDescent="0.3">
      <c r="A134" s="9" t="s">
        <v>171</v>
      </c>
      <c r="B134" s="9" t="s">
        <v>2</v>
      </c>
      <c r="C134" s="9" t="s">
        <v>1</v>
      </c>
    </row>
    <row r="135" spans="1:8" x14ac:dyDescent="0.3">
      <c r="A135" s="19" t="s">
        <v>248</v>
      </c>
      <c r="B135" s="20">
        <f>B88</f>
        <v>469.00387742621183</v>
      </c>
      <c r="C135" s="20" t="s">
        <v>249</v>
      </c>
    </row>
    <row r="136" spans="1:8" x14ac:dyDescent="0.3">
      <c r="A136" s="19" t="s">
        <v>250</v>
      </c>
      <c r="B136" s="20">
        <v>25</v>
      </c>
      <c r="C136" s="20" t="s">
        <v>251</v>
      </c>
    </row>
    <row r="137" spans="1:8" x14ac:dyDescent="0.3">
      <c r="A137" s="19" t="s">
        <v>252</v>
      </c>
      <c r="B137" s="20">
        <f>B135*25/100</f>
        <v>117.25096935655296</v>
      </c>
      <c r="C137" s="20" t="s">
        <v>253</v>
      </c>
    </row>
    <row r="138" spans="1:8" x14ac:dyDescent="0.3">
      <c r="A138" s="19" t="s">
        <v>254</v>
      </c>
      <c r="B138" s="20">
        <f>B135+B137</f>
        <v>586.25484678276484</v>
      </c>
      <c r="C138" s="20" t="s">
        <v>64</v>
      </c>
    </row>
    <row r="139" spans="1:8" x14ac:dyDescent="0.3">
      <c r="A139" s="19" t="s">
        <v>255</v>
      </c>
      <c r="B139" s="20">
        <f>B5*1000</f>
        <v>6700</v>
      </c>
      <c r="C139" s="20" t="s">
        <v>256</v>
      </c>
    </row>
    <row r="140" spans="1:8" ht="28.8" x14ac:dyDescent="0.3">
      <c r="A140" s="19" t="s">
        <v>257</v>
      </c>
      <c r="B140" s="20">
        <f>B131*B139</f>
        <v>1331463.3787556186</v>
      </c>
      <c r="C140" s="20" t="s">
        <v>258</v>
      </c>
    </row>
    <row r="141" spans="1:8" x14ac:dyDescent="0.3">
      <c r="A141" s="19" t="s">
        <v>259</v>
      </c>
      <c r="B141" s="20">
        <f>B125</f>
        <v>270.27800000000002</v>
      </c>
      <c r="C141" s="20" t="s">
        <v>260</v>
      </c>
    </row>
    <row r="142" spans="1:8" ht="28.8" x14ac:dyDescent="0.3">
      <c r="A142" s="19" t="s">
        <v>261</v>
      </c>
      <c r="B142" s="20">
        <f>B140/(B138-B141)</f>
        <v>4213.8004487113712</v>
      </c>
      <c r="C142" s="20" t="s">
        <v>262</v>
      </c>
      <c r="E142" s="29" t="s">
        <v>285</v>
      </c>
      <c r="F142" s="29"/>
      <c r="G142" s="29"/>
      <c r="H142" s="29"/>
    </row>
    <row r="147" spans="1:4" x14ac:dyDescent="0.3">
      <c r="B147" s="6">
        <v>0</v>
      </c>
      <c r="C147" s="6">
        <v>0</v>
      </c>
      <c r="D147" s="6">
        <f>$B$140</f>
        <v>1331463.3787556186</v>
      </c>
    </row>
    <row r="148" spans="1:4" x14ac:dyDescent="0.3">
      <c r="B148" s="6">
        <v>1000</v>
      </c>
      <c r="C148" s="6">
        <v>500000</v>
      </c>
      <c r="D148" s="6">
        <f t="shared" ref="D148:D155" si="3">$B$140</f>
        <v>1331463.3787556186</v>
      </c>
    </row>
    <row r="149" spans="1:4" x14ac:dyDescent="0.3">
      <c r="A149" s="23"/>
      <c r="B149" s="6">
        <v>2000</v>
      </c>
      <c r="C149" s="6">
        <v>1000000</v>
      </c>
      <c r="D149" s="6">
        <f t="shared" si="3"/>
        <v>1331463.3787556186</v>
      </c>
    </row>
    <row r="150" spans="1:4" x14ac:dyDescent="0.3">
      <c r="B150" s="6">
        <v>3000</v>
      </c>
      <c r="C150" s="6">
        <v>1500000</v>
      </c>
      <c r="D150" s="6">
        <f t="shared" si="3"/>
        <v>1331463.3787556186</v>
      </c>
    </row>
    <row r="151" spans="1:4" x14ac:dyDescent="0.3">
      <c r="B151" s="6">
        <v>4000</v>
      </c>
      <c r="C151" s="6">
        <v>2000000</v>
      </c>
      <c r="D151" s="6">
        <f t="shared" si="3"/>
        <v>1331463.3787556186</v>
      </c>
    </row>
    <row r="152" spans="1:4" x14ac:dyDescent="0.3">
      <c r="B152" s="6">
        <v>5000</v>
      </c>
      <c r="C152" s="6">
        <v>2500000</v>
      </c>
      <c r="D152" s="6">
        <f t="shared" si="3"/>
        <v>1331463.3787556186</v>
      </c>
    </row>
    <row r="153" spans="1:4" x14ac:dyDescent="0.3">
      <c r="B153" s="6">
        <v>6000</v>
      </c>
      <c r="C153" s="6">
        <v>3000000</v>
      </c>
      <c r="D153" s="6">
        <f t="shared" si="3"/>
        <v>1331463.3787556186</v>
      </c>
    </row>
    <row r="154" spans="1:4" x14ac:dyDescent="0.3">
      <c r="B154" s="6">
        <v>7000</v>
      </c>
      <c r="C154" s="6">
        <v>3500000</v>
      </c>
      <c r="D154" s="6">
        <f>$B$140</f>
        <v>1331463.3787556186</v>
      </c>
    </row>
    <row r="155" spans="1:4" x14ac:dyDescent="0.3">
      <c r="B155" s="6">
        <v>8000</v>
      </c>
      <c r="C155" s="6">
        <v>4000000</v>
      </c>
      <c r="D155" s="6">
        <f t="shared" si="3"/>
        <v>1331463.3787556186</v>
      </c>
    </row>
    <row r="156" spans="1:4" x14ac:dyDescent="0.3">
      <c r="C156" s="6">
        <v>4500000</v>
      </c>
    </row>
    <row r="157" spans="1:4" x14ac:dyDescent="0.3">
      <c r="B157" s="28" t="s">
        <v>282</v>
      </c>
      <c r="C157" s="28"/>
    </row>
    <row r="158" spans="1:4" x14ac:dyDescent="0.3">
      <c r="B158" s="6">
        <v>0</v>
      </c>
      <c r="C158" s="6">
        <v>0</v>
      </c>
    </row>
    <row r="159" spans="1:4" x14ac:dyDescent="0.3">
      <c r="B159" s="6">
        <v>8000</v>
      </c>
      <c r="C159" s="6">
        <f>B159*B138</f>
        <v>4690038.7742621191</v>
      </c>
    </row>
    <row r="160" spans="1:4" x14ac:dyDescent="0.3">
      <c r="B160" s="28" t="s">
        <v>283</v>
      </c>
      <c r="C160" s="28"/>
    </row>
    <row r="161" spans="2:3" x14ac:dyDescent="0.3">
      <c r="B161" s="6">
        <v>0</v>
      </c>
      <c r="C161" s="6">
        <f>B140</f>
        <v>1331463.3787556186</v>
      </c>
    </row>
    <row r="162" spans="2:3" x14ac:dyDescent="0.3">
      <c r="B162" s="6">
        <v>8000</v>
      </c>
      <c r="C162" s="6">
        <f>B140+B162*B141</f>
        <v>3493687.3787556188</v>
      </c>
    </row>
    <row r="163" spans="2:3" x14ac:dyDescent="0.3">
      <c r="B163" s="6">
        <f>B142</f>
        <v>4213.8004487113712</v>
      </c>
      <c r="C163" s="6">
        <f>B140+B163*B141</f>
        <v>2470360.9364324305</v>
      </c>
    </row>
  </sheetData>
  <mergeCells count="14">
    <mergeCell ref="A56:C56"/>
    <mergeCell ref="A120:C120"/>
    <mergeCell ref="A126:C126"/>
    <mergeCell ref="A51:C51"/>
    <mergeCell ref="A2:A3"/>
    <mergeCell ref="B2:D2"/>
    <mergeCell ref="A35:C35"/>
    <mergeCell ref="A42:C42"/>
    <mergeCell ref="A48:C48"/>
    <mergeCell ref="B157:C157"/>
    <mergeCell ref="B160:C160"/>
    <mergeCell ref="E142:H142"/>
    <mergeCell ref="E69:I75"/>
    <mergeCell ref="E84:F8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4.1</vt:lpstr>
      <vt:lpstr>4.2-4.4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2022-03-10T08:06:08Z</dcterms:modified>
</cp:coreProperties>
</file>