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4.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queryTables/queryTable2.xml" ContentType="application/vnd.openxmlformats-officedocument.spreadsheetml.queryTable+xml"/>
  <Override PartName="/xl/tables/table14.xml" ContentType="application/vnd.openxmlformats-officedocument.spreadsheetml.table+xml"/>
  <Override PartName="/xl/queryTables/queryTable3.xml" ContentType="application/vnd.openxmlformats-officedocument.spreadsheetml.queryTable+xml"/>
  <Override PartName="/xl/tables/table15.xml" ContentType="application/vnd.openxmlformats-officedocument.spreadsheetml.table+xml"/>
  <Override PartName="/xl/queryTables/queryTable4.xml" ContentType="application/vnd.openxmlformats-officedocument.spreadsheetml.queryTable+xml"/>
  <Override PartName="/xl/tables/table16.xml" ContentType="application/vnd.openxmlformats-officedocument.spreadsheetml.table+xml"/>
  <Override PartName="/xl/queryTables/queryTable5.xml" ContentType="application/vnd.openxmlformats-officedocument.spreadsheetml.queryTable+xml"/>
  <Override PartName="/xl/tables/table17.xml" ContentType="application/vnd.openxmlformats-officedocument.spreadsheetml.table+xml"/>
  <Override PartName="/xl/tables/table18.xml" ContentType="application/vnd.openxmlformats-officedocument.spreadsheetml.table+xml"/>
  <Override PartName="/xl/queryTables/queryTable6.xml" ContentType="application/vnd.openxmlformats-officedocument.spreadsheetml.queryTable+xml"/>
  <Override PartName="/xl/pivotTables/pivotTable1.xml" ContentType="application/vnd.openxmlformats-officedocument.spreadsheetml.pivotTable+xml"/>
  <Override PartName="/xl/tables/table19.xml" ContentType="application/vnd.openxmlformats-officedocument.spreadsheetml.table+xml"/>
  <Override PartName="/xl/queryTables/queryTable7.xml" ContentType="application/vnd.openxmlformats-officedocument.spreadsheetml.query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khmani Arora\Documents\Analyze why delivery cost overshot budget\"/>
    </mc:Choice>
  </mc:AlternateContent>
  <xr:revisionPtr revIDLastSave="0" documentId="13_ncr:1_{AA45D5E8-1149-467F-AF24-BF115D066F0E}" xr6:coauthVersionLast="47" xr6:coauthVersionMax="47" xr10:uidLastSave="{00000000-0000-0000-0000-000000000000}"/>
  <bookViews>
    <workbookView xWindow="-108" yWindow="-108" windowWidth="23256" windowHeight="12576" tabRatio="672" activeTab="4" xr2:uid="{73020CE9-245B-40E0-990C-1752FC3E37E0}"/>
  </bookViews>
  <sheets>
    <sheet name="cost_base" sheetId="13" r:id="rId1"/>
    <sheet name="BP Profitability_Sample" sheetId="21" r:id="rId2"/>
    <sheet name="Profitability_Analysis" sheetId="29" r:id="rId3"/>
    <sheet name="Improved_cost_base" sheetId="20" r:id="rId4"/>
    <sheet name="std_profitability_analysis" sheetId="26" r:id="rId5"/>
    <sheet name="partner_vehicles_form_AMD" sheetId="1" r:id="rId6"/>
    <sheet name="Payout" sheetId="14" r:id="rId7"/>
    <sheet name="AMD_OU_Data" sheetId="5" r:id="rId8"/>
    <sheet name="AMD_EMI_Data" sheetId="6" r:id="rId9"/>
    <sheet name="partner_vehicles_form_AMD1" sheetId="17" r:id="rId10"/>
    <sheet name="Vehicle" sheetId="16" r:id="rId11"/>
    <sheet name="Vehicle_Ownership" sheetId="15" r:id="rId12"/>
    <sheet name="Year_of_Purchase" sheetId="18" r:id="rId13"/>
    <sheet name="vehicle_mapping" sheetId="12" r:id="rId14"/>
    <sheet name="OU_Map" sheetId="19" r:id="rId15"/>
    <sheet name="payouts_table_AMD" sheetId="22" r:id="rId16"/>
    <sheet name="Total_Cost" sheetId="23" r:id="rId17"/>
    <sheet name="Net_Capacity" sheetId="28" r:id="rId18"/>
    <sheet name="New_Total_Cost" sheetId="27" r:id="rId19"/>
    <sheet name="rough" sheetId="11" state="hidden" r:id="rId20"/>
  </sheets>
  <definedNames>
    <definedName name="_xlnm._FilterDatabase" localSheetId="1" hidden="1">'BP Profitability_Sample'!$A$1:$K$49</definedName>
    <definedName name="_xlnm._FilterDatabase" localSheetId="15" hidden="1">payouts_table_AMD!$A$1:$E$52</definedName>
    <definedName name="_xlnm._FilterDatabase" localSheetId="4" hidden="1">std_profitability_analysis!$A$1:$K$49</definedName>
    <definedName name="b" localSheetId="1">#REF!</definedName>
    <definedName name="b" localSheetId="15">#REF!</definedName>
    <definedName name="b" localSheetId="4">#REF!</definedName>
    <definedName name="b">#REF!</definedName>
    <definedName name="cp" localSheetId="1">#REF!</definedName>
    <definedName name="cp" localSheetId="15">#REF!</definedName>
    <definedName name="cp" localSheetId="4">#REF!</definedName>
    <definedName name="cp">#REF!</definedName>
    <definedName name="ExternalData_1" localSheetId="17" hidden="1">Net_Capacity!$A$1:$B$49</definedName>
    <definedName name="ExternalData_1" localSheetId="14" hidden="1">OU_Map!$A$1:$C$49</definedName>
    <definedName name="ExternalData_1" localSheetId="6" hidden="1">Payout!$A$1:$F$999</definedName>
    <definedName name="ExternalData_1" localSheetId="11" hidden="1">Vehicle_Ownership!$A$1:$D$64</definedName>
    <definedName name="ExternalData_2" localSheetId="10" hidden="1">Vehicle!$A$1:$D$64</definedName>
    <definedName name="ExternalData_3" localSheetId="9" hidden="1">partner_vehicles_form_AMD1!$A$1:$E$49</definedName>
    <definedName name="ExternalData_4" localSheetId="12" hidden="1">Year_of_Purchase!$A$1:$D$64</definedName>
    <definedName name="p" localSheetId="1">#REF!</definedName>
    <definedName name="p" localSheetId="15">#REF!</definedName>
    <definedName name="p" localSheetId="4">#REF!</definedName>
    <definedName name="p">#REF!</definedName>
    <definedName name="Slicer_Ownership">#N/A</definedName>
  </definedNames>
  <calcPr calcId="191029"/>
  <pivotCaches>
    <pivotCache cacheId="0" r:id="rId21"/>
    <pivotCache cacheId="1" r:id="rId2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26" l="1"/>
  <c r="R14" i="26"/>
  <c r="V3" i="26"/>
  <c r="R13" i="26"/>
  <c r="T3" i="21"/>
  <c r="N2" i="26" l="1"/>
  <c r="N3" i="26"/>
  <c r="N4" i="26"/>
  <c r="N5" i="26"/>
  <c r="N6" i="26"/>
  <c r="N7" i="26"/>
  <c r="N8" i="26"/>
  <c r="N9" i="26"/>
  <c r="N10" i="26"/>
  <c r="N11" i="26"/>
  <c r="N12" i="26"/>
  <c r="N13" i="26"/>
  <c r="N14" i="26"/>
  <c r="N15" i="26"/>
  <c r="N16" i="26"/>
  <c r="N17" i="26"/>
  <c r="N18" i="26"/>
  <c r="N19" i="26"/>
  <c r="N20" i="26"/>
  <c r="N21" i="26"/>
  <c r="N22" i="26"/>
  <c r="N23" i="26"/>
  <c r="N24" i="26"/>
  <c r="N25" i="26"/>
  <c r="N26" i="26"/>
  <c r="N27" i="26"/>
  <c r="N28" i="26"/>
  <c r="N29" i="26"/>
  <c r="N30" i="26"/>
  <c r="N31" i="26"/>
  <c r="N32" i="26"/>
  <c r="N33" i="26"/>
  <c r="N34" i="26"/>
  <c r="N35" i="26"/>
  <c r="N36" i="26"/>
  <c r="N37" i="26"/>
  <c r="N38" i="26"/>
  <c r="N39" i="26"/>
  <c r="N40" i="26"/>
  <c r="N41" i="26"/>
  <c r="N42" i="26"/>
  <c r="N43" i="26"/>
  <c r="N44" i="26"/>
  <c r="N45" i="26"/>
  <c r="N46" i="26"/>
  <c r="N47" i="26"/>
  <c r="N48" i="26"/>
  <c r="N49" i="26"/>
  <c r="O2" i="26" l="1"/>
  <c r="O3" i="26"/>
  <c r="O4" i="26"/>
  <c r="O5" i="26"/>
  <c r="O6" i="26"/>
  <c r="O7" i="26"/>
  <c r="O8" i="26"/>
  <c r="O9" i="26"/>
  <c r="O10" i="26"/>
  <c r="O11" i="26"/>
  <c r="O12" i="26"/>
  <c r="O13" i="26"/>
  <c r="O14" i="26"/>
  <c r="O15" i="26"/>
  <c r="O16" i="26"/>
  <c r="O17" i="26"/>
  <c r="O18" i="26"/>
  <c r="O19" i="26"/>
  <c r="O20" i="26"/>
  <c r="O21" i="26"/>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48" i="26"/>
  <c r="O49" i="26"/>
  <c r="F49" i="26" l="1"/>
  <c r="D49" i="26"/>
  <c r="K49" i="26" s="1"/>
  <c r="C49" i="26"/>
  <c r="E49" i="26" s="1"/>
  <c r="F48" i="26"/>
  <c r="D48" i="26"/>
  <c r="K48" i="26" s="1"/>
  <c r="C48" i="26"/>
  <c r="E48" i="26" s="1"/>
  <c r="F47" i="26"/>
  <c r="D47" i="26"/>
  <c r="C47" i="26"/>
  <c r="K46" i="26"/>
  <c r="F46" i="26"/>
  <c r="D46" i="26"/>
  <c r="C46" i="26"/>
  <c r="E46" i="26" s="1"/>
  <c r="I46" i="26" s="1"/>
  <c r="J46" i="26" s="1"/>
  <c r="M46" i="26" s="1"/>
  <c r="F45" i="26"/>
  <c r="D45" i="26"/>
  <c r="K45" i="26" s="1"/>
  <c r="C45" i="26"/>
  <c r="E45" i="26" s="1"/>
  <c r="F44" i="26"/>
  <c r="D44" i="26"/>
  <c r="K44" i="26" s="1"/>
  <c r="C44" i="26"/>
  <c r="F43" i="26"/>
  <c r="D43" i="26"/>
  <c r="C43" i="26"/>
  <c r="F42" i="26"/>
  <c r="D42" i="26"/>
  <c r="K42" i="26" s="1"/>
  <c r="C42" i="26"/>
  <c r="F41" i="26"/>
  <c r="D41" i="26"/>
  <c r="K41" i="26" s="1"/>
  <c r="C41" i="26"/>
  <c r="F40" i="26"/>
  <c r="D40" i="26"/>
  <c r="K40" i="26" s="1"/>
  <c r="C40" i="26"/>
  <c r="F39" i="26"/>
  <c r="D39" i="26"/>
  <c r="C39" i="26"/>
  <c r="F38" i="26"/>
  <c r="D38" i="26"/>
  <c r="K38" i="26" s="1"/>
  <c r="C38" i="26"/>
  <c r="E38" i="26" s="1"/>
  <c r="I38" i="26" s="1"/>
  <c r="J38" i="26" s="1"/>
  <c r="M38" i="26" s="1"/>
  <c r="F37" i="26"/>
  <c r="D37" i="26"/>
  <c r="K37" i="26" s="1"/>
  <c r="C37" i="26"/>
  <c r="F36" i="26"/>
  <c r="D36" i="26"/>
  <c r="K36" i="26" s="1"/>
  <c r="C36" i="26"/>
  <c r="F35" i="26"/>
  <c r="D35" i="26"/>
  <c r="C35" i="26"/>
  <c r="F34" i="26"/>
  <c r="D34" i="26"/>
  <c r="K34" i="26" s="1"/>
  <c r="C34" i="26"/>
  <c r="E34" i="26" s="1"/>
  <c r="I34" i="26" s="1"/>
  <c r="J34" i="26" s="1"/>
  <c r="M34" i="26" s="1"/>
  <c r="F33" i="26"/>
  <c r="D33" i="26"/>
  <c r="K33" i="26" s="1"/>
  <c r="C33" i="26"/>
  <c r="F32" i="26"/>
  <c r="D32" i="26"/>
  <c r="K32" i="26" s="1"/>
  <c r="C32" i="26"/>
  <c r="F31" i="26"/>
  <c r="D31" i="26"/>
  <c r="K31" i="26" s="1"/>
  <c r="C31" i="26"/>
  <c r="F30" i="26"/>
  <c r="D30" i="26"/>
  <c r="K30" i="26" s="1"/>
  <c r="C30" i="26"/>
  <c r="F29" i="26"/>
  <c r="D29" i="26"/>
  <c r="K29" i="26" s="1"/>
  <c r="C29" i="26"/>
  <c r="F28" i="26"/>
  <c r="D28" i="26"/>
  <c r="K28" i="26" s="1"/>
  <c r="C28" i="26"/>
  <c r="F27" i="26"/>
  <c r="D27" i="26"/>
  <c r="K27" i="26" s="1"/>
  <c r="C27" i="26"/>
  <c r="E27" i="26" s="1"/>
  <c r="F26" i="26"/>
  <c r="D26" i="26"/>
  <c r="K26" i="26" s="1"/>
  <c r="C26" i="26"/>
  <c r="F25" i="26"/>
  <c r="D25" i="26"/>
  <c r="K25" i="26" s="1"/>
  <c r="C25" i="26"/>
  <c r="F24" i="26"/>
  <c r="D24" i="26"/>
  <c r="K24" i="26" s="1"/>
  <c r="C24" i="26"/>
  <c r="F23" i="26"/>
  <c r="D23" i="26"/>
  <c r="K23" i="26" s="1"/>
  <c r="C23" i="26"/>
  <c r="E23" i="26" s="1"/>
  <c r="F22" i="26"/>
  <c r="D22" i="26"/>
  <c r="K22" i="26" s="1"/>
  <c r="C22" i="26"/>
  <c r="F21" i="26"/>
  <c r="D21" i="26"/>
  <c r="K21" i="26" s="1"/>
  <c r="C21" i="26"/>
  <c r="E21" i="26" s="1"/>
  <c r="I21" i="26" s="1"/>
  <c r="J21" i="26" s="1"/>
  <c r="M21" i="26" s="1"/>
  <c r="F20" i="26"/>
  <c r="D20" i="26"/>
  <c r="K20" i="26" s="1"/>
  <c r="C20" i="26"/>
  <c r="F19" i="26"/>
  <c r="D19" i="26"/>
  <c r="K19" i="26" s="1"/>
  <c r="C19" i="26"/>
  <c r="E19" i="26" s="1"/>
  <c r="F18" i="26"/>
  <c r="D18" i="26"/>
  <c r="K18" i="26" s="1"/>
  <c r="C18" i="26"/>
  <c r="F17" i="26"/>
  <c r="D17" i="26"/>
  <c r="K17" i="26" s="1"/>
  <c r="C17" i="26"/>
  <c r="F16" i="26"/>
  <c r="D16" i="26"/>
  <c r="K16" i="26" s="1"/>
  <c r="C16" i="26"/>
  <c r="F15" i="26"/>
  <c r="D15" i="26"/>
  <c r="K15" i="26" s="1"/>
  <c r="C15" i="26"/>
  <c r="F14" i="26"/>
  <c r="D14" i="26"/>
  <c r="K14" i="26" s="1"/>
  <c r="C14" i="26"/>
  <c r="E14" i="26" s="1"/>
  <c r="I14" i="26" s="1"/>
  <c r="J14" i="26" s="1"/>
  <c r="M14" i="26" s="1"/>
  <c r="F13" i="26"/>
  <c r="D13" i="26"/>
  <c r="K13" i="26" s="1"/>
  <c r="C13" i="26"/>
  <c r="F12" i="26"/>
  <c r="D12" i="26"/>
  <c r="K12" i="26" s="1"/>
  <c r="C12" i="26"/>
  <c r="F11" i="26"/>
  <c r="D11" i="26"/>
  <c r="K11" i="26" s="1"/>
  <c r="C11" i="26"/>
  <c r="F10" i="26"/>
  <c r="D10" i="26"/>
  <c r="K10" i="26" s="1"/>
  <c r="C10" i="26"/>
  <c r="F9" i="26"/>
  <c r="D9" i="26"/>
  <c r="K9" i="26" s="1"/>
  <c r="C9" i="26"/>
  <c r="F8" i="26"/>
  <c r="D8" i="26"/>
  <c r="K8" i="26" s="1"/>
  <c r="C8" i="26"/>
  <c r="F7" i="26"/>
  <c r="D7" i="26"/>
  <c r="K7" i="26" s="1"/>
  <c r="C7" i="26"/>
  <c r="F6" i="26"/>
  <c r="D6" i="26"/>
  <c r="K6" i="26" s="1"/>
  <c r="C6" i="26"/>
  <c r="F5" i="26"/>
  <c r="D5" i="26"/>
  <c r="K5" i="26" s="1"/>
  <c r="C5" i="26"/>
  <c r="E5" i="26" s="1"/>
  <c r="F4" i="26"/>
  <c r="D4" i="26"/>
  <c r="K4" i="26" s="1"/>
  <c r="C4" i="26"/>
  <c r="F3" i="26"/>
  <c r="D3" i="26"/>
  <c r="K3" i="26" s="1"/>
  <c r="C3" i="26"/>
  <c r="F2" i="26"/>
  <c r="D2" i="26"/>
  <c r="K2" i="26" s="1"/>
  <c r="C2" i="26"/>
  <c r="E4" i="26" l="1"/>
  <c r="E13" i="26"/>
  <c r="I13" i="26" s="1"/>
  <c r="J13" i="26" s="1"/>
  <c r="M13" i="26" s="1"/>
  <c r="E29" i="26"/>
  <c r="I29" i="26" s="1"/>
  <c r="J29" i="26" s="1"/>
  <c r="M29" i="26" s="1"/>
  <c r="E33" i="26"/>
  <c r="I33" i="26" s="1"/>
  <c r="J33" i="26" s="1"/>
  <c r="M33" i="26" s="1"/>
  <c r="E6" i="26"/>
  <c r="E16" i="26"/>
  <c r="G16" i="26" s="1"/>
  <c r="H16" i="26" s="1"/>
  <c r="L16" i="26" s="1"/>
  <c r="E28" i="26"/>
  <c r="G28" i="26" s="1"/>
  <c r="H28" i="26" s="1"/>
  <c r="L28" i="26" s="1"/>
  <c r="E32" i="26"/>
  <c r="G32" i="26" s="1"/>
  <c r="H32" i="26" s="1"/>
  <c r="L32" i="26" s="1"/>
  <c r="E8" i="26"/>
  <c r="I8" i="26" s="1"/>
  <c r="J8" i="26" s="1"/>
  <c r="M8" i="26" s="1"/>
  <c r="E9" i="26"/>
  <c r="I9" i="26" s="1"/>
  <c r="J9" i="26" s="1"/>
  <c r="M9" i="26" s="1"/>
  <c r="E10" i="26"/>
  <c r="I10" i="26" s="1"/>
  <c r="J10" i="26" s="1"/>
  <c r="M10" i="26" s="1"/>
  <c r="E11" i="26"/>
  <c r="E12" i="26"/>
  <c r="G12" i="26" s="1"/>
  <c r="H12" i="26" s="1"/>
  <c r="L12" i="26" s="1"/>
  <c r="G14" i="26"/>
  <c r="H14" i="26" s="1"/>
  <c r="L14" i="26" s="1"/>
  <c r="E22" i="26"/>
  <c r="I22" i="26" s="1"/>
  <c r="J22" i="26" s="1"/>
  <c r="M22" i="26" s="1"/>
  <c r="E30" i="26"/>
  <c r="I30" i="26" s="1"/>
  <c r="J30" i="26" s="1"/>
  <c r="M30" i="26" s="1"/>
  <c r="E36" i="26"/>
  <c r="G36" i="26" s="1"/>
  <c r="H36" i="26" s="1"/>
  <c r="L36" i="26" s="1"/>
  <c r="E44" i="26"/>
  <c r="G44" i="26" s="1"/>
  <c r="H44" i="26" s="1"/>
  <c r="L44" i="26" s="1"/>
  <c r="G48" i="26"/>
  <c r="H48" i="26" s="1"/>
  <c r="L48" i="26" s="1"/>
  <c r="I48" i="26"/>
  <c r="J48" i="26" s="1"/>
  <c r="M48" i="26" s="1"/>
  <c r="E37" i="26"/>
  <c r="G37" i="26" s="1"/>
  <c r="H37" i="26" s="1"/>
  <c r="L37" i="26" s="1"/>
  <c r="E40" i="26"/>
  <c r="G40" i="26" s="1"/>
  <c r="H40" i="26" s="1"/>
  <c r="L40" i="26" s="1"/>
  <c r="E3" i="26"/>
  <c r="I3" i="26" s="1"/>
  <c r="J3" i="26" s="1"/>
  <c r="M3" i="26" s="1"/>
  <c r="E2" i="26"/>
  <c r="I2" i="26" s="1"/>
  <c r="J2" i="26" s="1"/>
  <c r="M2" i="26" s="1"/>
  <c r="E17" i="26"/>
  <c r="I17" i="26" s="1"/>
  <c r="J17" i="26" s="1"/>
  <c r="M17" i="26" s="1"/>
  <c r="E20" i="26"/>
  <c r="E24" i="26"/>
  <c r="G24" i="26" s="1"/>
  <c r="H24" i="26" s="1"/>
  <c r="L24" i="26" s="1"/>
  <c r="E25" i="26"/>
  <c r="I25" i="26" s="1"/>
  <c r="J25" i="26" s="1"/>
  <c r="M25" i="26" s="1"/>
  <c r="I16" i="26"/>
  <c r="J16" i="26" s="1"/>
  <c r="M16" i="26" s="1"/>
  <c r="E7" i="26"/>
  <c r="G7" i="26" s="1"/>
  <c r="H7" i="26" s="1"/>
  <c r="L7" i="26" s="1"/>
  <c r="G8" i="26"/>
  <c r="H8" i="26" s="1"/>
  <c r="L8" i="26" s="1"/>
  <c r="E18" i="26"/>
  <c r="E26" i="26"/>
  <c r="E41" i="26"/>
  <c r="I41" i="26" s="1"/>
  <c r="J41" i="26" s="1"/>
  <c r="M41" i="26" s="1"/>
  <c r="E42" i="26"/>
  <c r="I4" i="26"/>
  <c r="J4" i="26" s="1"/>
  <c r="M4" i="26" s="1"/>
  <c r="G4" i="26"/>
  <c r="H4" i="26" s="1"/>
  <c r="L4" i="26" s="1"/>
  <c r="I5" i="26"/>
  <c r="J5" i="26" s="1"/>
  <c r="M5" i="26" s="1"/>
  <c r="G5" i="26"/>
  <c r="H5" i="26" s="1"/>
  <c r="L5" i="26" s="1"/>
  <c r="G6" i="26"/>
  <c r="H6" i="26" s="1"/>
  <c r="L6" i="26" s="1"/>
  <c r="I6" i="26"/>
  <c r="J6" i="26" s="1"/>
  <c r="M6" i="26" s="1"/>
  <c r="G23" i="26"/>
  <c r="H23" i="26" s="1"/>
  <c r="L23" i="26" s="1"/>
  <c r="I23" i="26"/>
  <c r="J23" i="26" s="1"/>
  <c r="M23" i="26" s="1"/>
  <c r="K47" i="26"/>
  <c r="E47" i="26"/>
  <c r="G19" i="26"/>
  <c r="H19" i="26" s="1"/>
  <c r="L19" i="26" s="1"/>
  <c r="I19" i="26"/>
  <c r="J19" i="26" s="1"/>
  <c r="M19" i="26" s="1"/>
  <c r="I37" i="26"/>
  <c r="J37" i="26" s="1"/>
  <c r="M37" i="26" s="1"/>
  <c r="I49" i="26"/>
  <c r="J49" i="26" s="1"/>
  <c r="M49" i="26" s="1"/>
  <c r="G49" i="26"/>
  <c r="H49" i="26" s="1"/>
  <c r="L49" i="26" s="1"/>
  <c r="G2" i="26"/>
  <c r="H2" i="26" s="1"/>
  <c r="L2" i="26" s="1"/>
  <c r="G27" i="26"/>
  <c r="H27" i="26" s="1"/>
  <c r="L27" i="26" s="1"/>
  <c r="I27" i="26"/>
  <c r="J27" i="26" s="1"/>
  <c r="M27" i="26" s="1"/>
  <c r="K35" i="26"/>
  <c r="E35" i="26"/>
  <c r="I36" i="26"/>
  <c r="J36" i="26" s="1"/>
  <c r="M36" i="26" s="1"/>
  <c r="K39" i="26"/>
  <c r="E39" i="26"/>
  <c r="I45" i="26"/>
  <c r="J45" i="26" s="1"/>
  <c r="M45" i="26" s="1"/>
  <c r="G45" i="26"/>
  <c r="H45" i="26" s="1"/>
  <c r="L45" i="26" s="1"/>
  <c r="G46" i="26"/>
  <c r="H46" i="26" s="1"/>
  <c r="L46" i="26" s="1"/>
  <c r="G9" i="26"/>
  <c r="H9" i="26" s="1"/>
  <c r="L9" i="26" s="1"/>
  <c r="I12" i="26"/>
  <c r="J12" i="26" s="1"/>
  <c r="M12" i="26" s="1"/>
  <c r="E15" i="26"/>
  <c r="E31" i="26"/>
  <c r="G34" i="26"/>
  <c r="H34" i="26" s="1"/>
  <c r="L34" i="26" s="1"/>
  <c r="G38" i="26"/>
  <c r="H38" i="26" s="1"/>
  <c r="L38" i="26" s="1"/>
  <c r="K43" i="26"/>
  <c r="E43" i="26"/>
  <c r="I44" i="26"/>
  <c r="J44" i="26" s="1"/>
  <c r="M44" i="26" s="1"/>
  <c r="G13" i="26"/>
  <c r="H13" i="26" s="1"/>
  <c r="L13" i="26" s="1"/>
  <c r="G21" i="26"/>
  <c r="H21" i="26" s="1"/>
  <c r="L21" i="26" s="1"/>
  <c r="G29" i="26"/>
  <c r="H29" i="26" s="1"/>
  <c r="L29" i="26" s="1"/>
  <c r="G33" i="26"/>
  <c r="H33" i="26" s="1"/>
  <c r="L33" i="26" s="1"/>
  <c r="I7" i="26" l="1"/>
  <c r="J7" i="26" s="1"/>
  <c r="M7" i="26" s="1"/>
  <c r="I32" i="26"/>
  <c r="J32" i="26" s="1"/>
  <c r="M32" i="26" s="1"/>
  <c r="I28" i="26"/>
  <c r="J28" i="26" s="1"/>
  <c r="M28" i="26" s="1"/>
  <c r="G41" i="26"/>
  <c r="H41" i="26" s="1"/>
  <c r="L41" i="26" s="1"/>
  <c r="G17" i="26"/>
  <c r="H17" i="26" s="1"/>
  <c r="L17" i="26" s="1"/>
  <c r="G10" i="26"/>
  <c r="H10" i="26" s="1"/>
  <c r="L10" i="26" s="1"/>
  <c r="I11" i="26"/>
  <c r="J11" i="26" s="1"/>
  <c r="M11" i="26" s="1"/>
  <c r="G11" i="26"/>
  <c r="H11" i="26" s="1"/>
  <c r="L11" i="26" s="1"/>
  <c r="G22" i="26"/>
  <c r="H22" i="26" s="1"/>
  <c r="L22" i="26" s="1"/>
  <c r="G30" i="26"/>
  <c r="H30" i="26" s="1"/>
  <c r="L30" i="26" s="1"/>
  <c r="G25" i="26"/>
  <c r="H25" i="26" s="1"/>
  <c r="L25" i="26" s="1"/>
  <c r="I26" i="26"/>
  <c r="J26" i="26" s="1"/>
  <c r="M26" i="26" s="1"/>
  <c r="G26" i="26"/>
  <c r="H26" i="26" s="1"/>
  <c r="L26" i="26" s="1"/>
  <c r="G20" i="26"/>
  <c r="H20" i="26" s="1"/>
  <c r="L20" i="26" s="1"/>
  <c r="I20" i="26"/>
  <c r="J20" i="26" s="1"/>
  <c r="M20" i="26" s="1"/>
  <c r="I40" i="26"/>
  <c r="J40" i="26" s="1"/>
  <c r="M40" i="26" s="1"/>
  <c r="I24" i="26"/>
  <c r="J24" i="26" s="1"/>
  <c r="M24" i="26" s="1"/>
  <c r="G3" i="26"/>
  <c r="H3" i="26" s="1"/>
  <c r="L3" i="26" s="1"/>
  <c r="I42" i="26"/>
  <c r="J42" i="26" s="1"/>
  <c r="M42" i="26" s="1"/>
  <c r="G42" i="26"/>
  <c r="H42" i="26" s="1"/>
  <c r="L42" i="26" s="1"/>
  <c r="I18" i="26"/>
  <c r="J18" i="26" s="1"/>
  <c r="M18" i="26" s="1"/>
  <c r="G18" i="26"/>
  <c r="H18" i="26" s="1"/>
  <c r="L18" i="26" s="1"/>
  <c r="G39" i="26"/>
  <c r="H39" i="26" s="1"/>
  <c r="L39" i="26" s="1"/>
  <c r="I39" i="26"/>
  <c r="J39" i="26" s="1"/>
  <c r="M39" i="26" s="1"/>
  <c r="G15" i="26"/>
  <c r="H15" i="26" s="1"/>
  <c r="L15" i="26" s="1"/>
  <c r="I15" i="26"/>
  <c r="J15" i="26" s="1"/>
  <c r="M15" i="26" s="1"/>
  <c r="G31" i="26"/>
  <c r="H31" i="26" s="1"/>
  <c r="L31" i="26" s="1"/>
  <c r="I31" i="26"/>
  <c r="J31" i="26" s="1"/>
  <c r="M31" i="26" s="1"/>
  <c r="G43" i="26"/>
  <c r="H43" i="26" s="1"/>
  <c r="L43" i="26" s="1"/>
  <c r="I43" i="26"/>
  <c r="J43" i="26" s="1"/>
  <c r="M43" i="26" s="1"/>
  <c r="G35" i="26"/>
  <c r="H35" i="26" s="1"/>
  <c r="L35" i="26" s="1"/>
  <c r="I35" i="26"/>
  <c r="J35" i="26" s="1"/>
  <c r="M35" i="26" s="1"/>
  <c r="G47" i="26"/>
  <c r="H47" i="26" s="1"/>
  <c r="L47" i="26" s="1"/>
  <c r="I47" i="26"/>
  <c r="J47" i="26" s="1"/>
  <c r="M47" i="26" s="1"/>
  <c r="F2" i="21" l="1"/>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C2" i="21"/>
  <c r="D2" i="21"/>
  <c r="K2" i="21"/>
  <c r="C3" i="21"/>
  <c r="D3" i="21"/>
  <c r="K3" i="21"/>
  <c r="C4" i="21"/>
  <c r="D4" i="21"/>
  <c r="K4" i="21" s="1"/>
  <c r="C5" i="21"/>
  <c r="D5" i="21"/>
  <c r="K5" i="21" s="1"/>
  <c r="C6" i="21"/>
  <c r="E6" i="21" s="1"/>
  <c r="D6" i="21"/>
  <c r="K6" i="21" s="1"/>
  <c r="C7" i="21"/>
  <c r="E7" i="21" s="1"/>
  <c r="D7" i="21"/>
  <c r="K7" i="21" s="1"/>
  <c r="P13" i="21"/>
  <c r="C8" i="21"/>
  <c r="E8" i="21" s="1"/>
  <c r="D8" i="21"/>
  <c r="K8" i="21" s="1"/>
  <c r="C9" i="21"/>
  <c r="E9" i="21" s="1"/>
  <c r="D9" i="21"/>
  <c r="K9" i="21" s="1"/>
  <c r="C10" i="21"/>
  <c r="E10" i="21" s="1"/>
  <c r="D10" i="21"/>
  <c r="K10" i="21"/>
  <c r="C11" i="21"/>
  <c r="D11" i="21"/>
  <c r="K11" i="21"/>
  <c r="C12" i="21"/>
  <c r="D12" i="21"/>
  <c r="K12" i="21" s="1"/>
  <c r="C13" i="21"/>
  <c r="E13" i="21" s="1"/>
  <c r="D13" i="21"/>
  <c r="K13" i="21" s="1"/>
  <c r="C14" i="21"/>
  <c r="E14" i="21" s="1"/>
  <c r="D14" i="21"/>
  <c r="K14" i="21" s="1"/>
  <c r="C15" i="21"/>
  <c r="E15" i="21" s="1"/>
  <c r="I15" i="21" s="1"/>
  <c r="J15" i="21" s="1"/>
  <c r="M15" i="21" s="1"/>
  <c r="D15" i="21"/>
  <c r="K15" i="21"/>
  <c r="C16" i="21"/>
  <c r="D16" i="21"/>
  <c r="K16" i="21"/>
  <c r="C17" i="21"/>
  <c r="D17" i="21"/>
  <c r="K17" i="21" s="1"/>
  <c r="C18" i="21"/>
  <c r="E18" i="21" s="1"/>
  <c r="D18" i="21"/>
  <c r="K18" i="21"/>
  <c r="C19" i="21"/>
  <c r="D19" i="21"/>
  <c r="K19" i="21" s="1"/>
  <c r="C20" i="21"/>
  <c r="E20" i="21" s="1"/>
  <c r="I20" i="21" s="1"/>
  <c r="J20" i="21" s="1"/>
  <c r="M20" i="21" s="1"/>
  <c r="D20" i="21"/>
  <c r="K20" i="21"/>
  <c r="C21" i="21"/>
  <c r="D21" i="21"/>
  <c r="K21" i="21" s="1"/>
  <c r="C22" i="21"/>
  <c r="E22" i="21" s="1"/>
  <c r="I22" i="21" s="1"/>
  <c r="J22" i="21" s="1"/>
  <c r="M22" i="21" s="1"/>
  <c r="D22" i="21"/>
  <c r="K22" i="21"/>
  <c r="C23" i="21"/>
  <c r="D23" i="21"/>
  <c r="K23" i="21" s="1"/>
  <c r="C24" i="21"/>
  <c r="D24" i="21"/>
  <c r="K24" i="21" s="1"/>
  <c r="C25" i="21"/>
  <c r="E25" i="21" s="1"/>
  <c r="D25" i="21"/>
  <c r="K25" i="21" s="1"/>
  <c r="C26" i="21"/>
  <c r="E26" i="21" s="1"/>
  <c r="D26" i="21"/>
  <c r="K26" i="21" s="1"/>
  <c r="C27" i="21"/>
  <c r="E27" i="21" s="1"/>
  <c r="I27" i="21" s="1"/>
  <c r="D27" i="21"/>
  <c r="J27" i="21"/>
  <c r="M27" i="21" s="1"/>
  <c r="K27" i="21"/>
  <c r="C28" i="21"/>
  <c r="D28" i="21"/>
  <c r="K28" i="21" s="1"/>
  <c r="C29" i="21"/>
  <c r="D29" i="21"/>
  <c r="K29" i="21" s="1"/>
  <c r="E29" i="21"/>
  <c r="G29" i="21" s="1"/>
  <c r="H29" i="21" s="1"/>
  <c r="L29" i="21" s="1"/>
  <c r="C30" i="21"/>
  <c r="D30" i="21"/>
  <c r="K30" i="21" s="1"/>
  <c r="E30" i="21"/>
  <c r="C31" i="21"/>
  <c r="D31" i="21"/>
  <c r="K31" i="21" s="1"/>
  <c r="C32" i="21"/>
  <c r="D32" i="21"/>
  <c r="K32" i="21" s="1"/>
  <c r="C33" i="21"/>
  <c r="D33" i="21"/>
  <c r="K33" i="21" s="1"/>
  <c r="E33" i="21"/>
  <c r="C34" i="21"/>
  <c r="D34" i="21"/>
  <c r="K34" i="21" s="1"/>
  <c r="E34" i="21"/>
  <c r="C35" i="21"/>
  <c r="D35" i="21"/>
  <c r="K35" i="21" s="1"/>
  <c r="C36" i="21"/>
  <c r="D36" i="21"/>
  <c r="K36" i="21" s="1"/>
  <c r="C37" i="21"/>
  <c r="E37" i="21" s="1"/>
  <c r="D37" i="21"/>
  <c r="K37" i="21" s="1"/>
  <c r="C38" i="21"/>
  <c r="E38" i="21" s="1"/>
  <c r="D38" i="21"/>
  <c r="K38" i="21"/>
  <c r="C39" i="21"/>
  <c r="D39" i="21"/>
  <c r="K39" i="21" s="1"/>
  <c r="C40" i="21"/>
  <c r="E40" i="21" s="1"/>
  <c r="D40" i="21"/>
  <c r="K40" i="21" s="1"/>
  <c r="C41" i="21"/>
  <c r="E41" i="21" s="1"/>
  <c r="D41" i="21"/>
  <c r="K41" i="21" s="1"/>
  <c r="C42" i="21"/>
  <c r="E42" i="21" s="1"/>
  <c r="D42" i="21"/>
  <c r="K42" i="21" s="1"/>
  <c r="C43" i="21"/>
  <c r="D43" i="21"/>
  <c r="K43" i="21" s="1"/>
  <c r="C44" i="21"/>
  <c r="D44" i="21"/>
  <c r="K44" i="21" s="1"/>
  <c r="C45" i="21"/>
  <c r="D45" i="21"/>
  <c r="K45" i="21" s="1"/>
  <c r="E45" i="21"/>
  <c r="C46" i="21"/>
  <c r="E46" i="21" s="1"/>
  <c r="D46" i="21"/>
  <c r="K46" i="21" s="1"/>
  <c r="C47" i="21"/>
  <c r="D47" i="21"/>
  <c r="K47" i="21" s="1"/>
  <c r="C48" i="21"/>
  <c r="D48" i="21"/>
  <c r="K48" i="21" s="1"/>
  <c r="C49" i="21"/>
  <c r="D49" i="21"/>
  <c r="K49" i="21" s="1"/>
  <c r="E49" i="21"/>
  <c r="I49" i="21" s="1"/>
  <c r="J49" i="21" s="1"/>
  <c r="M49" i="21" s="1"/>
  <c r="G30" i="21" l="1"/>
  <c r="H30" i="21" s="1"/>
  <c r="L30" i="21" s="1"/>
  <c r="G6" i="21"/>
  <c r="H6" i="21" s="1"/>
  <c r="L6" i="21" s="1"/>
  <c r="G42" i="21"/>
  <c r="H42" i="21" s="1"/>
  <c r="L42" i="21" s="1"/>
  <c r="G14" i="21"/>
  <c r="H14" i="21" s="1"/>
  <c r="L14" i="21" s="1"/>
  <c r="G13" i="21"/>
  <c r="H13" i="21" s="1"/>
  <c r="L13" i="21" s="1"/>
  <c r="G38" i="21"/>
  <c r="H38" i="21" s="1"/>
  <c r="L38" i="21" s="1"/>
  <c r="G25" i="21"/>
  <c r="H25" i="21" s="1"/>
  <c r="L25" i="21" s="1"/>
  <c r="G45" i="21"/>
  <c r="H45" i="21" s="1"/>
  <c r="L45" i="21" s="1"/>
  <c r="G34" i="21"/>
  <c r="H34" i="21" s="1"/>
  <c r="L34" i="21" s="1"/>
  <c r="G18" i="21"/>
  <c r="H18" i="21" s="1"/>
  <c r="L18" i="21" s="1"/>
  <c r="I18" i="21"/>
  <c r="J18" i="21" s="1"/>
  <c r="M18" i="21" s="1"/>
  <c r="G46" i="21"/>
  <c r="H46" i="21" s="1"/>
  <c r="L46" i="21" s="1"/>
  <c r="I46" i="21"/>
  <c r="J46" i="21" s="1"/>
  <c r="M46" i="21" s="1"/>
  <c r="E44" i="21"/>
  <c r="G27" i="21"/>
  <c r="H27" i="21" s="1"/>
  <c r="L27" i="21" s="1"/>
  <c r="G20" i="21"/>
  <c r="H20" i="21" s="1"/>
  <c r="L20" i="21" s="1"/>
  <c r="E19" i="21"/>
  <c r="I19" i="21" s="1"/>
  <c r="J19" i="21" s="1"/>
  <c r="M19" i="21" s="1"/>
  <c r="E48" i="21"/>
  <c r="E47" i="21"/>
  <c r="G47" i="21" s="1"/>
  <c r="H47" i="21" s="1"/>
  <c r="L47" i="21" s="1"/>
  <c r="I45" i="21"/>
  <c r="J45" i="21" s="1"/>
  <c r="M45" i="21" s="1"/>
  <c r="E32" i="21"/>
  <c r="I32" i="21" s="1"/>
  <c r="J32" i="21" s="1"/>
  <c r="M32" i="21" s="1"/>
  <c r="E23" i="21"/>
  <c r="I23" i="21" s="1"/>
  <c r="J23" i="21" s="1"/>
  <c r="M23" i="21" s="1"/>
  <c r="G15" i="21"/>
  <c r="H15" i="21" s="1"/>
  <c r="L15" i="21" s="1"/>
  <c r="E36" i="21"/>
  <c r="G36" i="21" s="1"/>
  <c r="H36" i="21" s="1"/>
  <c r="L36" i="21" s="1"/>
  <c r="E16" i="21"/>
  <c r="I16" i="21" s="1"/>
  <c r="J16" i="21" s="1"/>
  <c r="M16" i="21" s="1"/>
  <c r="E11" i="21"/>
  <c r="E3" i="21"/>
  <c r="E2" i="21"/>
  <c r="I2" i="21" s="1"/>
  <c r="J2" i="21" s="1"/>
  <c r="M2" i="21" s="1"/>
  <c r="I44" i="21"/>
  <c r="J44" i="21" s="1"/>
  <c r="M44" i="21" s="1"/>
  <c r="G44" i="21"/>
  <c r="H44" i="21" s="1"/>
  <c r="L44" i="21" s="1"/>
  <c r="I48" i="21"/>
  <c r="J48" i="21" s="1"/>
  <c r="M48" i="21" s="1"/>
  <c r="G48" i="21"/>
  <c r="H48" i="21" s="1"/>
  <c r="L48" i="21" s="1"/>
  <c r="I47" i="21"/>
  <c r="J47" i="21" s="1"/>
  <c r="M47" i="21" s="1"/>
  <c r="I36" i="21"/>
  <c r="J36" i="21" s="1"/>
  <c r="M36" i="21" s="1"/>
  <c r="I40" i="21"/>
  <c r="J40" i="21" s="1"/>
  <c r="M40" i="21" s="1"/>
  <c r="G40" i="21"/>
  <c r="H40" i="21" s="1"/>
  <c r="L40" i="21" s="1"/>
  <c r="E43" i="21"/>
  <c r="I42" i="21"/>
  <c r="J42" i="21" s="1"/>
  <c r="M42" i="21" s="1"/>
  <c r="G41" i="21"/>
  <c r="H41" i="21" s="1"/>
  <c r="L41" i="21" s="1"/>
  <c r="E39" i="21"/>
  <c r="I38" i="21"/>
  <c r="J38" i="21" s="1"/>
  <c r="M38" i="21" s="1"/>
  <c r="G37" i="21"/>
  <c r="H37" i="21" s="1"/>
  <c r="L37" i="21" s="1"/>
  <c r="E35" i="21"/>
  <c r="I34" i="21"/>
  <c r="J34" i="21" s="1"/>
  <c r="M34" i="21" s="1"/>
  <c r="G33" i="21"/>
  <c r="H33" i="21" s="1"/>
  <c r="L33" i="21" s="1"/>
  <c r="E31" i="21"/>
  <c r="I30" i="21"/>
  <c r="J30" i="21" s="1"/>
  <c r="M30" i="21" s="1"/>
  <c r="I29" i="21"/>
  <c r="J29" i="21" s="1"/>
  <c r="M29" i="21" s="1"/>
  <c r="E28" i="21"/>
  <c r="G26" i="21"/>
  <c r="H26" i="21" s="1"/>
  <c r="L26" i="21" s="1"/>
  <c r="G23" i="21"/>
  <c r="H23" i="21" s="1"/>
  <c r="L23" i="21" s="1"/>
  <c r="I13" i="21"/>
  <c r="J13" i="21" s="1"/>
  <c r="M13" i="21" s="1"/>
  <c r="E12" i="21"/>
  <c r="G10" i="21"/>
  <c r="H10" i="21" s="1"/>
  <c r="L10" i="21" s="1"/>
  <c r="G9" i="21"/>
  <c r="H9" i="21" s="1"/>
  <c r="L9" i="21" s="1"/>
  <c r="G8" i="21"/>
  <c r="H8" i="21" s="1"/>
  <c r="L8" i="21" s="1"/>
  <c r="G7" i="21"/>
  <c r="H7" i="21" s="1"/>
  <c r="L7" i="21" s="1"/>
  <c r="E4" i="21"/>
  <c r="G2" i="21"/>
  <c r="H2" i="21" s="1"/>
  <c r="L2" i="21" s="1"/>
  <c r="G49" i="21"/>
  <c r="H49" i="21" s="1"/>
  <c r="L49" i="21" s="1"/>
  <c r="I41" i="21"/>
  <c r="J41" i="21" s="1"/>
  <c r="M41" i="21" s="1"/>
  <c r="I37" i="21"/>
  <c r="J37" i="21" s="1"/>
  <c r="M37" i="21" s="1"/>
  <c r="I33" i="21"/>
  <c r="J33" i="21" s="1"/>
  <c r="M33" i="21" s="1"/>
  <c r="I25" i="21"/>
  <c r="J25" i="21" s="1"/>
  <c r="M25" i="21" s="1"/>
  <c r="E24" i="21"/>
  <c r="G22" i="21"/>
  <c r="H22" i="21" s="1"/>
  <c r="L22" i="21" s="1"/>
  <c r="E21" i="21"/>
  <c r="G19" i="21"/>
  <c r="H19" i="21" s="1"/>
  <c r="L19" i="21" s="1"/>
  <c r="I14" i="21"/>
  <c r="J14" i="21" s="1"/>
  <c r="M14" i="21" s="1"/>
  <c r="I6" i="21"/>
  <c r="J6" i="21" s="1"/>
  <c r="M6" i="21" s="1"/>
  <c r="E5" i="21"/>
  <c r="I26" i="21"/>
  <c r="J26" i="21" s="1"/>
  <c r="M26" i="21" s="1"/>
  <c r="E17" i="21"/>
  <c r="I10" i="21"/>
  <c r="J10" i="21" s="1"/>
  <c r="M10" i="21" s="1"/>
  <c r="I9" i="21"/>
  <c r="J9" i="21" s="1"/>
  <c r="M9" i="21" s="1"/>
  <c r="I8" i="21"/>
  <c r="J8" i="21" s="1"/>
  <c r="M8" i="21" s="1"/>
  <c r="I7" i="21"/>
  <c r="J7" i="21" s="1"/>
  <c r="M7" i="21" s="1"/>
  <c r="B7" i="20"/>
  <c r="D7" i="20"/>
  <c r="C7" i="20" s="1"/>
  <c r="E7" i="20"/>
  <c r="H7" i="20" s="1"/>
  <c r="F7" i="20"/>
  <c r="G7" i="20"/>
  <c r="B8" i="20"/>
  <c r="D8" i="20"/>
  <c r="C8" i="20" s="1"/>
  <c r="E8" i="20"/>
  <c r="F8" i="20"/>
  <c r="G8" i="20"/>
  <c r="H8" i="20"/>
  <c r="B9" i="20"/>
  <c r="D9" i="20"/>
  <c r="C9" i="20" s="1"/>
  <c r="K9" i="20" s="1"/>
  <c r="E9" i="20"/>
  <c r="H9" i="20" s="1"/>
  <c r="F9" i="20"/>
  <c r="L9" i="20" s="1"/>
  <c r="G9" i="20"/>
  <c r="B10" i="20"/>
  <c r="D10" i="20"/>
  <c r="C10" i="20" s="1"/>
  <c r="E10" i="20"/>
  <c r="H10" i="20" s="1"/>
  <c r="F10" i="20"/>
  <c r="G10" i="20"/>
  <c r="M10" i="20" s="1"/>
  <c r="B11" i="20"/>
  <c r="D11" i="20"/>
  <c r="C11" i="20" s="1"/>
  <c r="E11" i="20"/>
  <c r="H11" i="20" s="1"/>
  <c r="F11" i="20"/>
  <c r="G11" i="20"/>
  <c r="M11" i="20" s="1"/>
  <c r="B12" i="20"/>
  <c r="D12" i="20"/>
  <c r="C12" i="20" s="1"/>
  <c r="E12" i="20"/>
  <c r="H12" i="20" s="1"/>
  <c r="F12" i="20"/>
  <c r="G12" i="20"/>
  <c r="B13" i="20"/>
  <c r="D13" i="20"/>
  <c r="C13" i="20" s="1"/>
  <c r="K13" i="20" s="1"/>
  <c r="E13" i="20"/>
  <c r="H13" i="20" s="1"/>
  <c r="F13" i="20"/>
  <c r="G13" i="20"/>
  <c r="B14" i="20"/>
  <c r="D14" i="20"/>
  <c r="C14" i="20" s="1"/>
  <c r="E14" i="20"/>
  <c r="H14" i="20" s="1"/>
  <c r="F14" i="20"/>
  <c r="G14" i="20"/>
  <c r="B15" i="20"/>
  <c r="D15" i="20"/>
  <c r="C15" i="20" s="1"/>
  <c r="E15" i="20"/>
  <c r="H15" i="20" s="1"/>
  <c r="F15" i="20"/>
  <c r="G15" i="20"/>
  <c r="M15" i="20" s="1"/>
  <c r="B16" i="20"/>
  <c r="D16" i="20"/>
  <c r="C16" i="20" s="1"/>
  <c r="E16" i="20"/>
  <c r="H16" i="20" s="1"/>
  <c r="F16" i="20"/>
  <c r="G16" i="20"/>
  <c r="B17" i="20"/>
  <c r="D17" i="20"/>
  <c r="C17" i="20" s="1"/>
  <c r="E17" i="20"/>
  <c r="H17" i="20" s="1"/>
  <c r="F17" i="20"/>
  <c r="L17" i="20" s="1"/>
  <c r="G17" i="20"/>
  <c r="B18" i="20"/>
  <c r="D18" i="20"/>
  <c r="C18" i="20" s="1"/>
  <c r="E18" i="20"/>
  <c r="H18" i="20" s="1"/>
  <c r="F18" i="20"/>
  <c r="G18" i="20"/>
  <c r="M18" i="20" s="1"/>
  <c r="B19" i="20"/>
  <c r="D19" i="20"/>
  <c r="C19" i="20" s="1"/>
  <c r="E19" i="20"/>
  <c r="H19" i="20" s="1"/>
  <c r="F19" i="20"/>
  <c r="G19" i="20"/>
  <c r="B20" i="20"/>
  <c r="D20" i="20"/>
  <c r="C20" i="20" s="1"/>
  <c r="E20" i="20"/>
  <c r="H20" i="20" s="1"/>
  <c r="F20" i="20"/>
  <c r="L20" i="20" s="1"/>
  <c r="G20" i="20"/>
  <c r="M20" i="20" s="1"/>
  <c r="B21" i="20"/>
  <c r="D21" i="20"/>
  <c r="C21" i="20" s="1"/>
  <c r="E21" i="20"/>
  <c r="H21" i="20" s="1"/>
  <c r="F21" i="20"/>
  <c r="G21" i="20"/>
  <c r="B22" i="20"/>
  <c r="D22" i="20"/>
  <c r="C22" i="20" s="1"/>
  <c r="E22" i="20"/>
  <c r="H22" i="20" s="1"/>
  <c r="F22" i="20"/>
  <c r="G22" i="20"/>
  <c r="B23" i="20"/>
  <c r="D23" i="20"/>
  <c r="C23" i="20" s="1"/>
  <c r="E23" i="20"/>
  <c r="H23" i="20" s="1"/>
  <c r="F23" i="20"/>
  <c r="G23" i="20"/>
  <c r="B24" i="20"/>
  <c r="D24" i="20"/>
  <c r="C24" i="20" s="1"/>
  <c r="E24" i="20"/>
  <c r="H24" i="20" s="1"/>
  <c r="F24" i="20"/>
  <c r="G24" i="20"/>
  <c r="B25" i="20"/>
  <c r="D25" i="20"/>
  <c r="C25" i="20" s="1"/>
  <c r="E25" i="20"/>
  <c r="H25" i="20" s="1"/>
  <c r="F25" i="20"/>
  <c r="G25" i="20"/>
  <c r="B26" i="20"/>
  <c r="D26" i="20"/>
  <c r="C26" i="20" s="1"/>
  <c r="E26" i="20"/>
  <c r="H26" i="20" s="1"/>
  <c r="F26" i="20"/>
  <c r="G26" i="20"/>
  <c r="B27" i="20"/>
  <c r="D27" i="20"/>
  <c r="C27" i="20" s="1"/>
  <c r="E27" i="20"/>
  <c r="H27" i="20" s="1"/>
  <c r="F27" i="20"/>
  <c r="L27" i="20" s="1"/>
  <c r="G27" i="20"/>
  <c r="M27" i="20" s="1"/>
  <c r="B28" i="20"/>
  <c r="D28" i="20"/>
  <c r="C28" i="20" s="1"/>
  <c r="E28" i="20"/>
  <c r="H28" i="20" s="1"/>
  <c r="F28" i="20"/>
  <c r="G28" i="20"/>
  <c r="B29" i="20"/>
  <c r="D29" i="20"/>
  <c r="C29" i="20" s="1"/>
  <c r="E29" i="20"/>
  <c r="H29" i="20" s="1"/>
  <c r="F29" i="20"/>
  <c r="G29" i="20"/>
  <c r="B30" i="20"/>
  <c r="D30" i="20"/>
  <c r="C30" i="20" s="1"/>
  <c r="E30" i="20"/>
  <c r="H30" i="20" s="1"/>
  <c r="F30" i="20"/>
  <c r="G30" i="20"/>
  <c r="B31" i="20"/>
  <c r="D31" i="20"/>
  <c r="C31" i="20" s="1"/>
  <c r="E31" i="20"/>
  <c r="H31" i="20" s="1"/>
  <c r="F31" i="20"/>
  <c r="L31" i="20" s="1"/>
  <c r="G31" i="20"/>
  <c r="B32" i="20"/>
  <c r="D32" i="20"/>
  <c r="C32" i="20" s="1"/>
  <c r="E32" i="20"/>
  <c r="H32" i="20" s="1"/>
  <c r="F32" i="20"/>
  <c r="G32" i="20"/>
  <c r="B33" i="20"/>
  <c r="D33" i="20"/>
  <c r="C33" i="20" s="1"/>
  <c r="E33" i="20"/>
  <c r="H33" i="20" s="1"/>
  <c r="F33" i="20"/>
  <c r="G33" i="20"/>
  <c r="B34" i="20"/>
  <c r="D34" i="20"/>
  <c r="C34" i="20" s="1"/>
  <c r="E34" i="20"/>
  <c r="H34" i="20" s="1"/>
  <c r="F34" i="20"/>
  <c r="G34" i="20"/>
  <c r="B35" i="20"/>
  <c r="D35" i="20"/>
  <c r="C35" i="20" s="1"/>
  <c r="E35" i="20"/>
  <c r="H35" i="20" s="1"/>
  <c r="F35" i="20"/>
  <c r="G35" i="20"/>
  <c r="B36" i="20"/>
  <c r="D36" i="20"/>
  <c r="C36" i="20" s="1"/>
  <c r="E36" i="20"/>
  <c r="H36" i="20" s="1"/>
  <c r="F36" i="20"/>
  <c r="G36" i="20"/>
  <c r="B37" i="20"/>
  <c r="D37" i="20"/>
  <c r="C37" i="20" s="1"/>
  <c r="K37" i="20" s="1"/>
  <c r="E37" i="20"/>
  <c r="F37" i="20"/>
  <c r="G37" i="20"/>
  <c r="B38" i="20"/>
  <c r="D38" i="20"/>
  <c r="C38" i="20" s="1"/>
  <c r="E38" i="20"/>
  <c r="H38" i="20" s="1"/>
  <c r="F38" i="20"/>
  <c r="L38" i="20" s="1"/>
  <c r="G38" i="20"/>
  <c r="M38" i="20" s="1"/>
  <c r="B39" i="20"/>
  <c r="D39" i="20"/>
  <c r="C39" i="20" s="1"/>
  <c r="E39" i="20"/>
  <c r="H39" i="20" s="1"/>
  <c r="F39" i="20"/>
  <c r="G39" i="20"/>
  <c r="B40" i="20"/>
  <c r="D40" i="20"/>
  <c r="C40" i="20" s="1"/>
  <c r="E40" i="20"/>
  <c r="H40" i="20" s="1"/>
  <c r="F40" i="20"/>
  <c r="G40" i="20"/>
  <c r="B41" i="20"/>
  <c r="D41" i="20"/>
  <c r="C41" i="20" s="1"/>
  <c r="E41" i="20"/>
  <c r="H41" i="20" s="1"/>
  <c r="F41" i="20"/>
  <c r="G41" i="20"/>
  <c r="B42" i="20"/>
  <c r="D42" i="20"/>
  <c r="C42" i="20" s="1"/>
  <c r="E42" i="20"/>
  <c r="H42" i="20" s="1"/>
  <c r="F42" i="20"/>
  <c r="G42" i="20"/>
  <c r="M42" i="20" s="1"/>
  <c r="B43" i="20"/>
  <c r="D43" i="20"/>
  <c r="C43" i="20" s="1"/>
  <c r="E43" i="20"/>
  <c r="H43" i="20" s="1"/>
  <c r="F43" i="20"/>
  <c r="G43" i="20"/>
  <c r="M43" i="20" s="1"/>
  <c r="B44" i="20"/>
  <c r="D44" i="20"/>
  <c r="C44" i="20" s="1"/>
  <c r="E44" i="20"/>
  <c r="F44" i="20"/>
  <c r="L44" i="20" s="1"/>
  <c r="G44" i="20"/>
  <c r="B45" i="20"/>
  <c r="D45" i="20"/>
  <c r="C45" i="20" s="1"/>
  <c r="E45" i="20"/>
  <c r="H45" i="20" s="1"/>
  <c r="F45" i="20"/>
  <c r="G45" i="20"/>
  <c r="B46" i="20"/>
  <c r="D46" i="20"/>
  <c r="C46" i="20" s="1"/>
  <c r="E46" i="20"/>
  <c r="H46" i="20" s="1"/>
  <c r="F46" i="20"/>
  <c r="G46" i="20"/>
  <c r="B47" i="20"/>
  <c r="D47" i="20"/>
  <c r="C47" i="20" s="1"/>
  <c r="E47" i="20"/>
  <c r="H47" i="20" s="1"/>
  <c r="F47" i="20"/>
  <c r="G47" i="20"/>
  <c r="M47" i="20" s="1"/>
  <c r="B48" i="20"/>
  <c r="D48" i="20"/>
  <c r="C48" i="20" s="1"/>
  <c r="K48" i="20" s="1"/>
  <c r="E48" i="20"/>
  <c r="H48" i="20" s="1"/>
  <c r="F48" i="20"/>
  <c r="G48" i="20"/>
  <c r="B49" i="20"/>
  <c r="D49" i="20"/>
  <c r="C49" i="20" s="1"/>
  <c r="E49" i="20"/>
  <c r="H49" i="20" s="1"/>
  <c r="F49" i="20"/>
  <c r="G49" i="20"/>
  <c r="B50" i="20"/>
  <c r="D50" i="20"/>
  <c r="C50" i="20" s="1"/>
  <c r="E50" i="20"/>
  <c r="H50" i="20" s="1"/>
  <c r="F50" i="20"/>
  <c r="G50" i="20"/>
  <c r="B51" i="20"/>
  <c r="D51" i="20"/>
  <c r="C51" i="20" s="1"/>
  <c r="E51" i="20"/>
  <c r="H51" i="20" s="1"/>
  <c r="F51" i="20"/>
  <c r="G51" i="20"/>
  <c r="B52" i="20"/>
  <c r="D52" i="20"/>
  <c r="C52" i="20" s="1"/>
  <c r="K52" i="20" s="1"/>
  <c r="E52" i="20"/>
  <c r="H52" i="20" s="1"/>
  <c r="F52" i="20"/>
  <c r="G52" i="20"/>
  <c r="B53" i="20"/>
  <c r="D53" i="20"/>
  <c r="C53" i="20" s="1"/>
  <c r="E53" i="20"/>
  <c r="H53" i="20" s="1"/>
  <c r="F53" i="20"/>
  <c r="G53" i="20"/>
  <c r="B54" i="20"/>
  <c r="D54" i="20"/>
  <c r="C54" i="20" s="1"/>
  <c r="E54" i="20"/>
  <c r="H54" i="20" s="1"/>
  <c r="F54" i="20"/>
  <c r="G54" i="20"/>
  <c r="B55" i="20"/>
  <c r="D55" i="20"/>
  <c r="C55" i="20" s="1"/>
  <c r="E55" i="20"/>
  <c r="H55" i="20" s="1"/>
  <c r="F55" i="20"/>
  <c r="G55" i="20"/>
  <c r="B56" i="20"/>
  <c r="D56" i="20"/>
  <c r="C56" i="20" s="1"/>
  <c r="E56" i="20"/>
  <c r="H56" i="20" s="1"/>
  <c r="F56" i="20"/>
  <c r="G56" i="20"/>
  <c r="B57" i="20"/>
  <c r="D57" i="20"/>
  <c r="C57" i="20" s="1"/>
  <c r="E57" i="20"/>
  <c r="H57" i="20" s="1"/>
  <c r="F57" i="20"/>
  <c r="L57" i="20" s="1"/>
  <c r="G57" i="20"/>
  <c r="B58" i="20"/>
  <c r="D58" i="20"/>
  <c r="C58" i="20" s="1"/>
  <c r="E58" i="20"/>
  <c r="H58" i="20" s="1"/>
  <c r="F58" i="20"/>
  <c r="G58" i="20"/>
  <c r="M58" i="20" s="1"/>
  <c r="B59" i="20"/>
  <c r="D59" i="20"/>
  <c r="C59" i="20" s="1"/>
  <c r="E59" i="20"/>
  <c r="H59" i="20" s="1"/>
  <c r="F59" i="20"/>
  <c r="G59" i="20"/>
  <c r="B60" i="20"/>
  <c r="D60" i="20"/>
  <c r="C60" i="20" s="1"/>
  <c r="E60" i="20"/>
  <c r="H60" i="20" s="1"/>
  <c r="F60" i="20"/>
  <c r="G60" i="20"/>
  <c r="B61" i="20"/>
  <c r="D61" i="20"/>
  <c r="C61" i="20" s="1"/>
  <c r="K61" i="20" s="1"/>
  <c r="E61" i="20"/>
  <c r="H61" i="20" s="1"/>
  <c r="F61" i="20"/>
  <c r="L61" i="20" s="1"/>
  <c r="G61" i="20"/>
  <c r="B62" i="20"/>
  <c r="D62" i="20"/>
  <c r="C62" i="20" s="1"/>
  <c r="E62" i="20"/>
  <c r="H62" i="20" s="1"/>
  <c r="F62" i="20"/>
  <c r="G62" i="20"/>
  <c r="B63" i="20"/>
  <c r="D63" i="20"/>
  <c r="C63" i="20" s="1"/>
  <c r="K63" i="20" s="1"/>
  <c r="E63" i="20"/>
  <c r="H63" i="20" s="1"/>
  <c r="F63" i="20"/>
  <c r="G63" i="20"/>
  <c r="B64" i="20"/>
  <c r="D64" i="20"/>
  <c r="C64" i="20" s="1"/>
  <c r="E64" i="20"/>
  <c r="H64" i="20" s="1"/>
  <c r="F64" i="20"/>
  <c r="G64" i="20"/>
  <c r="M64" i="20" s="1"/>
  <c r="B65" i="20"/>
  <c r="D65" i="20"/>
  <c r="C65" i="20" s="1"/>
  <c r="E65" i="20"/>
  <c r="H65" i="20" s="1"/>
  <c r="F65" i="20"/>
  <c r="G65" i="20"/>
  <c r="B66" i="20"/>
  <c r="D66" i="20"/>
  <c r="C66" i="20" s="1"/>
  <c r="E66" i="20"/>
  <c r="H66" i="20" s="1"/>
  <c r="F66" i="20"/>
  <c r="L66" i="20" s="1"/>
  <c r="G66" i="20"/>
  <c r="B67" i="20"/>
  <c r="D67" i="20"/>
  <c r="C67" i="20" s="1"/>
  <c r="K67" i="20" s="1"/>
  <c r="E67" i="20"/>
  <c r="H67" i="20" s="1"/>
  <c r="F67" i="20"/>
  <c r="G67" i="20"/>
  <c r="B68" i="20"/>
  <c r="D68" i="20"/>
  <c r="C68" i="20" s="1"/>
  <c r="E68" i="20"/>
  <c r="H68" i="20" s="1"/>
  <c r="F68" i="20"/>
  <c r="G68" i="20"/>
  <c r="M68" i="20" s="1"/>
  <c r="B69" i="20"/>
  <c r="D69" i="20"/>
  <c r="C69" i="20" s="1"/>
  <c r="E69" i="20"/>
  <c r="H69" i="20" s="1"/>
  <c r="F69" i="20"/>
  <c r="G69" i="20"/>
  <c r="C1" i="5"/>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E7" i="13"/>
  <c r="H7" i="13" s="1"/>
  <c r="M7" i="13" s="1"/>
  <c r="E8" i="13"/>
  <c r="H8" i="13" s="1"/>
  <c r="M8" i="13" s="1"/>
  <c r="E9" i="13"/>
  <c r="H9" i="13" s="1"/>
  <c r="M9" i="13" s="1"/>
  <c r="E10" i="13"/>
  <c r="H10" i="13" s="1"/>
  <c r="M10" i="13" s="1"/>
  <c r="E11" i="13"/>
  <c r="H11" i="13" s="1"/>
  <c r="M11" i="13" s="1"/>
  <c r="E12" i="13"/>
  <c r="H12" i="13" s="1"/>
  <c r="M12" i="13" s="1"/>
  <c r="E13" i="13"/>
  <c r="H13" i="13" s="1"/>
  <c r="M13" i="13" s="1"/>
  <c r="E14" i="13"/>
  <c r="H14" i="13" s="1"/>
  <c r="M14" i="13" s="1"/>
  <c r="E15" i="13"/>
  <c r="H15" i="13" s="1"/>
  <c r="M15" i="13" s="1"/>
  <c r="E16" i="13"/>
  <c r="H16" i="13" s="1"/>
  <c r="M16" i="13" s="1"/>
  <c r="E17" i="13"/>
  <c r="H17" i="13" s="1"/>
  <c r="M17" i="13" s="1"/>
  <c r="E18" i="13"/>
  <c r="H18" i="13" s="1"/>
  <c r="M18" i="13" s="1"/>
  <c r="E19" i="13"/>
  <c r="H19" i="13" s="1"/>
  <c r="M19" i="13" s="1"/>
  <c r="E20" i="13"/>
  <c r="H20" i="13" s="1"/>
  <c r="M20" i="13" s="1"/>
  <c r="E21" i="13"/>
  <c r="H21" i="13" s="1"/>
  <c r="M21" i="13" s="1"/>
  <c r="E22" i="13"/>
  <c r="H22" i="13" s="1"/>
  <c r="M22" i="13" s="1"/>
  <c r="E23" i="13"/>
  <c r="H23" i="13" s="1"/>
  <c r="M23" i="13" s="1"/>
  <c r="E24" i="13"/>
  <c r="H24" i="13" s="1"/>
  <c r="M24" i="13" s="1"/>
  <c r="E25" i="13"/>
  <c r="H25" i="13" s="1"/>
  <c r="M25" i="13" s="1"/>
  <c r="E26" i="13"/>
  <c r="H26" i="13" s="1"/>
  <c r="M26" i="13" s="1"/>
  <c r="E27" i="13"/>
  <c r="H27" i="13" s="1"/>
  <c r="M27" i="13" s="1"/>
  <c r="E28" i="13"/>
  <c r="H28" i="13" s="1"/>
  <c r="M28" i="13" s="1"/>
  <c r="E29" i="13"/>
  <c r="H29" i="13" s="1"/>
  <c r="M29" i="13" s="1"/>
  <c r="E30" i="13"/>
  <c r="H30" i="13" s="1"/>
  <c r="M30" i="13" s="1"/>
  <c r="E31" i="13"/>
  <c r="H31" i="13" s="1"/>
  <c r="M31" i="13" s="1"/>
  <c r="E32" i="13"/>
  <c r="H32" i="13" s="1"/>
  <c r="M32" i="13" s="1"/>
  <c r="E33" i="13"/>
  <c r="H33" i="13" s="1"/>
  <c r="M33" i="13" s="1"/>
  <c r="E34" i="13"/>
  <c r="H34" i="13" s="1"/>
  <c r="M34" i="13" s="1"/>
  <c r="E35" i="13"/>
  <c r="H35" i="13" s="1"/>
  <c r="M35" i="13" s="1"/>
  <c r="E36" i="13"/>
  <c r="H36" i="13" s="1"/>
  <c r="M36" i="13" s="1"/>
  <c r="E37" i="13"/>
  <c r="H37" i="13" s="1"/>
  <c r="M37" i="13" s="1"/>
  <c r="E38" i="13"/>
  <c r="H38" i="13" s="1"/>
  <c r="M38" i="13" s="1"/>
  <c r="E39" i="13"/>
  <c r="H39" i="13" s="1"/>
  <c r="M39" i="13" s="1"/>
  <c r="E40" i="13"/>
  <c r="H40" i="13" s="1"/>
  <c r="M40" i="13" s="1"/>
  <c r="E41" i="13"/>
  <c r="H41" i="13" s="1"/>
  <c r="M41" i="13" s="1"/>
  <c r="E42" i="13"/>
  <c r="H42" i="13" s="1"/>
  <c r="M42" i="13" s="1"/>
  <c r="E43" i="13"/>
  <c r="H43" i="13" s="1"/>
  <c r="M43" i="13" s="1"/>
  <c r="E44" i="13"/>
  <c r="H44" i="13" s="1"/>
  <c r="M44" i="13" s="1"/>
  <c r="E45" i="13"/>
  <c r="H45" i="13" s="1"/>
  <c r="M45" i="13" s="1"/>
  <c r="E46" i="13"/>
  <c r="H46" i="13" s="1"/>
  <c r="M46" i="13" s="1"/>
  <c r="E47" i="13"/>
  <c r="H47" i="13" s="1"/>
  <c r="M47" i="13" s="1"/>
  <c r="E48" i="13"/>
  <c r="H48" i="13" s="1"/>
  <c r="M48" i="13" s="1"/>
  <c r="E49" i="13"/>
  <c r="H49" i="13" s="1"/>
  <c r="M49" i="13" s="1"/>
  <c r="E50" i="13"/>
  <c r="H50" i="13" s="1"/>
  <c r="M50" i="13" s="1"/>
  <c r="E51" i="13"/>
  <c r="H51" i="13" s="1"/>
  <c r="M51" i="13" s="1"/>
  <c r="E52" i="13"/>
  <c r="H52" i="13" s="1"/>
  <c r="M52" i="13" s="1"/>
  <c r="E53" i="13"/>
  <c r="H53" i="13" s="1"/>
  <c r="M53" i="13" s="1"/>
  <c r="E54" i="13"/>
  <c r="H54" i="13" s="1"/>
  <c r="M54" i="13" s="1"/>
  <c r="E55" i="13"/>
  <c r="H55" i="13" s="1"/>
  <c r="M55" i="13" s="1"/>
  <c r="E56" i="13"/>
  <c r="H56" i="13" s="1"/>
  <c r="M56" i="13" s="1"/>
  <c r="E57" i="13"/>
  <c r="H57" i="13" s="1"/>
  <c r="M57" i="13" s="1"/>
  <c r="E58" i="13"/>
  <c r="H58" i="13" s="1"/>
  <c r="M58" i="13" s="1"/>
  <c r="E59" i="13"/>
  <c r="H59" i="13" s="1"/>
  <c r="M59" i="13" s="1"/>
  <c r="E60" i="13"/>
  <c r="H60" i="13" s="1"/>
  <c r="M60" i="13" s="1"/>
  <c r="E61" i="13"/>
  <c r="H61" i="13" s="1"/>
  <c r="M61" i="13" s="1"/>
  <c r="E62" i="13"/>
  <c r="H62" i="13" s="1"/>
  <c r="M62" i="13" s="1"/>
  <c r="E63" i="13"/>
  <c r="H63" i="13" s="1"/>
  <c r="M63" i="13" s="1"/>
  <c r="E64" i="13"/>
  <c r="H64" i="13" s="1"/>
  <c r="M64" i="13" s="1"/>
  <c r="E65" i="13"/>
  <c r="H65" i="13" s="1"/>
  <c r="M65" i="13" s="1"/>
  <c r="E66" i="13"/>
  <c r="H66" i="13" s="1"/>
  <c r="M66" i="13" s="1"/>
  <c r="E67" i="13"/>
  <c r="H67" i="13" s="1"/>
  <c r="M67" i="13" s="1"/>
  <c r="E68" i="13"/>
  <c r="H68" i="13" s="1"/>
  <c r="M68" i="13" s="1"/>
  <c r="E69" i="13"/>
  <c r="H69" i="13" s="1"/>
  <c r="M69" i="13" s="1"/>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D7" i="13"/>
  <c r="C7" i="13" s="1"/>
  <c r="D8" i="13"/>
  <c r="C8" i="13" s="1"/>
  <c r="D9" i="13"/>
  <c r="C9" i="13" s="1"/>
  <c r="D10" i="13"/>
  <c r="C10" i="13" s="1"/>
  <c r="D11" i="13"/>
  <c r="C11" i="13" s="1"/>
  <c r="D12" i="13"/>
  <c r="C12" i="13" s="1"/>
  <c r="D13" i="13"/>
  <c r="C13" i="13" s="1"/>
  <c r="D14" i="13"/>
  <c r="C14" i="13" s="1"/>
  <c r="D15" i="13"/>
  <c r="C15" i="13" s="1"/>
  <c r="D16" i="13"/>
  <c r="C16" i="13" s="1"/>
  <c r="D17" i="13"/>
  <c r="C17" i="13" s="1"/>
  <c r="D18" i="13"/>
  <c r="C18" i="13" s="1"/>
  <c r="D19" i="13"/>
  <c r="C19" i="13" s="1"/>
  <c r="D20" i="13"/>
  <c r="C20" i="13" s="1"/>
  <c r="D21" i="13"/>
  <c r="C21" i="13" s="1"/>
  <c r="D22" i="13"/>
  <c r="C22" i="13" s="1"/>
  <c r="D23" i="13"/>
  <c r="C23" i="13" s="1"/>
  <c r="D24" i="13"/>
  <c r="C24" i="13" s="1"/>
  <c r="D25" i="13"/>
  <c r="C25" i="13" s="1"/>
  <c r="K25" i="13" s="1"/>
  <c r="D26" i="13"/>
  <c r="C26" i="13" s="1"/>
  <c r="K26" i="13" s="1"/>
  <c r="D27" i="13"/>
  <c r="C27" i="13" s="1"/>
  <c r="D28" i="13"/>
  <c r="C28" i="13" s="1"/>
  <c r="D29" i="13"/>
  <c r="C29" i="13" s="1"/>
  <c r="D30" i="13"/>
  <c r="C30" i="13" s="1"/>
  <c r="D31" i="13"/>
  <c r="C31" i="13" s="1"/>
  <c r="K31" i="13" s="1"/>
  <c r="D32" i="13"/>
  <c r="C32" i="13" s="1"/>
  <c r="D33" i="13"/>
  <c r="C33" i="13" s="1"/>
  <c r="D34" i="13"/>
  <c r="C34" i="13" s="1"/>
  <c r="D35" i="13"/>
  <c r="C35" i="13" s="1"/>
  <c r="D36" i="13"/>
  <c r="C36" i="13" s="1"/>
  <c r="D37" i="13"/>
  <c r="C37" i="13" s="1"/>
  <c r="D38" i="13"/>
  <c r="C38" i="13" s="1"/>
  <c r="D39" i="13"/>
  <c r="C39" i="13" s="1"/>
  <c r="K39" i="13" s="1"/>
  <c r="D40" i="13"/>
  <c r="C40" i="13" s="1"/>
  <c r="D41" i="13"/>
  <c r="C41" i="13" s="1"/>
  <c r="D42" i="13"/>
  <c r="C42" i="13" s="1"/>
  <c r="D43" i="13"/>
  <c r="C43" i="13" s="1"/>
  <c r="D44" i="13"/>
  <c r="C44" i="13" s="1"/>
  <c r="D45" i="13"/>
  <c r="C45" i="13" s="1"/>
  <c r="D46" i="13"/>
  <c r="C46" i="13" s="1"/>
  <c r="D47" i="13"/>
  <c r="C47" i="13" s="1"/>
  <c r="K47" i="13" s="1"/>
  <c r="D48" i="13"/>
  <c r="C48" i="13" s="1"/>
  <c r="D49" i="13"/>
  <c r="C49" i="13" s="1"/>
  <c r="D50" i="13"/>
  <c r="C50" i="13" s="1"/>
  <c r="D51" i="13"/>
  <c r="C51" i="13" s="1"/>
  <c r="D52" i="13"/>
  <c r="C52" i="13" s="1"/>
  <c r="D53" i="13"/>
  <c r="C53" i="13" s="1"/>
  <c r="D54" i="13"/>
  <c r="C54" i="13" s="1"/>
  <c r="D55" i="13"/>
  <c r="C55" i="13" s="1"/>
  <c r="K55" i="13" s="1"/>
  <c r="D56" i="13"/>
  <c r="C56" i="13" s="1"/>
  <c r="D57" i="13"/>
  <c r="C57" i="13" s="1"/>
  <c r="D58" i="13"/>
  <c r="C58" i="13" s="1"/>
  <c r="D59" i="13"/>
  <c r="C59" i="13" s="1"/>
  <c r="D60" i="13"/>
  <c r="C60" i="13" s="1"/>
  <c r="D61" i="13"/>
  <c r="C61" i="13" s="1"/>
  <c r="D62" i="13"/>
  <c r="C62" i="13" s="1"/>
  <c r="D63" i="13"/>
  <c r="C63" i="13" s="1"/>
  <c r="K63" i="13" s="1"/>
  <c r="D64" i="13"/>
  <c r="C64" i="13" s="1"/>
  <c r="K64" i="13" s="1"/>
  <c r="D65" i="13"/>
  <c r="C65" i="13" s="1"/>
  <c r="D66" i="13"/>
  <c r="C66" i="13" s="1"/>
  <c r="D67" i="13"/>
  <c r="C67" i="13" s="1"/>
  <c r="D68" i="13"/>
  <c r="C68" i="13" s="1"/>
  <c r="D69" i="13"/>
  <c r="C69" i="13" s="1"/>
  <c r="E8" i="6"/>
  <c r="E9" i="6"/>
  <c r="E10" i="6"/>
  <c r="E11" i="6"/>
  <c r="E12" i="6"/>
  <c r="E13" i="6"/>
  <c r="E14" i="6"/>
  <c r="E15" i="6"/>
  <c r="E16" i="6"/>
  <c r="E17" i="6"/>
  <c r="E18" i="6"/>
  <c r="E19" i="6"/>
  <c r="E20" i="6"/>
  <c r="E21" i="6"/>
  <c r="E22" i="6"/>
  <c r="E23" i="6"/>
  <c r="E24" i="6"/>
  <c r="E25" i="6"/>
  <c r="E26" i="6"/>
  <c r="E27" i="6"/>
  <c r="D27" i="6"/>
  <c r="D26" i="6"/>
  <c r="D25" i="6"/>
  <c r="D24" i="6"/>
  <c r="D23" i="6"/>
  <c r="D22" i="6"/>
  <c r="D21" i="6"/>
  <c r="D20" i="6"/>
  <c r="D19" i="6"/>
  <c r="D18" i="6"/>
  <c r="D17" i="6"/>
  <c r="D16" i="6"/>
  <c r="D15" i="6"/>
  <c r="D14" i="6"/>
  <c r="D13" i="6"/>
  <c r="D12" i="6"/>
  <c r="D11" i="6"/>
  <c r="D10" i="6"/>
  <c r="D9" i="6"/>
  <c r="D8" i="6"/>
  <c r="C8" i="6"/>
  <c r="C9" i="6"/>
  <c r="C10" i="6"/>
  <c r="C11" i="6"/>
  <c r="C12" i="6"/>
  <c r="C13" i="6"/>
  <c r="C14" i="6"/>
  <c r="C15" i="6"/>
  <c r="C16" i="6"/>
  <c r="C17" i="6"/>
  <c r="C18" i="6"/>
  <c r="C19" i="6"/>
  <c r="C20" i="6"/>
  <c r="C21" i="6"/>
  <c r="C22" i="6"/>
  <c r="C23" i="6"/>
  <c r="C24" i="6"/>
  <c r="C25" i="6"/>
  <c r="C26" i="6"/>
  <c r="C27" i="6"/>
  <c r="B5" i="6"/>
  <c r="B3" i="6"/>
  <c r="M74" i="11"/>
  <c r="L74" i="11"/>
  <c r="K74" i="11"/>
  <c r="J74" i="11"/>
  <c r="I74" i="11"/>
  <c r="H74" i="11"/>
  <c r="G74" i="11"/>
  <c r="F74" i="11"/>
  <c r="E74" i="11"/>
  <c r="D74" i="11"/>
  <c r="M73" i="11"/>
  <c r="L73" i="11"/>
  <c r="K73" i="11"/>
  <c r="J73" i="11"/>
  <c r="I73" i="11"/>
  <c r="H73" i="11"/>
  <c r="G73" i="11"/>
  <c r="F73" i="11"/>
  <c r="E73" i="11"/>
  <c r="D73" i="11"/>
  <c r="M72" i="11"/>
  <c r="L72" i="11"/>
  <c r="K72" i="11"/>
  <c r="J72" i="11"/>
  <c r="I72" i="11"/>
  <c r="H72" i="11"/>
  <c r="G72" i="11"/>
  <c r="F72" i="11"/>
  <c r="E72" i="11"/>
  <c r="D72" i="11"/>
  <c r="M71" i="11"/>
  <c r="L71" i="11"/>
  <c r="K71" i="11"/>
  <c r="J71" i="11"/>
  <c r="I71" i="11"/>
  <c r="H71" i="11"/>
  <c r="G71" i="11"/>
  <c r="F71" i="11"/>
  <c r="E71" i="11"/>
  <c r="D71" i="11"/>
  <c r="M70" i="11"/>
  <c r="L70" i="11"/>
  <c r="K70" i="11"/>
  <c r="J70" i="11"/>
  <c r="I70" i="11"/>
  <c r="H70" i="11"/>
  <c r="G70" i="11"/>
  <c r="F70" i="11"/>
  <c r="E70" i="11"/>
  <c r="D70" i="11"/>
  <c r="M69" i="11"/>
  <c r="L69" i="11"/>
  <c r="K69" i="11"/>
  <c r="J69" i="11"/>
  <c r="I69" i="11"/>
  <c r="H69" i="11"/>
  <c r="G69" i="11"/>
  <c r="F69" i="11"/>
  <c r="E69" i="11"/>
  <c r="D69" i="11"/>
  <c r="M68" i="11"/>
  <c r="L68" i="11"/>
  <c r="K68" i="11"/>
  <c r="J68" i="11"/>
  <c r="I68" i="11"/>
  <c r="H68" i="11"/>
  <c r="G68" i="11"/>
  <c r="F68" i="11"/>
  <c r="E68" i="11"/>
  <c r="D68" i="11"/>
  <c r="M67" i="11"/>
  <c r="L67" i="11"/>
  <c r="K67" i="11"/>
  <c r="J67" i="11"/>
  <c r="I67" i="11"/>
  <c r="H67" i="11"/>
  <c r="G67" i="11"/>
  <c r="F67" i="11"/>
  <c r="E67" i="11"/>
  <c r="D67" i="11"/>
  <c r="M66" i="11"/>
  <c r="L66" i="11"/>
  <c r="K66" i="11"/>
  <c r="J66" i="11"/>
  <c r="I66" i="11"/>
  <c r="H66" i="11"/>
  <c r="G66" i="11"/>
  <c r="F66" i="11"/>
  <c r="E66" i="11"/>
  <c r="D66" i="11"/>
  <c r="M65" i="11"/>
  <c r="L65" i="11"/>
  <c r="K65" i="11"/>
  <c r="J65" i="11"/>
  <c r="I65" i="11"/>
  <c r="H65" i="11"/>
  <c r="G65" i="11"/>
  <c r="F65" i="11"/>
  <c r="E65" i="11"/>
  <c r="D65" i="11"/>
  <c r="M64" i="11"/>
  <c r="L64" i="11"/>
  <c r="K64" i="11"/>
  <c r="J64" i="11"/>
  <c r="I64" i="11"/>
  <c r="H64" i="11"/>
  <c r="G64" i="11"/>
  <c r="F64" i="11"/>
  <c r="E64" i="11"/>
  <c r="D64" i="11"/>
  <c r="M63" i="11"/>
  <c r="L63" i="11"/>
  <c r="K63" i="11"/>
  <c r="J63" i="11"/>
  <c r="I63" i="11"/>
  <c r="H63" i="11"/>
  <c r="G63" i="11"/>
  <c r="F63" i="11"/>
  <c r="E63" i="11"/>
  <c r="D63" i="11"/>
  <c r="M62" i="11"/>
  <c r="L62" i="11"/>
  <c r="K62" i="11"/>
  <c r="J62" i="11"/>
  <c r="I62" i="11"/>
  <c r="H62" i="11"/>
  <c r="G62" i="11"/>
  <c r="F62" i="11"/>
  <c r="E62" i="11"/>
  <c r="D62" i="11"/>
  <c r="M38" i="11"/>
  <c r="L38" i="11"/>
  <c r="K38" i="11"/>
  <c r="J38" i="11"/>
  <c r="I38" i="11"/>
  <c r="H38" i="11"/>
  <c r="G38" i="11"/>
  <c r="F38" i="11"/>
  <c r="E38" i="11"/>
  <c r="D38" i="11"/>
  <c r="M37" i="11"/>
  <c r="L37" i="11"/>
  <c r="K37" i="11"/>
  <c r="J37" i="11"/>
  <c r="I37" i="11"/>
  <c r="H37" i="11"/>
  <c r="G37" i="11"/>
  <c r="F37" i="11"/>
  <c r="E37" i="11"/>
  <c r="D37" i="11"/>
  <c r="M36" i="11"/>
  <c r="L36" i="11"/>
  <c r="K36" i="11"/>
  <c r="J36" i="11"/>
  <c r="I36" i="11"/>
  <c r="H36" i="11"/>
  <c r="G36" i="11"/>
  <c r="F36" i="11"/>
  <c r="E36" i="11"/>
  <c r="D36" i="11"/>
  <c r="M35" i="11"/>
  <c r="L35" i="11"/>
  <c r="K35" i="11"/>
  <c r="J35" i="11"/>
  <c r="I35" i="11"/>
  <c r="H35" i="11"/>
  <c r="G35" i="11"/>
  <c r="F35" i="11"/>
  <c r="E35" i="11"/>
  <c r="D35" i="11"/>
  <c r="M34" i="11"/>
  <c r="L34" i="11"/>
  <c r="K34" i="11"/>
  <c r="J34" i="11"/>
  <c r="I34" i="11"/>
  <c r="H34" i="11"/>
  <c r="G34" i="11"/>
  <c r="F34" i="11"/>
  <c r="E34" i="11"/>
  <c r="D34" i="11"/>
  <c r="M33" i="11"/>
  <c r="L33" i="11"/>
  <c r="K33" i="11"/>
  <c r="J33" i="11"/>
  <c r="I33" i="11"/>
  <c r="H33" i="11"/>
  <c r="G33" i="11"/>
  <c r="F33" i="11"/>
  <c r="E33" i="11"/>
  <c r="D33" i="11"/>
  <c r="M32" i="11"/>
  <c r="L32" i="11"/>
  <c r="K32" i="11"/>
  <c r="J32" i="11"/>
  <c r="I32" i="11"/>
  <c r="H32" i="11"/>
  <c r="G32" i="11"/>
  <c r="F32" i="11"/>
  <c r="E32" i="11"/>
  <c r="D32" i="11"/>
  <c r="M31" i="11"/>
  <c r="L31" i="11"/>
  <c r="K31" i="11"/>
  <c r="J31" i="11"/>
  <c r="I31" i="11"/>
  <c r="H31" i="11"/>
  <c r="G31" i="11"/>
  <c r="F31" i="11"/>
  <c r="E31" i="11"/>
  <c r="D31" i="11"/>
  <c r="M30" i="11"/>
  <c r="L30" i="11"/>
  <c r="K30" i="11"/>
  <c r="J30" i="11"/>
  <c r="I30" i="11"/>
  <c r="H30" i="11"/>
  <c r="G30" i="11"/>
  <c r="F30" i="11"/>
  <c r="E30" i="11"/>
  <c r="D30" i="11"/>
  <c r="M29" i="11"/>
  <c r="L29" i="11"/>
  <c r="K29" i="11"/>
  <c r="J29" i="11"/>
  <c r="I29" i="11"/>
  <c r="H29" i="11"/>
  <c r="G29" i="11"/>
  <c r="F29" i="11"/>
  <c r="E29" i="11"/>
  <c r="D29" i="11"/>
  <c r="M28" i="11"/>
  <c r="L28" i="11"/>
  <c r="K28" i="11"/>
  <c r="J28" i="11"/>
  <c r="I28" i="11"/>
  <c r="H28" i="11"/>
  <c r="G28" i="11"/>
  <c r="F28" i="11"/>
  <c r="E28" i="11"/>
  <c r="D28" i="11"/>
  <c r="M27" i="11"/>
  <c r="L27" i="11"/>
  <c r="K27" i="11"/>
  <c r="J27" i="11"/>
  <c r="I27" i="11"/>
  <c r="H27" i="11"/>
  <c r="G27" i="11"/>
  <c r="F27" i="11"/>
  <c r="E27" i="11"/>
  <c r="D27" i="11"/>
  <c r="M26" i="11"/>
  <c r="L26" i="11"/>
  <c r="K26" i="11"/>
  <c r="J26" i="11"/>
  <c r="I26" i="11"/>
  <c r="H26" i="11"/>
  <c r="G26" i="11"/>
  <c r="F26" i="11"/>
  <c r="E26" i="11"/>
  <c r="D26" i="11"/>
  <c r="M19" i="11"/>
  <c r="L19" i="11"/>
  <c r="K19" i="11"/>
  <c r="J19" i="11"/>
  <c r="I19" i="11"/>
  <c r="H19" i="11"/>
  <c r="G19" i="11"/>
  <c r="F19" i="11"/>
  <c r="E19" i="11"/>
  <c r="D19" i="11"/>
  <c r="M18" i="11"/>
  <c r="L18" i="11"/>
  <c r="K18" i="11"/>
  <c r="J18" i="11"/>
  <c r="I18" i="11"/>
  <c r="H18" i="11"/>
  <c r="G18" i="11"/>
  <c r="F18" i="11"/>
  <c r="E18" i="11"/>
  <c r="D18" i="11"/>
  <c r="M17" i="11"/>
  <c r="L17" i="11"/>
  <c r="K17" i="11"/>
  <c r="J17" i="11"/>
  <c r="I17" i="11"/>
  <c r="H17" i="11"/>
  <c r="G17" i="11"/>
  <c r="F17" i="11"/>
  <c r="E17" i="11"/>
  <c r="D17" i="11"/>
  <c r="M16" i="11"/>
  <c r="L16" i="11"/>
  <c r="K16" i="11"/>
  <c r="J16" i="11"/>
  <c r="I16" i="11"/>
  <c r="H16" i="11"/>
  <c r="G16" i="11"/>
  <c r="F16" i="11"/>
  <c r="E16" i="11"/>
  <c r="D16" i="11"/>
  <c r="M15" i="11"/>
  <c r="L15" i="11"/>
  <c r="K15" i="11"/>
  <c r="J15" i="11"/>
  <c r="I15" i="11"/>
  <c r="H15" i="11"/>
  <c r="G15" i="11"/>
  <c r="F15" i="11"/>
  <c r="E15" i="11"/>
  <c r="D15" i="11"/>
  <c r="M14" i="11"/>
  <c r="L14" i="11"/>
  <c r="K14" i="11"/>
  <c r="J14" i="11"/>
  <c r="I14" i="11"/>
  <c r="H14" i="11"/>
  <c r="G14" i="11"/>
  <c r="F14" i="11"/>
  <c r="E14" i="11"/>
  <c r="D14" i="11"/>
  <c r="M13" i="11"/>
  <c r="L13" i="11"/>
  <c r="K13" i="11"/>
  <c r="J13" i="11"/>
  <c r="I13" i="11"/>
  <c r="H13" i="11"/>
  <c r="G13" i="11"/>
  <c r="F13" i="11"/>
  <c r="E13" i="11"/>
  <c r="D13" i="11"/>
  <c r="M12" i="11"/>
  <c r="L12" i="11"/>
  <c r="K12" i="11"/>
  <c r="J12" i="11"/>
  <c r="I12" i="11"/>
  <c r="H12" i="11"/>
  <c r="G12" i="11"/>
  <c r="F12" i="11"/>
  <c r="E12" i="11"/>
  <c r="D12" i="11"/>
  <c r="M11" i="11"/>
  <c r="L11" i="11"/>
  <c r="K11" i="11"/>
  <c r="J11" i="11"/>
  <c r="I11" i="11"/>
  <c r="H11" i="11"/>
  <c r="G11" i="11"/>
  <c r="F11" i="11"/>
  <c r="E11" i="11"/>
  <c r="D11" i="11"/>
  <c r="M10" i="11"/>
  <c r="L10" i="11"/>
  <c r="K10" i="11"/>
  <c r="J10" i="11"/>
  <c r="I10" i="11"/>
  <c r="H10" i="11"/>
  <c r="G10" i="11"/>
  <c r="F10" i="11"/>
  <c r="E10" i="11"/>
  <c r="D10" i="11"/>
  <c r="M9" i="11"/>
  <c r="L9" i="11"/>
  <c r="K9" i="11"/>
  <c r="J9" i="11"/>
  <c r="I9" i="11"/>
  <c r="H9" i="11"/>
  <c r="G9" i="11"/>
  <c r="F9" i="11"/>
  <c r="E9" i="11"/>
  <c r="D9" i="11"/>
  <c r="M8" i="11"/>
  <c r="L8" i="11"/>
  <c r="K8" i="11"/>
  <c r="J8" i="11"/>
  <c r="I8" i="11"/>
  <c r="H8" i="11"/>
  <c r="G8" i="11"/>
  <c r="F8" i="11"/>
  <c r="E8" i="11"/>
  <c r="D8" i="11"/>
  <c r="M7" i="11"/>
  <c r="L7" i="11"/>
  <c r="K7" i="11"/>
  <c r="J7" i="11"/>
  <c r="I7" i="11"/>
  <c r="H7" i="11"/>
  <c r="G7" i="11"/>
  <c r="F7" i="11"/>
  <c r="E7" i="11"/>
  <c r="D7" i="11"/>
  <c r="I69" i="20" l="1"/>
  <c r="M69" i="20"/>
  <c r="M61" i="20"/>
  <c r="M57" i="20"/>
  <c r="M53" i="20"/>
  <c r="M29" i="20"/>
  <c r="M25" i="20"/>
  <c r="M67" i="20"/>
  <c r="J51" i="20"/>
  <c r="M32" i="20"/>
  <c r="I23" i="20"/>
  <c r="M60" i="20"/>
  <c r="M49" i="20"/>
  <c r="M45" i="20"/>
  <c r="J30" i="20"/>
  <c r="P30" i="20" s="1" a="1"/>
  <c r="P30" i="20" s="1"/>
  <c r="I19" i="20"/>
  <c r="J16" i="20"/>
  <c r="P16" i="20" s="1" a="1"/>
  <c r="P16" i="20" s="1"/>
  <c r="N16" i="20"/>
  <c r="M7" i="20"/>
  <c r="M55" i="20"/>
  <c r="M52" i="20"/>
  <c r="P51" i="20" a="1"/>
  <c r="P51" i="20" s="1"/>
  <c r="M40" i="20"/>
  <c r="M36" i="20"/>
  <c r="I35" i="20"/>
  <c r="M22" i="20"/>
  <c r="I21" i="20"/>
  <c r="J12" i="20"/>
  <c r="P12" i="20" s="1" a="1"/>
  <c r="P12" i="20" s="1"/>
  <c r="M14" i="20"/>
  <c r="M66" i="20"/>
  <c r="M63" i="20"/>
  <c r="M54" i="20"/>
  <c r="M51" i="20"/>
  <c r="M48" i="20"/>
  <c r="M44" i="20"/>
  <c r="M41" i="20"/>
  <c r="N40" i="20"/>
  <c r="M37" i="20"/>
  <c r="N36" i="20"/>
  <c r="M34" i="20"/>
  <c r="M31" i="20"/>
  <c r="M28" i="20"/>
  <c r="M21" i="20"/>
  <c r="M19" i="20"/>
  <c r="M16" i="20"/>
  <c r="M13" i="20"/>
  <c r="N10" i="20"/>
  <c r="M8" i="20"/>
  <c r="M33" i="20"/>
  <c r="M65" i="20"/>
  <c r="M62" i="20"/>
  <c r="I62" i="20"/>
  <c r="I33" i="20"/>
  <c r="M24" i="20"/>
  <c r="M59" i="20"/>
  <c r="M56" i="20"/>
  <c r="I55" i="20"/>
  <c r="M50" i="20"/>
  <c r="M46" i="20"/>
  <c r="N44" i="20"/>
  <c r="M39" i="20"/>
  <c r="M35" i="20"/>
  <c r="M30" i="20"/>
  <c r="I29" i="20"/>
  <c r="M26" i="20"/>
  <c r="I25" i="20"/>
  <c r="M23" i="20"/>
  <c r="M17" i="20"/>
  <c r="J14" i="20"/>
  <c r="P14" i="20" s="1" a="1"/>
  <c r="P14" i="20" s="1"/>
  <c r="M12" i="20"/>
  <c r="M9" i="20"/>
  <c r="K46" i="20"/>
  <c r="L46" i="20" s="1"/>
  <c r="J46" i="20"/>
  <c r="P46" i="20" s="1" a="1"/>
  <c r="P46" i="20" s="1"/>
  <c r="J44" i="20"/>
  <c r="P44" i="20" s="1" a="1"/>
  <c r="P44" i="20" s="1"/>
  <c r="J26" i="20"/>
  <c r="P26" i="20" s="1" a="1"/>
  <c r="P26" i="20" s="1"/>
  <c r="J48" i="20"/>
  <c r="P48" i="20" s="1" a="1"/>
  <c r="P48" i="20" s="1"/>
  <c r="J40" i="20"/>
  <c r="P40" i="20" s="1" a="1"/>
  <c r="P40" i="20" s="1"/>
  <c r="N62" i="20"/>
  <c r="I43" i="20"/>
  <c r="K35" i="20"/>
  <c r="L35" i="20" s="1"/>
  <c r="J35" i="20"/>
  <c r="P35" i="20" s="1" a="1"/>
  <c r="P35" i="20" s="1"/>
  <c r="N12" i="20"/>
  <c r="J10" i="20"/>
  <c r="P10" i="20" s="1" a="1"/>
  <c r="P10" i="20" s="1"/>
  <c r="K66" i="20"/>
  <c r="N66" i="20"/>
  <c r="I66" i="20"/>
  <c r="J66" i="20"/>
  <c r="P66" i="20" s="1" a="1"/>
  <c r="P66" i="20" s="1"/>
  <c r="J54" i="20"/>
  <c r="P54" i="20" s="1" a="1"/>
  <c r="P54" i="20" s="1"/>
  <c r="K54" i="20"/>
  <c r="N54" i="20"/>
  <c r="I54" i="20"/>
  <c r="I50" i="20"/>
  <c r="K50" i="20"/>
  <c r="J50" i="20"/>
  <c r="P50" i="20" s="1" a="1"/>
  <c r="P50" i="20" s="1"/>
  <c r="I17" i="20"/>
  <c r="K17" i="20"/>
  <c r="I65" i="20"/>
  <c r="K65" i="20"/>
  <c r="L65" i="20" s="1"/>
  <c r="J47" i="20"/>
  <c r="P47" i="20" s="1" a="1"/>
  <c r="P47" i="20" s="1"/>
  <c r="N47" i="20"/>
  <c r="I47" i="20"/>
  <c r="I41" i="20"/>
  <c r="K41" i="20"/>
  <c r="I31" i="20"/>
  <c r="K31" i="20"/>
  <c r="J58" i="20"/>
  <c r="P58" i="20" s="1" a="1"/>
  <c r="P58" i="20" s="1"/>
  <c r="K58" i="20"/>
  <c r="N58" i="20"/>
  <c r="I58" i="20"/>
  <c r="K27" i="20"/>
  <c r="I27" i="20"/>
  <c r="J36" i="20"/>
  <c r="P36" i="20" s="1" a="1"/>
  <c r="P36" i="20" s="1"/>
  <c r="J34" i="20"/>
  <c r="P34" i="20" s="1" a="1"/>
  <c r="P34" i="20" s="1"/>
  <c r="K62" i="20"/>
  <c r="K69" i="20"/>
  <c r="L69" i="20" s="1"/>
  <c r="J62" i="20"/>
  <c r="P62" i="20" s="1" a="1"/>
  <c r="P62" i="20" s="1"/>
  <c r="N51" i="20"/>
  <c r="H44" i="20"/>
  <c r="K23" i="20"/>
  <c r="J22" i="20"/>
  <c r="P22" i="20" s="1" a="1"/>
  <c r="P22" i="20" s="1"/>
  <c r="K19" i="20"/>
  <c r="J18" i="20"/>
  <c r="P18" i="20" s="1" a="1"/>
  <c r="P18" i="20" s="1"/>
  <c r="N14" i="20"/>
  <c r="J52" i="20"/>
  <c r="P52" i="20" s="1" a="1"/>
  <c r="P52" i="20" s="1"/>
  <c r="I51" i="20"/>
  <c r="I46" i="20"/>
  <c r="N35" i="20"/>
  <c r="I13" i="20"/>
  <c r="L13" i="20" s="1"/>
  <c r="G16" i="21"/>
  <c r="H16" i="21" s="1"/>
  <c r="L16" i="21" s="1"/>
  <c r="G32" i="21"/>
  <c r="H32" i="21" s="1"/>
  <c r="L32" i="21" s="1"/>
  <c r="I3" i="21"/>
  <c r="J3" i="21" s="1"/>
  <c r="M3" i="21" s="1"/>
  <c r="G3" i="21"/>
  <c r="H3" i="21" s="1"/>
  <c r="L3" i="21" s="1"/>
  <c r="I11" i="21"/>
  <c r="J11" i="21" s="1"/>
  <c r="M11" i="21" s="1"/>
  <c r="G11" i="21"/>
  <c r="H11" i="21" s="1"/>
  <c r="L11" i="21" s="1"/>
  <c r="I39" i="21"/>
  <c r="J39" i="21" s="1"/>
  <c r="M39" i="21" s="1"/>
  <c r="G39" i="21"/>
  <c r="H39" i="21" s="1"/>
  <c r="L39" i="21" s="1"/>
  <c r="G17" i="21"/>
  <c r="H17" i="21" s="1"/>
  <c r="L17" i="21" s="1"/>
  <c r="I17" i="21"/>
  <c r="J17" i="21" s="1"/>
  <c r="M17" i="21" s="1"/>
  <c r="I24" i="21"/>
  <c r="J24" i="21" s="1"/>
  <c r="M24" i="21" s="1"/>
  <c r="G24" i="21"/>
  <c r="H24" i="21" s="1"/>
  <c r="L24" i="21" s="1"/>
  <c r="I4" i="21"/>
  <c r="J4" i="21" s="1"/>
  <c r="M4" i="21" s="1"/>
  <c r="G4" i="21"/>
  <c r="H4" i="21" s="1"/>
  <c r="L4" i="21" s="1"/>
  <c r="I35" i="21"/>
  <c r="J35" i="21" s="1"/>
  <c r="M35" i="21" s="1"/>
  <c r="G35" i="21"/>
  <c r="H35" i="21" s="1"/>
  <c r="L35" i="21" s="1"/>
  <c r="I12" i="21"/>
  <c r="J12" i="21" s="1"/>
  <c r="M12" i="21" s="1"/>
  <c r="G12" i="21"/>
  <c r="H12" i="21" s="1"/>
  <c r="L12" i="21" s="1"/>
  <c r="I31" i="21"/>
  <c r="J31" i="21" s="1"/>
  <c r="M31" i="21" s="1"/>
  <c r="G31" i="21"/>
  <c r="H31" i="21" s="1"/>
  <c r="L31" i="21" s="1"/>
  <c r="I5" i="21"/>
  <c r="J5" i="21" s="1"/>
  <c r="M5" i="21" s="1"/>
  <c r="G5" i="21"/>
  <c r="H5" i="21" s="1"/>
  <c r="L5" i="21" s="1"/>
  <c r="G21" i="21"/>
  <c r="H21" i="21" s="1"/>
  <c r="L21" i="21" s="1"/>
  <c r="I21" i="21"/>
  <c r="J21" i="21" s="1"/>
  <c r="M21" i="21" s="1"/>
  <c r="I28" i="21"/>
  <c r="J28" i="21" s="1"/>
  <c r="M28" i="21" s="1"/>
  <c r="G28" i="21"/>
  <c r="H28" i="21" s="1"/>
  <c r="L28" i="21" s="1"/>
  <c r="I43" i="21"/>
  <c r="J43" i="21" s="1"/>
  <c r="M43" i="21" s="1"/>
  <c r="G43" i="21"/>
  <c r="H43" i="21" s="1"/>
  <c r="L43" i="21" s="1"/>
  <c r="J64" i="20"/>
  <c r="P64" i="20" s="1" a="1"/>
  <c r="P64" i="20" s="1"/>
  <c r="N64" i="20"/>
  <c r="I64" i="20"/>
  <c r="K64" i="20"/>
  <c r="J68" i="20"/>
  <c r="P68" i="20" s="1" a="1"/>
  <c r="P68" i="20" s="1"/>
  <c r="N68" i="20"/>
  <c r="I68" i="20"/>
  <c r="K68" i="20"/>
  <c r="J59" i="20"/>
  <c r="P59" i="20" s="1" a="1"/>
  <c r="P59" i="20" s="1"/>
  <c r="N59" i="20"/>
  <c r="K59" i="20"/>
  <c r="I56" i="20"/>
  <c r="J56" i="20"/>
  <c r="P56" i="20" s="1" a="1"/>
  <c r="P56" i="20" s="1"/>
  <c r="N56" i="20"/>
  <c r="K56" i="20"/>
  <c r="I39" i="20"/>
  <c r="J39" i="20"/>
  <c r="P39" i="20" s="1" a="1"/>
  <c r="P39" i="20" s="1"/>
  <c r="N39" i="20"/>
  <c r="K39" i="20"/>
  <c r="J69" i="20"/>
  <c r="P69" i="20" s="1" a="1"/>
  <c r="P69" i="20" s="1"/>
  <c r="J67" i="20"/>
  <c r="P67" i="20" s="1" a="1"/>
  <c r="P67" i="20" s="1"/>
  <c r="J65" i="20"/>
  <c r="P65" i="20" s="1" a="1"/>
  <c r="P65" i="20" s="1"/>
  <c r="J63" i="20"/>
  <c r="P63" i="20" s="1" a="1"/>
  <c r="P63" i="20" s="1"/>
  <c r="L50" i="20"/>
  <c r="H37" i="20"/>
  <c r="I37" i="20"/>
  <c r="L37" i="20" s="1"/>
  <c r="I60" i="20"/>
  <c r="J60" i="20"/>
  <c r="P60" i="20" s="1" a="1"/>
  <c r="P60" i="20" s="1"/>
  <c r="N60" i="20"/>
  <c r="K60" i="20"/>
  <c r="I59" i="20"/>
  <c r="I57" i="20"/>
  <c r="J57" i="20"/>
  <c r="P57" i="20" s="1" a="1"/>
  <c r="P57" i="20" s="1"/>
  <c r="N57" i="20"/>
  <c r="J55" i="20"/>
  <c r="P55" i="20" s="1" a="1"/>
  <c r="P55" i="20" s="1"/>
  <c r="N55" i="20"/>
  <c r="K55" i="20"/>
  <c r="I53" i="20"/>
  <c r="J53" i="20"/>
  <c r="P53" i="20" s="1" a="1"/>
  <c r="P53" i="20" s="1"/>
  <c r="N53" i="20"/>
  <c r="I42" i="20"/>
  <c r="K42" i="20"/>
  <c r="J42" i="20"/>
  <c r="P42" i="20" s="1" a="1"/>
  <c r="P42" i="20" s="1"/>
  <c r="N42" i="20"/>
  <c r="J15" i="20"/>
  <c r="P15" i="20" s="1" a="1"/>
  <c r="P15" i="20" s="1"/>
  <c r="N15" i="20"/>
  <c r="I15" i="20"/>
  <c r="K15" i="20"/>
  <c r="N69" i="20"/>
  <c r="N67" i="20"/>
  <c r="I67" i="20"/>
  <c r="L67" i="20" s="1"/>
  <c r="N65" i="20"/>
  <c r="N63" i="20"/>
  <c r="I63" i="20"/>
  <c r="L63" i="20" s="1"/>
  <c r="K57" i="20"/>
  <c r="K53" i="20"/>
  <c r="I61" i="20"/>
  <c r="J61" i="20"/>
  <c r="P61" i="20" s="1" a="1"/>
  <c r="P61" i="20" s="1"/>
  <c r="N61" i="20"/>
  <c r="J49" i="20"/>
  <c r="P49" i="20" s="1" a="1"/>
  <c r="P49" i="20" s="1"/>
  <c r="N49" i="20"/>
  <c r="I49" i="20"/>
  <c r="K49" i="20"/>
  <c r="J45" i="20"/>
  <c r="P45" i="20" s="1" a="1"/>
  <c r="P45" i="20" s="1"/>
  <c r="N45" i="20"/>
  <c r="I45" i="20"/>
  <c r="K45" i="20"/>
  <c r="I38" i="20"/>
  <c r="J38" i="20"/>
  <c r="P38" i="20" s="1" a="1"/>
  <c r="P38" i="20" s="1"/>
  <c r="N38" i="20"/>
  <c r="K38" i="20"/>
  <c r="J43" i="20"/>
  <c r="P43" i="20" s="1" a="1"/>
  <c r="P43" i="20" s="1"/>
  <c r="N43" i="20"/>
  <c r="I32" i="20"/>
  <c r="K32" i="20"/>
  <c r="L32" i="20" s="1"/>
  <c r="J32" i="20"/>
  <c r="P32" i="20" s="1" a="1"/>
  <c r="P32" i="20" s="1"/>
  <c r="N32" i="20"/>
  <c r="I28" i="20"/>
  <c r="K28" i="20"/>
  <c r="L28" i="20" s="1"/>
  <c r="J28" i="20"/>
  <c r="P28" i="20" s="1" a="1"/>
  <c r="P28" i="20" s="1"/>
  <c r="N28" i="20"/>
  <c r="I24" i="20"/>
  <c r="K24" i="20"/>
  <c r="L24" i="20" s="1"/>
  <c r="J24" i="20"/>
  <c r="P24" i="20" s="1" a="1"/>
  <c r="P24" i="20" s="1"/>
  <c r="N24" i="20"/>
  <c r="N52" i="20"/>
  <c r="I52" i="20"/>
  <c r="L52" i="20" s="1"/>
  <c r="K51" i="20"/>
  <c r="N50" i="20"/>
  <c r="N48" i="20"/>
  <c r="I48" i="20"/>
  <c r="L48" i="20" s="1"/>
  <c r="O48" i="20" s="1"/>
  <c r="K47" i="20"/>
  <c r="N46" i="20"/>
  <c r="K44" i="20"/>
  <c r="I44" i="20"/>
  <c r="K40" i="20"/>
  <c r="I40" i="20"/>
  <c r="J37" i="20"/>
  <c r="P37" i="20" s="1" a="1"/>
  <c r="P37" i="20" s="1"/>
  <c r="I20" i="20"/>
  <c r="K20" i="20"/>
  <c r="J20" i="20"/>
  <c r="P20" i="20" s="1" a="1"/>
  <c r="P20" i="20" s="1"/>
  <c r="N20" i="20"/>
  <c r="K43" i="20"/>
  <c r="J41" i="20"/>
  <c r="P41" i="20" s="1" a="1"/>
  <c r="P41" i="20" s="1"/>
  <c r="N41" i="20"/>
  <c r="K36" i="20"/>
  <c r="I36" i="20"/>
  <c r="J11" i="20"/>
  <c r="P11" i="20" s="1" a="1"/>
  <c r="P11" i="20" s="1"/>
  <c r="N11" i="20"/>
  <c r="I11" i="20"/>
  <c r="K11" i="20"/>
  <c r="J33" i="20"/>
  <c r="P33" i="20" s="1" a="1"/>
  <c r="P33" i="20" s="1"/>
  <c r="N33" i="20"/>
  <c r="J29" i="20"/>
  <c r="P29" i="20" s="1" a="1"/>
  <c r="P29" i="20" s="1"/>
  <c r="N29" i="20"/>
  <c r="J25" i="20"/>
  <c r="P25" i="20" s="1" a="1"/>
  <c r="P25" i="20" s="1"/>
  <c r="N25" i="20"/>
  <c r="J21" i="20"/>
  <c r="P21" i="20" s="1" a="1"/>
  <c r="P21" i="20" s="1"/>
  <c r="N21" i="20"/>
  <c r="I16" i="20"/>
  <c r="K16" i="20"/>
  <c r="I12" i="20"/>
  <c r="K12" i="20"/>
  <c r="K34" i="20"/>
  <c r="I34" i="20"/>
  <c r="K30" i="20"/>
  <c r="I30" i="20"/>
  <c r="K26" i="20"/>
  <c r="I26" i="20"/>
  <c r="K22" i="20"/>
  <c r="I22" i="20"/>
  <c r="K18" i="20"/>
  <c r="I18" i="20"/>
  <c r="J17" i="20"/>
  <c r="P17" i="20" s="1" a="1"/>
  <c r="P17" i="20" s="1"/>
  <c r="N17" i="20"/>
  <c r="J13" i="20"/>
  <c r="P13" i="20" s="1" a="1"/>
  <c r="P13" i="20" s="1"/>
  <c r="N13" i="20"/>
  <c r="I9" i="20"/>
  <c r="J9" i="20"/>
  <c r="P9" i="20" s="1" a="1"/>
  <c r="P9" i="20" s="1"/>
  <c r="N9" i="20"/>
  <c r="I8" i="20"/>
  <c r="J8" i="20"/>
  <c r="P8" i="20" s="1" a="1"/>
  <c r="P8" i="20" s="1"/>
  <c r="N8" i="20"/>
  <c r="K8" i="20"/>
  <c r="I7" i="20"/>
  <c r="J7" i="20"/>
  <c r="P7" i="20" s="1" a="1"/>
  <c r="P7" i="20" s="1"/>
  <c r="N7" i="20"/>
  <c r="K7" i="20"/>
  <c r="N37" i="20"/>
  <c r="N34" i="20"/>
  <c r="K33" i="20"/>
  <c r="J31" i="20"/>
  <c r="P31" i="20" s="1" a="1"/>
  <c r="P31" i="20" s="1"/>
  <c r="N31" i="20"/>
  <c r="N30" i="20"/>
  <c r="K29" i="20"/>
  <c r="J27" i="20"/>
  <c r="P27" i="20" s="1" a="1"/>
  <c r="P27" i="20" s="1"/>
  <c r="N27" i="20"/>
  <c r="N26" i="20"/>
  <c r="K25" i="20"/>
  <c r="J23" i="20"/>
  <c r="P23" i="20" s="1" a="1"/>
  <c r="P23" i="20" s="1"/>
  <c r="N23" i="20"/>
  <c r="N22" i="20"/>
  <c r="K21" i="20"/>
  <c r="J19" i="20"/>
  <c r="P19" i="20" s="1" a="1"/>
  <c r="P19" i="20" s="1"/>
  <c r="N19" i="20"/>
  <c r="N18" i="20"/>
  <c r="K14" i="20"/>
  <c r="I14" i="20"/>
  <c r="K10" i="20"/>
  <c r="I10" i="20"/>
  <c r="N56" i="13"/>
  <c r="I66" i="13"/>
  <c r="I58" i="13"/>
  <c r="I54" i="13"/>
  <c r="I50" i="13"/>
  <c r="I46" i="13"/>
  <c r="I38" i="13"/>
  <c r="I30" i="13"/>
  <c r="I22" i="13"/>
  <c r="I14" i="13"/>
  <c r="N24" i="13"/>
  <c r="N8" i="13"/>
  <c r="N23" i="13"/>
  <c r="N40" i="13"/>
  <c r="N48" i="13"/>
  <c r="N32" i="13"/>
  <c r="N16" i="13"/>
  <c r="K16" i="13"/>
  <c r="N67" i="13"/>
  <c r="I67" i="13"/>
  <c r="J67" i="13"/>
  <c r="N59" i="13"/>
  <c r="I59" i="13"/>
  <c r="J59" i="13"/>
  <c r="N51" i="13"/>
  <c r="I51" i="13"/>
  <c r="J51" i="13"/>
  <c r="N43" i="13"/>
  <c r="I43" i="13"/>
  <c r="J43" i="13"/>
  <c r="N35" i="13"/>
  <c r="I35" i="13"/>
  <c r="J35" i="13"/>
  <c r="K27" i="13"/>
  <c r="N27" i="13"/>
  <c r="I27" i="13"/>
  <c r="J27" i="13"/>
  <c r="K19" i="13"/>
  <c r="N19" i="13"/>
  <c r="I19" i="13"/>
  <c r="J19" i="13"/>
  <c r="K11" i="13"/>
  <c r="N11" i="13"/>
  <c r="I11" i="13"/>
  <c r="J11" i="13"/>
  <c r="J61" i="13"/>
  <c r="J45" i="13"/>
  <c r="J29" i="13"/>
  <c r="J13" i="13"/>
  <c r="K59" i="13"/>
  <c r="K43" i="13"/>
  <c r="K35" i="13"/>
  <c r="L35" i="13" s="1"/>
  <c r="N66" i="13"/>
  <c r="J66" i="13"/>
  <c r="N42" i="13"/>
  <c r="J42" i="13"/>
  <c r="N34" i="13"/>
  <c r="J34" i="13"/>
  <c r="N26" i="13"/>
  <c r="J26" i="13"/>
  <c r="N18" i="13"/>
  <c r="J18" i="13"/>
  <c r="K18" i="13"/>
  <c r="N10" i="13"/>
  <c r="J10" i="13"/>
  <c r="I65" i="13"/>
  <c r="I53" i="13"/>
  <c r="I45" i="13"/>
  <c r="I29" i="13"/>
  <c r="I13" i="13"/>
  <c r="J60" i="13"/>
  <c r="J44" i="13"/>
  <c r="J36" i="13"/>
  <c r="J20" i="13"/>
  <c r="K66" i="13"/>
  <c r="L66" i="13" s="1"/>
  <c r="N55" i="13"/>
  <c r="N69" i="13"/>
  <c r="K69" i="13"/>
  <c r="N65" i="13"/>
  <c r="K65" i="13"/>
  <c r="N61" i="13"/>
  <c r="K61" i="13"/>
  <c r="N57" i="13"/>
  <c r="K57" i="13"/>
  <c r="N53" i="13"/>
  <c r="K53" i="13"/>
  <c r="N49" i="13"/>
  <c r="K49" i="13"/>
  <c r="N45" i="13"/>
  <c r="K45" i="13"/>
  <c r="N41" i="13"/>
  <c r="K41" i="13"/>
  <c r="N37" i="13"/>
  <c r="K37" i="13"/>
  <c r="N33" i="13"/>
  <c r="K33" i="13"/>
  <c r="N29" i="13"/>
  <c r="K29" i="13"/>
  <c r="N25" i="13"/>
  <c r="N21" i="13"/>
  <c r="N17" i="13"/>
  <c r="K17" i="13"/>
  <c r="N13" i="13"/>
  <c r="K13" i="13"/>
  <c r="N9" i="13"/>
  <c r="I69" i="13"/>
  <c r="I64" i="13"/>
  <c r="L64" i="13" s="1"/>
  <c r="I42" i="13"/>
  <c r="I34" i="13"/>
  <c r="I26" i="13"/>
  <c r="I18" i="13"/>
  <c r="I10" i="13"/>
  <c r="J65" i="13"/>
  <c r="J57" i="13"/>
  <c r="J49" i="13"/>
  <c r="J41" i="13"/>
  <c r="J33" i="13"/>
  <c r="J25" i="13"/>
  <c r="J17" i="13"/>
  <c r="J9" i="13"/>
  <c r="K21" i="13"/>
  <c r="K10" i="13"/>
  <c r="N64" i="13"/>
  <c r="I63" i="13"/>
  <c r="L63" i="13" s="1"/>
  <c r="J63" i="13"/>
  <c r="I55" i="13"/>
  <c r="L55" i="13" s="1"/>
  <c r="J55" i="13"/>
  <c r="I47" i="13"/>
  <c r="L47" i="13" s="1"/>
  <c r="J47" i="13"/>
  <c r="I39" i="13"/>
  <c r="L39" i="13" s="1"/>
  <c r="J39" i="13"/>
  <c r="I31" i="13"/>
  <c r="L31" i="13" s="1"/>
  <c r="J31" i="13"/>
  <c r="K23" i="13"/>
  <c r="I23" i="13"/>
  <c r="J23" i="13"/>
  <c r="K15" i="13"/>
  <c r="I15" i="13"/>
  <c r="J15" i="13"/>
  <c r="K7" i="13"/>
  <c r="J7" i="13"/>
  <c r="I7" i="13"/>
  <c r="I61" i="13"/>
  <c r="J69" i="13"/>
  <c r="J53" i="13"/>
  <c r="J37" i="13"/>
  <c r="J21" i="13"/>
  <c r="K67" i="13"/>
  <c r="L67" i="13" s="1"/>
  <c r="K51" i="13"/>
  <c r="L26" i="13"/>
  <c r="N62" i="13"/>
  <c r="J62" i="13"/>
  <c r="N58" i="13"/>
  <c r="J58" i="13"/>
  <c r="N54" i="13"/>
  <c r="J54" i="13"/>
  <c r="N50" i="13"/>
  <c r="J50" i="13"/>
  <c r="N46" i="13"/>
  <c r="J46" i="13"/>
  <c r="N38" i="13"/>
  <c r="J38" i="13"/>
  <c r="N30" i="13"/>
  <c r="J30" i="13"/>
  <c r="N22" i="13"/>
  <c r="K22" i="13"/>
  <c r="J22" i="13"/>
  <c r="N14" i="13"/>
  <c r="J14" i="13"/>
  <c r="I60" i="13"/>
  <c r="I37" i="13"/>
  <c r="I21" i="13"/>
  <c r="J68" i="13"/>
  <c r="J52" i="13"/>
  <c r="J28" i="13"/>
  <c r="J12" i="13"/>
  <c r="K58" i="13"/>
  <c r="K50" i="13"/>
  <c r="K42" i="13"/>
  <c r="K34" i="13"/>
  <c r="K14" i="13"/>
  <c r="N39" i="13"/>
  <c r="N7" i="13"/>
  <c r="K68" i="13"/>
  <c r="N68" i="13"/>
  <c r="K60" i="13"/>
  <c r="L60" i="13" s="1"/>
  <c r="N60" i="13"/>
  <c r="K56" i="13"/>
  <c r="I56" i="13"/>
  <c r="K52" i="13"/>
  <c r="N52" i="13"/>
  <c r="I52" i="13"/>
  <c r="K48" i="13"/>
  <c r="I48" i="13"/>
  <c r="K44" i="13"/>
  <c r="N44" i="13"/>
  <c r="I44" i="13"/>
  <c r="K40" i="13"/>
  <c r="I40" i="13"/>
  <c r="K36" i="13"/>
  <c r="N36" i="13"/>
  <c r="I36" i="13"/>
  <c r="K32" i="13"/>
  <c r="I32" i="13"/>
  <c r="K28" i="13"/>
  <c r="N28" i="13"/>
  <c r="I28" i="13"/>
  <c r="K24" i="13"/>
  <c r="I24" i="13"/>
  <c r="N20" i="13"/>
  <c r="I20" i="13"/>
  <c r="I16" i="13"/>
  <c r="K12" i="13"/>
  <c r="N12" i="13"/>
  <c r="I12" i="13"/>
  <c r="K8" i="13"/>
  <c r="I8" i="13"/>
  <c r="I68" i="13"/>
  <c r="I62" i="13"/>
  <c r="I57" i="13"/>
  <c r="I49" i="13"/>
  <c r="I41" i="13"/>
  <c r="I33" i="13"/>
  <c r="I25" i="13"/>
  <c r="L25" i="13" s="1"/>
  <c r="I17" i="13"/>
  <c r="I9" i="13"/>
  <c r="J64" i="13"/>
  <c r="J56" i="13"/>
  <c r="J48" i="13"/>
  <c r="J40" i="13"/>
  <c r="J32" i="13"/>
  <c r="J24" i="13"/>
  <c r="J16" i="13"/>
  <c r="J8" i="13"/>
  <c r="K62" i="13"/>
  <c r="L62" i="13" s="1"/>
  <c r="O62" i="13" s="1"/>
  <c r="Q62" i="13" s="1"/>
  <c r="K54" i="13"/>
  <c r="K46" i="13"/>
  <c r="K38" i="13"/>
  <c r="K30" i="13"/>
  <c r="K20" i="13"/>
  <c r="K9" i="13"/>
  <c r="N63" i="13"/>
  <c r="N47" i="13"/>
  <c r="N31" i="13"/>
  <c r="N15" i="13"/>
  <c r="L53" i="20" l="1"/>
  <c r="L62" i="20"/>
  <c r="Q48" i="20"/>
  <c r="L29" i="20"/>
  <c r="O29" i="20" s="1"/>
  <c r="Q29" i="20" s="1"/>
  <c r="O20" i="20"/>
  <c r="O67" i="20"/>
  <c r="L39" i="20"/>
  <c r="L19" i="20"/>
  <c r="O19" i="20" s="1"/>
  <c r="Q19" i="20" s="1"/>
  <c r="O44" i="20"/>
  <c r="L21" i="20"/>
  <c r="L25" i="20"/>
  <c r="O25" i="20" s="1"/>
  <c r="Q25" i="20" s="1"/>
  <c r="L23" i="20"/>
  <c r="O23" i="20" s="1"/>
  <c r="Q23" i="20" s="1"/>
  <c r="L33" i="20"/>
  <c r="O33" i="20" s="1"/>
  <c r="L55" i="20"/>
  <c r="O55" i="20" s="1"/>
  <c r="Q55" i="20" s="1"/>
  <c r="L58" i="20"/>
  <c r="O58" i="20" s="1"/>
  <c r="L41" i="20"/>
  <c r="O41" i="20" s="1"/>
  <c r="Q41" i="20" s="1"/>
  <c r="L54" i="20"/>
  <c r="O54" i="20" s="1"/>
  <c r="L7" i="20"/>
  <c r="O7" i="20" s="1"/>
  <c r="Q7" i="20" s="1"/>
  <c r="L11" i="20"/>
  <c r="L47" i="20"/>
  <c r="O47" i="20" s="1"/>
  <c r="Q47" i="20" s="1"/>
  <c r="L51" i="20"/>
  <c r="O51" i="20" s="1"/>
  <c r="Q51" i="20" s="1"/>
  <c r="L15" i="20"/>
  <c r="O15" i="20" s="1"/>
  <c r="Q15" i="20" s="1"/>
  <c r="O69" i="20"/>
  <c r="O38" i="20"/>
  <c r="Q38" i="20" s="1"/>
  <c r="O65" i="20"/>
  <c r="Q65" i="20" s="1"/>
  <c r="O62" i="20"/>
  <c r="Q62" i="20" s="1"/>
  <c r="O39" i="20"/>
  <c r="L45" i="20"/>
  <c r="O45" i="20" s="1"/>
  <c r="Q45" i="20" s="1"/>
  <c r="L49" i="20"/>
  <c r="O49" i="20" s="1"/>
  <c r="Q49" i="20" s="1"/>
  <c r="O63" i="20"/>
  <c r="Q63" i="20" s="1"/>
  <c r="Q20" i="20"/>
  <c r="Q69" i="20"/>
  <c r="Q58" i="20"/>
  <c r="L46" i="13"/>
  <c r="L14" i="13"/>
  <c r="O14" i="13" s="1"/>
  <c r="Q14" i="13" s="1"/>
  <c r="L18" i="20"/>
  <c r="O18" i="20" s="1"/>
  <c r="Q18" i="20" s="1"/>
  <c r="O35" i="20"/>
  <c r="Q35" i="20" s="1"/>
  <c r="O24" i="20"/>
  <c r="Q24" i="20" s="1"/>
  <c r="O28" i="20"/>
  <c r="Q28" i="20" s="1"/>
  <c r="O32" i="20"/>
  <c r="Q32" i="20" s="1"/>
  <c r="O50" i="20"/>
  <c r="Q50" i="20" s="1"/>
  <c r="Q67" i="20"/>
  <c r="Q39" i="20"/>
  <c r="O67" i="13"/>
  <c r="Q67" i="13" s="1"/>
  <c r="O35" i="13"/>
  <c r="Q35" i="13" s="1"/>
  <c r="O21" i="20"/>
  <c r="Q21" i="20" s="1"/>
  <c r="L43" i="20"/>
  <c r="O43" i="20" s="1"/>
  <c r="Q43" i="20" s="1"/>
  <c r="O53" i="20"/>
  <c r="Q53" i="20" s="1"/>
  <c r="L36" i="20"/>
  <c r="O36" i="20" s="1"/>
  <c r="Q36" i="20" s="1"/>
  <c r="L40" i="20"/>
  <c r="O40" i="20" s="1"/>
  <c r="Q40" i="20" s="1"/>
  <c r="O37" i="20"/>
  <c r="Q37" i="20" s="1"/>
  <c r="L42" i="20"/>
  <c r="O42" i="20" s="1"/>
  <c r="Q42" i="20" s="1"/>
  <c r="L56" i="20"/>
  <c r="O56" i="20" s="1"/>
  <c r="Q56" i="20" s="1"/>
  <c r="L64" i="20"/>
  <c r="O64" i="20" s="1"/>
  <c r="Q64" i="20" s="1"/>
  <c r="O66" i="20"/>
  <c r="O47" i="13"/>
  <c r="Q47" i="13" s="1"/>
  <c r="O52" i="20"/>
  <c r="Q52" i="20" s="1"/>
  <c r="O46" i="20"/>
  <c r="Q46" i="20" s="1"/>
  <c r="Q54" i="20"/>
  <c r="L54" i="13"/>
  <c r="P14" i="21"/>
  <c r="P15" i="21" s="1"/>
  <c r="L10" i="20"/>
  <c r="O10" i="20" s="1"/>
  <c r="Q10" i="20" s="1"/>
  <c r="O11" i="20"/>
  <c r="Q11" i="20" s="1"/>
  <c r="O61" i="20"/>
  <c r="L60" i="20"/>
  <c r="O60" i="20" s="1"/>
  <c r="Q60" i="20" s="1"/>
  <c r="O17" i="20"/>
  <c r="L59" i="20"/>
  <c r="O59" i="20" s="1"/>
  <c r="Q59" i="20" s="1"/>
  <c r="L14" i="20"/>
  <c r="O14" i="20" s="1"/>
  <c r="Q14" i="20" s="1"/>
  <c r="O27" i="20"/>
  <c r="O31" i="20"/>
  <c r="L8" i="20"/>
  <c r="O8" i="20" s="1"/>
  <c r="Q8" i="20" s="1"/>
  <c r="L22" i="20"/>
  <c r="O22" i="20" s="1"/>
  <c r="Q22" i="20" s="1"/>
  <c r="L26" i="20"/>
  <c r="O26" i="20" s="1"/>
  <c r="Q26" i="20" s="1"/>
  <c r="L30" i="20"/>
  <c r="O30" i="20" s="1"/>
  <c r="Q30" i="20" s="1"/>
  <c r="L34" i="20"/>
  <c r="O34" i="20" s="1"/>
  <c r="Q34" i="20" s="1"/>
  <c r="L12" i="20"/>
  <c r="O12" i="20" s="1"/>
  <c r="Q12" i="20" s="1"/>
  <c r="Q33" i="20"/>
  <c r="O9" i="20"/>
  <c r="L16" i="20"/>
  <c r="O16" i="20" s="1"/>
  <c r="Q16" i="20" s="1"/>
  <c r="O13" i="20"/>
  <c r="Q13" i="20" s="1"/>
  <c r="Q44" i="20"/>
  <c r="O57" i="20"/>
  <c r="L68" i="20"/>
  <c r="O68" i="20" s="1"/>
  <c r="Q68" i="20" s="1"/>
  <c r="L58" i="13"/>
  <c r="O58" i="13" s="1"/>
  <c r="Q58" i="13" s="1"/>
  <c r="L38" i="13"/>
  <c r="O38" i="13" s="1"/>
  <c r="Q38" i="13" s="1"/>
  <c r="L30" i="13"/>
  <c r="O30" i="13" s="1"/>
  <c r="Q30" i="13" s="1"/>
  <c r="L50" i="13"/>
  <c r="O50" i="13" s="1"/>
  <c r="Q50" i="13" s="1"/>
  <c r="L22" i="13"/>
  <c r="O22" i="13" s="1"/>
  <c r="Q22" i="13" s="1"/>
  <c r="L51" i="13"/>
  <c r="O51" i="13" s="1"/>
  <c r="Q51" i="13" s="1"/>
  <c r="L15" i="13"/>
  <c r="O15" i="13" s="1"/>
  <c r="Q15" i="13" s="1"/>
  <c r="L16" i="13"/>
  <c r="O16" i="13" s="1"/>
  <c r="Q16" i="13" s="1"/>
  <c r="L68" i="13"/>
  <c r="L7" i="13"/>
  <c r="O7" i="13" s="1"/>
  <c r="Q7" i="13" s="1"/>
  <c r="O63" i="13"/>
  <c r="Q63" i="13" s="1"/>
  <c r="L13" i="13"/>
  <c r="O13" i="13" s="1"/>
  <c r="Q13" i="13" s="1"/>
  <c r="L41" i="13"/>
  <c r="O41" i="13" s="1"/>
  <c r="Q41" i="13" s="1"/>
  <c r="L65" i="13"/>
  <c r="O65" i="13" s="1"/>
  <c r="Q65" i="13" s="1"/>
  <c r="L8" i="13"/>
  <c r="O8" i="13" s="1"/>
  <c r="Q8" i="13" s="1"/>
  <c r="L24" i="13"/>
  <c r="O24" i="13" s="1"/>
  <c r="Q24" i="13" s="1"/>
  <c r="O68" i="13"/>
  <c r="Q68" i="13" s="1"/>
  <c r="O31" i="13"/>
  <c r="Q31" i="13" s="1"/>
  <c r="L49" i="13"/>
  <c r="O49" i="13" s="1"/>
  <c r="Q49" i="13" s="1"/>
  <c r="L57" i="13"/>
  <c r="O57" i="13" s="1"/>
  <c r="Q57" i="13" s="1"/>
  <c r="L32" i="13"/>
  <c r="O32" i="13" s="1"/>
  <c r="Q32" i="13" s="1"/>
  <c r="L44" i="13"/>
  <c r="O44" i="13" s="1"/>
  <c r="Q44" i="13" s="1"/>
  <c r="O64" i="13"/>
  <c r="Q64" i="13" s="1"/>
  <c r="O66" i="13"/>
  <c r="Q66" i="13" s="1"/>
  <c r="L43" i="13"/>
  <c r="O43" i="13" s="1"/>
  <c r="Q43" i="13" s="1"/>
  <c r="L56" i="13"/>
  <c r="O56" i="13" s="1"/>
  <c r="Q56" i="13" s="1"/>
  <c r="L34" i="13"/>
  <c r="O34" i="13" s="1"/>
  <c r="Q34" i="13" s="1"/>
  <c r="L52" i="13"/>
  <c r="O52" i="13" s="1"/>
  <c r="Q52" i="13" s="1"/>
  <c r="O39" i="13"/>
  <c r="Q39" i="13" s="1"/>
  <c r="O55" i="13"/>
  <c r="Q55" i="13" s="1"/>
  <c r="L29" i="13"/>
  <c r="O29" i="13" s="1"/>
  <c r="Q29" i="13" s="1"/>
  <c r="L33" i="13"/>
  <c r="O33" i="13" s="1"/>
  <c r="Q33" i="13" s="1"/>
  <c r="L40" i="13"/>
  <c r="O40" i="13" s="1"/>
  <c r="Q40" i="13" s="1"/>
  <c r="L18" i="13"/>
  <c r="O18" i="13" s="1"/>
  <c r="Q18" i="13" s="1"/>
  <c r="L9" i="13"/>
  <c r="O9" i="13" s="1"/>
  <c r="Q9" i="13" s="1"/>
  <c r="O46" i="13"/>
  <c r="Q46" i="13" s="1"/>
  <c r="L12" i="13"/>
  <c r="O12" i="13" s="1"/>
  <c r="Q12" i="13" s="1"/>
  <c r="L28" i="13"/>
  <c r="O28" i="13" s="1"/>
  <c r="Q28" i="13" s="1"/>
  <c r="L48" i="13"/>
  <c r="O48" i="13" s="1"/>
  <c r="Q48" i="13" s="1"/>
  <c r="O26" i="13"/>
  <c r="Q26" i="13" s="1"/>
  <c r="L23" i="13"/>
  <c r="O23" i="13" s="1"/>
  <c r="Q23" i="13" s="1"/>
  <c r="L10" i="13"/>
  <c r="O10" i="13" s="1"/>
  <c r="Q10" i="13" s="1"/>
  <c r="L17" i="13"/>
  <c r="O17" i="13" s="1"/>
  <c r="Q17" i="13" s="1"/>
  <c r="L37" i="13"/>
  <c r="O37" i="13" s="1"/>
  <c r="Q37" i="13" s="1"/>
  <c r="L45" i="13"/>
  <c r="O45" i="13" s="1"/>
  <c r="Q45" i="13" s="1"/>
  <c r="L53" i="13"/>
  <c r="O53" i="13" s="1"/>
  <c r="Q53" i="13" s="1"/>
  <c r="L61" i="13"/>
  <c r="O61" i="13" s="1"/>
  <c r="Q61" i="13" s="1"/>
  <c r="L69" i="13"/>
  <c r="O69" i="13" s="1"/>
  <c r="Q69" i="13" s="1"/>
  <c r="L59" i="13"/>
  <c r="O59" i="13" s="1"/>
  <c r="Q59" i="13" s="1"/>
  <c r="L11" i="13"/>
  <c r="O11" i="13" s="1"/>
  <c r="Q11" i="13" s="1"/>
  <c r="L19" i="13"/>
  <c r="O19" i="13" s="1"/>
  <c r="Q19" i="13" s="1"/>
  <c r="L27" i="13"/>
  <c r="O27" i="13" s="1"/>
  <c r="Q27" i="13" s="1"/>
  <c r="O60" i="13"/>
  <c r="Q60" i="13" s="1"/>
  <c r="L42" i="13"/>
  <c r="O42" i="13" s="1"/>
  <c r="Q42" i="13" s="1"/>
  <c r="L20" i="13"/>
  <c r="O20" i="13" s="1"/>
  <c r="Q20" i="13" s="1"/>
  <c r="O54" i="13"/>
  <c r="Q54" i="13" s="1"/>
  <c r="O25" i="13"/>
  <c r="Q25" i="13" s="1"/>
  <c r="L36" i="13"/>
  <c r="O36" i="13" s="1"/>
  <c r="Q36" i="13" s="1"/>
  <c r="L21" i="13"/>
  <c r="O21" i="13" s="1"/>
  <c r="Q21" i="13" s="1"/>
  <c r="Q66" i="20" l="1"/>
  <c r="Q57" i="20"/>
  <c r="Q27" i="20"/>
  <c r="Q61" i="20"/>
  <c r="Q31" i="20"/>
  <c r="Q17" i="20"/>
  <c r="Q9"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F95541-4AB5-4D51-8853-88761DBA31B8}" keepAlive="1" name="Query - Improved_cost_base" description="Connection to the 'Improved_cost_base' query in the workbook." type="5" refreshedVersion="8" background="1" saveData="1">
    <dbPr connection="Provider=Microsoft.Mashup.OleDb.1;Data Source=$Workbook$;Location=Improved_cost_base;Extended Properties=&quot;&quot;" command="SELECT * FROM [Improved_cost_base]"/>
  </connection>
  <connection id="2" xr16:uid="{8ED5EBB2-35E5-469A-88A1-1413997B13C3}" keepAlive="1" name="Query - OU_Map" description="Connection to the 'OU_Map' query in the workbook." type="5" refreshedVersion="8" background="1" saveData="1">
    <dbPr connection="Provider=Microsoft.Mashup.OleDb.1;Data Source=$Workbook$;Location=OU_Map;Extended Properties=&quot;&quot;" command="SELECT * FROM [OU_Map]"/>
  </connection>
  <connection id="3" xr16:uid="{7EA4D56E-3642-4686-9FD0-54BB3B050063}" keepAlive="1" name="Query - partner_vehicles_form_AMD1" description="Connection to the 'partner_vehicles_form_AMD1' query in the workbook." type="5" refreshedVersion="8" background="1" saveData="1">
    <dbPr connection="Provider=Microsoft.Mashup.OleDb.1;Data Source=$Workbook$;Location=partner_vehicles_form_AMD1;Extended Properties=&quot;&quot;" command="SELECT * FROM [partner_vehicles_form_AMD1]"/>
  </connection>
  <connection id="4" xr16:uid="{F1218670-00CB-41B8-B4D2-50EDB37566EE}" keepAlive="1" name="Query - Payout" description="Connection to the 'Payout' query in the workbook." type="5" refreshedVersion="8" background="1" saveData="1">
    <dbPr connection="Provider=Microsoft.Mashup.OleDb.1;Data Source=$Workbook$;Location=Payout;Extended Properties=&quot;&quot;" command="SELECT * FROM [Payout]"/>
  </connection>
  <connection id="5" xr16:uid="{19D272D4-4123-494B-A7D1-AA9F9113ADDB}" keepAlive="1" name="Query - Vehicle" description="Connection to the 'Vehicle' query in the workbook." type="5" refreshedVersion="8" background="1" saveData="1">
    <dbPr connection="Provider=Microsoft.Mashup.OleDb.1;Data Source=$Workbook$;Location=Vehicle;Extended Properties=&quot;&quot;" command="SELECT * FROM [Vehicle]"/>
  </connection>
  <connection id="6" xr16:uid="{4C45C58C-4CFC-438C-B390-B044FA7EA1BE}" keepAlive="1" name="Query - Vehicle_Ownership" description="Connection to the 'Vehicle_Ownership' query in the workbook." type="5" refreshedVersion="8" background="1" saveData="1">
    <dbPr connection="Provider=Microsoft.Mashup.OleDb.1;Data Source=$Workbook$;Location=Vehicle_Ownership;Extended Properties=&quot;&quot;" command="SELECT * FROM [Vehicle_Ownership]"/>
  </connection>
  <connection id="7" xr16:uid="{AF561CBD-8A34-4C96-AD1B-6ABD99DCC2AF}" keepAlive="1" name="Query - Year_of_Purchase" description="Connection to the 'Year_of_Purchase' query in the workbook." type="5" refreshedVersion="8" background="1" saveData="1">
    <dbPr connection="Provider=Microsoft.Mashup.OleDb.1;Data Source=$Workbook$;Location=Year_of_Purchase;Extended Properties=&quot;&quot;" command="SELECT * FROM [Year_of_Purcha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<sst xmlns="http://schemas.openxmlformats.org/spreadsheetml/2006/main" count="3824" uniqueCount="1449">
  <si>
    <t>BP name</t>
  </si>
  <si>
    <t>Vehicle</t>
  </si>
  <si>
    <t>Year of purchase</t>
  </si>
  <si>
    <t>AGARWAL SUGANDHA AMIT</t>
  </si>
  <si>
    <t>14 ft,Tata Ace</t>
  </si>
  <si>
    <t>EMI,EMI</t>
  </si>
  <si>
    <t>2018,2017</t>
  </si>
  <si>
    <t>Amit Ramesh Agarwal</t>
  </si>
  <si>
    <t>14 ft</t>
  </si>
  <si>
    <t>Market</t>
  </si>
  <si>
    <t>NA</t>
  </si>
  <si>
    <t>ASHISH SAXENA</t>
  </si>
  <si>
    <t>17 ft</t>
  </si>
  <si>
    <t>EMI</t>
  </si>
  <si>
    <t>Mahindra</t>
  </si>
  <si>
    <t>BELIM RIYAZUDDIN MEHBOOBBHAI</t>
  </si>
  <si>
    <t>AL Dost</t>
  </si>
  <si>
    <t>Bharat madhusing lodha</t>
  </si>
  <si>
    <t>Tata Ace</t>
  </si>
  <si>
    <t>Owned</t>
  </si>
  <si>
    <t>DENISH B. BAVARIYA</t>
  </si>
  <si>
    <t>Devendar Vanga</t>
  </si>
  <si>
    <t>14 ft,17 ft,22 ft</t>
  </si>
  <si>
    <t>Devendra r. mistry</t>
  </si>
  <si>
    <t>Dharmendra Sharma</t>
  </si>
  <si>
    <t>14 ft,19 ft</t>
  </si>
  <si>
    <t>DINESHBHAI MOHANBHAI SOLANKI</t>
  </si>
  <si>
    <t>EKTA AGARWAL</t>
  </si>
  <si>
    <t>FAIZILA Theba</t>
  </si>
  <si>
    <t>Super ace</t>
  </si>
  <si>
    <t>GAJRAJSINGH B RATHOD</t>
  </si>
  <si>
    <t>GOHIL RAGHUVIRSINH R</t>
  </si>
  <si>
    <t>Gulamhusen Mohamad Ghanchi</t>
  </si>
  <si>
    <t>GULZAR F MEMON</t>
  </si>
  <si>
    <t>19 ft</t>
  </si>
  <si>
    <t>Hardik Patel</t>
  </si>
  <si>
    <t>EMI,Owned</t>
  </si>
  <si>
    <t>2020,2018</t>
  </si>
  <si>
    <t>Harun Abdul Bhai Theba</t>
  </si>
  <si>
    <t>Inderkumar moolchand gupta</t>
  </si>
  <si>
    <t>14 ft,AL Dost,Super ace</t>
  </si>
  <si>
    <t>Karan Mistry_Delivery</t>
  </si>
  <si>
    <t>Tata Ace,Super ace</t>
  </si>
  <si>
    <t>2013,2015</t>
  </si>
  <si>
    <t>LALAJI BHAI THAKOR</t>
  </si>
  <si>
    <t>MAMATA PAL</t>
  </si>
  <si>
    <t>MANISHA PRAVIN PATIL</t>
  </si>
  <si>
    <t>Owned,Owned</t>
  </si>
  <si>
    <t>Meenakshi Gupta</t>
  </si>
  <si>
    <t>mo. Farukh</t>
  </si>
  <si>
    <t>MOINUDDIN R SHAIKH</t>
  </si>
  <si>
    <t>MUKESHBHAI RAJABHAI BHARWAD</t>
  </si>
  <si>
    <t>MULIYA TOFIKHUSEN HABIBBHAI</t>
  </si>
  <si>
    <t>OD Maheshbhai Bhikhabhai</t>
  </si>
  <si>
    <t>Patani Salim Gafarbhai</t>
  </si>
  <si>
    <t>Pickup,Tata Ace</t>
  </si>
  <si>
    <t>2014,2020</t>
  </si>
  <si>
    <t>PATHAN PARVEZBHAI</t>
  </si>
  <si>
    <t>Pravin Patil</t>
  </si>
  <si>
    <t>Pravin Thakor</t>
  </si>
  <si>
    <t>RAJENDRASINH L CHAVDA</t>
  </si>
  <si>
    <t>Rajesh Kumar Misra_Delivery</t>
  </si>
  <si>
    <t>Super ace,AL Dost</t>
  </si>
  <si>
    <t>2014,2018</t>
  </si>
  <si>
    <t>RAKIB GULAMKADAR BLOCH</t>
  </si>
  <si>
    <t>SADHU RAM KARGWAL</t>
  </si>
  <si>
    <t>Mahindra,Mahindra</t>
  </si>
  <si>
    <t>2019,2018</t>
  </si>
  <si>
    <t>SANDEEP KUMAR</t>
  </si>
  <si>
    <t>SHEKH JENULABEDEEN BADRUDIN</t>
  </si>
  <si>
    <t>Shekh Seemabanu Mohammad</t>
  </si>
  <si>
    <t>Siddhant Subhash Borse</t>
  </si>
  <si>
    <t>SURESHBHAI RAJABHAI BHARWAD</t>
  </si>
  <si>
    <t>17 ft,Mahindra,Pickup,Tata Ace</t>
  </si>
  <si>
    <t>SWAPNIL PANDEY_BP</t>
  </si>
  <si>
    <t>VIKAS AGARWAL</t>
  </si>
  <si>
    <t>20 ft</t>
  </si>
  <si>
    <t>VIRENDRA SOLANKI</t>
  </si>
  <si>
    <t>Visharad Chauhan</t>
  </si>
  <si>
    <t>ZAINULSHA.M.DIWAN</t>
  </si>
  <si>
    <t>VAPT1</t>
  </si>
  <si>
    <t>AMDT1</t>
  </si>
  <si>
    <t>GNCB1</t>
  </si>
  <si>
    <t>AMDBP</t>
  </si>
  <si>
    <t>BDQT1</t>
  </si>
  <si>
    <t>JGAB1</t>
  </si>
  <si>
    <t>STVT1</t>
  </si>
  <si>
    <t>AMDBL</t>
  </si>
  <si>
    <t>AMDBC</t>
  </si>
  <si>
    <t>RAJB1</t>
  </si>
  <si>
    <t>BVCB1</t>
  </si>
  <si>
    <t>AKVB1</t>
  </si>
  <si>
    <t>JNDB1</t>
  </si>
  <si>
    <t>MSHB1</t>
  </si>
  <si>
    <t>Mileage</t>
  </si>
  <si>
    <t>OU</t>
  </si>
  <si>
    <t>Jamnager</t>
  </si>
  <si>
    <t>Ahmmedabad City</t>
  </si>
  <si>
    <t>Ahmedabad Branch</t>
  </si>
  <si>
    <t>Vapi</t>
  </si>
  <si>
    <t>Surat</t>
  </si>
  <si>
    <t>Sanand</t>
  </si>
  <si>
    <t>Vadodara</t>
  </si>
  <si>
    <t>Rajkot</t>
  </si>
  <si>
    <t>Bhavnager</t>
  </si>
  <si>
    <t>Mehsana</t>
  </si>
  <si>
    <t>Rampura Branch</t>
  </si>
  <si>
    <t>Amreli</t>
  </si>
  <si>
    <t>Junagarh</t>
  </si>
  <si>
    <t>Gandhi Nager</t>
  </si>
  <si>
    <t>Pickup</t>
  </si>
  <si>
    <t>Tata 407</t>
  </si>
  <si>
    <t>Eicher 14</t>
  </si>
  <si>
    <t>Eicher 17</t>
  </si>
  <si>
    <t>Eicher 19</t>
  </si>
  <si>
    <t>Eicher 20</t>
  </si>
  <si>
    <t>Eicher 32 ft</t>
  </si>
  <si>
    <t>3wheeler</t>
  </si>
  <si>
    <t>Tata 909</t>
  </si>
  <si>
    <t>Tata 1109</t>
  </si>
  <si>
    <t>Champion</t>
  </si>
  <si>
    <t>Trump Forec</t>
  </si>
  <si>
    <t>Cargo king</t>
  </si>
  <si>
    <t>24 FT</t>
  </si>
  <si>
    <t>Taurus</t>
  </si>
  <si>
    <t>22 ft</t>
  </si>
  <si>
    <t>Km travelled</t>
  </si>
  <si>
    <t>Fuel Cost/liter</t>
  </si>
  <si>
    <t>Vehicles</t>
  </si>
  <si>
    <t>Downpayment Amount</t>
  </si>
  <si>
    <t>Ex- Showroom Price</t>
  </si>
  <si>
    <t>Capacity</t>
  </si>
  <si>
    <t>KM and Fuel cost</t>
  </si>
  <si>
    <t>Maintenance and additional cost</t>
  </si>
  <si>
    <t>EMI,EMI,Market</t>
  </si>
  <si>
    <t>EMI,Market</t>
  </si>
  <si>
    <t>Market,EMI,EMI</t>
  </si>
  <si>
    <t>Vehicle ownership</t>
  </si>
  <si>
    <t>Market,Owned</t>
  </si>
  <si>
    <t>Market,EMI,EMI,EMI</t>
  </si>
  <si>
    <t>2015</t>
  </si>
  <si>
    <t>Ashok Kumar_GNCB1</t>
  </si>
  <si>
    <t>2016,2017,NA</t>
  </si>
  <si>
    <t>2013,NA</t>
  </si>
  <si>
    <t>NA,2013</t>
  </si>
  <si>
    <t>NA,2019,2018</t>
  </si>
  <si>
    <t>NA,2018,2018,2014</t>
  </si>
  <si>
    <t>Balance</t>
  </si>
  <si>
    <t>Downpayment</t>
  </si>
  <si>
    <t>Tenure (yrs)</t>
  </si>
  <si>
    <t>Tenure (months)</t>
  </si>
  <si>
    <t>Interest @ p.a.</t>
  </si>
  <si>
    <t>Code</t>
  </si>
  <si>
    <t>Name</t>
  </si>
  <si>
    <t>OU Code</t>
  </si>
  <si>
    <t>Interest @ p.m.</t>
  </si>
  <si>
    <t>Index</t>
  </si>
  <si>
    <t>BP Name</t>
  </si>
  <si>
    <t>Ownership</t>
  </si>
  <si>
    <t>Purchase Year</t>
  </si>
  <si>
    <t>Vehicle Name</t>
  </si>
  <si>
    <t>Vehicle Capacity</t>
  </si>
  <si>
    <t>KM Travelled</t>
  </si>
  <si>
    <t>Fuel Cost</t>
  </si>
  <si>
    <t xml:space="preserve">EMI </t>
  </si>
  <si>
    <t>Maintenance</t>
  </si>
  <si>
    <t>Vehicle Cost</t>
  </si>
  <si>
    <t>Team Cost</t>
  </si>
  <si>
    <t>Total Cost</t>
  </si>
  <si>
    <t>BP Code</t>
  </si>
  <si>
    <t>BP</t>
  </si>
  <si>
    <t xml:space="preserve">OU </t>
  </si>
  <si>
    <t>Cluster</t>
  </si>
  <si>
    <t>Total Payout</t>
  </si>
  <si>
    <t>Budgeted payout</t>
  </si>
  <si>
    <t>BP1001</t>
  </si>
  <si>
    <t>Jhabar Singh</t>
  </si>
  <si>
    <t>DELBG</t>
  </si>
  <si>
    <t>Delhi</t>
  </si>
  <si>
    <t>BP1002</t>
  </si>
  <si>
    <t>Umesh</t>
  </si>
  <si>
    <t>DELBJ</t>
  </si>
  <si>
    <t>BP1003</t>
  </si>
  <si>
    <t>Ramesh Sharma</t>
  </si>
  <si>
    <t>DELBD</t>
  </si>
  <si>
    <t>BP1004</t>
  </si>
  <si>
    <t>Ujir Kumar</t>
  </si>
  <si>
    <t>JAIT1</t>
  </si>
  <si>
    <t>Jaipur</t>
  </si>
  <si>
    <t>BP1005</t>
  </si>
  <si>
    <t>Dinesh Mishra</t>
  </si>
  <si>
    <t>CCUTN</t>
  </si>
  <si>
    <t>Kolkata</t>
  </si>
  <si>
    <t>BP1006</t>
  </si>
  <si>
    <t>Jacob</t>
  </si>
  <si>
    <t>BOMT1</t>
  </si>
  <si>
    <t>Mumbai</t>
  </si>
  <si>
    <t>BP1007</t>
  </si>
  <si>
    <t>Rajesh Singh</t>
  </si>
  <si>
    <t>BOMBB</t>
  </si>
  <si>
    <t>BP1008</t>
  </si>
  <si>
    <t>Kamaljit Singh</t>
  </si>
  <si>
    <t>BOMBV</t>
  </si>
  <si>
    <t>BP1009</t>
  </si>
  <si>
    <t>Ashok</t>
  </si>
  <si>
    <t>ROKB1</t>
  </si>
  <si>
    <t>BP1010</t>
  </si>
  <si>
    <t>Sanchita Cargo Movers And Packers</t>
  </si>
  <si>
    <t>PNQT1</t>
  </si>
  <si>
    <t>Pune</t>
  </si>
  <si>
    <t>BP1011</t>
  </si>
  <si>
    <t>Bablu Mishra</t>
  </si>
  <si>
    <t>LKOT1</t>
  </si>
  <si>
    <t>Lucknow</t>
  </si>
  <si>
    <t>BP1012</t>
  </si>
  <si>
    <t>Aakash Yadav</t>
  </si>
  <si>
    <t>DELB1</t>
  </si>
  <si>
    <t>BP1013</t>
  </si>
  <si>
    <t>Dilip Kumar Jha</t>
  </si>
  <si>
    <t>DELB2</t>
  </si>
  <si>
    <t>BP1014</t>
  </si>
  <si>
    <t>Chamanlal</t>
  </si>
  <si>
    <t>LUHB1</t>
  </si>
  <si>
    <t>Ambala</t>
  </si>
  <si>
    <t>BP1015</t>
  </si>
  <si>
    <t>Dinesh Singh Minhas</t>
  </si>
  <si>
    <t>IXCB1</t>
  </si>
  <si>
    <t>BP1016</t>
  </si>
  <si>
    <t>Sharad Anna Autade_Bp</t>
  </si>
  <si>
    <t>IXUB1</t>
  </si>
  <si>
    <t>BP1017</t>
  </si>
  <si>
    <t>Sunder Srinivasan</t>
  </si>
  <si>
    <t>Ahmedabad</t>
  </si>
  <si>
    <t>BP1018</t>
  </si>
  <si>
    <t>Ravi Shekhar</t>
  </si>
  <si>
    <t>BHOB1</t>
  </si>
  <si>
    <t>Indore</t>
  </si>
  <si>
    <t>BP1020</t>
  </si>
  <si>
    <t>G Swapna</t>
  </si>
  <si>
    <t>HYDBE</t>
  </si>
  <si>
    <t>Hyderabad</t>
  </si>
  <si>
    <t>BP1021</t>
  </si>
  <si>
    <t>Mukul Rawat</t>
  </si>
  <si>
    <t>AGRB1</t>
  </si>
  <si>
    <t>Noida</t>
  </si>
  <si>
    <t>BP1022</t>
  </si>
  <si>
    <t>BP1023</t>
  </si>
  <si>
    <t>Shailendra Sharma</t>
  </si>
  <si>
    <t>BHWB1</t>
  </si>
  <si>
    <t>BP1024</t>
  </si>
  <si>
    <t>Rajesh Kumar Sharma_Bp</t>
  </si>
  <si>
    <t>BP1025</t>
  </si>
  <si>
    <t>Prashant Singh</t>
  </si>
  <si>
    <t>DEDB1</t>
  </si>
  <si>
    <t>BP1028</t>
  </si>
  <si>
    <t>Dhanraj_Bp</t>
  </si>
  <si>
    <t>PNYB1</t>
  </si>
  <si>
    <t>Chennai</t>
  </si>
  <si>
    <t>BP1029</t>
  </si>
  <si>
    <t>M Baalasubramani</t>
  </si>
  <si>
    <t>TUPT1</t>
  </si>
  <si>
    <t>Coimbatore</t>
  </si>
  <si>
    <t>BP1030</t>
  </si>
  <si>
    <t>Joy Mukherjee</t>
  </si>
  <si>
    <t>CCUT1</t>
  </si>
  <si>
    <t>BP1031</t>
  </si>
  <si>
    <t>BP1032</t>
  </si>
  <si>
    <t>Manjeet Singh</t>
  </si>
  <si>
    <t>BDDB1</t>
  </si>
  <si>
    <t>BP1033</t>
  </si>
  <si>
    <t>Sohan</t>
  </si>
  <si>
    <t>AWRB1</t>
  </si>
  <si>
    <t>BP1034</t>
  </si>
  <si>
    <t>Santosh Yadav</t>
  </si>
  <si>
    <t>TARB1</t>
  </si>
  <si>
    <t>BP1035</t>
  </si>
  <si>
    <t>Mukesh_Ghz</t>
  </si>
  <si>
    <t>DELBZ</t>
  </si>
  <si>
    <t>BP1036</t>
  </si>
  <si>
    <t>Murugavel</t>
  </si>
  <si>
    <t>MAAT1</t>
  </si>
  <si>
    <t>BP1037</t>
  </si>
  <si>
    <t>Dhamodharan</t>
  </si>
  <si>
    <t>BP1038</t>
  </si>
  <si>
    <t>Mangesh Mahadev Doddamani</t>
  </si>
  <si>
    <t>BOMBN</t>
  </si>
  <si>
    <t>BP1039</t>
  </si>
  <si>
    <t>Prema Jeevan</t>
  </si>
  <si>
    <t>COKB1</t>
  </si>
  <si>
    <t>BP1040</t>
  </si>
  <si>
    <t>Ehambaram</t>
  </si>
  <si>
    <t>TRZB1</t>
  </si>
  <si>
    <t>BP1041</t>
  </si>
  <si>
    <t>Niranjan</t>
  </si>
  <si>
    <t>PATB1</t>
  </si>
  <si>
    <t>Jamshedpur</t>
  </si>
  <si>
    <t>BP1042</t>
  </si>
  <si>
    <t>BP1044</t>
  </si>
  <si>
    <t>Sanatan Behara</t>
  </si>
  <si>
    <t>BBIB1</t>
  </si>
  <si>
    <t>BP1045</t>
  </si>
  <si>
    <t>Avinash_Delivery</t>
  </si>
  <si>
    <t>BLRBN</t>
  </si>
  <si>
    <t>Bangalore</t>
  </si>
  <si>
    <t>Avinash_Pickup</t>
  </si>
  <si>
    <t>BP1046</t>
  </si>
  <si>
    <t>Rajkumar P</t>
  </si>
  <si>
    <t>IXMB1</t>
  </si>
  <si>
    <t>BP1047</t>
  </si>
  <si>
    <t>Dhanasekar</t>
  </si>
  <si>
    <t>BP1048</t>
  </si>
  <si>
    <t>Praveen</t>
  </si>
  <si>
    <t>VTZB1</t>
  </si>
  <si>
    <t>BP1049</t>
  </si>
  <si>
    <t>A3 Logistics Express_Delivery</t>
  </si>
  <si>
    <t>PNQBW</t>
  </si>
  <si>
    <t>BP1050</t>
  </si>
  <si>
    <t>A3 Logistics Express_Pickup</t>
  </si>
  <si>
    <t>BP1051</t>
  </si>
  <si>
    <t>Sanjay Sharma_Indore</t>
  </si>
  <si>
    <t>IDRT1</t>
  </si>
  <si>
    <t>BP1052</t>
  </si>
  <si>
    <t>Narinder Pal</t>
  </si>
  <si>
    <t>JUCB1</t>
  </si>
  <si>
    <t>BP1053</t>
  </si>
  <si>
    <t>Ravindra</t>
  </si>
  <si>
    <t>HWB1</t>
  </si>
  <si>
    <t>BP1054</t>
  </si>
  <si>
    <t>Sachin Bhatt</t>
  </si>
  <si>
    <t>KNUB1</t>
  </si>
  <si>
    <t>BP1055</t>
  </si>
  <si>
    <t>Amarjeet Singh Yadav</t>
  </si>
  <si>
    <t>BP1056</t>
  </si>
  <si>
    <t>Mahaveer Singh</t>
  </si>
  <si>
    <t>AMBT1</t>
  </si>
  <si>
    <t>BP1057</t>
  </si>
  <si>
    <t>BP1058</t>
  </si>
  <si>
    <t>Sunil Goyal</t>
  </si>
  <si>
    <t>MBB1</t>
  </si>
  <si>
    <t>BP1059</t>
  </si>
  <si>
    <t>Dhruba Das</t>
  </si>
  <si>
    <t>GAUT1</t>
  </si>
  <si>
    <t>Guwahati</t>
  </si>
  <si>
    <t>BP1060</t>
  </si>
  <si>
    <t>Rajesh R</t>
  </si>
  <si>
    <t>BP1061</t>
  </si>
  <si>
    <t>Ashish Saxena</t>
  </si>
  <si>
    <t>BP1063</t>
  </si>
  <si>
    <t>Rajneesh Kumar</t>
  </si>
  <si>
    <t>DELBW</t>
  </si>
  <si>
    <t>BP1064</t>
  </si>
  <si>
    <t>Rvj Transport</t>
  </si>
  <si>
    <t>SXVB1</t>
  </si>
  <si>
    <t>BP1065</t>
  </si>
  <si>
    <t>Shamim</t>
  </si>
  <si>
    <t>BOMBA</t>
  </si>
  <si>
    <t>BP1066</t>
  </si>
  <si>
    <t>Pradyuth Singh</t>
  </si>
  <si>
    <t>HYDT1</t>
  </si>
  <si>
    <t>BP1067</t>
  </si>
  <si>
    <t>Adesh Pandole</t>
  </si>
  <si>
    <t>BP1068</t>
  </si>
  <si>
    <t>Mahesh K.S</t>
  </si>
  <si>
    <t>BP1069</t>
  </si>
  <si>
    <t>Arun Sharma</t>
  </si>
  <si>
    <t>IXJB1</t>
  </si>
  <si>
    <t>BP1070</t>
  </si>
  <si>
    <t>BP1071</t>
  </si>
  <si>
    <t>K.Ranjith Kumar</t>
  </si>
  <si>
    <t>BP1072</t>
  </si>
  <si>
    <t>Mahender Singh</t>
  </si>
  <si>
    <t>HSRB1</t>
  </si>
  <si>
    <t>BP1073</t>
  </si>
  <si>
    <t>Gouri_Xcel Logistics</t>
  </si>
  <si>
    <t>BLRT1</t>
  </si>
  <si>
    <t>BP1074</t>
  </si>
  <si>
    <t>Karan Mistry_Pickup</t>
  </si>
  <si>
    <t>BP1075</t>
  </si>
  <si>
    <t>BP1076</t>
  </si>
  <si>
    <t>Sharad_South Mumbai</t>
  </si>
  <si>
    <t>BOMBM</t>
  </si>
  <si>
    <t>BP1077</t>
  </si>
  <si>
    <t>Srinivas Murthy_Blr</t>
  </si>
  <si>
    <t>BP1078</t>
  </si>
  <si>
    <t>Yasmeen</t>
  </si>
  <si>
    <t>BP1079</t>
  </si>
  <si>
    <t>Ashish Shukla</t>
  </si>
  <si>
    <t>CCUBD</t>
  </si>
  <si>
    <t>BP1080</t>
  </si>
  <si>
    <t>Elas Transport</t>
  </si>
  <si>
    <t>BP1081</t>
  </si>
  <si>
    <t>Harish Chandra Gupta</t>
  </si>
  <si>
    <t>BP1082</t>
  </si>
  <si>
    <t>Santosh Kumar Yadav</t>
  </si>
  <si>
    <t>BP1083</t>
  </si>
  <si>
    <t>Chandrashekar.R</t>
  </si>
  <si>
    <t>BLRBJ</t>
  </si>
  <si>
    <t>BP1084</t>
  </si>
  <si>
    <t>Vinod Kumar_Delbf</t>
  </si>
  <si>
    <t>DELBF</t>
  </si>
  <si>
    <t>BP1085</t>
  </si>
  <si>
    <t>D.Senthamizhan</t>
  </si>
  <si>
    <t>BP1086</t>
  </si>
  <si>
    <t>S.Venkatraman</t>
  </si>
  <si>
    <t>BP1087</t>
  </si>
  <si>
    <t>Rahul Kumar Rvwani</t>
  </si>
  <si>
    <t>BP1088</t>
  </si>
  <si>
    <t>Akshay Transport</t>
  </si>
  <si>
    <t>BP1089</t>
  </si>
  <si>
    <t>Shyam Kumar Shende</t>
  </si>
  <si>
    <t>RPRB1</t>
  </si>
  <si>
    <t>BP1091</t>
  </si>
  <si>
    <t>Dilip Upadhyay</t>
  </si>
  <si>
    <t>BP1092</t>
  </si>
  <si>
    <t>Sandip Mahadev Vavhal</t>
  </si>
  <si>
    <t>BOMBG</t>
  </si>
  <si>
    <t>BP1093</t>
  </si>
  <si>
    <t>Sumita</t>
  </si>
  <si>
    <t>IXRB1</t>
  </si>
  <si>
    <t>BP1094</t>
  </si>
  <si>
    <t>Tribhuvan Singh R</t>
  </si>
  <si>
    <t>BP1095</t>
  </si>
  <si>
    <t>Pushkarlal.S</t>
  </si>
  <si>
    <t>BP1097</t>
  </si>
  <si>
    <t>K. Dilli</t>
  </si>
  <si>
    <t>BP1098</t>
  </si>
  <si>
    <t>Anil Singh_Ccubb</t>
  </si>
  <si>
    <t>CCUBB</t>
  </si>
  <si>
    <t>BP1099</t>
  </si>
  <si>
    <t>Anil Singh</t>
  </si>
  <si>
    <t>BP1100</t>
  </si>
  <si>
    <t>Srinu Satikam</t>
  </si>
  <si>
    <t>VGAB1</t>
  </si>
  <si>
    <t>BP1102</t>
  </si>
  <si>
    <t>Manoranjan Saha</t>
  </si>
  <si>
    <t>BP1103</t>
  </si>
  <si>
    <t>Sibaram Achary</t>
  </si>
  <si>
    <t>BP1104</t>
  </si>
  <si>
    <t>Virendra Solanki</t>
  </si>
  <si>
    <t>BP1105</t>
  </si>
  <si>
    <t>Vikas Agarwal</t>
  </si>
  <si>
    <t>BP1106</t>
  </si>
  <si>
    <t>Mithilesh Shukla</t>
  </si>
  <si>
    <t>BP1107</t>
  </si>
  <si>
    <t>BP1108</t>
  </si>
  <si>
    <t>Gorakh Bhaginath Gavare</t>
  </si>
  <si>
    <t>BP1109</t>
  </si>
  <si>
    <t>Yashwant Kumar</t>
  </si>
  <si>
    <t>BP1110</t>
  </si>
  <si>
    <t>Pandit Rajaram Bhoir</t>
  </si>
  <si>
    <t>BP1111</t>
  </si>
  <si>
    <t>Krishan Rana</t>
  </si>
  <si>
    <t>BP1112</t>
  </si>
  <si>
    <t>Sunil_Rudrapur</t>
  </si>
  <si>
    <t>RUPCB1</t>
  </si>
  <si>
    <t>BP1113</t>
  </si>
  <si>
    <t>Shantanu Joshi</t>
  </si>
  <si>
    <t>UDRB1</t>
  </si>
  <si>
    <t>BP1114</t>
  </si>
  <si>
    <t>Pradyuman Upadhyay</t>
  </si>
  <si>
    <t>BP1115</t>
  </si>
  <si>
    <t>Suresh Kumar</t>
  </si>
  <si>
    <t>BLRBC</t>
  </si>
  <si>
    <t>BP1116</t>
  </si>
  <si>
    <t>Sarvesh Kumar Mishra</t>
  </si>
  <si>
    <t>VNSB1</t>
  </si>
  <si>
    <t>BP1117</t>
  </si>
  <si>
    <t>Sham Transport</t>
  </si>
  <si>
    <t>BP1118</t>
  </si>
  <si>
    <t>Mohan Vitthal Pingale</t>
  </si>
  <si>
    <t>BP1119</t>
  </si>
  <si>
    <t>S.Rasul</t>
  </si>
  <si>
    <t>BP1122</t>
  </si>
  <si>
    <t>Abdul Rahim</t>
  </si>
  <si>
    <t>BP1123</t>
  </si>
  <si>
    <t>Sudha</t>
  </si>
  <si>
    <t>CJBT1</t>
  </si>
  <si>
    <t>BP1126</t>
  </si>
  <si>
    <t>Anil Kumar Rout</t>
  </si>
  <si>
    <t>BP1127</t>
  </si>
  <si>
    <t>Prashant Bhatt</t>
  </si>
  <si>
    <t>BP1128</t>
  </si>
  <si>
    <t>Ganesh M</t>
  </si>
  <si>
    <t>BP1129</t>
  </si>
  <si>
    <t>Ashok Kumar_Neemrana</t>
  </si>
  <si>
    <t>NMRB1</t>
  </si>
  <si>
    <t>BP1130</t>
  </si>
  <si>
    <t>Sanjit Kumar Naskar</t>
  </si>
  <si>
    <t>BP1131</t>
  </si>
  <si>
    <t>Porter</t>
  </si>
  <si>
    <t>BP1132</t>
  </si>
  <si>
    <t>Subodh Singh</t>
  </si>
  <si>
    <t>CCUBT</t>
  </si>
  <si>
    <t>BP1133</t>
  </si>
  <si>
    <t>Vijay Jibhau Pagare</t>
  </si>
  <si>
    <t>ISKB1</t>
  </si>
  <si>
    <t>BP1134</t>
  </si>
  <si>
    <t>Vinod Sadhusaran Singh</t>
  </si>
  <si>
    <t>BP1135</t>
  </si>
  <si>
    <t>Savita Gaikwad</t>
  </si>
  <si>
    <t>BP1137</t>
  </si>
  <si>
    <t>C Nagraj</t>
  </si>
  <si>
    <t>BP1138</t>
  </si>
  <si>
    <t>Dilip Solanki</t>
  </si>
  <si>
    <t>DWXB1</t>
  </si>
  <si>
    <t>BP1139</t>
  </si>
  <si>
    <t>Avinash_2</t>
  </si>
  <si>
    <t>BP1140</t>
  </si>
  <si>
    <t>P Vamsee</t>
  </si>
  <si>
    <t>HYDBS</t>
  </si>
  <si>
    <t>BP1141</t>
  </si>
  <si>
    <t>Vinod Kumar Dr</t>
  </si>
  <si>
    <t>BP1142</t>
  </si>
  <si>
    <t>Hemraj Dhole</t>
  </si>
  <si>
    <t>NAGT1</t>
  </si>
  <si>
    <t>Nagpur</t>
  </si>
  <si>
    <t>BP1143</t>
  </si>
  <si>
    <t>BP1144</t>
  </si>
  <si>
    <t>Bhim Ray</t>
  </si>
  <si>
    <t>BP1145</t>
  </si>
  <si>
    <t>Ajit Popat Karade</t>
  </si>
  <si>
    <t>BP1146</t>
  </si>
  <si>
    <t>Manisha Pravin Patil</t>
  </si>
  <si>
    <t>BP1147</t>
  </si>
  <si>
    <t>Neeraj Singh</t>
  </si>
  <si>
    <t>PTMB1</t>
  </si>
  <si>
    <t>BP1148</t>
  </si>
  <si>
    <t>Amar Ananda Das</t>
  </si>
  <si>
    <t>NJPT1</t>
  </si>
  <si>
    <t>BP1150</t>
  </si>
  <si>
    <t>Kumar</t>
  </si>
  <si>
    <t>BP1151</t>
  </si>
  <si>
    <t>Zainulsha.M.Diwan</t>
  </si>
  <si>
    <t>BP1152</t>
  </si>
  <si>
    <t>Amit Sharma</t>
  </si>
  <si>
    <t>HSXB1</t>
  </si>
  <si>
    <t>BP1154</t>
  </si>
  <si>
    <t>Pichai Manikkam</t>
  </si>
  <si>
    <t>VLRB1</t>
  </si>
  <si>
    <t>BP1155</t>
  </si>
  <si>
    <t>Sashabindu Ghosh</t>
  </si>
  <si>
    <t>BP1156</t>
  </si>
  <si>
    <t>Mangesh Baban Bhujbal</t>
  </si>
  <si>
    <t>BP1157</t>
  </si>
  <si>
    <t>Saurabh Singh</t>
  </si>
  <si>
    <t>NOIT1</t>
  </si>
  <si>
    <t>BP1159</t>
  </si>
  <si>
    <t>Mohammadrafi Irfani Sheikh</t>
  </si>
  <si>
    <t>BP1160</t>
  </si>
  <si>
    <t>Sunita Mishra</t>
  </si>
  <si>
    <t>BP1162</t>
  </si>
  <si>
    <t>K Sanjeev Kumar</t>
  </si>
  <si>
    <t>BP1163</t>
  </si>
  <si>
    <t>Chanchal Kumar</t>
  </si>
  <si>
    <t>BP1164</t>
  </si>
  <si>
    <t>Krishan Kumar_Sonipat</t>
  </si>
  <si>
    <t>SNPB1</t>
  </si>
  <si>
    <t>BP1166</t>
  </si>
  <si>
    <t>Jayaraman_Chennai</t>
  </si>
  <si>
    <t>BP1167</t>
  </si>
  <si>
    <t>Rangaraj.S</t>
  </si>
  <si>
    <t>BP1168</t>
  </si>
  <si>
    <t>Shrey Jayeshbhai Tarsaria</t>
  </si>
  <si>
    <t>BP1169</t>
  </si>
  <si>
    <t>Mayur Manohar Sorte</t>
  </si>
  <si>
    <t>BP1171</t>
  </si>
  <si>
    <t>BP1172</t>
  </si>
  <si>
    <t>Gajendra Kumar</t>
  </si>
  <si>
    <t>BP1173</t>
  </si>
  <si>
    <t>Rohit Popat Jagdale</t>
  </si>
  <si>
    <t>PNQBH</t>
  </si>
  <si>
    <t>BP1174</t>
  </si>
  <si>
    <t>Syam Kumar V S</t>
  </si>
  <si>
    <t>TRVB1</t>
  </si>
  <si>
    <t>BP1175</t>
  </si>
  <si>
    <t>Rakesh Singh</t>
  </si>
  <si>
    <t>JDHB1</t>
  </si>
  <si>
    <t>BP1177</t>
  </si>
  <si>
    <t>Ravi D. Doddamani</t>
  </si>
  <si>
    <t>BP1178</t>
  </si>
  <si>
    <t>Navya Devada</t>
  </si>
  <si>
    <t>BP1179</t>
  </si>
  <si>
    <t>Manoj Kumar Singh</t>
  </si>
  <si>
    <t>IXWT1</t>
  </si>
  <si>
    <t>BP1181</t>
  </si>
  <si>
    <t>H Krishna</t>
  </si>
  <si>
    <t>BP1184</t>
  </si>
  <si>
    <t>Nabamita Roy</t>
  </si>
  <si>
    <t>MSBB1</t>
  </si>
  <si>
    <t>BP1185</t>
  </si>
  <si>
    <t>Kailask Ray</t>
  </si>
  <si>
    <t>BP1186</t>
  </si>
  <si>
    <t>Jitendra  Kumar Ray</t>
  </si>
  <si>
    <t>BP1187</t>
  </si>
  <si>
    <t>Ramesh S</t>
  </si>
  <si>
    <t>BP1188</t>
  </si>
  <si>
    <t>Karthik_Blr</t>
  </si>
  <si>
    <t>BP1189</t>
  </si>
  <si>
    <t>Minakshi Hazra</t>
  </si>
  <si>
    <t>BP1190</t>
  </si>
  <si>
    <t>Sudeep Singh</t>
  </si>
  <si>
    <t>BP1192</t>
  </si>
  <si>
    <t>Rohit</t>
  </si>
  <si>
    <t>DELB3</t>
  </si>
  <si>
    <t>BP1193</t>
  </si>
  <si>
    <t>Sarajerao Sahebrao Shalke</t>
  </si>
  <si>
    <t>BP1195</t>
  </si>
  <si>
    <t>Porter_Hyd</t>
  </si>
  <si>
    <t>BP1196</t>
  </si>
  <si>
    <t>Pradip Jadhav</t>
  </si>
  <si>
    <t>BP1198</t>
  </si>
  <si>
    <t>Sanjay Singh</t>
  </si>
  <si>
    <t>BP1199</t>
  </si>
  <si>
    <t>Krishan Kumar</t>
  </si>
  <si>
    <t>KRNB1</t>
  </si>
  <si>
    <t>BP1200</t>
  </si>
  <si>
    <t>Ashwini Sachin Rokade</t>
  </si>
  <si>
    <t>BP1203</t>
  </si>
  <si>
    <t>Chauhan  Navneet Kumar</t>
  </si>
  <si>
    <t>BP1205</t>
  </si>
  <si>
    <t>Dhananjaya_Myqb1</t>
  </si>
  <si>
    <t>MYQB1</t>
  </si>
  <si>
    <t>BP1206</t>
  </si>
  <si>
    <t>A M Shad</t>
  </si>
  <si>
    <t>CCJB1</t>
  </si>
  <si>
    <t>BP1207</t>
  </si>
  <si>
    <t>Jayanthi R</t>
  </si>
  <si>
    <t>BP1208</t>
  </si>
  <si>
    <t>Mnt Roadlines</t>
  </si>
  <si>
    <t>HBXB1</t>
  </si>
  <si>
    <t>BP1209</t>
  </si>
  <si>
    <t>Gohil Raghuvirsinh R</t>
  </si>
  <si>
    <t>BP1210</t>
  </si>
  <si>
    <t>Subhas Saha</t>
  </si>
  <si>
    <t>GGKB1</t>
  </si>
  <si>
    <t>BP1211</t>
  </si>
  <si>
    <t>Sanket Roy</t>
  </si>
  <si>
    <t>STBB1</t>
  </si>
  <si>
    <t>BP1212</t>
  </si>
  <si>
    <t>Sachin Maruti Gaikwad</t>
  </si>
  <si>
    <t>ANGB1</t>
  </si>
  <si>
    <t>BP1213</t>
  </si>
  <si>
    <t>Biswajit Das</t>
  </si>
  <si>
    <t>CCUB6</t>
  </si>
  <si>
    <t>BP1215</t>
  </si>
  <si>
    <t>Shahrukh Tajuddin Mulla</t>
  </si>
  <si>
    <t>KLHB1</t>
  </si>
  <si>
    <t>BP1216</t>
  </si>
  <si>
    <t>Prem Singh Rawat</t>
  </si>
  <si>
    <t>BP1217</t>
  </si>
  <si>
    <t>BP1218</t>
  </si>
  <si>
    <t>Ravinder Kumar Chauhan</t>
  </si>
  <si>
    <t>Noida PC</t>
  </si>
  <si>
    <t>BP1219</t>
  </si>
  <si>
    <t>Setty Srinivasa Rao</t>
  </si>
  <si>
    <t>RJAB1</t>
  </si>
  <si>
    <t>BP1220</t>
  </si>
  <si>
    <t>Pankaj Sharma</t>
  </si>
  <si>
    <t>BNWB1</t>
  </si>
  <si>
    <t>BP1223</t>
  </si>
  <si>
    <t>Inderkumar Moolchand Gupta</t>
  </si>
  <si>
    <t>BP1224</t>
  </si>
  <si>
    <t>Madan Lal</t>
  </si>
  <si>
    <t>BP1225</t>
  </si>
  <si>
    <t>Rohit Sharma</t>
  </si>
  <si>
    <t>UHLB1</t>
  </si>
  <si>
    <t>BP1226</t>
  </si>
  <si>
    <t>Navratan Ranga</t>
  </si>
  <si>
    <t>BKNB1</t>
  </si>
  <si>
    <t>BP1228</t>
  </si>
  <si>
    <t>K K Enterprises</t>
  </si>
  <si>
    <t>KTUB1</t>
  </si>
  <si>
    <t>BP1229</t>
  </si>
  <si>
    <t>BP1230</t>
  </si>
  <si>
    <t>Krishan Kumar_Delbj</t>
  </si>
  <si>
    <t>DELT1</t>
  </si>
  <si>
    <t>BP1231</t>
  </si>
  <si>
    <t>V Raghavendra Kamath</t>
  </si>
  <si>
    <t>SMEB1</t>
  </si>
  <si>
    <t>BP1234</t>
  </si>
  <si>
    <t>Meyyappan S</t>
  </si>
  <si>
    <t>BP1235</t>
  </si>
  <si>
    <t>Santosh Kumar Das</t>
  </si>
  <si>
    <t>BP1236</t>
  </si>
  <si>
    <t>Firoj Rabbilal Jamadar</t>
  </si>
  <si>
    <t>SLIB1</t>
  </si>
  <si>
    <t>BP1237</t>
  </si>
  <si>
    <t>Sandeep Kumar</t>
  </si>
  <si>
    <t>BP1239</t>
  </si>
  <si>
    <t>Md.Irshad Hussain</t>
  </si>
  <si>
    <t>BP1240</t>
  </si>
  <si>
    <t>Sadhu Ram Kargwal</t>
  </si>
  <si>
    <t>BP1241</t>
  </si>
  <si>
    <t>Prashant Mohan</t>
  </si>
  <si>
    <t>MDIB1</t>
  </si>
  <si>
    <t>BP1242</t>
  </si>
  <si>
    <t>Deepanshi Rattan</t>
  </si>
  <si>
    <t>BUPCB1</t>
  </si>
  <si>
    <t>BP1243</t>
  </si>
  <si>
    <t>Kamla Kumari</t>
  </si>
  <si>
    <t>BP1245</t>
  </si>
  <si>
    <t>Mahendra  Badgurjar</t>
  </si>
  <si>
    <t>BP1246</t>
  </si>
  <si>
    <t>Santosh Kumar</t>
  </si>
  <si>
    <t>BP1247</t>
  </si>
  <si>
    <t>Karun Singh Badhan</t>
  </si>
  <si>
    <t>DELBO</t>
  </si>
  <si>
    <t>BP1248</t>
  </si>
  <si>
    <t>Amit Kumar_Patna</t>
  </si>
  <si>
    <t>BP1249</t>
  </si>
  <si>
    <t>Ravi Kant Pandey</t>
  </si>
  <si>
    <t>JLRB1</t>
  </si>
  <si>
    <t>BP1250</t>
  </si>
  <si>
    <t>Brijesh Kumar</t>
  </si>
  <si>
    <t>LKOBD</t>
  </si>
  <si>
    <t>BP1251</t>
  </si>
  <si>
    <t>Bappa Dey</t>
  </si>
  <si>
    <t>COHB1</t>
  </si>
  <si>
    <t>BP1252</t>
  </si>
  <si>
    <t>Rajesh Shukla</t>
  </si>
  <si>
    <t>PABB1</t>
  </si>
  <si>
    <t>BP1253</t>
  </si>
  <si>
    <t>Divesh Singh</t>
  </si>
  <si>
    <t>BIAB1</t>
  </si>
  <si>
    <t>BP1254</t>
  </si>
  <si>
    <t>Arulvelmurugan.A</t>
  </si>
  <si>
    <t>BP1256</t>
  </si>
  <si>
    <t>Anand Kumar</t>
  </si>
  <si>
    <t>GWLB1</t>
  </si>
  <si>
    <t>BP1258</t>
  </si>
  <si>
    <t>Ajay Singh Shekhawat</t>
  </si>
  <si>
    <t>SIKB1</t>
  </si>
  <si>
    <t>BP1259</t>
  </si>
  <si>
    <t>Gulzar F Memon</t>
  </si>
  <si>
    <t>BP1260</t>
  </si>
  <si>
    <t>Farzana Begum</t>
  </si>
  <si>
    <t>MBRB1</t>
  </si>
  <si>
    <t>BP1261</t>
  </si>
  <si>
    <t>Blow Horn</t>
  </si>
  <si>
    <t>BLRBM</t>
  </si>
  <si>
    <t>BP1262</t>
  </si>
  <si>
    <t>Nemarugommula Janarhan</t>
  </si>
  <si>
    <t>WRLB1</t>
  </si>
  <si>
    <t>BP1263</t>
  </si>
  <si>
    <t>Badrapu Venkata Swamy</t>
  </si>
  <si>
    <t>KRMB1</t>
  </si>
  <si>
    <t>BP1264</t>
  </si>
  <si>
    <t>Liyakat Ali</t>
  </si>
  <si>
    <t>BP1265</t>
  </si>
  <si>
    <t>Veer Pal</t>
  </si>
  <si>
    <t>BP1266</t>
  </si>
  <si>
    <t>Kumar Aman</t>
  </si>
  <si>
    <t>BKRB1</t>
  </si>
  <si>
    <t>BP1267</t>
  </si>
  <si>
    <t>Gitartha Baruah</t>
  </si>
  <si>
    <t>NGAB1</t>
  </si>
  <si>
    <t>BP1268</t>
  </si>
  <si>
    <t>Eleti Soumya</t>
  </si>
  <si>
    <t>BP1269</t>
  </si>
  <si>
    <t>Rajalekshmi Nr</t>
  </si>
  <si>
    <t>BP1270</t>
  </si>
  <si>
    <t>Bikash Sutradhar</t>
  </si>
  <si>
    <t>BNGB1</t>
  </si>
  <si>
    <t>BP1271</t>
  </si>
  <si>
    <t>Santosh Damodar Agale</t>
  </si>
  <si>
    <t>AKDB1</t>
  </si>
  <si>
    <t>BP1272</t>
  </si>
  <si>
    <t>Aline Logistics</t>
  </si>
  <si>
    <t>BP1273</t>
  </si>
  <si>
    <t>P. Kanna Desai</t>
  </si>
  <si>
    <t>KUNB1</t>
  </si>
  <si>
    <t>BP1274</t>
  </si>
  <si>
    <t>Mukesh Kumar Gaur</t>
  </si>
  <si>
    <t>AIIB1</t>
  </si>
  <si>
    <t>BP1275</t>
  </si>
  <si>
    <t>Dineshbhai Mohanbhai Solanki</t>
  </si>
  <si>
    <t>BP1276</t>
  </si>
  <si>
    <t>Sanjeev Sharma</t>
  </si>
  <si>
    <t>BP1277</t>
  </si>
  <si>
    <t>Kamlesh Kumar</t>
  </si>
  <si>
    <t>BP1279</t>
  </si>
  <si>
    <t>Biswanath Mondal</t>
  </si>
  <si>
    <t>DBDB1</t>
  </si>
  <si>
    <t>BP1281</t>
  </si>
  <si>
    <t>Pramod K M</t>
  </si>
  <si>
    <t>PGTB1</t>
  </si>
  <si>
    <t>BP1282</t>
  </si>
  <si>
    <t>Sunil Purkait</t>
  </si>
  <si>
    <t>BP1284</t>
  </si>
  <si>
    <t>Anam Fatima</t>
  </si>
  <si>
    <t>BBKB1</t>
  </si>
  <si>
    <t>BP1285</t>
  </si>
  <si>
    <t>Shampa Samanta</t>
  </si>
  <si>
    <t>BWNB1</t>
  </si>
  <si>
    <t>BP1287</t>
  </si>
  <si>
    <t>Vinay Kumar Rai</t>
  </si>
  <si>
    <t>BP1288</t>
  </si>
  <si>
    <t>Shakthi Globistics</t>
  </si>
  <si>
    <t>BP1289</t>
  </si>
  <si>
    <t>Muliya Tofikhusen Habibbhai</t>
  </si>
  <si>
    <t>BP1290</t>
  </si>
  <si>
    <t>Veerappan</t>
  </si>
  <si>
    <t>BP1291</t>
  </si>
  <si>
    <t>Dhananjay Singh</t>
  </si>
  <si>
    <t>BP1293</t>
  </si>
  <si>
    <t>Prabhakar Reddy</t>
  </si>
  <si>
    <t>BP1294</t>
  </si>
  <si>
    <t>Arul Raj Lasar</t>
  </si>
  <si>
    <t>BP1295</t>
  </si>
  <si>
    <t>J M Logistics</t>
  </si>
  <si>
    <t>PNQBP</t>
  </si>
  <si>
    <t>BP1296</t>
  </si>
  <si>
    <t>Belim Riyazuddin Mehboobbhai</t>
  </si>
  <si>
    <t>BP1297</t>
  </si>
  <si>
    <t>Kalavati M Biradar</t>
  </si>
  <si>
    <t>BGMB1</t>
  </si>
  <si>
    <t>BP1298</t>
  </si>
  <si>
    <t>Mamata Pal</t>
  </si>
  <si>
    <t>BP1299</t>
  </si>
  <si>
    <t>BP1300</t>
  </si>
  <si>
    <t>Brajesh Kumar</t>
  </si>
  <si>
    <t>ALJB1</t>
  </si>
  <si>
    <t>BP1301</t>
  </si>
  <si>
    <t>V Muniraju</t>
  </si>
  <si>
    <t>BP1302</t>
  </si>
  <si>
    <t>Pathan Parvezbhai</t>
  </si>
  <si>
    <t>BP1304</t>
  </si>
  <si>
    <t>Nilesh Balaji Pendewar</t>
  </si>
  <si>
    <t>BP1305</t>
  </si>
  <si>
    <t>Rameshwer Pedwa</t>
  </si>
  <si>
    <t>UJNB1</t>
  </si>
  <si>
    <t>BP1307</t>
  </si>
  <si>
    <t>Rafi Uddin</t>
  </si>
  <si>
    <t>BP1309</t>
  </si>
  <si>
    <t>Saurabh Tyagi</t>
  </si>
  <si>
    <t>MZAB1</t>
  </si>
  <si>
    <t>BP1310</t>
  </si>
  <si>
    <t>Srinivasulu Reddy Manne</t>
  </si>
  <si>
    <t>NLRB1</t>
  </si>
  <si>
    <t>BP1312</t>
  </si>
  <si>
    <t>Prasad K V</t>
  </si>
  <si>
    <t>BP1313</t>
  </si>
  <si>
    <t>Raghupathi Sairam</t>
  </si>
  <si>
    <t>SKMB1</t>
  </si>
  <si>
    <t>BP1314</t>
  </si>
  <si>
    <t>Vikas Khale</t>
  </si>
  <si>
    <t>BP1315</t>
  </si>
  <si>
    <t>Tasalim Khan</t>
  </si>
  <si>
    <t>Bhubaneswar</t>
  </si>
  <si>
    <t>BP1317</t>
  </si>
  <si>
    <t>Mo. Farukh</t>
  </si>
  <si>
    <t>BP1318</t>
  </si>
  <si>
    <t>Devendra R. Mistry</t>
  </si>
  <si>
    <t>BP1319</t>
  </si>
  <si>
    <t>Lalaji Bhai Thakor</t>
  </si>
  <si>
    <t>BP1320</t>
  </si>
  <si>
    <t>Joydev Dey</t>
  </si>
  <si>
    <t>DGRB1</t>
  </si>
  <si>
    <t>BP1322</t>
  </si>
  <si>
    <t>Mampi Saha</t>
  </si>
  <si>
    <t>ASNB1</t>
  </si>
  <si>
    <t>BP1324</t>
  </si>
  <si>
    <t>Bharat Madhusing Lodha</t>
  </si>
  <si>
    <t>BP1327</t>
  </si>
  <si>
    <t>Od Maheshbhai Bhikhabhai</t>
  </si>
  <si>
    <t>BP1328</t>
  </si>
  <si>
    <t>BP1329</t>
  </si>
  <si>
    <t>Rajesh Kumar Misra_Pickup</t>
  </si>
  <si>
    <t>BP1330</t>
  </si>
  <si>
    <t>Sureshbhai Rajabhai Bharwad</t>
  </si>
  <si>
    <t>BP1331</t>
  </si>
  <si>
    <t>Swapnil Pandey_Bp</t>
  </si>
  <si>
    <t>BP1332</t>
  </si>
  <si>
    <t>Agarwal Sugandha Amit</t>
  </si>
  <si>
    <t>BP1333</t>
  </si>
  <si>
    <t>Sambu Satish Babu</t>
  </si>
  <si>
    <t>ATPB1</t>
  </si>
  <si>
    <t>BP1334</t>
  </si>
  <si>
    <t>Faizila Theba</t>
  </si>
  <si>
    <t>BP1335</t>
  </si>
  <si>
    <t>Mukeshbhai Rajabhai Bharwad</t>
  </si>
  <si>
    <t>BP1336</t>
  </si>
  <si>
    <t>Denish B. Bavariya</t>
  </si>
  <si>
    <t>BP1338</t>
  </si>
  <si>
    <t>Shekh Jenulabedeen Badrudin</t>
  </si>
  <si>
    <t>BP1339</t>
  </si>
  <si>
    <t>Ekta Agarwal</t>
  </si>
  <si>
    <t>BP1340</t>
  </si>
  <si>
    <t>Vikalp Bhatt</t>
  </si>
  <si>
    <t>RBLB1</t>
  </si>
  <si>
    <t>BP1341</t>
  </si>
  <si>
    <t>Ravindra Pandurang Patil</t>
  </si>
  <si>
    <t>BP1342</t>
  </si>
  <si>
    <t>BP1343</t>
  </si>
  <si>
    <t>Fakhruddin Saifuddin Bohra</t>
  </si>
  <si>
    <t>CDRB1</t>
  </si>
  <si>
    <t>BP1344</t>
  </si>
  <si>
    <t>Rakib Gulamkadar Bloch</t>
  </si>
  <si>
    <t>BP1345</t>
  </si>
  <si>
    <t>Ajay Kumar Mandal</t>
  </si>
  <si>
    <t>BP1346</t>
  </si>
  <si>
    <t>Tavrej</t>
  </si>
  <si>
    <t>BP1347</t>
  </si>
  <si>
    <t>Sonika</t>
  </si>
  <si>
    <t>BP1350</t>
  </si>
  <si>
    <t>Sandip Govind Yadav</t>
  </si>
  <si>
    <t>BP1353</t>
  </si>
  <si>
    <t>Prabhu Supriya Renjala</t>
  </si>
  <si>
    <t>MNPB1</t>
  </si>
  <si>
    <t>BP1356</t>
  </si>
  <si>
    <t>Santosh Singh</t>
  </si>
  <si>
    <t>BP1357</t>
  </si>
  <si>
    <t>Rajendrasinh L Chavda</t>
  </si>
  <si>
    <t>BP1358</t>
  </si>
  <si>
    <t>A Square Logistic Solutions</t>
  </si>
  <si>
    <t>BP1359</t>
  </si>
  <si>
    <t>Raj Kumar_Bp</t>
  </si>
  <si>
    <t>DELBP</t>
  </si>
  <si>
    <t>BP1360</t>
  </si>
  <si>
    <t>Gouri_Bp_Hydt1</t>
  </si>
  <si>
    <t>BP1361</t>
  </si>
  <si>
    <t>Ajay Yadav</t>
  </si>
  <si>
    <t>BP1362</t>
  </si>
  <si>
    <t>Jabbar Tajuddin Mulla</t>
  </si>
  <si>
    <t>BP1363</t>
  </si>
  <si>
    <t>Ashok Kumar_Gncb1</t>
  </si>
  <si>
    <t>BP1364</t>
  </si>
  <si>
    <t>Moinuddin R Shaikh</t>
  </si>
  <si>
    <t>BP1365</t>
  </si>
  <si>
    <t>Pratap Bahadur Singh</t>
  </si>
  <si>
    <t>SLNB1</t>
  </si>
  <si>
    <t>BP1367</t>
  </si>
  <si>
    <t>BP1368</t>
  </si>
  <si>
    <t>Bharat Anna Autade</t>
  </si>
  <si>
    <t>BP1369</t>
  </si>
  <si>
    <t>Poonam Nirala</t>
  </si>
  <si>
    <t>PNQBR</t>
  </si>
  <si>
    <t>BP1370</t>
  </si>
  <si>
    <t>Sanjay Kapoor</t>
  </si>
  <si>
    <t>ATQB1</t>
  </si>
  <si>
    <t>BP1371</t>
  </si>
  <si>
    <t>Devraj Guru</t>
  </si>
  <si>
    <t>BP1372</t>
  </si>
  <si>
    <t>C Kalpana</t>
  </si>
  <si>
    <t>BP1373</t>
  </si>
  <si>
    <t>Aditya Logistics</t>
  </si>
  <si>
    <t>BP1375</t>
  </si>
  <si>
    <t>Janardan Ramchandra Mane</t>
  </si>
  <si>
    <t>PNVB1</t>
  </si>
  <si>
    <t>BP1376</t>
  </si>
  <si>
    <t>Mohinder Singh</t>
  </si>
  <si>
    <t>BP1377</t>
  </si>
  <si>
    <t>Gajrajsingh B Rathod</t>
  </si>
  <si>
    <t>BP1378</t>
  </si>
  <si>
    <t>Rizwan Hakim</t>
  </si>
  <si>
    <t>HYDBB</t>
  </si>
  <si>
    <t>BP1383</t>
  </si>
  <si>
    <t>Nilesh Patel</t>
  </si>
  <si>
    <t>BP1384</t>
  </si>
  <si>
    <t>Bhagwati Prasad Mishra</t>
  </si>
  <si>
    <t>MAUB1</t>
  </si>
  <si>
    <t>BP1385</t>
  </si>
  <si>
    <t>Kusuma B M</t>
  </si>
  <si>
    <t>BP1386</t>
  </si>
  <si>
    <t>A To Z Enterprises</t>
  </si>
  <si>
    <t>BP1387</t>
  </si>
  <si>
    <t>S K Enterprises</t>
  </si>
  <si>
    <t>BP1390</t>
  </si>
  <si>
    <t>Sandeep Rathore</t>
  </si>
  <si>
    <t>BP1392</t>
  </si>
  <si>
    <t>Ankush Zimaji Dhawale</t>
  </si>
  <si>
    <t>BP1393</t>
  </si>
  <si>
    <t>Raju Soni</t>
  </si>
  <si>
    <t>BP1394</t>
  </si>
  <si>
    <t>Shishpal</t>
  </si>
  <si>
    <t>BP1395</t>
  </si>
  <si>
    <t>Ran Vijay Singh</t>
  </si>
  <si>
    <t>ADNB1</t>
  </si>
  <si>
    <t>BP1396</t>
  </si>
  <si>
    <t>Jagdish Grover</t>
  </si>
  <si>
    <t>DELB11</t>
  </si>
  <si>
    <t>BP1397</t>
  </si>
  <si>
    <t>Rajnikant</t>
  </si>
  <si>
    <t>MTJB1</t>
  </si>
  <si>
    <t>BP1399</t>
  </si>
  <si>
    <t>Tarun Kanti Ghosh</t>
  </si>
  <si>
    <t>BP1400</t>
  </si>
  <si>
    <t>Karan Singh Raghav</t>
  </si>
  <si>
    <t>BP1401</t>
  </si>
  <si>
    <t>K Keshavulu</t>
  </si>
  <si>
    <t>BAYB1</t>
  </si>
  <si>
    <t>BP1403</t>
  </si>
  <si>
    <t>Satish Kumar Tiwari</t>
  </si>
  <si>
    <t>SGOB1</t>
  </si>
  <si>
    <t>BP1404</t>
  </si>
  <si>
    <t>Ghanshyam Mishra</t>
  </si>
  <si>
    <t>BP1406</t>
  </si>
  <si>
    <t>Chandar Pal Verma</t>
  </si>
  <si>
    <t>BP1410</t>
  </si>
  <si>
    <t>Laddha Ajay Kumar</t>
  </si>
  <si>
    <t>NZBB1</t>
  </si>
  <si>
    <t>BP1411</t>
  </si>
  <si>
    <t>Jai Jai Hari Singh</t>
  </si>
  <si>
    <t>GONB1</t>
  </si>
  <si>
    <t>BP1412</t>
  </si>
  <si>
    <t>Rajendra Kashinath Gupta</t>
  </si>
  <si>
    <t>BP1413</t>
  </si>
  <si>
    <t>Santosh Kumar Sharma</t>
  </si>
  <si>
    <t>BP1414</t>
  </si>
  <si>
    <t>Anil Kumar Sahu</t>
  </si>
  <si>
    <t>BP1416</t>
  </si>
  <si>
    <t>Vikram Nivrutti Bagul</t>
  </si>
  <si>
    <t>BP1417</t>
  </si>
  <si>
    <t>Samir Shamsuddin Solapuri</t>
  </si>
  <si>
    <t>BP1419</t>
  </si>
  <si>
    <t>Shri Ram Transport Co</t>
  </si>
  <si>
    <t>BP1420</t>
  </si>
  <si>
    <t>Suvojit Paul</t>
  </si>
  <si>
    <t>BP1422</t>
  </si>
  <si>
    <t>Shyam Singh</t>
  </si>
  <si>
    <t>BP1423</t>
  </si>
  <si>
    <t>Manoj Kumar Yadav</t>
  </si>
  <si>
    <t>GOIB1</t>
  </si>
  <si>
    <t>BP1424</t>
  </si>
  <si>
    <t>Joanita Fernandes</t>
  </si>
  <si>
    <t>BP1426</t>
  </si>
  <si>
    <t>Deepak Vishwakarma</t>
  </si>
  <si>
    <t>BP1427</t>
  </si>
  <si>
    <t>Kapil Yadav</t>
  </si>
  <si>
    <t>BP1432</t>
  </si>
  <si>
    <t>Atharv Express Services</t>
  </si>
  <si>
    <t>HYDB7</t>
  </si>
  <si>
    <t>BP1433</t>
  </si>
  <si>
    <t>Raja Prabhu</t>
  </si>
  <si>
    <t>BP1435</t>
  </si>
  <si>
    <t>Rajendra Dete</t>
  </si>
  <si>
    <t>BP1436</t>
  </si>
  <si>
    <t>Sanjeet Singh</t>
  </si>
  <si>
    <t>BP1439</t>
  </si>
  <si>
    <t>V N Patel</t>
  </si>
  <si>
    <t>BP1440</t>
  </si>
  <si>
    <t>Porter_Delbo</t>
  </si>
  <si>
    <t>BP1441</t>
  </si>
  <si>
    <t>Ulengala Rajashekar</t>
  </si>
  <si>
    <t>BP1442</t>
  </si>
  <si>
    <t>Kothapalli Ramesh</t>
  </si>
  <si>
    <t>BP1443</t>
  </si>
  <si>
    <t>Chandan Pandey</t>
  </si>
  <si>
    <t>BP1444</t>
  </si>
  <si>
    <t>Pne Tecnho Solutions Pvt Ltd</t>
  </si>
  <si>
    <t>BP1446</t>
  </si>
  <si>
    <t>Amandeep Singh</t>
  </si>
  <si>
    <t>BP1448</t>
  </si>
  <si>
    <t>Vinay Kumar Mandal</t>
  </si>
  <si>
    <t>BP1451</t>
  </si>
  <si>
    <t>Unique Roadline</t>
  </si>
  <si>
    <t>BP1453</t>
  </si>
  <si>
    <t>Jitendra Chambharuji Raut</t>
  </si>
  <si>
    <t>BP1455</t>
  </si>
  <si>
    <t>Dinesh Kumar Rai</t>
  </si>
  <si>
    <t>BP1456</t>
  </si>
  <si>
    <t>Neelam</t>
  </si>
  <si>
    <t>DELBC</t>
  </si>
  <si>
    <t>BP1458</t>
  </si>
  <si>
    <t>Jitender_Delb3</t>
  </si>
  <si>
    <t>BP1459</t>
  </si>
  <si>
    <t>Jeet Singh</t>
  </si>
  <si>
    <t>BP1460</t>
  </si>
  <si>
    <t>Muthu Krishnan S</t>
  </si>
  <si>
    <t>TENB1</t>
  </si>
  <si>
    <t>BP1461</t>
  </si>
  <si>
    <t>Satish Prakash Chaudhari_Pune</t>
  </si>
  <si>
    <t>BP1462</t>
  </si>
  <si>
    <t>Ajay Yadav_Ixwt1</t>
  </si>
  <si>
    <t>BP1464</t>
  </si>
  <si>
    <t>Etn Services</t>
  </si>
  <si>
    <t>SXRB1</t>
  </si>
  <si>
    <t>BP1467</t>
  </si>
  <si>
    <t>Bizongo Solutions Pvt Ltd</t>
  </si>
  <si>
    <t>BP1469</t>
  </si>
  <si>
    <t>Varsha Rani Tempo</t>
  </si>
  <si>
    <t>BP1470</t>
  </si>
  <si>
    <t>Jaspal Charanjit Singh</t>
  </si>
  <si>
    <t>BP1472</t>
  </si>
  <si>
    <t>Redigo Services</t>
  </si>
  <si>
    <t>BP1473</t>
  </si>
  <si>
    <t>Triveni Road Carrier</t>
  </si>
  <si>
    <t>KRBB1</t>
  </si>
  <si>
    <t>BP1474</t>
  </si>
  <si>
    <t>Nikky Kumari</t>
  </si>
  <si>
    <t>BGPB1</t>
  </si>
  <si>
    <t>BP1475</t>
  </si>
  <si>
    <t>Pravin Chandra Jha</t>
  </si>
  <si>
    <t>DBRB1</t>
  </si>
  <si>
    <t>BP1476</t>
  </si>
  <si>
    <t>Jagtar Singh</t>
  </si>
  <si>
    <t>BP1477</t>
  </si>
  <si>
    <t>Krishna Prakash Shukla</t>
  </si>
  <si>
    <t>BP1478</t>
  </si>
  <si>
    <t>Farhanuddin Kazi</t>
  </si>
  <si>
    <t>BP1480</t>
  </si>
  <si>
    <t>Satish Prakash Chaudhari_Pnqb9</t>
  </si>
  <si>
    <t>PNQB9</t>
  </si>
  <si>
    <t>BP1481</t>
  </si>
  <si>
    <t>Bhanupratap Shivprasad Vishwakarma</t>
  </si>
  <si>
    <t>BOMT2</t>
  </si>
  <si>
    <t>BP1482</t>
  </si>
  <si>
    <t>Krishan Kumar_Snpb1</t>
  </si>
  <si>
    <t>BP1483</t>
  </si>
  <si>
    <t>Kamathe Navnath Jaywant</t>
  </si>
  <si>
    <t>PNQB8</t>
  </si>
  <si>
    <t>BP1484</t>
  </si>
  <si>
    <t>Deepjyoti Pal</t>
  </si>
  <si>
    <t>CCUB5</t>
  </si>
  <si>
    <t>BP1485</t>
  </si>
  <si>
    <t>Ashish Yadav</t>
  </si>
  <si>
    <t>LDAB1</t>
  </si>
  <si>
    <t>BP1487</t>
  </si>
  <si>
    <t>Nandkumar Dilip Mulik</t>
  </si>
  <si>
    <t>BP1488</t>
  </si>
  <si>
    <t>Subhadip Banerjee</t>
  </si>
  <si>
    <t>BP1489</t>
  </si>
  <si>
    <t>Girish Kumar Tiwary</t>
  </si>
  <si>
    <t>BP1490</t>
  </si>
  <si>
    <t>Samadhan Bharat Nawadkar</t>
  </si>
  <si>
    <t>STRB1</t>
  </si>
  <si>
    <t>BP1491</t>
  </si>
  <si>
    <t>Santosh Singh_Ccub5</t>
  </si>
  <si>
    <t>BP1492</t>
  </si>
  <si>
    <t>Porter_Maat1</t>
  </si>
  <si>
    <t>MAABG</t>
  </si>
  <si>
    <t>BP1493</t>
  </si>
  <si>
    <t>Mahadeva Swamy</t>
  </si>
  <si>
    <t>BP1494</t>
  </si>
  <si>
    <t>Ramanand P K</t>
  </si>
  <si>
    <t>BP1495</t>
  </si>
  <si>
    <t>Hanumant Jayvant Jagdale</t>
  </si>
  <si>
    <t>PNQBK</t>
  </si>
  <si>
    <t>BP1496</t>
  </si>
  <si>
    <t>Parmar P K</t>
  </si>
  <si>
    <t>BP1498</t>
  </si>
  <si>
    <t>Dharmraj Suresh Sirsat</t>
  </si>
  <si>
    <t>BP1499</t>
  </si>
  <si>
    <t>Shriram Swami</t>
  </si>
  <si>
    <t>BHLB1</t>
  </si>
  <si>
    <t>BP1500</t>
  </si>
  <si>
    <t>Ravinder Singh</t>
  </si>
  <si>
    <t>BP1501</t>
  </si>
  <si>
    <t>Sanjeev Kumar</t>
  </si>
  <si>
    <t>BP1502</t>
  </si>
  <si>
    <t>Sunil Maheshwari</t>
  </si>
  <si>
    <t>NMHB1</t>
  </si>
  <si>
    <t>BP1504</t>
  </si>
  <si>
    <t>Shivesh Gautam</t>
  </si>
  <si>
    <t>REWB1</t>
  </si>
  <si>
    <t>BP1505</t>
  </si>
  <si>
    <t>Rahul Tiwari</t>
  </si>
  <si>
    <t>BP1506</t>
  </si>
  <si>
    <t>Rajnarayan Tiwari</t>
  </si>
  <si>
    <t>IXYB1</t>
  </si>
  <si>
    <t>BP1507</t>
  </si>
  <si>
    <t>Vindsor Logistics (India) Private Limited</t>
  </si>
  <si>
    <t>BP1508</t>
  </si>
  <si>
    <t>Maharban Singh</t>
  </si>
  <si>
    <t>RTMB1</t>
  </si>
  <si>
    <t>BP1509</t>
  </si>
  <si>
    <t>Himanshu Chaturvedi</t>
  </si>
  <si>
    <t>BP1510</t>
  </si>
  <si>
    <t>Anuj Yadav</t>
  </si>
  <si>
    <t>BP1511</t>
  </si>
  <si>
    <t>Vinod Kumar_Tsrb1</t>
  </si>
  <si>
    <t>TSRB1</t>
  </si>
  <si>
    <t>BP1512</t>
  </si>
  <si>
    <t>Dilip Singh</t>
  </si>
  <si>
    <t>BRYB1</t>
  </si>
  <si>
    <t>BP1513</t>
  </si>
  <si>
    <t>Laxmi Gupta</t>
  </si>
  <si>
    <t>IXDB1</t>
  </si>
  <si>
    <t>BP1515</t>
  </si>
  <si>
    <t>Neeraj Sharma</t>
  </si>
  <si>
    <t>PTAB1</t>
  </si>
  <si>
    <t>BP1519</t>
  </si>
  <si>
    <t>Rohit Kashyap</t>
  </si>
  <si>
    <t>BP1520</t>
  </si>
  <si>
    <t>Vinod Dadarao Tavar</t>
  </si>
  <si>
    <t>AMIB1</t>
  </si>
  <si>
    <t>BP1521</t>
  </si>
  <si>
    <t>Jitendra Kumar Koshta</t>
  </si>
  <si>
    <t>BP1522</t>
  </si>
  <si>
    <t>Abdul Naeem Khan</t>
  </si>
  <si>
    <t>BP1523</t>
  </si>
  <si>
    <t>Prabhat Mahato</t>
  </si>
  <si>
    <t>BP1524</t>
  </si>
  <si>
    <t>Varun Aadhya Transport</t>
  </si>
  <si>
    <t>BP1525</t>
  </si>
  <si>
    <t>Maria Chowdhury</t>
  </si>
  <si>
    <t>TEZB1</t>
  </si>
  <si>
    <t>BP1526</t>
  </si>
  <si>
    <t>Girijesh Vishkarma</t>
  </si>
  <si>
    <t>BP1527</t>
  </si>
  <si>
    <t>Pappu Kumar_Ixrb1</t>
  </si>
  <si>
    <t>BP1528</t>
  </si>
  <si>
    <t>Puspendra Kumar</t>
  </si>
  <si>
    <t>BP1529</t>
  </si>
  <si>
    <t>Richard Rodrigues</t>
  </si>
  <si>
    <t>IXEB1</t>
  </si>
  <si>
    <t>BP1530</t>
  </si>
  <si>
    <t>Porter_Blrbj</t>
  </si>
  <si>
    <t>BP1531</t>
  </si>
  <si>
    <t>Santosh Kumar_Mzub1</t>
  </si>
  <si>
    <t>MZUB1</t>
  </si>
  <si>
    <t>BP1532</t>
  </si>
  <si>
    <t>Goutam Das</t>
  </si>
  <si>
    <t>BP1534</t>
  </si>
  <si>
    <t>Manishkumar Bhogilal Joshii</t>
  </si>
  <si>
    <t>BP1535</t>
  </si>
  <si>
    <t>Sunil Rajput</t>
  </si>
  <si>
    <t>JHSB1</t>
  </si>
  <si>
    <t>BP1536</t>
  </si>
  <si>
    <t>Yuvraj Nitin Gosavi</t>
  </si>
  <si>
    <t>BP1537</t>
  </si>
  <si>
    <t>Area Wide Logistics</t>
  </si>
  <si>
    <t>BP1539</t>
  </si>
  <si>
    <t>Utpal Dey</t>
  </si>
  <si>
    <t>BP1540</t>
  </si>
  <si>
    <t>Pravin Ashok Naikwadi</t>
  </si>
  <si>
    <t>BP1541</t>
  </si>
  <si>
    <t>Gurdeep Singh</t>
  </si>
  <si>
    <t>BP1542</t>
  </si>
  <si>
    <t>Rakesh Kumar Rai</t>
  </si>
  <si>
    <t>BP1543</t>
  </si>
  <si>
    <t>Lynks Logistics Limited</t>
  </si>
  <si>
    <t>MAABP</t>
  </si>
  <si>
    <t>BP1545</t>
  </si>
  <si>
    <t>Amit Kumar Tiwari_Lkot1</t>
  </si>
  <si>
    <t>BP1546</t>
  </si>
  <si>
    <t>Parmeshwar Upadhyay</t>
  </si>
  <si>
    <t>BP1548</t>
  </si>
  <si>
    <t>Harkesh_Delbf</t>
  </si>
  <si>
    <t>BP1549</t>
  </si>
  <si>
    <t>Shrikant Rohidas Kashid</t>
  </si>
  <si>
    <t>BP1550</t>
  </si>
  <si>
    <t>S Venugopalarao</t>
  </si>
  <si>
    <t>PTRB1</t>
  </si>
  <si>
    <t>BP1551</t>
  </si>
  <si>
    <t>Murugesan C</t>
  </si>
  <si>
    <t>BP1552</t>
  </si>
  <si>
    <t>Dhrmendra Kalita</t>
  </si>
  <si>
    <t>BP1553</t>
  </si>
  <si>
    <t>Sukhadas Bairagi</t>
  </si>
  <si>
    <t>CWAB1</t>
  </si>
  <si>
    <t>BP1554</t>
  </si>
  <si>
    <t>Ramasamy K</t>
  </si>
  <si>
    <t>BP1555</t>
  </si>
  <si>
    <t>Shakuntla</t>
  </si>
  <si>
    <t>BP1558</t>
  </si>
  <si>
    <t>Swati Rohit Jagdale</t>
  </si>
  <si>
    <t>BP1559</t>
  </si>
  <si>
    <t>Ganesan R_Kpmb1</t>
  </si>
  <si>
    <t>KPMB1</t>
  </si>
  <si>
    <t>BP1561</t>
  </si>
  <si>
    <t>Arjun Singh Sisodiya</t>
  </si>
  <si>
    <t>BP1562</t>
  </si>
  <si>
    <t>Vijay Kumar_Delbc</t>
  </si>
  <si>
    <t>BP1563</t>
  </si>
  <si>
    <t>Babita Devi</t>
  </si>
  <si>
    <t>BP1564</t>
  </si>
  <si>
    <t>Hrishkesh Vishwanath Ghuge</t>
  </si>
  <si>
    <t>BP1565</t>
  </si>
  <si>
    <t>Bahadurbhai Prabhatbhai Jalu</t>
  </si>
  <si>
    <t>BP1566</t>
  </si>
  <si>
    <t>Ferozkhan Z_Srib1</t>
  </si>
  <si>
    <t>SRIB1</t>
  </si>
  <si>
    <t>BP1569</t>
  </si>
  <si>
    <t>Manoranjan Das</t>
  </si>
  <si>
    <t>BP1570</t>
  </si>
  <si>
    <t>Swati Ranjit Suryawanshi</t>
  </si>
  <si>
    <t>BP1571</t>
  </si>
  <si>
    <t>Vavadiya Bhaveshbhai Kalabhai</t>
  </si>
  <si>
    <t>BP1572</t>
  </si>
  <si>
    <t>Karni Venture Pvt Ltd</t>
  </si>
  <si>
    <t>BP1573</t>
  </si>
  <si>
    <t>Arun Kumar Yadav</t>
  </si>
  <si>
    <t>BP1575</t>
  </si>
  <si>
    <t>Swagat Maharana</t>
  </si>
  <si>
    <t>BP1576</t>
  </si>
  <si>
    <t>Satish Kalita</t>
  </si>
  <si>
    <t>BP1577</t>
  </si>
  <si>
    <t>Rajesh Singh_Vnsb1</t>
  </si>
  <si>
    <t>BP1578</t>
  </si>
  <si>
    <t>Santosh Kumar Sahoo</t>
  </si>
  <si>
    <t>BAMB1</t>
  </si>
  <si>
    <t>BP1579</t>
  </si>
  <si>
    <t>Satyendra Kumar Sinha</t>
  </si>
  <si>
    <t>BP1580</t>
  </si>
  <si>
    <t>Pinky Kalita</t>
  </si>
  <si>
    <t>BP1581</t>
  </si>
  <si>
    <t>Reliable Logistics Solution</t>
  </si>
  <si>
    <t>BP1582</t>
  </si>
  <si>
    <t>Deepak Sabharwal</t>
  </si>
  <si>
    <t>BP1583</t>
  </si>
  <si>
    <t>Shadowfax Technologies Pvt Ltd</t>
  </si>
  <si>
    <t>BP1584</t>
  </si>
  <si>
    <t>Ramesh Chandra Puhan</t>
  </si>
  <si>
    <t>BLSB1</t>
  </si>
  <si>
    <t>BP1585</t>
  </si>
  <si>
    <t>B Sasipriya</t>
  </si>
  <si>
    <t>TIRB1</t>
  </si>
  <si>
    <t>BP1586</t>
  </si>
  <si>
    <t>Abhishek Dilip Chougule</t>
  </si>
  <si>
    <t>BP1587</t>
  </si>
  <si>
    <t>Shinde Rajendra Balkrishna</t>
  </si>
  <si>
    <t>CHIB1</t>
  </si>
  <si>
    <t>BP1588</t>
  </si>
  <si>
    <t>Arpita Dhara</t>
  </si>
  <si>
    <t>BP1589</t>
  </si>
  <si>
    <t>Ramshankar Kashayap</t>
  </si>
  <si>
    <t>BP1590</t>
  </si>
  <si>
    <t>Davinder Kumar</t>
  </si>
  <si>
    <t>MHLB1</t>
  </si>
  <si>
    <t>BP1591</t>
  </si>
  <si>
    <t>Kamleshbhai Muljibhai Rabari</t>
  </si>
  <si>
    <t>BP1592</t>
  </si>
  <si>
    <t>Prasanta Paul</t>
  </si>
  <si>
    <t>BP1593</t>
  </si>
  <si>
    <t>Gubbala Rajesh</t>
  </si>
  <si>
    <t>BP1594</t>
  </si>
  <si>
    <t>Prasad Murlidhar Vedpathak</t>
  </si>
  <si>
    <t>BP1595</t>
  </si>
  <si>
    <t>R Raja Ramnath</t>
  </si>
  <si>
    <t>BP1596</t>
  </si>
  <si>
    <t>K Deekeswaran</t>
  </si>
  <si>
    <t>MAAT2</t>
  </si>
  <si>
    <t>BP1597</t>
  </si>
  <si>
    <t>Jaya Deepak Vishwakarma_Margao</t>
  </si>
  <si>
    <t>BP1598</t>
  </si>
  <si>
    <t>Jaya Deepak Vishwakarma_Verna</t>
  </si>
  <si>
    <t>BP1599</t>
  </si>
  <si>
    <t>Yudhishtar Kumar Punia</t>
  </si>
  <si>
    <t>BP1600</t>
  </si>
  <si>
    <t>Bhanu Pratap Sharma</t>
  </si>
  <si>
    <t>BP1601</t>
  </si>
  <si>
    <t>Durai A</t>
  </si>
  <si>
    <t>BP1602</t>
  </si>
  <si>
    <t>Rahul Tiwari_Lkot1</t>
  </si>
  <si>
    <t>BP1603</t>
  </si>
  <si>
    <t>Niroj Roy</t>
  </si>
  <si>
    <t>BP1604</t>
  </si>
  <si>
    <t>Pothamsetty Shankarreddy</t>
  </si>
  <si>
    <t>CDPB1</t>
  </si>
  <si>
    <t>BP1605</t>
  </si>
  <si>
    <t>Sampath Budde</t>
  </si>
  <si>
    <t>BP1606</t>
  </si>
  <si>
    <t>Amit Kumar Rai</t>
  </si>
  <si>
    <t>GOPB1</t>
  </si>
  <si>
    <t>BP1607</t>
  </si>
  <si>
    <t>Navath Rajesh</t>
  </si>
  <si>
    <t>BP1608</t>
  </si>
  <si>
    <t>G V Srinivas Rao</t>
  </si>
  <si>
    <t>HYDBC</t>
  </si>
  <si>
    <t>BP1610</t>
  </si>
  <si>
    <t>Daya Express_Bp</t>
  </si>
  <si>
    <t>BP1611</t>
  </si>
  <si>
    <t>Ramshyam Road Carrier</t>
  </si>
  <si>
    <t>BP1612</t>
  </si>
  <si>
    <t>Mozssam Ali</t>
  </si>
  <si>
    <t>BOYB1</t>
  </si>
  <si>
    <t>BP1613</t>
  </si>
  <si>
    <t>Suresh Kumar V</t>
  </si>
  <si>
    <t>KTYB1</t>
  </si>
  <si>
    <t>BP1614</t>
  </si>
  <si>
    <t>Abhishek Kumar Sharma</t>
  </si>
  <si>
    <t>FZDB1</t>
  </si>
  <si>
    <t>BP1616</t>
  </si>
  <si>
    <t>Satish Reddy G V</t>
  </si>
  <si>
    <t>BP1617</t>
  </si>
  <si>
    <t>Surendra Kumar</t>
  </si>
  <si>
    <t>BP1618</t>
  </si>
  <si>
    <t>Arti Jayeshbhai Tarsaria</t>
  </si>
  <si>
    <t>BP1619</t>
  </si>
  <si>
    <t>S V Agencies_Bp</t>
  </si>
  <si>
    <t>BP1620</t>
  </si>
  <si>
    <t>Ekta</t>
  </si>
  <si>
    <t>BP1622</t>
  </si>
  <si>
    <t>Ishwar Bhatiya</t>
  </si>
  <si>
    <t>BP1624</t>
  </si>
  <si>
    <t>Mridul Deka</t>
  </si>
  <si>
    <t>BP1625</t>
  </si>
  <si>
    <t>Hemanta Kathahajarika</t>
  </si>
  <si>
    <t>BP1627</t>
  </si>
  <si>
    <t>Niranjan Nath</t>
  </si>
  <si>
    <t>BP1628</t>
  </si>
  <si>
    <t>Sree Lakshmi Logistics</t>
  </si>
  <si>
    <t>DVGB1</t>
  </si>
  <si>
    <t>BP1630</t>
  </si>
  <si>
    <t>Ajoy Sankar Bora</t>
  </si>
  <si>
    <t>JRHB1</t>
  </si>
  <si>
    <t>%</t>
  </si>
  <si>
    <t>making profit</t>
  </si>
  <si>
    <t>Total partners</t>
  </si>
  <si>
    <t>profitability</t>
  </si>
  <si>
    <t>status</t>
  </si>
  <si>
    <t>cost per kg</t>
  </si>
  <si>
    <t>profit margin</t>
  </si>
  <si>
    <t>profit</t>
  </si>
  <si>
    <t>difference %</t>
  </si>
  <si>
    <t>difference</t>
  </si>
  <si>
    <t>budget</t>
  </si>
  <si>
    <t>payout</t>
  </si>
  <si>
    <t>kg delivered</t>
  </si>
  <si>
    <t>per kg rate</t>
  </si>
  <si>
    <t>Total cost</t>
  </si>
  <si>
    <t>Milestone 6 : Decision support tool</t>
  </si>
  <si>
    <t>Milestone 5 : Insights from Profitability model and dashboard</t>
  </si>
  <si>
    <t>Milestone 4 : Build cost and revenue model</t>
  </si>
  <si>
    <t>Milestone 3 : Insights from AMD payout</t>
  </si>
  <si>
    <t>Ability to make business decisions</t>
  </si>
  <si>
    <t>Ability to understand patterns from data</t>
  </si>
  <si>
    <t>Milestone 2 : Select the right branch for analysis</t>
  </si>
  <si>
    <t xml:space="preserve">Milestone 1 Feedback : </t>
  </si>
  <si>
    <t>Upload for review</t>
  </si>
  <si>
    <t>Write the insights/recommendations</t>
  </si>
  <si>
    <t>Answer questions</t>
  </si>
  <si>
    <t>Ability to model different scenarios and answer What - If questions</t>
  </si>
  <si>
    <t>Ability to structure business process into a model</t>
  </si>
  <si>
    <t>Skill Tag 2</t>
  </si>
  <si>
    <t>Skill Tag 1</t>
  </si>
  <si>
    <t>Milestone 1 : Build a model,scenario analysis</t>
  </si>
  <si>
    <t>Business overview - Process overview</t>
  </si>
  <si>
    <t>Chauhan navneet kumar</t>
  </si>
  <si>
    <t>Problem statement</t>
  </si>
  <si>
    <t>Ashish saxena</t>
  </si>
  <si>
    <t>kg_delivered</t>
  </si>
  <si>
    <t>per_kg_rate</t>
  </si>
  <si>
    <t>branch_name</t>
  </si>
  <si>
    <t>bp_name</t>
  </si>
  <si>
    <t>bp_id</t>
  </si>
  <si>
    <t>Row Labels</t>
  </si>
  <si>
    <t>Grand Total</t>
  </si>
  <si>
    <t>Sum of Total Cost</t>
  </si>
  <si>
    <t>Driver cost</t>
  </si>
  <si>
    <t>Loader cost</t>
  </si>
  <si>
    <t>Monthly Capacity</t>
  </si>
  <si>
    <t>Utilization</t>
  </si>
  <si>
    <t>Net Capacity</t>
  </si>
  <si>
    <t>Correlation b/w payout and cost per kg</t>
  </si>
  <si>
    <t>Correlation value is still low</t>
  </si>
  <si>
    <t>Correlation value is very low, hence the payout per kg and cost per kg are not directly related</t>
  </si>
  <si>
    <t>Profit margin is very less for partners with low utilization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</si>
</sst>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 #,##0;[Red]&quot;₹&quot;\ \-#,##0"/>
    <numFmt numFmtId="8" formatCode="&quot;₹&quot;\ #,##0.00;[Red]&quot;₹&quot;\ \-#,##0.00"/>
    <numFmt numFmtId="164" formatCode="0.0"/>
    <numFmt numFmtId="165" formatCode="&quot;₹&quot;\ #,##0"/>
    <numFmt numFmtId="166" formatCode="&quot;₹&quot;\ #,##0.0;[Red]&quot;₹&quot;\ \-#,##0.0"/>
    <numFmt numFmtId="167" formatCode="[$₹]#,##0.00"/>
    <numFmt numFmtId="168" formatCode="[$₹]#,##0"/>
    <numFmt numFmtId="169" formatCode="[$₹]#,##0.0000"/>
    <numFmt numFmtId="170" formatCode="0.0%"/>
    <numFmt numFmtId="171" formatCode="0.000"/>
  </numFmts>
  <fonts count="15" x14ac:knownFonts="1">
    <font>
      <sz val="10"/>
      <color rgb="FF000000"/>
      <name val="Calibri"/>
      <family val="2"/>
      <scheme val="minor"/>
    </font>
    <font>
      <sz val="11"/>
      <color theme="1"/>
      <name val="Calibri"/>
      <family val="2"/>
      <scheme val="minor"/>
    </font>
    <font>
      <sz val="11"/>
      <color theme="1"/>
      <name val="Calibri"/>
      <family val="2"/>
      <scheme val="minor"/>
    </font>
    <font>
      <sz val="10"/>
      <color rgb="FF000000"/>
      <name val="Calibri"/>
      <family val="2"/>
      <scheme val="minor"/>
    </font>
    <font>
      <sz val="11"/>
      <color theme="1"/>
      <name val="Arial"/>
      <family val="2"/>
    </font>
    <font>
      <b/>
      <sz val="11"/>
      <color rgb="FF000000"/>
      <name val="Calibri"/>
      <family val="2"/>
      <scheme val="minor"/>
    </font>
    <font>
      <sz val="11"/>
      <color rgb="FF000000"/>
      <name val="Calibri"/>
      <family val="2"/>
      <scheme val="minor"/>
    </font>
    <font>
      <b/>
      <sz val="11"/>
      <color theme="0"/>
      <name val="Calibri"/>
      <family val="2"/>
      <scheme val="minor"/>
    </font>
    <font>
      <b/>
      <sz val="11"/>
      <color theme="1"/>
      <name val="Calibri"/>
      <family val="2"/>
      <scheme val="minor"/>
    </font>
    <font>
      <b/>
      <sz val="11"/>
      <color rgb="FF000000"/>
      <name val="Arial"/>
      <family val="2"/>
    </font>
    <font>
      <sz val="11"/>
      <color rgb="FF000000"/>
      <name val="Arial"/>
      <family val="2"/>
    </font>
    <font>
      <sz val="11"/>
      <color theme="0"/>
      <name val="Calibri"/>
      <family val="2"/>
      <scheme val="minor"/>
    </font>
    <font>
      <sz val="16"/>
      <color theme="1"/>
      <name val="Calibri"/>
      <family val="2"/>
      <scheme val="minor"/>
    </font>
    <font>
      <b/>
      <sz val="16"/>
      <color theme="0"/>
      <name val="Calibri"/>
      <family val="2"/>
      <scheme val="minor"/>
    </font>
    <font>
      <sz val="16"/>
      <color rgb="FF000000"/>
      <name val="Calibri"/>
      <family val="2"/>
      <scheme val="minor"/>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9933"/>
        <bgColor indexed="64"/>
      </patternFill>
    </fill>
    <fill>
      <patternFill patternType="solid">
        <fgColor rgb="FFFF99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3" fillId="0" borderId="0"/>
    <xf numFmtId="9" fontId="2" fillId="0" borderId="0" applyFont="0" applyFill="0" applyBorder="0" applyAlignment="0" applyProtection="0"/>
    <xf numFmtId="0" fontId="2" fillId="0" borderId="0"/>
    <xf numFmtId="9" fontId="3" fillId="0" borderId="0" applyFont="0" applyFill="0" applyBorder="0" applyAlignment="0" applyProtection="0"/>
  </cellStyleXfs>
  <cellXfs count="100">
    <xf numFmtId="0" fontId="0" fillId="0" borderId="0" xfId="0"/>
    <xf numFmtId="0" fontId="4" fillId="0" borderId="0" xfId="0" applyFont="1"/>
    <xf numFmtId="164" fontId="0" fillId="0" borderId="0" xfId="0" applyNumberFormat="1"/>
    <xf numFmtId="1" fontId="0" fillId="0" borderId="0" xfId="0" applyNumberFormat="1"/>
    <xf numFmtId="2" fontId="0" fillId="0" borderId="1" xfId="0" applyNumberFormat="1" applyBorder="1"/>
    <xf numFmtId="1" fontId="0" fillId="0" borderId="1" xfId="0" applyNumberFormat="1" applyBorder="1"/>
    <xf numFmtId="0" fontId="6" fillId="0" borderId="0" xfId="0" applyFont="1"/>
    <xf numFmtId="164" fontId="6" fillId="0" borderId="0" xfId="0" applyNumberFormat="1" applyFont="1"/>
    <xf numFmtId="1" fontId="6" fillId="0" borderId="0" xfId="0" applyNumberFormat="1" applyFont="1"/>
    <xf numFmtId="2" fontId="6" fillId="0" borderId="1" xfId="0" applyNumberFormat="1" applyFont="1" applyBorder="1"/>
    <xf numFmtId="1" fontId="6" fillId="0" borderId="1" xfId="0" applyNumberFormat="1" applyFont="1" applyBorder="1"/>
    <xf numFmtId="8" fontId="6" fillId="0" borderId="0" xfId="0" applyNumberFormat="1" applyFont="1"/>
    <xf numFmtId="6" fontId="6" fillId="0" borderId="0" xfId="0" applyNumberFormat="1" applyFont="1"/>
    <xf numFmtId="0" fontId="5" fillId="0" borderId="0" xfId="0" applyFont="1"/>
    <xf numFmtId="9" fontId="6" fillId="3" borderId="0" xfId="0" applyNumberFormat="1" applyFont="1" applyFill="1"/>
    <xf numFmtId="0" fontId="6" fillId="3" borderId="0" xfId="0" applyFont="1" applyFill="1"/>
    <xf numFmtId="10" fontId="6" fillId="3" borderId="0" xfId="0" applyNumberFormat="1" applyFont="1" applyFill="1"/>
    <xf numFmtId="0" fontId="7" fillId="2" borderId="0" xfId="0" applyFont="1" applyFill="1"/>
    <xf numFmtId="0" fontId="6" fillId="0" borderId="0" xfId="0" applyFont="1" applyAlignment="1">
      <alignment horizontal="center" vertical="center"/>
    </xf>
    <xf numFmtId="2" fontId="0" fillId="0" borderId="0" xfId="0" applyNumberFormat="1"/>
    <xf numFmtId="165" fontId="0" fillId="0" borderId="0" xfId="0" applyNumberFormat="1"/>
    <xf numFmtId="0" fontId="6" fillId="0" borderId="0" xfId="1" applyFont="1"/>
    <xf numFmtId="0" fontId="6" fillId="0" borderId="0" xfId="1" applyFont="1" applyAlignment="1">
      <alignment wrapText="1"/>
    </xf>
    <xf numFmtId="10" fontId="6" fillId="0" borderId="0" xfId="2" applyNumberFormat="1" applyFont="1" applyAlignment="1">
      <alignment wrapText="1"/>
    </xf>
    <xf numFmtId="10" fontId="6" fillId="0" borderId="0" xfId="2" applyNumberFormat="1" applyFont="1"/>
    <xf numFmtId="165" fontId="6" fillId="0" borderId="0" xfId="1" applyNumberFormat="1" applyFont="1"/>
    <xf numFmtId="0" fontId="2" fillId="0" borderId="0" xfId="3"/>
    <xf numFmtId="166" fontId="2" fillId="0" borderId="0" xfId="3" applyNumberFormat="1"/>
    <xf numFmtId="10" fontId="0" fillId="0" borderId="0" xfId="2" applyNumberFormat="1" applyFont="1"/>
    <xf numFmtId="6" fontId="2" fillId="0" borderId="0" xfId="3" applyNumberFormat="1"/>
    <xf numFmtId="3" fontId="2" fillId="0" borderId="0" xfId="3" applyNumberFormat="1"/>
    <xf numFmtId="165" fontId="2" fillId="0" borderId="0" xfId="3" applyNumberFormat="1"/>
    <xf numFmtId="0" fontId="9" fillId="0" borderId="0" xfId="1" applyFont="1"/>
    <xf numFmtId="0" fontId="10" fillId="0" borderId="0" xfId="1" applyFont="1"/>
    <xf numFmtId="3" fontId="10" fillId="0" borderId="0" xfId="1" applyNumberFormat="1" applyFont="1"/>
    <xf numFmtId="10" fontId="10" fillId="0" borderId="0" xfId="1" applyNumberFormat="1" applyFont="1"/>
    <xf numFmtId="0" fontId="8" fillId="0" borderId="0" xfId="3" applyFont="1"/>
    <xf numFmtId="10" fontId="8" fillId="0" borderId="0" xfId="2" applyNumberFormat="1" applyFont="1"/>
    <xf numFmtId="165" fontId="8" fillId="0" borderId="0" xfId="3" applyNumberFormat="1" applyFont="1"/>
    <xf numFmtId="0" fontId="5" fillId="0" borderId="2" xfId="1" applyFont="1" applyBorder="1" applyAlignment="1">
      <alignment horizontal="left" vertical="top"/>
    </xf>
    <xf numFmtId="0" fontId="5" fillId="0" borderId="3" xfId="1" applyFont="1" applyBorder="1" applyAlignment="1">
      <alignment horizontal="left" vertical="top"/>
    </xf>
    <xf numFmtId="0" fontId="5" fillId="0" borderId="4" xfId="1" applyFont="1" applyBorder="1" applyAlignment="1">
      <alignment horizontal="left" vertical="top"/>
    </xf>
    <xf numFmtId="4" fontId="2" fillId="0" borderId="0" xfId="1" applyNumberFormat="1" applyFont="1"/>
    <xf numFmtId="10" fontId="2" fillId="0" borderId="0" xfId="1" applyNumberFormat="1" applyFont="1"/>
    <xf numFmtId="3" fontId="2" fillId="0" borderId="0" xfId="1" applyNumberFormat="1" applyFont="1"/>
    <xf numFmtId="0" fontId="5" fillId="0" borderId="5" xfId="1" applyFont="1" applyBorder="1" applyAlignment="1">
      <alignment horizontal="left" vertical="top"/>
    </xf>
    <xf numFmtId="0" fontId="5" fillId="0" borderId="6" xfId="1" applyFont="1" applyBorder="1" applyAlignment="1">
      <alignment horizontal="left" vertical="top"/>
    </xf>
    <xf numFmtId="0" fontId="5" fillId="0" borderId="7" xfId="1" applyFont="1" applyBorder="1" applyAlignment="1">
      <alignment horizontal="left" vertical="top"/>
    </xf>
    <xf numFmtId="167" fontId="2" fillId="0" borderId="0" xfId="1" applyNumberFormat="1" applyFont="1"/>
    <xf numFmtId="9" fontId="2" fillId="0" borderId="0" xfId="1" applyNumberFormat="1" applyFont="1"/>
    <xf numFmtId="0" fontId="2" fillId="0" borderId="0" xfId="1" applyFont="1"/>
    <xf numFmtId="0" fontId="8" fillId="0" borderId="0" xfId="1" applyFont="1"/>
    <xf numFmtId="168" fontId="2" fillId="0" borderId="0" xfId="1" applyNumberFormat="1" applyFont="1"/>
    <xf numFmtId="0" fontId="5" fillId="0" borderId="0" xfId="1" applyFont="1" applyAlignment="1">
      <alignment vertical="top"/>
    </xf>
    <xf numFmtId="169" fontId="2" fillId="0" borderId="0" xfId="1" applyNumberFormat="1" applyFont="1"/>
    <xf numFmtId="170" fontId="2" fillId="0" borderId="0" xfId="1" applyNumberFormat="1" applyFont="1"/>
    <xf numFmtId="2" fontId="2" fillId="0" borderId="0" xfId="1" applyNumberFormat="1" applyFont="1"/>
    <xf numFmtId="1" fontId="2" fillId="0" borderId="0" xfId="1" applyNumberFormat="1" applyFont="1"/>
    <xf numFmtId="0" fontId="0" fillId="0" borderId="0" xfId="0" pivotButton="1"/>
    <xf numFmtId="0" fontId="0" fillId="0" borderId="0" xfId="0" applyAlignment="1">
      <alignment horizontal="left"/>
    </xf>
    <xf numFmtId="6" fontId="1" fillId="0" borderId="0" xfId="3" applyNumberFormat="1" applyFont="1"/>
    <xf numFmtId="9" fontId="8" fillId="0" borderId="0" xfId="4" applyFont="1"/>
    <xf numFmtId="9" fontId="2" fillId="0" borderId="0" xfId="4" applyFont="1"/>
    <xf numFmtId="9" fontId="6" fillId="0" borderId="0" xfId="4" applyFont="1"/>
    <xf numFmtId="0" fontId="13" fillId="7" borderId="0" xfId="3" applyFont="1" applyFill="1"/>
    <xf numFmtId="0" fontId="12" fillId="3" borderId="0" xfId="3" applyFont="1" applyFill="1"/>
    <xf numFmtId="9" fontId="12" fillId="3" borderId="0" xfId="3" applyNumberFormat="1" applyFont="1" applyFill="1"/>
    <xf numFmtId="0" fontId="13" fillId="8" borderId="0" xfId="3" applyFont="1" applyFill="1"/>
    <xf numFmtId="0" fontId="11" fillId="8" borderId="0" xfId="3" applyFont="1" applyFill="1"/>
    <xf numFmtId="0" fontId="11" fillId="8" borderId="0" xfId="1" applyFont="1" applyFill="1"/>
    <xf numFmtId="171" fontId="12" fillId="3" borderId="0" xfId="3" applyNumberFormat="1" applyFont="1" applyFill="1"/>
    <xf numFmtId="0" fontId="12" fillId="5" borderId="0" xfId="3" applyFont="1" applyFill="1"/>
    <xf numFmtId="0" fontId="14" fillId="5" borderId="0" xfId="1" applyFont="1" applyFill="1"/>
    <xf numFmtId="0" fontId="6" fillId="5" borderId="0" xfId="1" applyFont="1" applyFill="1"/>
    <xf numFmtId="0" fontId="14" fillId="0" borderId="0" xfId="1" applyFont="1"/>
    <xf numFmtId="0" fontId="12" fillId="0" borderId="0" xfId="3" applyFo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7" xfId="1" applyFont="1" applyBorder="1" applyAlignment="1">
      <alignment horizontal="left" vertical="top"/>
    </xf>
    <xf numFmtId="0" fontId="5" fillId="0" borderId="6" xfId="1" applyFont="1" applyBorder="1" applyAlignment="1">
      <alignment horizontal="left" vertical="top"/>
    </xf>
    <xf numFmtId="0" fontId="5" fillId="0" borderId="5" xfId="1" applyFont="1" applyBorder="1" applyAlignment="1">
      <alignment horizontal="left" vertical="top"/>
    </xf>
    <xf numFmtId="0" fontId="5" fillId="0" borderId="12" xfId="1" applyFont="1" applyBorder="1" applyAlignment="1">
      <alignment horizontal="left" vertical="top"/>
    </xf>
    <xf numFmtId="0" fontId="5" fillId="0" borderId="0" xfId="1" applyFont="1" applyAlignment="1">
      <alignment horizontal="left" vertical="top"/>
    </xf>
    <xf numFmtId="0" fontId="5" fillId="0" borderId="11" xfId="1" applyFont="1" applyBorder="1" applyAlignment="1">
      <alignment horizontal="left" vertical="top"/>
    </xf>
    <xf numFmtId="0" fontId="5" fillId="0" borderId="4" xfId="1" applyFont="1" applyBorder="1" applyAlignment="1">
      <alignment horizontal="left" vertical="top"/>
    </xf>
    <xf numFmtId="0" fontId="5" fillId="0" borderId="3" xfId="1" applyFont="1" applyBorder="1" applyAlignment="1">
      <alignment horizontal="left" vertical="top"/>
    </xf>
    <xf numFmtId="0" fontId="5" fillId="0" borderId="2" xfId="1" applyFont="1" applyBorder="1" applyAlignment="1">
      <alignment horizontal="left" vertical="top"/>
    </xf>
    <xf numFmtId="0" fontId="6" fillId="6" borderId="14" xfId="1" applyFont="1" applyFill="1" applyBorder="1" applyAlignment="1">
      <alignment horizontal="center"/>
    </xf>
    <xf numFmtId="0" fontId="6" fillId="6" borderId="13" xfId="1" applyFont="1" applyFill="1" applyBorder="1" applyAlignment="1">
      <alignment horizontal="center"/>
    </xf>
    <xf numFmtId="0" fontId="6" fillId="5" borderId="14" xfId="1" applyFont="1" applyFill="1" applyBorder="1" applyAlignment="1">
      <alignment horizontal="center"/>
    </xf>
    <xf numFmtId="0" fontId="6" fillId="5" borderId="13" xfId="1" applyFont="1" applyFill="1" applyBorder="1" applyAlignment="1">
      <alignment horizontal="center"/>
    </xf>
    <xf numFmtId="0" fontId="5" fillId="4" borderId="10" xfId="1" applyFont="1" applyFill="1" applyBorder="1" applyAlignment="1">
      <alignment horizontal="left" vertical="top"/>
    </xf>
    <xf numFmtId="0" fontId="5" fillId="4" borderId="9" xfId="1" applyFont="1" applyFill="1" applyBorder="1" applyAlignment="1">
      <alignment horizontal="left" vertical="top"/>
    </xf>
    <xf numFmtId="0" fontId="5" fillId="4" borderId="8" xfId="1" applyFont="1" applyFill="1" applyBorder="1" applyAlignment="1">
      <alignment horizontal="left" vertical="top"/>
    </xf>
    <xf numFmtId="0" fontId="5" fillId="0" borderId="10" xfId="1" applyFont="1" applyBorder="1" applyAlignment="1">
      <alignment horizontal="left" vertical="top"/>
    </xf>
    <xf numFmtId="0" fontId="5" fillId="0" borderId="9" xfId="1" applyFont="1" applyBorder="1" applyAlignment="1">
      <alignment horizontal="left" vertical="top"/>
    </xf>
    <xf numFmtId="0" fontId="5" fillId="0" borderId="8" xfId="1" applyFont="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5">
    <cellStyle name="Normal" xfId="0" builtinId="0"/>
    <cellStyle name="Normal 2" xfId="1" xr:uid="{CE5F3C3C-E71E-48CB-8C26-04E4BBB3DA31}"/>
    <cellStyle name="Normal 3" xfId="3" xr:uid="{E2D41BE3-0E76-4AEB-BC95-77BD6AFFF5E7}"/>
    <cellStyle name="Percent" xfId="4" builtinId="5"/>
    <cellStyle name="Percent 2" xfId="2" xr:uid="{4D799D4B-98A9-4AEE-8B97-DB61CA9BE833}"/>
  </cellStyles>
  <dxfs count="148">
    <dxf>
      <fill>
        <patternFill patternType="solid">
          <fgColor rgb="FFB7E1CD"/>
          <bgColor rgb="FFB7E1CD"/>
        </patternFill>
      </fill>
    </dxf>
    <dxf>
      <numFmt numFmtId="2" formatCode="0.0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i val="0"/>
        <strike val="0"/>
        <condense val="0"/>
        <extend val="0"/>
        <outline val="0"/>
        <shadow val="0"/>
        <u val="none"/>
        <vertAlign val="baseline"/>
        <sz val="11"/>
        <color rgb="FF000000"/>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family val="2"/>
        <scheme val="minor"/>
      </font>
      <numFmt numFmtId="12" formatCode="&quot;₹&quot;\ #,##0.00;[Red]&quot;₹&quot;\ \-#,##0.00"/>
    </dxf>
    <dxf>
      <font>
        <b val="0"/>
        <i val="0"/>
        <strike val="0"/>
        <condense val="0"/>
        <extend val="0"/>
        <outline val="0"/>
        <shadow val="0"/>
        <u val="none"/>
        <vertAlign val="baseline"/>
        <sz val="11"/>
        <color rgb="FF000000"/>
        <name val="Calibri"/>
        <family val="2"/>
        <scheme val="minor"/>
      </font>
      <numFmt numFmtId="10" formatCode="&quot;₹&quot;\ #,##0;[Red]&quot;₹&quot;\ \-#,##0"/>
    </dxf>
    <dxf>
      <font>
        <b val="0"/>
        <i val="0"/>
        <strike val="0"/>
        <condense val="0"/>
        <extend val="0"/>
        <outline val="0"/>
        <shadow val="0"/>
        <u val="none"/>
        <vertAlign val="baseline"/>
        <sz val="11"/>
        <color rgb="FF000000"/>
        <name val="Calibri"/>
        <family val="2"/>
        <scheme val="minor"/>
      </font>
      <numFmt numFmtId="10" formatCode="&quot;₹&quot;\ #,##0;[Red]&quot;₹&quot;\ \-#,##0"/>
    </dxf>
    <dxf>
      <font>
        <b val="0"/>
        <i val="0"/>
        <strike val="0"/>
        <condense val="0"/>
        <extend val="0"/>
        <outline val="0"/>
        <shadow val="0"/>
        <u val="none"/>
        <vertAlign val="baseline"/>
        <sz val="11"/>
        <color rgb="FF000000"/>
        <name val="Calibri"/>
        <family val="2"/>
        <scheme val="minor"/>
      </font>
      <numFmt numFmtId="10" formatCode="&quot;₹&quot;\ #,##0;[Red]&quot;₹&quot;\ \-#,##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164" formatCode="0.0"/>
    </dxf>
    <dxf>
      <font>
        <b val="0"/>
        <i val="0"/>
        <strike val="0"/>
        <condense val="0"/>
        <extend val="0"/>
        <outline val="0"/>
        <shadow val="0"/>
        <u val="none"/>
        <vertAlign val="baseline"/>
        <sz val="11"/>
        <color rgb="FF000000"/>
        <name val="Calibri"/>
        <family val="2"/>
        <scheme val="minor"/>
      </font>
      <numFmt numFmtId="1" formatCode="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i val="0"/>
        <strike val="0"/>
        <condense val="0"/>
        <extend val="0"/>
        <outline val="0"/>
        <shadow val="0"/>
        <u val="none"/>
        <vertAlign val="baseline"/>
        <sz val="11"/>
        <color rgb="FF000000"/>
        <name val="Calibri"/>
        <family val="2"/>
        <scheme val="minor"/>
      </font>
    </dxf>
    <dxf>
      <numFmt numFmtId="13" formatCode="0%"/>
    </dxf>
    <dxf>
      <numFmt numFmtId="1" formatCode="0"/>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0" formatCode="General"/>
    </dxf>
    <dxf>
      <font>
        <b/>
        <i val="0"/>
        <strike val="0"/>
        <condense val="0"/>
        <extend val="0"/>
        <outline val="0"/>
        <shadow val="0"/>
        <u val="none"/>
        <vertAlign val="baseline"/>
        <sz val="11"/>
        <color theme="1"/>
        <name val="Calibri"/>
        <family val="2"/>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165" formatCode="&quot;₹&quot;\ #,##0"/>
    </dxf>
    <dxf>
      <font>
        <b/>
        <i val="0"/>
        <strike val="0"/>
        <condense val="0"/>
        <extend val="0"/>
        <outline val="0"/>
        <shadow val="0"/>
        <u val="none"/>
        <vertAlign val="baseline"/>
        <sz val="11"/>
        <color theme="1"/>
        <name val="Calibri"/>
        <family val="2"/>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9900"/>
      <color rgb="FFFF9933"/>
      <color rgb="FFF0F0F0"/>
      <color rgb="FFFC5C0C"/>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Cost vs Payout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2"/>
          <c:order val="0"/>
          <c:tx>
            <c:v>Total Cost</c:v>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Profitability_Sample'!$B$2:$B$49</c:f>
              <c:numCache>
                <c:formatCode>"₹"\ #,##0</c:formatCode>
                <c:ptCount val="48"/>
                <c:pt idx="0">
                  <c:v>131928.81299810967</c:v>
                </c:pt>
                <c:pt idx="1">
                  <c:v>73409.33628931237</c:v>
                </c:pt>
                <c:pt idx="2">
                  <c:v>110486.0952449482</c:v>
                </c:pt>
                <c:pt idx="3">
                  <c:v>73814.976221147692</c:v>
                </c:pt>
                <c:pt idx="4">
                  <c:v>68714.971483488625</c:v>
                </c:pt>
                <c:pt idx="5">
                  <c:v>75988.762423492648</c:v>
                </c:pt>
                <c:pt idx="6">
                  <c:v>63656.645092919869</c:v>
                </c:pt>
                <c:pt idx="7">
                  <c:v>317152.13161320286</c:v>
                </c:pt>
                <c:pt idx="8">
                  <c:v>65267.81613793927</c:v>
                </c:pt>
                <c:pt idx="9">
                  <c:v>198658.37142896923</c:v>
                </c:pt>
                <c:pt idx="10">
                  <c:v>70706.369224623049</c:v>
                </c:pt>
                <c:pt idx="11">
                  <c:v>58519.476708797287</c:v>
                </c:pt>
                <c:pt idx="12">
                  <c:v>63559.996679567601</c:v>
                </c:pt>
                <c:pt idx="13">
                  <c:v>73814.976221147692</c:v>
                </c:pt>
                <c:pt idx="14">
                  <c:v>82053.448630315048</c:v>
                </c:pt>
                <c:pt idx="15">
                  <c:v>110486.0952449482</c:v>
                </c:pt>
                <c:pt idx="16">
                  <c:v>106882.56690538794</c:v>
                </c:pt>
                <c:pt idx="17">
                  <c:v>145232.87277043145</c:v>
                </c:pt>
                <c:pt idx="18">
                  <c:v>72535.252052086318</c:v>
                </c:pt>
                <c:pt idx="19">
                  <c:v>228212.64093712968</c:v>
                </c:pt>
                <c:pt idx="20">
                  <c:v>143895.37927733135</c:v>
                </c:pt>
                <c:pt idx="21">
                  <c:v>72877.954733737948</c:v>
                </c:pt>
                <c:pt idx="22">
                  <c:v>69214.494049405592</c:v>
                </c:pt>
                <c:pt idx="23">
                  <c:v>158482.11879816838</c:v>
                </c:pt>
                <c:pt idx="24">
                  <c:v>68356.054875376125</c:v>
                </c:pt>
                <c:pt idx="25">
                  <c:v>99147.792084913439</c:v>
                </c:pt>
                <c:pt idx="26">
                  <c:v>82591.180462160468</c:v>
                </c:pt>
                <c:pt idx="27">
                  <c:v>77359.168054586597</c:v>
                </c:pt>
                <c:pt idx="28">
                  <c:v>110486.0952449482</c:v>
                </c:pt>
                <c:pt idx="29">
                  <c:v>68356.054875376125</c:v>
                </c:pt>
                <c:pt idx="30">
                  <c:v>125986.91042105544</c:v>
                </c:pt>
                <c:pt idx="31">
                  <c:v>70706.369224623049</c:v>
                </c:pt>
                <c:pt idx="32">
                  <c:v>70260.734628566177</c:v>
                </c:pt>
                <c:pt idx="33">
                  <c:v>110486.0952449482</c:v>
                </c:pt>
                <c:pt idx="34">
                  <c:v>82591.180462160468</c:v>
                </c:pt>
                <c:pt idx="35">
                  <c:v>146983.61801476817</c:v>
                </c:pt>
                <c:pt idx="36">
                  <c:v>66286.415973155439</c:v>
                </c:pt>
                <c:pt idx="37">
                  <c:v>161346.15764781405</c:v>
                </c:pt>
                <c:pt idx="38">
                  <c:v>110486.0952449482</c:v>
                </c:pt>
                <c:pt idx="39">
                  <c:v>77359.168054586597</c:v>
                </c:pt>
                <c:pt idx="40">
                  <c:v>68356.054875376125</c:v>
                </c:pt>
                <c:pt idx="41">
                  <c:v>70260.734628566177</c:v>
                </c:pt>
                <c:pt idx="42">
                  <c:v>344478.12695248611</c:v>
                </c:pt>
                <c:pt idx="43">
                  <c:v>72667.720972774769</c:v>
                </c:pt>
                <c:pt idx="44">
                  <c:v>87211.221857848665</c:v>
                </c:pt>
                <c:pt idx="45">
                  <c:v>72877.954733737948</c:v>
                </c:pt>
                <c:pt idx="46">
                  <c:v>72152.681035118585</c:v>
                </c:pt>
                <c:pt idx="47">
                  <c:v>81229.022922361488</c:v>
                </c:pt>
              </c:numCache>
            </c:numRef>
          </c:val>
          <c:extLst>
            <c:ext xmlns:c16="http://schemas.microsoft.com/office/drawing/2014/chart" uri="{C3380CC4-5D6E-409C-BE32-E72D297353CC}">
              <c16:uniqueId val="{00000002-621C-47C9-83BC-D1D0FF25B941}"/>
            </c:ext>
          </c:extLst>
        </c:ser>
        <c:ser>
          <c:idx val="0"/>
          <c:order val="1"/>
          <c:tx>
            <c:v>Total Payout</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extLst>
            <c:ext xmlns:c16="http://schemas.microsoft.com/office/drawing/2014/chart" uri="{C3380CC4-5D6E-409C-BE32-E72D297353CC}">
              <c16:uniqueId val="{00000003-621C-47C9-83BC-D1D0FF25B941}"/>
            </c:ext>
          </c:extLst>
        </c:ser>
        <c:dLbls>
          <c:showLegendKey val="0"/>
          <c:showVal val="0"/>
          <c:showCatName val="0"/>
          <c:showSerName val="0"/>
          <c:showPercent val="0"/>
          <c:showBubbleSize val="0"/>
        </c:dLbls>
        <c:gapWidth val="100"/>
        <c:axId val="20474928"/>
        <c:axId val="20728736"/>
      </c:barChart>
      <c:catAx>
        <c:axId val="20474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28736"/>
        <c:crosses val="autoZero"/>
        <c:auto val="1"/>
        <c:lblAlgn val="ctr"/>
        <c:lblOffset val="100"/>
        <c:noMultiLvlLbl val="0"/>
      </c:catAx>
      <c:valAx>
        <c:axId val="20728736"/>
        <c:scaling>
          <c:orientation val="minMax"/>
        </c:scaling>
        <c:delete val="1"/>
        <c:axPos val="l"/>
        <c:numFmt formatCode="&quot;₹&quot;\ #,##0" sourceLinked="1"/>
        <c:majorTickMark val="none"/>
        <c:minorTickMark val="none"/>
        <c:tickLblPos val="nextTo"/>
        <c:crossAx val="20474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0">
            <a:noFill/>
          </a:ln>
          <a:effectLst/>
        </c:spPr>
      </c:pivotFmt>
      <c:pivotFmt>
        <c:idx val="2"/>
        <c:spPr>
          <a:solidFill>
            <a:schemeClr val="accent1">
              <a:lumMod val="60000"/>
              <a:lumOff val="40000"/>
            </a:schemeClr>
          </a:solidFill>
          <a:ln w="0">
            <a:noFill/>
          </a:ln>
          <a:effectLst/>
        </c:spPr>
      </c:pivotFmt>
    </c:pivotFmts>
    <c:plotArea>
      <c:layout/>
      <c:pieChart>
        <c:varyColors val="1"/>
        <c:ser>
          <c:idx val="0"/>
          <c:order val="0"/>
          <c:tx>
            <c:v>Total</c:v>
          </c:tx>
          <c:spPr>
            <a:solidFill>
              <a:schemeClr val="accent1">
                <a:lumMod val="75000"/>
              </a:schemeClr>
            </a:solidFill>
            <a:ln w="0">
              <a:noFill/>
            </a:ln>
          </c:spPr>
          <c:dPt>
            <c:idx val="0"/>
            <c:bubble3D val="0"/>
            <c:spPr>
              <a:solidFill>
                <a:schemeClr val="accent1"/>
              </a:solidFill>
              <a:ln w="0">
                <a:noFill/>
              </a:ln>
              <a:effectLst/>
            </c:spPr>
            <c:extLst>
              <c:ext xmlns:c16="http://schemas.microsoft.com/office/drawing/2014/chart" uri="{C3380CC4-5D6E-409C-BE32-E72D297353CC}">
                <c16:uniqueId val="{00000002-0CC4-496C-8CA3-1928F065B494}"/>
              </c:ext>
            </c:extLst>
          </c:dPt>
          <c:dPt>
            <c:idx val="1"/>
            <c:bubble3D val="0"/>
            <c:spPr>
              <a:solidFill>
                <a:schemeClr val="accent1">
                  <a:lumMod val="60000"/>
                  <a:lumOff val="40000"/>
                </a:schemeClr>
              </a:solidFill>
              <a:ln w="0">
                <a:noFill/>
              </a:ln>
              <a:effectLst/>
            </c:spPr>
            <c:extLst>
              <c:ext xmlns:c16="http://schemas.microsoft.com/office/drawing/2014/chart" uri="{C3380CC4-5D6E-409C-BE32-E72D297353CC}">
                <c16:uniqueId val="{00000003-0CC4-496C-8CA3-1928F065B49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In Loss</c:v>
              </c:pt>
              <c:pt idx="1">
                <c:v>Profitable</c:v>
              </c:pt>
            </c:strLit>
          </c:cat>
          <c:val>
            <c:numLit>
              <c:formatCode>General</c:formatCode>
              <c:ptCount val="2"/>
              <c:pt idx="0">
                <c:v>34</c:v>
              </c:pt>
              <c:pt idx="1">
                <c:v>14</c:v>
              </c:pt>
            </c:numLit>
          </c:val>
          <c:extLst>
            <c:ext xmlns:c16="http://schemas.microsoft.com/office/drawing/2014/chart" uri="{C3380CC4-5D6E-409C-BE32-E72D297353CC}">
              <c16:uniqueId val="{00000000-0CC4-496C-8CA3-1928F065B494}"/>
            </c:ext>
          </c:extLst>
        </c:ser>
        <c:dLbls>
          <c:showLegendKey val="0"/>
          <c:showVal val="0"/>
          <c:showCatName val="0"/>
          <c:showSerName val="0"/>
          <c:showPercent val="0"/>
          <c:showBubbleSize val="0"/>
          <c:showLeaderLines val="0"/>
        </c:dLbls>
        <c:firstSliceAng val="202"/>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 per kg vs Payout per kg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'BP Profitability_Sample'!$C$2:$C$49</c:f>
              <c:numCache>
                <c:formatCode>"₹"\ #,##0.0;[Red]"₹"\ \-#,##0.0</c:formatCode>
                <c:ptCount val="48"/>
                <c:pt idx="0">
                  <c:v>5</c:v>
                </c:pt>
                <c:pt idx="1">
                  <c:v>5</c:v>
                </c:pt>
                <c:pt idx="2">
                  <c:v>5</c:v>
                </c:pt>
                <c:pt idx="3">
                  <c:v>19</c:v>
                </c:pt>
                <c:pt idx="4">
                  <c:v>9</c:v>
                </c:pt>
                <c:pt idx="5">
                  <c:v>9</c:v>
                </c:pt>
                <c:pt idx="6">
                  <c:v>8.5</c:v>
                </c:pt>
                <c:pt idx="7">
                  <c:v>5</c:v>
                </c:pt>
                <c:pt idx="8">
                  <c:v>10</c:v>
                </c:pt>
                <c:pt idx="9">
                  <c:v>3</c:v>
                </c:pt>
                <c:pt idx="10">
                  <c:v>5</c:v>
                </c:pt>
                <c:pt idx="11">
                  <c:v>5</c:v>
                </c:pt>
                <c:pt idx="12">
                  <c:v>7</c:v>
                </c:pt>
                <c:pt idx="13">
                  <c:v>19</c:v>
                </c:pt>
                <c:pt idx="14">
                  <c:v>7</c:v>
                </c:pt>
                <c:pt idx="15">
                  <c:v>5</c:v>
                </c:pt>
                <c:pt idx="16">
                  <c:v>5</c:v>
                </c:pt>
                <c:pt idx="17">
                  <c:v>4</c:v>
                </c:pt>
                <c:pt idx="18">
                  <c:v>7</c:v>
                </c:pt>
                <c:pt idx="19">
                  <c:v>5</c:v>
                </c:pt>
                <c:pt idx="20">
                  <c:v>10</c:v>
                </c:pt>
                <c:pt idx="21">
                  <c:v>5</c:v>
                </c:pt>
                <c:pt idx="22">
                  <c:v>4</c:v>
                </c:pt>
                <c:pt idx="23">
                  <c:v>5</c:v>
                </c:pt>
                <c:pt idx="24">
                  <c:v>5</c:v>
                </c:pt>
                <c:pt idx="25">
                  <c:v>5</c:v>
                </c:pt>
                <c:pt idx="26">
                  <c:v>19</c:v>
                </c:pt>
                <c:pt idx="27">
                  <c:v>9</c:v>
                </c:pt>
                <c:pt idx="28">
                  <c:v>5</c:v>
                </c:pt>
                <c:pt idx="29">
                  <c:v>5</c:v>
                </c:pt>
                <c:pt idx="30">
                  <c:v>7</c:v>
                </c:pt>
                <c:pt idx="31">
                  <c:v>9</c:v>
                </c:pt>
                <c:pt idx="32">
                  <c:v>14</c:v>
                </c:pt>
                <c:pt idx="33">
                  <c:v>5</c:v>
                </c:pt>
                <c:pt idx="34">
                  <c:v>19</c:v>
                </c:pt>
                <c:pt idx="35">
                  <c:v>8</c:v>
                </c:pt>
                <c:pt idx="36">
                  <c:v>6</c:v>
                </c:pt>
                <c:pt idx="37">
                  <c:v>7</c:v>
                </c:pt>
                <c:pt idx="38">
                  <c:v>5</c:v>
                </c:pt>
                <c:pt idx="39">
                  <c:v>9</c:v>
                </c:pt>
                <c:pt idx="40">
                  <c:v>5</c:v>
                </c:pt>
                <c:pt idx="41">
                  <c:v>5</c:v>
                </c:pt>
                <c:pt idx="42">
                  <c:v>9</c:v>
                </c:pt>
                <c:pt idx="43">
                  <c:v>3</c:v>
                </c:pt>
                <c:pt idx="44">
                  <c:v>5</c:v>
                </c:pt>
                <c:pt idx="45">
                  <c:v>5</c:v>
                </c:pt>
                <c:pt idx="46">
                  <c:v>5</c:v>
                </c:pt>
                <c:pt idx="47">
                  <c:v>5</c:v>
                </c:pt>
              </c:numCache>
            </c:numRef>
          </c:xVal>
          <c:yVal>
            <c:numRef>
              <c:f>'BP Profitability_Sample'!$K$2:$K$49</c:f>
              <c:numCache>
                <c:formatCode>"₹"\ #,##0.0;[Red]"₹"\ \-#,##0.0</c:formatCode>
                <c:ptCount val="48"/>
                <c:pt idx="0">
                  <c:v>8.0702251705516197</c:v>
                </c:pt>
                <c:pt idx="1">
                  <c:v>2.0159867821174609</c:v>
                </c:pt>
                <c:pt idx="2">
                  <c:v>3.7748503619853153</c:v>
                </c:pt>
                <c:pt idx="3">
                  <c:v>10.950836240849265</c:v>
                </c:pt>
                <c:pt idx="4">
                  <c:v>26.911868727214866</c:v>
                </c:pt>
                <c:pt idx="5">
                  <c:v>18.67504606131547</c:v>
                </c:pt>
                <c:pt idx="6">
                  <c:v>4.4651054900958815</c:v>
                </c:pt>
                <c:pt idx="7">
                  <c:v>21.355320217437168</c:v>
                </c:pt>
                <c:pt idx="8">
                  <c:v>4.7891033531404474</c:v>
                </c:pt>
                <c:pt idx="9">
                  <c:v>5.7268955690322265</c:v>
                </c:pt>
                <c:pt idx="10">
                  <c:v>435.16967765031421</c:v>
                </c:pt>
                <c:pt idx="11">
                  <c:v>9.726336586909099</c:v>
                </c:pt>
                <c:pt idx="12">
                  <c:v>15.731003668527851</c:v>
                </c:pt>
                <c:pt idx="13">
                  <c:v>23.811282651983127</c:v>
                </c:pt>
                <c:pt idx="14">
                  <c:v>29.952760764090808</c:v>
                </c:pt>
                <c:pt idx="15">
                  <c:v>3.6383126393747305</c:v>
                </c:pt>
                <c:pt idx="16">
                  <c:v>11.944588510023014</c:v>
                </c:pt>
                <c:pt idx="17">
                  <c:v>2.1891212753482878</c:v>
                </c:pt>
                <c:pt idx="18">
                  <c:v>6.4637475890749458</c:v>
                </c:pt>
                <c:pt idx="19">
                  <c:v>6.1014854753422112</c:v>
                </c:pt>
                <c:pt idx="20">
                  <c:v>8.0598305800201278</c:v>
                </c:pt>
                <c:pt idx="21">
                  <c:v>2.3853586561274782</c:v>
                </c:pt>
                <c:pt idx="22">
                  <c:v>4.3702916526854363</c:v>
                </c:pt>
                <c:pt idx="23">
                  <c:v>10.525198161579581</c:v>
                </c:pt>
                <c:pt idx="24">
                  <c:v>11.993131952308254</c:v>
                </c:pt>
                <c:pt idx="25">
                  <c:v>21.815655713103641</c:v>
                </c:pt>
                <c:pt idx="26">
                  <c:v>61.121462521658053</c:v>
                </c:pt>
                <c:pt idx="27">
                  <c:v>8.1407851888508418</c:v>
                </c:pt>
                <c:pt idx="28">
                  <c:v>4.2507731319232152</c:v>
                </c:pt>
                <c:pt idx="29">
                  <c:v>15.971787203929184</c:v>
                </c:pt>
                <c:pt idx="30">
                  <c:v>35.86888896357376</c:v>
                </c:pt>
                <c:pt idx="31">
                  <c:v>9.2048272608104291</c:v>
                </c:pt>
                <c:pt idx="32">
                  <c:v>3.9104191074393015</c:v>
                </c:pt>
                <c:pt idx="33">
                  <c:v>21.108497047294371</c:v>
                </c:pt>
                <c:pt idx="34">
                  <c:v>63.102478236329773</c:v>
                </c:pt>
                <c:pt idx="35">
                  <c:v>7.5021784525552064</c:v>
                </c:pt>
                <c:pt idx="36">
                  <c:v>21.867082463103838</c:v>
                </c:pt>
                <c:pt idx="37">
                  <c:v>101.9150968719273</c:v>
                </c:pt>
                <c:pt idx="38">
                  <c:v>8.9410299456954814</c:v>
                </c:pt>
                <c:pt idx="39">
                  <c:v>16.153511809268448</c:v>
                </c:pt>
                <c:pt idx="40">
                  <c:v>7.7261178284440772</c:v>
                </c:pt>
                <c:pt idx="41">
                  <c:v>7.471684740797798</c:v>
                </c:pt>
                <c:pt idx="42">
                  <c:v>30.417494653641157</c:v>
                </c:pt>
                <c:pt idx="43">
                  <c:v>3.601869688861203</c:v>
                </c:pt>
                <c:pt idx="44">
                  <c:v>7.1621981388769163</c:v>
                </c:pt>
                <c:pt idx="45">
                  <c:v>13.299867642480828</c:v>
                </c:pt>
                <c:pt idx="46">
                  <c:v>13.638416950536556</c:v>
                </c:pt>
                <c:pt idx="47">
                  <c:v>11.573064187946869</c:v>
                </c:pt>
              </c:numCache>
            </c:numRef>
          </c:yVal>
          <c:smooth val="0"/>
          <c:extLst>
            <c:ext xmlns:c16="http://schemas.microsoft.com/office/drawing/2014/chart" uri="{C3380CC4-5D6E-409C-BE32-E72D297353CC}">
              <c16:uniqueId val="{00000000-90E5-4A8B-9E15-DDE6BA9D008E}"/>
            </c:ext>
          </c:extLst>
        </c:ser>
        <c:dLbls>
          <c:showLegendKey val="0"/>
          <c:showVal val="0"/>
          <c:showCatName val="0"/>
          <c:showSerName val="0"/>
          <c:showPercent val="0"/>
          <c:showBubbleSize val="0"/>
        </c:dLbls>
        <c:axId val="20447088"/>
        <c:axId val="1228889727"/>
      </c:scatterChart>
      <c:valAx>
        <c:axId val="20447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Payout per</a:t>
                </a:r>
                <a:r>
                  <a:rPr lang="en-IN" baseline="0"/>
                  <a:t> kg</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89727"/>
        <c:crosses val="autoZero"/>
        <c:crossBetween val="midCat"/>
      </c:valAx>
      <c:valAx>
        <c:axId val="12288897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Cost per kg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08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 vs Payout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Payout</c:v>
          </c:tx>
          <c:spPr>
            <a:ln w="28575" cap="rnd">
              <a:solidFill>
                <a:schemeClr val="accent1">
                  <a:shade val="76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smooth val="0"/>
          <c:extLst>
            <c:ext xmlns:c16="http://schemas.microsoft.com/office/drawing/2014/chart" uri="{C3380CC4-5D6E-409C-BE32-E72D297353CC}">
              <c16:uniqueId val="{00000000-ADF9-4009-9B57-A3E36A3FA616}"/>
            </c:ext>
          </c:extLst>
        </c:ser>
        <c:ser>
          <c:idx val="1"/>
          <c:order val="1"/>
          <c:tx>
            <c:v>Budget</c:v>
          </c:tx>
          <c:spPr>
            <a:ln w="28575" cap="rnd">
              <a:solidFill>
                <a:schemeClr val="accent1">
                  <a:tint val="77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Profitability_Sample'!$F$2:$F$49</c:f>
              <c:numCache>
                <c:formatCode>"₹"#,##0_);[Red]\("₹"#,##0\)</c:formatCode>
                <c:ptCount val="48"/>
                <c:pt idx="0">
                  <c:v>67307.695444082405</c:v>
                </c:pt>
                <c:pt idx="1">
                  <c:v>151594.20238356592</c:v>
                </c:pt>
                <c:pt idx="2">
                  <c:v>27180.821150192936</c:v>
                </c:pt>
                <c:pt idx="3">
                  <c:v>23560.66190357352</c:v>
                </c:pt>
                <c:pt idx="4">
                  <c:v>14574.070793404973</c:v>
                </c:pt>
                <c:pt idx="5">
                  <c:v>11610.612907422201</c:v>
                </c:pt>
                <c:pt idx="6">
                  <c:v>73367.308383054638</c:v>
                </c:pt>
                <c:pt idx="7">
                  <c:v>44310.062860390266</c:v>
                </c:pt>
                <c:pt idx="8">
                  <c:v>61680.103608114805</c:v>
                </c:pt>
                <c:pt idx="9">
                  <c:v>91629.307316704435</c:v>
                </c:pt>
                <c:pt idx="10">
                  <c:v>744.30830420710652</c:v>
                </c:pt>
                <c:pt idx="11">
                  <c:v>6448.8527245637169</c:v>
                </c:pt>
                <c:pt idx="12">
                  <c:v>6489.8369612275828</c:v>
                </c:pt>
                <c:pt idx="13">
                  <c:v>17011.759078401352</c:v>
                </c:pt>
                <c:pt idx="14">
                  <c:v>5958.8762529929299</c:v>
                </c:pt>
                <c:pt idx="15">
                  <c:v>32793.876250880952</c:v>
                </c:pt>
                <c:pt idx="16">
                  <c:v>7103.2057058461787</c:v>
                </c:pt>
                <c:pt idx="17">
                  <c:v>171703.4978070069</c:v>
                </c:pt>
                <c:pt idx="18">
                  <c:v>11737.89370301184</c:v>
                </c:pt>
                <c:pt idx="19">
                  <c:v>92225.256194979564</c:v>
                </c:pt>
                <c:pt idx="20">
                  <c:v>79369.259316286232</c:v>
                </c:pt>
                <c:pt idx="21">
                  <c:v>86832.960867592148</c:v>
                </c:pt>
                <c:pt idx="22">
                  <c:v>23340.920231854023</c:v>
                </c:pt>
                <c:pt idx="23">
                  <c:v>32247.584676247403</c:v>
                </c:pt>
                <c:pt idx="24">
                  <c:v>26302.187589666148</c:v>
                </c:pt>
                <c:pt idx="25">
                  <c:v>4466.0790200396841</c:v>
                </c:pt>
                <c:pt idx="26">
                  <c:v>4075.4628127403316</c:v>
                </c:pt>
                <c:pt idx="27">
                  <c:v>57868.480364122479</c:v>
                </c:pt>
                <c:pt idx="28">
                  <c:v>75155.343453675232</c:v>
                </c:pt>
                <c:pt idx="29">
                  <c:v>17570.84919894964</c:v>
                </c:pt>
                <c:pt idx="30">
                  <c:v>6656.7476169818319</c:v>
                </c:pt>
                <c:pt idx="31">
                  <c:v>52203.104997488474</c:v>
                </c:pt>
                <c:pt idx="32">
                  <c:v>19214.75062867544</c:v>
                </c:pt>
                <c:pt idx="33">
                  <c:v>13791.290165725788</c:v>
                </c:pt>
                <c:pt idx="34">
                  <c:v>12643.490413589292</c:v>
                </c:pt>
                <c:pt idx="35">
                  <c:v>123213.64071313376</c:v>
                </c:pt>
                <c:pt idx="36">
                  <c:v>5989.241978045161</c:v>
                </c:pt>
                <c:pt idx="37">
                  <c:v>1041.6164535348087</c:v>
                </c:pt>
                <c:pt idx="38">
                  <c:v>39833.290219168477</c:v>
                </c:pt>
                <c:pt idx="39">
                  <c:v>14793.643655087924</c:v>
                </c:pt>
                <c:pt idx="40">
                  <c:v>31992.051864244233</c:v>
                </c:pt>
                <c:pt idx="41">
                  <c:v>36462.95362853499</c:v>
                </c:pt>
                <c:pt idx="42">
                  <c:v>68251.613256207391</c:v>
                </c:pt>
                <c:pt idx="43">
                  <c:v>5138.849705816694</c:v>
                </c:pt>
                <c:pt idx="44">
                  <c:v>60573.277525875877</c:v>
                </c:pt>
                <c:pt idx="45">
                  <c:v>9412.3100994900014</c:v>
                </c:pt>
                <c:pt idx="46">
                  <c:v>10107.177123675472</c:v>
                </c:pt>
                <c:pt idx="47">
                  <c:v>5041.5172774335551</c:v>
                </c:pt>
              </c:numCache>
            </c:numRef>
          </c:val>
          <c:smooth val="0"/>
          <c:extLst>
            <c:ext xmlns:c16="http://schemas.microsoft.com/office/drawing/2014/chart" uri="{C3380CC4-5D6E-409C-BE32-E72D297353CC}">
              <c16:uniqueId val="{00000001-ADF9-4009-9B57-A3E36A3FA616}"/>
            </c:ext>
          </c:extLst>
        </c:ser>
        <c:dLbls>
          <c:showLegendKey val="0"/>
          <c:showVal val="0"/>
          <c:showCatName val="0"/>
          <c:showSerName val="0"/>
          <c:showPercent val="0"/>
          <c:showBubbleSize val="0"/>
        </c:dLbls>
        <c:smooth val="0"/>
        <c:axId val="122819840"/>
        <c:axId val="20731712"/>
      </c:lineChart>
      <c:catAx>
        <c:axId val="122819840"/>
        <c:scaling>
          <c:orientation val="minMax"/>
        </c:scaling>
        <c:delete val="1"/>
        <c:axPos val="b"/>
        <c:numFmt formatCode="General" sourceLinked="1"/>
        <c:majorTickMark val="none"/>
        <c:minorTickMark val="none"/>
        <c:tickLblPos val="nextTo"/>
        <c:crossAx val="20731712"/>
        <c:crosses val="autoZero"/>
        <c:auto val="1"/>
        <c:lblAlgn val="ctr"/>
        <c:lblOffset val="100"/>
        <c:noMultiLvlLbl val="0"/>
      </c:catAx>
      <c:valAx>
        <c:axId val="20731712"/>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19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Utilization vs Profit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std_profitability_analysis!$J$2:$J$49</c:f>
              <c:numCache>
                <c:formatCode>0.00%</c:formatCode>
                <c:ptCount val="48"/>
                <c:pt idx="0">
                  <c:v>-0.41829764611453252</c:v>
                </c:pt>
                <c:pt idx="1">
                  <c:v>0.73636223828459701</c:v>
                </c:pt>
                <c:pt idx="2">
                  <c:v>0.36468794585193298</c:v>
                </c:pt>
                <c:pt idx="3">
                  <c:v>0.48610554910051695</c:v>
                </c:pt>
                <c:pt idx="4">
                  <c:v>-1.6420788286983732</c:v>
                </c:pt>
                <c:pt idx="5">
                  <c:v>-0.6902284793770459</c:v>
                </c:pt>
                <c:pt idx="6">
                  <c:v>0.54071096638950433</c:v>
                </c:pt>
                <c:pt idx="7">
                  <c:v>-2.8031295053048737</c:v>
                </c:pt>
                <c:pt idx="8">
                  <c:v>0.62448335198766236</c:v>
                </c:pt>
                <c:pt idx="9">
                  <c:v>-0.48673594957468114</c:v>
                </c:pt>
                <c:pt idx="10">
                  <c:v>-76.186569700422268</c:v>
                </c:pt>
                <c:pt idx="11">
                  <c:v>-0.47686638395676717</c:v>
                </c:pt>
                <c:pt idx="12">
                  <c:v>-0.66831672450790391</c:v>
                </c:pt>
                <c:pt idx="13">
                  <c:v>-0.11740197319435809</c:v>
                </c:pt>
                <c:pt idx="14">
                  <c:v>-2.2662182535404449</c:v>
                </c:pt>
                <c:pt idx="15">
                  <c:v>0.38766741595066506</c:v>
                </c:pt>
                <c:pt idx="16">
                  <c:v>-1.1456829306452694</c:v>
                </c:pt>
                <c:pt idx="17">
                  <c:v>0.50581837009855757</c:v>
                </c:pt>
                <c:pt idx="18">
                  <c:v>0.32383480386919883</c:v>
                </c:pt>
                <c:pt idx="19">
                  <c:v>4.2940004412673906E-2</c:v>
                </c:pt>
                <c:pt idx="20">
                  <c:v>0.36466174937661777</c:v>
                </c:pt>
                <c:pt idx="21">
                  <c:v>0.62513780916951556</c:v>
                </c:pt>
                <c:pt idx="22">
                  <c:v>0.15389325257895392</c:v>
                </c:pt>
                <c:pt idx="23">
                  <c:v>-0.38363634290568527</c:v>
                </c:pt>
                <c:pt idx="24">
                  <c:v>-0.8507412195625591</c:v>
                </c:pt>
                <c:pt idx="25">
                  <c:v>-2.6760324099908082</c:v>
                </c:pt>
                <c:pt idx="26">
                  <c:v>-1.6680795817533152</c:v>
                </c:pt>
                <c:pt idx="27">
                  <c:v>0.32254430739718554</c:v>
                </c:pt>
                <c:pt idx="28">
                  <c:v>0.26131117266851339</c:v>
                </c:pt>
                <c:pt idx="29">
                  <c:v>-1.4647143920320487</c:v>
                </c:pt>
                <c:pt idx="30">
                  <c:v>-2.8230887892163565</c:v>
                </c:pt>
                <c:pt idx="31">
                  <c:v>0.18106455752828332</c:v>
                </c:pt>
                <c:pt idx="32">
                  <c:v>0.7767015601586178</c:v>
                </c:pt>
                <c:pt idx="33">
                  <c:v>-2.6681823392304458</c:v>
                </c:pt>
                <c:pt idx="34">
                  <c:v>-1.7545550579835376</c:v>
                </c:pt>
                <c:pt idx="35">
                  <c:v>0.26631879100547212</c:v>
                </c:pt>
                <c:pt idx="36">
                  <c:v>-1.8697773638074324</c:v>
                </c:pt>
                <c:pt idx="37">
                  <c:v>-11.084976560854589</c:v>
                </c:pt>
                <c:pt idx="38">
                  <c:v>-0.55375004046224063</c:v>
                </c:pt>
                <c:pt idx="39">
                  <c:v>-0.3442546728420014</c:v>
                </c:pt>
                <c:pt idx="40">
                  <c:v>-0.19226944130691073</c:v>
                </c:pt>
                <c:pt idx="41">
                  <c:v>-0.19464522838785836</c:v>
                </c:pt>
                <c:pt idx="42">
                  <c:v>-1.48172859898864</c:v>
                </c:pt>
                <c:pt idx="43">
                  <c:v>-6.8446443168521581E-2</c:v>
                </c:pt>
                <c:pt idx="44">
                  <c:v>-0.57679483599691206</c:v>
                </c:pt>
                <c:pt idx="45">
                  <c:v>-1.0900913619043593</c:v>
                </c:pt>
                <c:pt idx="46">
                  <c:v>-1.1374205895522556</c:v>
                </c:pt>
                <c:pt idx="47">
                  <c:v>-0.76122914235875105</c:v>
                </c:pt>
              </c:numCache>
            </c:numRef>
          </c:xVal>
          <c:yVal>
            <c:numRef>
              <c:f>std_profitability_analysis!$O$2:$O$49</c:f>
              <c:numCache>
                <c:formatCode>0%</c:formatCode>
                <c:ptCount val="48"/>
                <c:pt idx="0">
                  <c:v>0.20120123076923077</c:v>
                </c:pt>
                <c:pt idx="1">
                  <c:v>0.58261759999999996</c:v>
                </c:pt>
                <c:pt idx="2">
                  <c:v>0.17765633262759339</c:v>
                </c:pt>
                <c:pt idx="3">
                  <c:v>0.19405378806814819</c:v>
                </c:pt>
                <c:pt idx="4">
                  <c:v>6.4613689776154934E-2</c:v>
                </c:pt>
                <c:pt idx="5">
                  <c:v>0.21624930859474484</c:v>
                </c:pt>
                <c:pt idx="6">
                  <c:v>0.72715106575096167</c:v>
                </c:pt>
                <c:pt idx="7">
                  <c:v>3.8458789846003774E-2</c:v>
                </c:pt>
                <c:pt idx="8">
                  <c:v>0.68985012344689445</c:v>
                </c:pt>
                <c:pt idx="9">
                  <c:v>0.12456441575464913</c:v>
                </c:pt>
                <c:pt idx="10">
                  <c:v>6.2334370611785653E-3</c:v>
                </c:pt>
                <c:pt idx="11">
                  <c:v>0.32088533333333336</c:v>
                </c:pt>
                <c:pt idx="12">
                  <c:v>0.14094980479365077</c:v>
                </c:pt>
                <c:pt idx="13">
                  <c:v>8.9245560019160688E-2</c:v>
                </c:pt>
                <c:pt idx="14">
                  <c:v>5.1758238317643791E-2</c:v>
                </c:pt>
                <c:pt idx="15">
                  <c:v>0.18432337679576274</c:v>
                </c:pt>
                <c:pt idx="16">
                  <c:v>5.6415991758001258E-2</c:v>
                </c:pt>
                <c:pt idx="17">
                  <c:v>0.69589078823897543</c:v>
                </c:pt>
                <c:pt idx="18">
                  <c:v>0.33411106473358937</c:v>
                </c:pt>
                <c:pt idx="19">
                  <c:v>0.27868825459293095</c:v>
                </c:pt>
                <c:pt idx="20">
                  <c:v>0.29084602181699831</c:v>
                </c:pt>
                <c:pt idx="21">
                  <c:v>0.8260234561969072</c:v>
                </c:pt>
                <c:pt idx="22">
                  <c:v>0.44595811412548153</c:v>
                </c:pt>
                <c:pt idx="23">
                  <c:v>0.19313242219083515</c:v>
                </c:pt>
                <c:pt idx="24">
                  <c:v>0.23468093238919682</c:v>
                </c:pt>
                <c:pt idx="25">
                  <c:v>0.14770660667993785</c:v>
                </c:pt>
                <c:pt idx="26">
                  <c:v>5.7318554278333898E-2</c:v>
                </c:pt>
                <c:pt idx="27">
                  <c:v>0.25597200815343735</c:v>
                </c:pt>
                <c:pt idx="28">
                  <c:v>0.15776567008290027</c:v>
                </c:pt>
                <c:pt idx="29">
                  <c:v>0.17622069170455551</c:v>
                </c:pt>
                <c:pt idx="30">
                  <c:v>6.7011387775109899E-2</c:v>
                </c:pt>
                <c:pt idx="31">
                  <c:v>0.2946935037135906</c:v>
                </c:pt>
                <c:pt idx="32">
                  <c:v>0.66767363999880003</c:v>
                </c:pt>
                <c:pt idx="33">
                  <c:v>3.1770432069402763E-2</c:v>
                </c:pt>
                <c:pt idx="34">
                  <c:v>5.5519116919592097E-2</c:v>
                </c:pt>
                <c:pt idx="35">
                  <c:v>0.29723152467656283</c:v>
                </c:pt>
                <c:pt idx="36">
                  <c:v>0.11876216654496236</c:v>
                </c:pt>
                <c:pt idx="37">
                  <c:v>1.7685573045075512E-2</c:v>
                </c:pt>
                <c:pt idx="38">
                  <c:v>7.5005460847507505E-2</c:v>
                </c:pt>
                <c:pt idx="39">
                  <c:v>0.12900062582925614</c:v>
                </c:pt>
                <c:pt idx="40">
                  <c:v>0.36429154348027576</c:v>
                </c:pt>
                <c:pt idx="41">
                  <c:v>0.34943708814808438</c:v>
                </c:pt>
                <c:pt idx="42">
                  <c:v>7.4183589572151834E-2</c:v>
                </c:pt>
                <c:pt idx="43">
                  <c:v>1.0540911370751489</c:v>
                </c:pt>
                <c:pt idx="44">
                  <c:v>7.4932923076923078E-2</c:v>
                </c:pt>
                <c:pt idx="45">
                  <c:v>0.14814900827359642</c:v>
                </c:pt>
                <c:pt idx="46">
                  <c:v>0.115581655360411</c:v>
                </c:pt>
                <c:pt idx="47">
                  <c:v>0.10277208443808308</c:v>
                </c:pt>
              </c:numCache>
            </c:numRef>
          </c:yVal>
          <c:smooth val="0"/>
          <c:extLst>
            <c:ext xmlns:c16="http://schemas.microsoft.com/office/drawing/2014/chart" uri="{C3380CC4-5D6E-409C-BE32-E72D297353CC}">
              <c16:uniqueId val="{00000000-03AE-4947-AFF2-15D1036B3469}"/>
            </c:ext>
          </c:extLst>
        </c:ser>
        <c:dLbls>
          <c:showLegendKey val="0"/>
          <c:showVal val="0"/>
          <c:showCatName val="0"/>
          <c:showSerName val="0"/>
          <c:showPercent val="0"/>
          <c:showBubbleSize val="0"/>
        </c:dLbls>
        <c:axId val="25819888"/>
        <c:axId val="203462656"/>
      </c:scatterChart>
      <c:valAx>
        <c:axId val="25819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a:t>
                </a:r>
              </a:p>
            </c:rich>
          </c:tx>
          <c:layout>
            <c:manualLayout>
              <c:xMode val="edge"/>
              <c:yMode val="edge"/>
              <c:x val="0.41685617833954969"/>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62656"/>
        <c:crosses val="autoZero"/>
        <c:crossBetween val="midCat"/>
      </c:valAx>
      <c:valAx>
        <c:axId val="203462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Utilization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198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922020</xdr:colOff>
      <xdr:row>0</xdr:row>
      <xdr:rowOff>0</xdr:rowOff>
    </xdr:from>
    <xdr:to>
      <xdr:col>14</xdr:col>
      <xdr:colOff>304800</xdr:colOff>
      <xdr:row>3</xdr:row>
      <xdr:rowOff>160020</xdr:rowOff>
    </xdr:to>
    <mc:AlternateContent xmlns:mc="http://schemas.openxmlformats.org/markup-compatibility/2006" xmlns:sle15="http://schemas.microsoft.com/office/drawing/2012/slicer">
      <mc:Choice Requires="sle15">
        <xdr:graphicFrame macro="">
          <xdr:nvGraphicFramePr>
            <xdr:cNvPr id="2" name="Ownership">
              <a:extLst>
                <a:ext uri="{FF2B5EF4-FFF2-40B4-BE49-F238E27FC236}">
                  <a16:creationId xmlns:a16="http://schemas.microsoft.com/office/drawing/2014/main" id="{023511F7-CFCF-C1BD-6A51-2658D12EAB65}"/>
                </a:ext>
              </a:extLst>
            </xdr:cNvPr>
            <xdr:cNvGraphicFramePr/>
          </xdr:nvGraphicFramePr>
          <xdr:xfrm>
            <a:off x="0" y="0"/>
            <a:ext cx="0" cy="0"/>
          </xdr:xfrm>
          <a:graphic>
            <a:graphicData uri="http://schemas.microsoft.com/office/drawing/2010/slicer">
              <sle:slicer xmlns:sle="http://schemas.microsoft.com/office/drawing/2010/slicer" name="Ownership"/>
            </a:graphicData>
          </a:graphic>
        </xdr:graphicFrame>
      </mc:Choice>
      <mc:Fallback xmlns="">
        <xdr:sp macro="" textlink="">
          <xdr:nvSpPr>
            <xdr:cNvPr id="0" name=""/>
            <xdr:cNvSpPr>
              <a:spLocks noTextEdit="1"/>
            </xdr:cNvSpPr>
          </xdr:nvSpPr>
          <xdr:spPr>
            <a:xfrm>
              <a:off x="10248900" y="0"/>
              <a:ext cx="3886200" cy="6858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22860</xdr:colOff>
      <xdr:row>0</xdr:row>
      <xdr:rowOff>0</xdr:rowOff>
    </xdr:from>
    <xdr:to>
      <xdr:col>9</xdr:col>
      <xdr:colOff>929640</xdr:colOff>
      <xdr:row>3</xdr:row>
      <xdr:rowOff>167640</xdr:rowOff>
    </xdr:to>
    <xdr:sp macro="" textlink="">
      <xdr:nvSpPr>
        <xdr:cNvPr id="3" name="TextBox 2">
          <a:extLst>
            <a:ext uri="{FF2B5EF4-FFF2-40B4-BE49-F238E27FC236}">
              <a16:creationId xmlns:a16="http://schemas.microsoft.com/office/drawing/2014/main" id="{BD0C28CA-0942-D0FD-089C-82ECCBA2786B}"/>
            </a:ext>
          </a:extLst>
        </xdr:cNvPr>
        <xdr:cNvSpPr txBox="1"/>
      </xdr:nvSpPr>
      <xdr:spPr>
        <a:xfrm>
          <a:off x="2286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160020</xdr:colOff>
      <xdr:row>21</xdr:row>
      <xdr:rowOff>53340</xdr:rowOff>
    </xdr:from>
    <xdr:to>
      <xdr:col>5</xdr:col>
      <xdr:colOff>304800</xdr:colOff>
      <xdr:row>24</xdr:row>
      <xdr:rowOff>68580</xdr:rowOff>
    </xdr:to>
    <xdr:sp macro="" textlink="">
      <xdr:nvSpPr>
        <xdr:cNvPr id="5" name="TextBox 4">
          <a:extLst>
            <a:ext uri="{FF2B5EF4-FFF2-40B4-BE49-F238E27FC236}">
              <a16:creationId xmlns:a16="http://schemas.microsoft.com/office/drawing/2014/main" id="{9B5F7E49-16A7-88C9-8D36-C6F18368AECC}"/>
            </a:ext>
          </a:extLst>
        </xdr:cNvPr>
        <xdr:cNvSpPr txBox="1"/>
      </xdr:nvSpPr>
      <xdr:spPr>
        <a:xfrm>
          <a:off x="769620" y="3733800"/>
          <a:ext cx="432816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Cost</a:t>
          </a:r>
          <a:r>
            <a:rPr lang="en-IN" sz="1100" baseline="0"/>
            <a:t> per kg is very high in comparison to payout per kg and hence most of the partners are in loss.</a:t>
          </a:r>
          <a:endParaRPr lang="en-IN" sz="1100"/>
        </a:p>
      </xdr:txBody>
    </xdr:sp>
    <xdr:clientData/>
  </xdr:twoCellAnchor>
  <xdr:twoCellAnchor>
    <xdr:from>
      <xdr:col>0</xdr:col>
      <xdr:colOff>129540</xdr:colOff>
      <xdr:row>26</xdr:row>
      <xdr:rowOff>152400</xdr:rowOff>
    </xdr:from>
    <xdr:to>
      <xdr:col>18</xdr:col>
      <xdr:colOff>251460</xdr:colOff>
      <xdr:row>42</xdr:row>
      <xdr:rowOff>91440</xdr:rowOff>
    </xdr:to>
    <xdr:graphicFrame macro="">
      <xdr:nvGraphicFramePr>
        <xdr:cNvPr id="6" name="Chart 5">
          <a:extLst>
            <a:ext uri="{FF2B5EF4-FFF2-40B4-BE49-F238E27FC236}">
              <a16:creationId xmlns:a16="http://schemas.microsoft.com/office/drawing/2014/main" id="{02555BC1-61BC-47CB-AD0D-3F6AFCF3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617220</xdr:colOff>
      <xdr:row>4</xdr:row>
      <xdr:rowOff>45720</xdr:rowOff>
    </xdr:from>
    <xdr:to>
      <xdr:col>10</xdr:col>
      <xdr:colOff>518160</xdr:colOff>
      <xdr:row>19</xdr:row>
      <xdr:rowOff>152400</xdr:rowOff>
    </xdr:to>
    <xdr:graphicFrame macro="">
      <xdr:nvGraphicFramePr>
        <xdr:cNvPr id="7" name="Chart 6">
          <a:extLst>
            <a:ext uri="{FF2B5EF4-FFF2-40B4-BE49-F238E27FC236}">
              <a16:creationId xmlns:a16="http://schemas.microsoft.com/office/drawing/2014/main" id="{0A286697-2294-9176-BF80-87F8D49B1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701040</xdr:colOff>
      <xdr:row>21</xdr:row>
      <xdr:rowOff>53340</xdr:rowOff>
    </xdr:from>
    <xdr:to>
      <xdr:col>10</xdr:col>
      <xdr:colOff>480060</xdr:colOff>
      <xdr:row>24</xdr:row>
      <xdr:rowOff>68580</xdr:rowOff>
    </xdr:to>
    <xdr:sp macro="" textlink="">
      <xdr:nvSpPr>
        <xdr:cNvPr id="8" name="TextBox 7">
          <a:extLst>
            <a:ext uri="{FF2B5EF4-FFF2-40B4-BE49-F238E27FC236}">
              <a16:creationId xmlns:a16="http://schemas.microsoft.com/office/drawing/2014/main" id="{D0058F40-F3E1-45EC-A7B4-441981F775CD}"/>
            </a:ext>
          </a:extLst>
        </xdr:cNvPr>
        <xdr:cNvSpPr txBox="1"/>
      </xdr:nvSpPr>
      <xdr:spPr>
        <a:xfrm>
          <a:off x="5494020" y="3733800"/>
          <a:ext cx="294894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a:t>
          </a:r>
          <a:r>
            <a:rPr lang="en-IN" sz="1100" baseline="0"/>
            <a:t> we can see that 71% of total partners are in loss.</a:t>
          </a:r>
          <a:endParaRPr lang="en-IN" sz="1100"/>
        </a:p>
      </xdr:txBody>
    </xdr:sp>
    <xdr:clientData/>
  </xdr:twoCellAnchor>
  <xdr:twoCellAnchor>
    <xdr:from>
      <xdr:col>0</xdr:col>
      <xdr:colOff>83820</xdr:colOff>
      <xdr:row>4</xdr:row>
      <xdr:rowOff>45720</xdr:rowOff>
    </xdr:from>
    <xdr:to>
      <xdr:col>5</xdr:col>
      <xdr:colOff>464820</xdr:colOff>
      <xdr:row>19</xdr:row>
      <xdr:rowOff>160020</xdr:rowOff>
    </xdr:to>
    <xdr:graphicFrame macro="">
      <xdr:nvGraphicFramePr>
        <xdr:cNvPr id="9" name="Chart 8">
          <a:extLst>
            <a:ext uri="{FF2B5EF4-FFF2-40B4-BE49-F238E27FC236}">
              <a16:creationId xmlns:a16="http://schemas.microsoft.com/office/drawing/2014/main" id="{3B3B6087-C3BD-44A3-A750-5A386C9A1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4</xdr:row>
      <xdr:rowOff>53340</xdr:rowOff>
    </xdr:from>
    <xdr:to>
      <xdr:col>18</xdr:col>
      <xdr:colOff>335280</xdr:colOff>
      <xdr:row>20</xdr:row>
      <xdr:rowOff>7620</xdr:rowOff>
    </xdr:to>
    <xdr:graphicFrame macro="">
      <xdr:nvGraphicFramePr>
        <xdr:cNvPr id="10" name="Chart 9">
          <a:extLst>
            <a:ext uri="{FF2B5EF4-FFF2-40B4-BE49-F238E27FC236}">
              <a16:creationId xmlns:a16="http://schemas.microsoft.com/office/drawing/2014/main" id="{83F24D51-648F-4869-80A8-BB560D255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259080</xdr:colOff>
      <xdr:row>21</xdr:row>
      <xdr:rowOff>38100</xdr:rowOff>
    </xdr:from>
    <xdr:to>
      <xdr:col>18</xdr:col>
      <xdr:colOff>251460</xdr:colOff>
      <xdr:row>24</xdr:row>
      <xdr:rowOff>53340</xdr:rowOff>
    </xdr:to>
    <xdr:sp macro="" textlink="">
      <xdr:nvSpPr>
        <xdr:cNvPr id="11" name="TextBox 10">
          <a:extLst>
            <a:ext uri="{FF2B5EF4-FFF2-40B4-BE49-F238E27FC236}">
              <a16:creationId xmlns:a16="http://schemas.microsoft.com/office/drawing/2014/main" id="{A04E5429-746F-418D-9870-36CFC12FC6B0}"/>
            </a:ext>
          </a:extLst>
        </xdr:cNvPr>
        <xdr:cNvSpPr txBox="1"/>
      </xdr:nvSpPr>
      <xdr:spPr>
        <a:xfrm>
          <a:off x="8831580" y="3718560"/>
          <a:ext cx="506730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a:t>
          </a:r>
          <a:r>
            <a:rPr lang="en-IN" sz="1100" baseline="0"/>
            <a:t> whole budget system is also distorted, each partner is getting overpaid and even then they are in loss.</a:t>
          </a:r>
          <a:endParaRPr lang="en-IN" sz="1100"/>
        </a:p>
      </xdr:txBody>
    </xdr:sp>
    <xdr:clientData/>
  </xdr:twoCellAnchor>
  <xdr:twoCellAnchor>
    <xdr:from>
      <xdr:col>3</xdr:col>
      <xdr:colOff>167640</xdr:colOff>
      <xdr:row>0</xdr:row>
      <xdr:rowOff>160020</xdr:rowOff>
    </xdr:from>
    <xdr:to>
      <xdr:col>13</xdr:col>
      <xdr:colOff>533400</xdr:colOff>
      <xdr:row>3</xdr:row>
      <xdr:rowOff>30480</xdr:rowOff>
    </xdr:to>
    <xdr:sp macro="" textlink="">
      <xdr:nvSpPr>
        <xdr:cNvPr id="12" name="TextBox 11">
          <a:extLst>
            <a:ext uri="{FF2B5EF4-FFF2-40B4-BE49-F238E27FC236}">
              <a16:creationId xmlns:a16="http://schemas.microsoft.com/office/drawing/2014/main" id="{881C1B2D-DA3A-7450-4BAB-41D49367ABFE}"/>
            </a:ext>
          </a:extLst>
        </xdr:cNvPr>
        <xdr:cNvSpPr txBox="1"/>
      </xdr:nvSpPr>
      <xdr:spPr>
        <a:xfrm>
          <a:off x="3360420" y="160020"/>
          <a:ext cx="718566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a:latin typeface="+mn-lt"/>
              <a:cs typeface="Aharoni" panose="02010803020104030203" pitchFamily="2" charset="-79"/>
            </a:rPr>
            <a:t>Profitability Analysis</a:t>
          </a:r>
        </a:p>
      </xdr:txBody>
    </xdr:sp>
    <xdr:clientData/>
  </xdr:twoCellAnchor>
  <xdr:twoCellAnchor>
    <xdr:from>
      <xdr:col>0</xdr:col>
      <xdr:colOff>0</xdr:colOff>
      <xdr:row>3</xdr:row>
      <xdr:rowOff>99060</xdr:rowOff>
    </xdr:from>
    <xdr:to>
      <xdr:col>25</xdr:col>
      <xdr:colOff>251460</xdr:colOff>
      <xdr:row>3</xdr:row>
      <xdr:rowOff>152400</xdr:rowOff>
    </xdr:to>
    <xdr:cxnSp macro="">
      <xdr:nvCxnSpPr>
        <xdr:cNvPr id="3" name="Straight Connector 2">
          <a:extLst>
            <a:ext uri="{FF2B5EF4-FFF2-40B4-BE49-F238E27FC236}">
              <a16:creationId xmlns:a16="http://schemas.microsoft.com/office/drawing/2014/main" id="{79F819A8-A111-5E5E-9268-D8F3A0B4DED7}"/>
            </a:ext>
          </a:extLst>
        </xdr:cNvPr>
        <xdr:cNvCxnSpPr/>
      </xdr:nvCxnSpPr>
      <xdr:spPr>
        <a:xfrm flipV="1">
          <a:off x="0" y="6248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25</xdr:row>
      <xdr:rowOff>129540</xdr:rowOff>
    </xdr:from>
    <xdr:to>
      <xdr:col>25</xdr:col>
      <xdr:colOff>251460</xdr:colOff>
      <xdr:row>26</xdr:row>
      <xdr:rowOff>7620</xdr:rowOff>
    </xdr:to>
    <xdr:cxnSp macro="">
      <xdr:nvCxnSpPr>
        <xdr:cNvPr id="13" name="Straight Connector 12">
          <a:extLst>
            <a:ext uri="{FF2B5EF4-FFF2-40B4-BE49-F238E27FC236}">
              <a16:creationId xmlns:a16="http://schemas.microsoft.com/office/drawing/2014/main" id="{F30BB8CC-E11A-439F-A581-0F29927075B2}"/>
            </a:ext>
          </a:extLst>
        </xdr:cNvPr>
        <xdr:cNvCxnSpPr/>
      </xdr:nvCxnSpPr>
      <xdr:spPr>
        <a:xfrm flipV="1">
          <a:off x="0" y="45110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3</xdr:row>
      <xdr:rowOff>144780</xdr:rowOff>
    </xdr:from>
    <xdr:to>
      <xdr:col>5</xdr:col>
      <xdr:colOff>495300</xdr:colOff>
      <xdr:row>26</xdr:row>
      <xdr:rowOff>0</xdr:rowOff>
    </xdr:to>
    <xdr:cxnSp macro="">
      <xdr:nvCxnSpPr>
        <xdr:cNvPr id="15" name="Straight Connector 14">
          <a:extLst>
            <a:ext uri="{FF2B5EF4-FFF2-40B4-BE49-F238E27FC236}">
              <a16:creationId xmlns:a16="http://schemas.microsoft.com/office/drawing/2014/main" id="{2ED0FA28-9DF9-DA90-0253-B751E3A8578E}"/>
            </a:ext>
          </a:extLst>
        </xdr:cNvPr>
        <xdr:cNvCxnSpPr/>
      </xdr:nvCxnSpPr>
      <xdr:spPr>
        <a:xfrm>
          <a:off x="5257800" y="670560"/>
          <a:ext cx="30480" cy="388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601980</xdr:colOff>
      <xdr:row>3</xdr:row>
      <xdr:rowOff>144780</xdr:rowOff>
    </xdr:from>
    <xdr:to>
      <xdr:col>11</xdr:col>
      <xdr:colOff>60960</xdr:colOff>
      <xdr:row>25</xdr:row>
      <xdr:rowOff>152400</xdr:rowOff>
    </xdr:to>
    <xdr:cxnSp macro="">
      <xdr:nvCxnSpPr>
        <xdr:cNvPr id="18" name="Straight Connector 17">
          <a:extLst>
            <a:ext uri="{FF2B5EF4-FFF2-40B4-BE49-F238E27FC236}">
              <a16:creationId xmlns:a16="http://schemas.microsoft.com/office/drawing/2014/main" id="{5CA564DB-9700-42BA-A2F6-D8E9EA1FDD2F}"/>
            </a:ext>
          </a:extLst>
        </xdr:cNvPr>
        <xdr:cNvCxnSpPr/>
      </xdr:nvCxnSpPr>
      <xdr:spPr>
        <a:xfrm>
          <a:off x="8564880" y="670560"/>
          <a:ext cx="68580" cy="386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44</xdr:row>
      <xdr:rowOff>76200</xdr:rowOff>
    </xdr:from>
    <xdr:to>
      <xdr:col>25</xdr:col>
      <xdr:colOff>251460</xdr:colOff>
      <xdr:row>44</xdr:row>
      <xdr:rowOff>129540</xdr:rowOff>
    </xdr:to>
    <xdr:cxnSp macro="">
      <xdr:nvCxnSpPr>
        <xdr:cNvPr id="19" name="Straight Connector 18">
          <a:extLst>
            <a:ext uri="{FF2B5EF4-FFF2-40B4-BE49-F238E27FC236}">
              <a16:creationId xmlns:a16="http://schemas.microsoft.com/office/drawing/2014/main" id="{A7A7161A-3D1E-4D25-BEE6-E408A4FA83D3}"/>
            </a:ext>
          </a:extLst>
        </xdr:cNvPr>
        <xdr:cNvCxnSpPr/>
      </xdr:nvCxnSpPr>
      <xdr:spPr>
        <a:xfrm flipV="1">
          <a:off x="0" y="77876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45720</xdr:colOff>
      <xdr:row>0</xdr:row>
      <xdr:rowOff>22860</xdr:rowOff>
    </xdr:from>
    <xdr:to>
      <xdr:col>16</xdr:col>
      <xdr:colOff>76200</xdr:colOff>
      <xdr:row>3</xdr:row>
      <xdr:rowOff>144780</xdr:rowOff>
    </xdr:to>
    <mc:AlternateContent xmlns:mc="http://schemas.openxmlformats.org/markup-compatibility/2006" xmlns:sle15="http://schemas.microsoft.com/office/drawing/2012/slicer">
      <mc:Choice Requires="sle15">
        <xdr:graphicFrame macro="">
          <xdr:nvGraphicFramePr>
            <xdr:cNvPr id="2" name="Ownership 1">
              <a:extLst>
                <a:ext uri="{FF2B5EF4-FFF2-40B4-BE49-F238E27FC236}">
                  <a16:creationId xmlns:a16="http://schemas.microsoft.com/office/drawing/2014/main" id="{5054BAB8-6823-4871-9565-40A09AF9CE5D}"/>
                </a:ext>
              </a:extLst>
            </xdr:cNvPr>
            <xdr:cNvGraphicFramePr/>
          </xdr:nvGraphicFramePr>
          <xdr:xfrm>
            <a:off x="0" y="0"/>
            <a:ext cx="0" cy="0"/>
          </xdr:xfrm>
          <a:graphic>
            <a:graphicData uri="http://schemas.microsoft.com/office/drawing/2010/slicer">
              <sle:slicer xmlns:sle="http://schemas.microsoft.com/office/drawing/2010/slicer" name="Ownership 1"/>
            </a:graphicData>
          </a:graphic>
        </xdr:graphicFrame>
      </mc:Choice>
      <mc:Fallback xmlns="">
        <xdr:sp macro="" textlink="">
          <xdr:nvSpPr>
            <xdr:cNvPr id="0" name=""/>
            <xdr:cNvSpPr>
              <a:spLocks noTextEdit="1"/>
            </xdr:cNvSpPr>
          </xdr:nvSpPr>
          <xdr:spPr>
            <a:xfrm>
              <a:off x="10271760" y="22860"/>
              <a:ext cx="3886200" cy="647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7620</xdr:colOff>
      <xdr:row>3</xdr:row>
      <xdr:rowOff>167640</xdr:rowOff>
    </xdr:to>
    <xdr:sp macro="" textlink="">
      <xdr:nvSpPr>
        <xdr:cNvPr id="3" name="TextBox 2">
          <a:extLst>
            <a:ext uri="{FF2B5EF4-FFF2-40B4-BE49-F238E27FC236}">
              <a16:creationId xmlns:a16="http://schemas.microsoft.com/office/drawing/2014/main" id="{EA1CBE32-48DD-45C1-828D-B7F3D60D7163}"/>
            </a:ext>
          </a:extLst>
        </xdr:cNvPr>
        <xdr:cNvSpPr txBox="1"/>
      </xdr:nvSpPr>
      <xdr:spPr>
        <a:xfrm>
          <a:off x="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19</xdr:row>
      <xdr:rowOff>0</xdr:rowOff>
    </xdr:from>
    <xdr:to>
      <xdr:col>24</xdr:col>
      <xdr:colOff>571500</xdr:colOff>
      <xdr:row>34</xdr:row>
      <xdr:rowOff>0</xdr:rowOff>
    </xdr:to>
    <xdr:graphicFrame macro="">
      <xdr:nvGraphicFramePr>
        <xdr:cNvPr id="3" name="Chart 2">
          <a:extLst>
            <a:ext uri="{FF2B5EF4-FFF2-40B4-BE49-F238E27FC236}">
              <a16:creationId xmlns:a16="http://schemas.microsoft.com/office/drawing/2014/main" id="{EFBAC1A6-B1B2-481F-95E3-0263535CC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khmani Arora" refreshedDate="45251.209039467591" createdVersion="8" refreshedVersion="8" minRefreshableVersion="3" recordCount="63" xr:uid="{ACFE3AC5-390C-4382-BB79-EDD81F20FA96}">
  <cacheSource type="worksheet">
    <worksheetSource name="Cost_Structure"/>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0">
      <sharedItems/>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9285.0019192570508" maxValue="48007.908019457667"/>
    </cacheField>
    <cacheField name="EMI " numFmtId="165">
      <sharedItems containsSemiMixedTypes="0" containsString="0" containsNumber="1" minValue="6090.9052802258566" maxValue="21318.1684807905"/>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22519.476708797287" maxValue="86746.947067284098"/>
    </cacheField>
    <cacheField name="Team Cost" numFmtId="165">
      <sharedItems containsSemiMixedTypes="0" containsString="0" containsNumber="1" containsInteger="1" minValue="36000" maxValue="36000"/>
    </cacheField>
    <cacheField name="Total Cost" numFmtId="165">
      <sharedItems containsSemiMixedTypes="0" containsString="0" containsNumber="1" minValue="58519.476708797287" maxValue="122746.947067284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khmani Arora" refreshedDate="45251.247051736114" createdVersion="8" refreshedVersion="8" minRefreshableVersion="3" recordCount="63" xr:uid="{E04FE01B-AD55-41BC-A9FA-12A405300ABE}">
  <cacheSource type="worksheet">
    <worksheetSource name="Cost_Structure16"/>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1">
      <sharedItems containsSemiMixedTypes="0" containsString="0" containsNumber="1" containsInteger="1" minValue="0" maxValue="2020"/>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0" maxValue="44474.742564298867"/>
    </cacheField>
    <cacheField name="EMI " numFmtId="165">
      <sharedItems containsSemiMixedTypes="0" containsString="0" containsNumber="1" minValue="0" maxValue="17511.352680649339"/>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16428.571428571428" maxValue="80000"/>
    </cacheField>
    <cacheField name="Team Cost" numFmtId="165">
      <sharedItems containsSemiMixedTypes="0" containsString="0" containsNumber="1" containsInteger="1" minValue="8000" maxValue="36000"/>
    </cacheField>
    <cacheField name="Total Cost" numFmtId="165">
      <sharedItems containsSemiMixedTypes="0" containsString="0" containsNumber="1" minValue="44428.571428571428" maxValue="106183.800376316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s v="2018"/>
    <s v="Eicher 14"/>
    <n v="9"/>
    <n v="2.5"/>
    <n v="1600"/>
    <n v="16408.888888888887"/>
    <n v="11420.447400423482"/>
    <n v="9580"/>
    <n v="37409.33628931237"/>
    <n v="36000"/>
    <n v="73409.33628931237"/>
  </r>
  <r>
    <n v="2"/>
    <s v="Vapi"/>
    <s v="VAPT1"/>
    <x v="0"/>
    <s v="Tata Ace"/>
    <s v="EMI"/>
    <s v="2017"/>
    <s v="Tata Ace"/>
    <n v="14"/>
    <n v="0.75"/>
    <n v="1600"/>
    <n v="10548.571428571429"/>
    <n v="6090.9052802258566"/>
    <n v="5880"/>
    <n v="22519.476708797287"/>
    <n v="36000"/>
    <n v="58519.476708797287"/>
  </r>
  <r>
    <n v="3"/>
    <s v="Vapi"/>
    <s v="VAPT1"/>
    <x v="1"/>
    <s v="14 ft"/>
    <s v="Market"/>
    <s v="NA"/>
    <s v="Eicher 14"/>
    <n v="9"/>
    <n v="2.5"/>
    <n v="1600"/>
    <n v="16408.888888888887"/>
    <n v="11420.447400423482"/>
    <n v="9580"/>
    <n v="37409.33628931237"/>
    <n v="36000"/>
    <n v="73409.33628931237"/>
  </r>
  <r>
    <n v="4"/>
    <s v="Ahmedabad Branch"/>
    <s v="AMDT1"/>
    <x v="2"/>
    <s v="17 ft"/>
    <s v="EMI"/>
    <s v="2014"/>
    <s v="Eicher 17"/>
    <n v="6.5525461364709248"/>
    <n v="6.5900268382448797"/>
    <n v="2900"/>
    <n v="44474.742564298867"/>
    <n v="17511.352680649339"/>
    <n v="12500"/>
    <n v="74486.095244948199"/>
    <n v="36000"/>
    <n v="110486.0952449482"/>
  </r>
  <r>
    <n v="5"/>
    <s v="Gandhi Nager"/>
    <s v="GNCB1"/>
    <x v="3"/>
    <s v="Mahindra"/>
    <s v="EMI"/>
    <s v="2019"/>
    <s v="Mahindra"/>
    <n v="16.829787347508621"/>
    <n v="1.3894248629666022"/>
    <n v="2700"/>
    <n v="18194.528820724201"/>
    <n v="11420.447400423482"/>
    <n v="8200"/>
    <n v="37814.976221147685"/>
    <n v="36000"/>
    <n v="73814.976221147692"/>
  </r>
  <r>
    <n v="6"/>
    <s v="Rampura Branch"/>
    <s v="AMDBP"/>
    <x v="4"/>
    <s v="AL Dost"/>
    <s v="EMI"/>
    <s v="2016"/>
    <s v="AL Dost"/>
    <n v="15.340744990271009"/>
    <n v="1.5806763812306639"/>
    <n v="2600"/>
    <n v="13701.339883206299"/>
    <n v="7613.6316002823205"/>
    <n v="11400"/>
    <n v="32714.971483488618"/>
    <n v="36000"/>
    <n v="68714.971483488625"/>
  </r>
  <r>
    <n v="7"/>
    <s v="Rampura Branch"/>
    <s v="AMDBP"/>
    <x v="5"/>
    <s v="Tata Ace"/>
    <s v="EMI"/>
    <s v="2012"/>
    <s v="Tata Ace"/>
    <n v="7.7853868200690899"/>
    <n v="0.75264980525332092"/>
    <n v="2600"/>
    <n v="26997.857143266792"/>
    <n v="6090.9052802258566"/>
    <n v="6900"/>
    <n v="39988.762423492648"/>
    <n v="36000"/>
    <n v="75988.762423492648"/>
  </r>
  <r>
    <n v="8"/>
    <s v="Jamnager"/>
    <s v="JGAB1"/>
    <x v="6"/>
    <s v="Tata Ace"/>
    <s v="EMI"/>
    <s v="2019"/>
    <s v="Tata Ace"/>
    <n v="17.527489465012966"/>
    <n v="0.78423707313208679"/>
    <n v="1900"/>
    <n v="10865.739812694012"/>
    <n v="6090.9052802258566"/>
    <n v="10700"/>
    <n v="27656.645092919869"/>
    <n v="36000"/>
    <n v="63656.645092919869"/>
  </r>
  <r>
    <n v="9"/>
    <s v="Surat"/>
    <s v="STVT1"/>
    <x v="7"/>
    <s v="14 ft"/>
    <s v="EMI"/>
    <s v="2016"/>
    <s v="Eicher 14"/>
    <n v="13.044642984582476"/>
    <n v="2.042136553081618"/>
    <n v="2900"/>
    <n v="22100.936769178697"/>
    <n v="11420.447400423482"/>
    <n v="18700"/>
    <n v="52221.384169602177"/>
    <n v="36000"/>
    <n v="88221.384169602185"/>
  </r>
  <r>
    <n v="10"/>
    <s v="Surat"/>
    <s v="STVT1"/>
    <x v="7"/>
    <s v="17 ft"/>
    <s v="EMI"/>
    <s v="2017"/>
    <s v="Eicher 17"/>
    <n v="7.7766332599738792"/>
    <n v="5.1635046388777424"/>
    <n v="2900"/>
    <n v="37072.44769566723"/>
    <n v="17511.352680649339"/>
    <n v="15600"/>
    <n v="70183.800376316562"/>
    <n v="36000"/>
    <n v="106183.80037631656"/>
  </r>
  <r>
    <n v="11"/>
    <s v="Surat"/>
    <s v="STVT1"/>
    <x v="7"/>
    <s v="22 ft"/>
    <s v="Market"/>
    <s v="NA"/>
    <s v="22 ft"/>
    <n v="6.653749290515103"/>
    <n v="8.2407106661901022"/>
    <n v="2900"/>
    <n v="43328.778586493601"/>
    <n v="21318.1684807905"/>
    <n v="22100"/>
    <n v="86746.947067284098"/>
    <n v="36000"/>
    <n v="122746.9470672841"/>
  </r>
  <r>
    <n v="12"/>
    <s v="Vadodara"/>
    <s v="BDQT1"/>
    <x v="8"/>
    <s v="Tata Ace"/>
    <s v="Owned"/>
    <s v="2016"/>
    <s v="Tata Ace"/>
    <n v="18.889971546597494"/>
    <n v="0.79022382032227789"/>
    <n v="3000"/>
    <n v="12476.910857713416"/>
    <n v="6090.9052802258566"/>
    <n v="10700"/>
    <n v="29267.816137939273"/>
    <n v="36000"/>
    <n v="65267.81613793927"/>
  </r>
  <r>
    <n v="13"/>
    <s v="Ahmmedabad City"/>
    <s v="AMDBL"/>
    <x v="9"/>
    <s v="14 ft"/>
    <s v="EMI"/>
    <s v="2013"/>
    <s v="Eicher 14"/>
    <n v="9.095012736983012"/>
    <n v="2.4855141620694923"/>
    <n v="1800"/>
    <n v="18718.663328438746"/>
    <n v="11420.447400423482"/>
    <n v="12000"/>
    <n v="42139.11072886223"/>
    <n v="36000"/>
    <n v="78139.11072886223"/>
  </r>
  <r>
    <n v="14"/>
    <s v="Ahmmedabad City"/>
    <s v="AMDBL"/>
    <x v="9"/>
    <s v="19 ft"/>
    <s v="Market"/>
    <s v="NA"/>
    <s v="Eicher 19"/>
    <n v="3.5462174548919334"/>
    <n v="8.6536756158497194"/>
    <n v="1800"/>
    <n v="48007.908019457667"/>
    <n v="17511.352680649339"/>
    <n v="19000"/>
    <n v="84519.260700106999"/>
    <n v="36000"/>
    <n v="120519.260700107"/>
  </r>
  <r>
    <n v="15"/>
    <s v="Sanand"/>
    <s v="AMDBC"/>
    <x v="10"/>
    <s v="Tata Ace"/>
    <s v="EMI"/>
    <s v="2020"/>
    <s v="Tata Ace"/>
    <n v="17.157710528177709"/>
    <n v="1.0426350561035722"/>
    <n v="3100"/>
    <n v="16815.46394439719"/>
    <n v="6090.9052802258566"/>
    <n v="11800"/>
    <n v="34706.369224623049"/>
    <n v="36000"/>
    <n v="70706.369224623049"/>
  </r>
  <r>
    <n v="16"/>
    <s v="Vapi"/>
    <s v="VAPT1"/>
    <x v="11"/>
    <s v="Tata Ace"/>
    <s v="EMI"/>
    <s v="2010"/>
    <s v="Tata Ace"/>
    <n v="14"/>
    <n v="0.75"/>
    <n v="1600"/>
    <n v="10548.571428571429"/>
    <n v="6090.9052802258566"/>
    <n v="5880"/>
    <n v="22519.476708797287"/>
    <n v="36000"/>
    <n v="58519.476708797287"/>
  </r>
  <r>
    <n v="17"/>
    <s v="Rajkot"/>
    <s v="RAJB1"/>
    <x v="12"/>
    <s v="Super ace"/>
    <s v="Owned"/>
    <s v="2019"/>
    <s v="Super ace"/>
    <n v="17.582051377297987"/>
    <n v="1.1466290648202664"/>
    <n v="1800"/>
    <n v="9285.0019192570508"/>
    <n v="8374.9947603105538"/>
    <n v="9900"/>
    <n v="27559.996679567605"/>
    <n v="36000"/>
    <n v="63559.996679567601"/>
  </r>
  <r>
    <n v="18"/>
    <s v="Gandhi Nager"/>
    <s v="GNCB1"/>
    <x v="13"/>
    <s v="Mahindra"/>
    <s v="EMI"/>
    <s v="2019"/>
    <s v="Mahindra"/>
    <n v="16.829787347508621"/>
    <n v="1.3894248629666022"/>
    <n v="2700"/>
    <n v="18194.528820724201"/>
    <n v="11420.447400423482"/>
    <n v="8200"/>
    <n v="37814.976221147685"/>
    <n v="36000"/>
    <n v="73814.976221147692"/>
  </r>
  <r>
    <n v="19"/>
    <s v="Bhavnager"/>
    <s v="BVCB1"/>
    <x v="14"/>
    <s v="Mahindra"/>
    <s v="Owned"/>
    <s v="2020"/>
    <s v="Mahindra"/>
    <n v="9.8332980589745791"/>
    <n v="2.1170956821339351"/>
    <n v="2500"/>
    <n v="24433.001229891568"/>
    <n v="11420.447400423482"/>
    <n v="10200"/>
    <n v="46053.448630315048"/>
    <n v="36000"/>
    <n v="82053.448630315048"/>
  </r>
  <r>
    <n v="20"/>
    <s v="Ahmedabad Branch"/>
    <s v="AMDT1"/>
    <x v="15"/>
    <s v="17 ft"/>
    <s v="Owned"/>
    <s v="2012"/>
    <s v="Eicher 17"/>
    <n v="6.5525461364709248"/>
    <n v="6.5900268382448797"/>
    <n v="2900"/>
    <n v="44474.742564298867"/>
    <n v="17511.352680649339"/>
    <n v="12500"/>
    <n v="74486.095244948199"/>
    <n v="36000"/>
    <n v="110486.0952449482"/>
  </r>
  <r>
    <n v="21"/>
    <s v="Ahmedabad Branch"/>
    <s v="AMDT1"/>
    <x v="16"/>
    <s v="19 ft"/>
    <s v="Market"/>
    <s v="NA"/>
    <s v="Eicher 19"/>
    <n v="6.9433969910850388"/>
    <n v="6.3444422201305457"/>
    <n v="2900"/>
    <n v="41971.214224738593"/>
    <n v="17511.352680649339"/>
    <n v="11400"/>
    <n v="70882.566905387939"/>
    <n v="36000"/>
    <n v="106882.56690538794"/>
  </r>
  <r>
    <n v="22"/>
    <s v="Jamnager"/>
    <s v="JGAB1"/>
    <x v="17"/>
    <s v="14 ft"/>
    <s v="EMI"/>
    <s v="2020"/>
    <s v="Eicher 14"/>
    <n v="8.5572888357740542"/>
    <n v="3.0291773948414247"/>
    <n v="1900"/>
    <n v="22255.780277088084"/>
    <n v="11420.447400423482"/>
    <n v="11900"/>
    <n v="45576.227677511568"/>
    <n v="36000"/>
    <n v="81576.227677511575"/>
  </r>
  <r>
    <n v="23"/>
    <s v="Jamnager"/>
    <s v="JGAB1"/>
    <x v="17"/>
    <s v="Tata Ace"/>
    <s v="Owned"/>
    <s v="2018"/>
    <s v="Tata Ace"/>
    <n v="17.527489465012966"/>
    <n v="0.78423707313208679"/>
    <n v="1900"/>
    <n v="10865.739812694012"/>
    <n v="6090.9052802258566"/>
    <n v="10700"/>
    <n v="27656.645092919869"/>
    <n v="36000"/>
    <n v="63656.645092919869"/>
  </r>
  <r>
    <n v="24"/>
    <s v="Rajkot"/>
    <s v="RAJB1"/>
    <x v="18"/>
    <s v="Mahindra"/>
    <s v="Owned"/>
    <s v="2013"/>
    <s v="Mahindra"/>
    <n v="9.8850325042295175"/>
    <n v="1.3434882381767432"/>
    <n v="1800"/>
    <n v="16514.804651662827"/>
    <n v="11420.447400423482"/>
    <n v="8600"/>
    <n v="36535.252052086311"/>
    <n v="36000"/>
    <n v="72535.252052086318"/>
  </r>
  <r>
    <n v="25"/>
    <s v="Vadodara"/>
    <s v="BDQT1"/>
    <x v="19"/>
    <s v="14 ft"/>
    <s v="Market"/>
    <s v="NA"/>
    <s v="Eicher 14"/>
    <n v="12.597885435760045"/>
    <n v="2.7317924077831095"/>
    <n v="3000"/>
    <n v="18708.575521938008"/>
    <n v="11420.447400423482"/>
    <n v="15100"/>
    <n v="45229.022922361488"/>
    <n v="36000"/>
    <n v="81229.022922361488"/>
  </r>
  <r>
    <n v="26"/>
    <s v="Vadodara"/>
    <s v="BDQT1"/>
    <x v="19"/>
    <s v="AL Dost"/>
    <s v="EMI"/>
    <s v="2019"/>
    <s v="AL Dost"/>
    <n v="16.206961290646341"/>
    <n v="0.97146367060579686"/>
    <n v="3000"/>
    <n v="14542.423275093808"/>
    <n v="7613.6316002823205"/>
    <n v="10200"/>
    <n v="32356.054875376129"/>
    <n v="36000"/>
    <n v="68356.054875376125"/>
  </r>
  <r>
    <n v="27"/>
    <s v="Vadodara"/>
    <s v="BDQT1"/>
    <x v="19"/>
    <s v="Super ace"/>
    <s v="EMI"/>
    <s v="2018"/>
    <s v="Super ace"/>
    <n v="9.9226528824228826"/>
    <n v="1.6651510049498304"/>
    <n v="3000"/>
    <n v="23752.568379081509"/>
    <n v="8374.9947603105538"/>
    <n v="10500"/>
    <n v="42627.563139392063"/>
    <n v="36000"/>
    <n v="78627.563139392063"/>
  </r>
  <r>
    <n v="28"/>
    <s v="Vadodara"/>
    <s v="BDQT1"/>
    <x v="20"/>
    <s v="Tata Ace"/>
    <s v="EMI"/>
    <s v="2013"/>
    <s v="Tata Ace"/>
    <n v="18.889971546597494"/>
    <n v="0.79022382032227789"/>
    <n v="3000"/>
    <n v="12476.910857713416"/>
    <n v="6090.9052802258566"/>
    <n v="10700"/>
    <n v="29267.816137939273"/>
    <n v="36000"/>
    <n v="65267.81613793927"/>
  </r>
  <r>
    <n v="29"/>
    <s v="Vadodara"/>
    <s v="BDQT1"/>
    <x v="20"/>
    <s v="Super ace"/>
    <s v="Owned"/>
    <s v="2015"/>
    <s v="Super ace"/>
    <n v="9.9226528824228826"/>
    <n v="1.6651510049498304"/>
    <n v="3000"/>
    <n v="23752.568379081509"/>
    <n v="8374.9947603105538"/>
    <n v="10500"/>
    <n v="42627.563139392063"/>
    <n v="36000"/>
    <n v="78627.563139392063"/>
  </r>
  <r>
    <n v="30"/>
    <s v="Ahmedabad Branch"/>
    <s v="AMDT1"/>
    <x v="21"/>
    <s v="AL Dost"/>
    <s v="EMI"/>
    <s v="2013"/>
    <s v="AL Dost"/>
    <n v="13.451738176402987"/>
    <n v="1.4794834103460122"/>
    <n v="2900"/>
    <n v="21664.323133455633"/>
    <n v="7613.6316002823205"/>
    <n v="7600"/>
    <n v="36877.954733737955"/>
    <n v="36000"/>
    <n v="72877.954733737948"/>
  </r>
  <r>
    <n v="31"/>
    <s v="Amreli"/>
    <s v="AKVB1"/>
    <x v="22"/>
    <s v="AL Dost"/>
    <s v="Owned"/>
    <s v="2011"/>
    <s v="AL Dost"/>
    <n v="12.342261159350826"/>
    <n v="1.4205369964896497"/>
    <n v="2400"/>
    <n v="19100.862449123269"/>
    <n v="7613.6316002823205"/>
    <n v="6500"/>
    <n v="33214.494049405592"/>
    <n v="36000"/>
    <n v="69214.494049405592"/>
  </r>
  <r>
    <n v="32"/>
    <s v="Surat"/>
    <s v="STVT1"/>
    <x v="23"/>
    <s v="14 ft"/>
    <s v="Market"/>
    <s v="NA"/>
    <s v="Eicher 14"/>
    <n v="13.044642984582476"/>
    <n v="2.042136553081618"/>
    <n v="2900"/>
    <n v="22100.936769178697"/>
    <n v="11420.447400423482"/>
    <n v="18700"/>
    <n v="52221.384169602177"/>
    <n v="36000"/>
    <n v="88221.384169602185"/>
  </r>
  <r>
    <n v="33"/>
    <s v="Surat"/>
    <s v="STVT1"/>
    <x v="23"/>
    <s v="Tata Ace"/>
    <s v="Owned"/>
    <s v="2013"/>
    <s v="Tata Ace"/>
    <n v="17.294647938760768"/>
    <n v="1.0764283836997799"/>
    <n v="2900"/>
    <n v="16669.829348340325"/>
    <n v="6090.9052802258566"/>
    <n v="11500"/>
    <n v="34260.734628566177"/>
    <n v="36000"/>
    <n v="70260.734628566177"/>
  </r>
  <r>
    <n v="34"/>
    <s v="Vadodara"/>
    <s v="BDQT1"/>
    <x v="24"/>
    <s v="AL Dost"/>
    <s v="Owned"/>
    <s v="2015"/>
    <s v="AL Dost"/>
    <n v="16.206961290646341"/>
    <n v="0.97146367060579686"/>
    <n v="3000"/>
    <n v="14542.423275093808"/>
    <n v="7613.6316002823205"/>
    <n v="10200"/>
    <n v="32356.054875376129"/>
    <n v="36000"/>
    <n v="68356.054875376125"/>
  </r>
  <r>
    <n v="35"/>
    <s v="Surat"/>
    <s v="STVT1"/>
    <x v="25"/>
    <s v="AL Dost"/>
    <s v="Owned"/>
    <s v="2014"/>
    <s v="AL Dost"/>
    <n v="6.5028597954101208"/>
    <n v="1.2307641755925045"/>
    <n v="2900"/>
    <n v="44334.160484631124"/>
    <n v="7613.6316002823205"/>
    <n v="11200"/>
    <n v="63147.792084913446"/>
    <n v="36000"/>
    <n v="99147.792084913439"/>
  </r>
  <r>
    <n v="36"/>
    <s v="Gandhi Nager"/>
    <s v="GNCB1"/>
    <x v="26"/>
    <s v="Tata Ace"/>
    <s v="EMI"/>
    <s v="2012"/>
    <s v="Tata Ace"/>
    <n v="9.3641429387747763"/>
    <n v="0.9429848152367003"/>
    <n v="2700"/>
    <n v="32700.275181934616"/>
    <n v="6090.9052802258566"/>
    <n v="7800"/>
    <n v="46591.180462160475"/>
    <n v="36000"/>
    <n v="82591.180462160468"/>
  </r>
  <r>
    <n v="37"/>
    <s v="Rampura Branch"/>
    <s v="AMDBP"/>
    <x v="27"/>
    <s v="Mahindra"/>
    <s v="EMI"/>
    <s v="2015"/>
    <s v="Mahindra"/>
    <n v="11.216814907083885"/>
    <n v="1.4849540362195355"/>
    <n v="2600"/>
    <n v="18738.720654163106"/>
    <n v="11420.447400423482"/>
    <n v="11200"/>
    <n v="41359.168054586589"/>
    <n v="36000"/>
    <n v="77359.168054586597"/>
  </r>
  <r>
    <n v="38"/>
    <s v="Ahmedabad Branch"/>
    <s v="AMDT1"/>
    <x v="28"/>
    <s v="17 ft"/>
    <s v="Market"/>
    <s v="NA"/>
    <s v="Eicher 17"/>
    <n v="6.5525461364709248"/>
    <n v="6.5900268382448797"/>
    <n v="2900"/>
    <n v="44474.742564298867"/>
    <n v="17511.352680649339"/>
    <n v="12500"/>
    <n v="74486.095244948199"/>
    <n v="36000"/>
    <n v="110486.0952449482"/>
  </r>
  <r>
    <n v="39"/>
    <s v="Vadodara"/>
    <s v="BDQT1"/>
    <x v="29"/>
    <s v="AL Dost"/>
    <s v="Owned"/>
    <s v="2014"/>
    <s v="AL Dost"/>
    <n v="16.206961290646341"/>
    <n v="0.97146367060579686"/>
    <n v="3000"/>
    <n v="14542.423275093808"/>
    <n v="7613.6316002823205"/>
    <n v="10200"/>
    <n v="32356.054875376129"/>
    <n v="36000"/>
    <n v="68356.054875376125"/>
  </r>
  <r>
    <n v="40"/>
    <s v="Rajkot"/>
    <s v="RAJB1"/>
    <x v="30"/>
    <s v="Pickup"/>
    <s v="Owned"/>
    <s v="2014"/>
    <s v="Pickup"/>
    <n v="13.840671454814565"/>
    <n v="1.6537934308679081"/>
    <n v="1800"/>
    <n v="11794.903254198736"/>
    <n v="9897.7210803670168"/>
    <n v="9300"/>
    <n v="30992.624334565753"/>
    <n v="36000"/>
    <n v="66992.624334565757"/>
  </r>
  <r>
    <n v="41"/>
    <s v="Rajkot"/>
    <s v="RAJB1"/>
    <x v="30"/>
    <s v="Tata Ace"/>
    <s v="Owned"/>
    <s v="2020"/>
    <s v="Tata Ace"/>
    <n v="15.252132362435546"/>
    <n v="0.44282249549748876"/>
    <n v="1800"/>
    <n v="10703.38080626382"/>
    <n v="6090.9052802258566"/>
    <n v="6200"/>
    <n v="22994.286086489676"/>
    <n v="36000"/>
    <n v="58994.286086489679"/>
  </r>
  <r>
    <n v="42"/>
    <s v="Rampura Branch"/>
    <s v="AMDBC"/>
    <x v="31"/>
    <s v="Tata Ace"/>
    <s v="EMI"/>
    <s v="2012"/>
    <s v="Tata Ace"/>
    <n v="17.157710528177709"/>
    <n v="1.0426350561035722"/>
    <n v="3100"/>
    <n v="16815.46394439719"/>
    <n v="6090.9052802258566"/>
    <n v="11800"/>
    <n v="34706.369224623049"/>
    <n v="36000"/>
    <n v="70706.369224623049"/>
  </r>
  <r>
    <n v="43"/>
    <s v="Surat"/>
    <s v="STVT1"/>
    <x v="32"/>
    <s v="Tata Ace"/>
    <s v="Owned"/>
    <s v="2019"/>
    <s v="Tata Ace"/>
    <n v="17.294647938760768"/>
    <n v="1.0764283836997799"/>
    <n v="2900"/>
    <n v="16669.829348340325"/>
    <n v="6090.9052802258566"/>
    <n v="11500"/>
    <n v="34260.734628566177"/>
    <n v="36000"/>
    <n v="70260.734628566177"/>
  </r>
  <r>
    <n v="44"/>
    <s v="Ahmedabad Branch"/>
    <s v="AMDT1"/>
    <x v="33"/>
    <s v="17 ft"/>
    <s v="Market"/>
    <s v="NA"/>
    <s v="Eicher 17"/>
    <n v="6.5525461364709248"/>
    <n v="6.5900268382448797"/>
    <n v="2900"/>
    <n v="44474.742564298867"/>
    <n v="17511.352680649339"/>
    <n v="12500"/>
    <n v="74486.095244948199"/>
    <n v="36000"/>
    <n v="110486.0952449482"/>
  </r>
  <r>
    <n v="45"/>
    <s v="Gandhi Nager"/>
    <s v="GNCB1"/>
    <x v="34"/>
    <s v="Tata Ace"/>
    <s v="Owned"/>
    <s v="2020"/>
    <s v="Tata Ace"/>
    <n v="9.3641429387747763"/>
    <n v="0.9429848152367003"/>
    <n v="2700"/>
    <n v="32700.275181934616"/>
    <n v="6090.9052802258566"/>
    <n v="7800"/>
    <n v="46591.180462160475"/>
    <n v="36000"/>
    <n v="82591.180462160468"/>
  </r>
  <r>
    <n v="46"/>
    <s v="Vadodara"/>
    <s v="BDQT1"/>
    <x v="35"/>
    <s v="Super ace"/>
    <s v="Owned"/>
    <s v="2014"/>
    <s v="Super ace"/>
    <n v="9.9226528824228826"/>
    <n v="1.6651510049498304"/>
    <n v="3000"/>
    <n v="23752.568379081509"/>
    <n v="8374.9947603105538"/>
    <n v="10500"/>
    <n v="42627.563139392063"/>
    <n v="36000"/>
    <n v="78627.563139392063"/>
  </r>
  <r>
    <n v="47"/>
    <s v="Vadodara"/>
    <s v="BDQT1"/>
    <x v="35"/>
    <s v="AL Dost"/>
    <s v="Owned"/>
    <s v="2018"/>
    <s v="AL Dost"/>
    <n v="16.206961290646341"/>
    <n v="0.97146367060579686"/>
    <n v="3000"/>
    <n v="14542.423275093808"/>
    <n v="7613.6316002823205"/>
    <n v="10200"/>
    <n v="32356.054875376129"/>
    <n v="36000"/>
    <n v="68356.054875376125"/>
  </r>
  <r>
    <n v="48"/>
    <s v="Junagarh"/>
    <s v="JNDB1"/>
    <x v="36"/>
    <s v="Tata Ace"/>
    <s v="Owned"/>
    <s v="2015"/>
    <s v="Tata Ace"/>
    <n v="10.173410042173559"/>
    <n v="1.020976097530419"/>
    <n v="1800"/>
    <n v="14495.51069292958"/>
    <n v="6090.9052802258566"/>
    <n v="9700"/>
    <n v="30286.415973155435"/>
    <n v="36000"/>
    <n v="66286.415973155439"/>
  </r>
  <r>
    <n v="49"/>
    <s v="Mehsana"/>
    <s v="MSHB1"/>
    <x v="37"/>
    <s v="Mahindra"/>
    <s v="EMI"/>
    <s v="2019"/>
    <s v="Mahindra"/>
    <n v="8.6217992604575731"/>
    <n v="1.7903212444492185"/>
    <n v="2000"/>
    <n v="23052.631423483541"/>
    <n v="11420.447400423482"/>
    <n v="10200"/>
    <n v="44673.078823907024"/>
    <n v="36000"/>
    <n v="80673.078823907024"/>
  </r>
  <r>
    <n v="50"/>
    <s v="Mehsana"/>
    <s v="MSHB1"/>
    <x v="37"/>
    <s v="Mahindra"/>
    <s v="Owned"/>
    <s v="2018"/>
    <s v="Mahindra"/>
    <n v="8.6217992604575731"/>
    <n v="1.7903212444492185"/>
    <n v="2000"/>
    <n v="23052.631423483541"/>
    <n v="11420.447400423482"/>
    <n v="10200"/>
    <n v="44673.078823907024"/>
    <n v="36000"/>
    <n v="80673.078823907024"/>
  </r>
  <r>
    <n v="51"/>
    <s v="Ahmedabad Branch"/>
    <s v="AMDT1"/>
    <x v="38"/>
    <s v="17 ft"/>
    <s v="Market"/>
    <s v="NA"/>
    <s v="Eicher 17"/>
    <n v="6.5525461364709248"/>
    <n v="6.5900268382448797"/>
    <n v="2900"/>
    <n v="44474.742564298867"/>
    <n v="17511.352680649339"/>
    <n v="12500"/>
    <n v="74486.095244948199"/>
    <n v="36000"/>
    <n v="110486.0952449482"/>
  </r>
  <r>
    <n v="52"/>
    <s v="Rampura Branch"/>
    <s v="AMDBP"/>
    <x v="39"/>
    <s v="Mahindra"/>
    <s v="EMI"/>
    <s v="2011"/>
    <s v="Mahindra"/>
    <n v="11.216814907083885"/>
    <n v="1.4849540362195355"/>
    <n v="2600"/>
    <n v="18738.720654163106"/>
    <n v="11420.447400423482"/>
    <n v="11200"/>
    <n v="41359.168054586589"/>
    <n v="36000"/>
    <n v="77359.168054586597"/>
  </r>
  <r>
    <n v="53"/>
    <s v="Vadodara"/>
    <s v="BDQT1"/>
    <x v="40"/>
    <s v="AL Dost"/>
    <s v="Owned"/>
    <s v="2015"/>
    <s v="AL Dost"/>
    <n v="16.206961290646341"/>
    <n v="0.97146367060579686"/>
    <n v="3000"/>
    <n v="14542.423275093808"/>
    <n v="7613.6316002823205"/>
    <n v="10200"/>
    <n v="32356.054875376129"/>
    <n v="36000"/>
    <n v="68356.054875376125"/>
  </r>
  <r>
    <n v="54"/>
    <s v="Surat"/>
    <s v="STVT1"/>
    <x v="41"/>
    <s v="Tata Ace"/>
    <s v="Owned"/>
    <s v="2019"/>
    <s v="Tata Ace"/>
    <n v="17.294647938760768"/>
    <n v="1.0764283836997799"/>
    <n v="2900"/>
    <n v="16669.829348340325"/>
    <n v="6090.9052802258566"/>
    <n v="11500"/>
    <n v="34260.734628566177"/>
    <n v="36000"/>
    <n v="70260.734628566177"/>
  </r>
  <r>
    <n v="55"/>
    <s v="Rampura Branch"/>
    <s v="AMDBP"/>
    <x v="42"/>
    <s v="17 ft"/>
    <s v="Market"/>
    <s v="NA"/>
    <s v="Eicher 17"/>
    <n v="4.6995094079618678"/>
    <n v="2.6680743558814162"/>
    <n v="2600"/>
    <n v="44725.681539693796"/>
    <n v="17511.352680649339"/>
    <n v="11200"/>
    <n v="73437.034220343136"/>
    <n v="36000"/>
    <n v="109437.03422034314"/>
  </r>
  <r>
    <n v="56"/>
    <s v="Rampura Branch"/>
    <s v="AMDBP"/>
    <x v="42"/>
    <s v="Mahindra"/>
    <s v="EMI"/>
    <s v="2018"/>
    <s v="Mahindra"/>
    <n v="11.216814907083885"/>
    <n v="1.4849540362195355"/>
    <n v="2600"/>
    <n v="18738.720654163106"/>
    <n v="11420.447400423482"/>
    <n v="11200"/>
    <n v="41359.168054586589"/>
    <n v="36000"/>
    <n v="77359.168054586597"/>
  </r>
  <r>
    <n v="57"/>
    <s v="Rampura Branch"/>
    <s v="AMDBP"/>
    <x v="42"/>
    <s v="Pickup"/>
    <s v="EMI"/>
    <s v="2018"/>
    <s v="Pickup"/>
    <n v="8.0856008470429561"/>
    <n v="1.2007936330416782"/>
    <n v="2600"/>
    <n v="25995.441173696705"/>
    <n v="9897.7210803670168"/>
    <n v="9800"/>
    <n v="45693.162254063718"/>
    <n v="36000"/>
    <n v="81693.162254063718"/>
  </r>
  <r>
    <n v="58"/>
    <s v="Rampura Branch"/>
    <s v="AMDBP"/>
    <x v="42"/>
    <s v="Tata Ace"/>
    <s v="EMI"/>
    <s v="2014"/>
    <s v="Tata Ace"/>
    <n v="7.7853868200690899"/>
    <n v="0.75264980525332092"/>
    <n v="2600"/>
    <n v="26997.857143266792"/>
    <n v="6090.9052802258566"/>
    <n v="6900"/>
    <n v="39988.762423492648"/>
    <n v="36000"/>
    <n v="75988.762423492648"/>
  </r>
  <r>
    <n v="59"/>
    <s v="Ahmmedabad City"/>
    <s v="AMDBL"/>
    <x v="43"/>
    <s v="Mahindra"/>
    <s v="EMI"/>
    <s v="2019"/>
    <s v="Mahindra"/>
    <n v="12.660297306770655"/>
    <n v="0.76558845019723076"/>
    <n v="1800"/>
    <n v="13447.273572351289"/>
    <n v="11420.447400423482"/>
    <n v="11800"/>
    <n v="36667.720972774769"/>
    <n v="36000"/>
    <n v="72667.720972774769"/>
  </r>
  <r>
    <n v="60"/>
    <s v="Vapi"/>
    <s v="VAPT1"/>
    <x v="44"/>
    <s v="20 ft"/>
    <s v="Market"/>
    <s v="NA"/>
    <s v="Eicher 20"/>
    <n v="7"/>
    <n v="6.5"/>
    <n v="1600"/>
    <n v="21097.142857142859"/>
    <n v="19034.079000705802"/>
    <n v="11080"/>
    <n v="51211.221857848665"/>
    <n v="36000"/>
    <n v="87211.221857848665"/>
  </r>
  <r>
    <n v="61"/>
    <s v="Sanand"/>
    <s v="AMDT1"/>
    <x v="45"/>
    <s v="AL Dost"/>
    <s v="EMI"/>
    <s v="2010"/>
    <s v="AL Dost"/>
    <n v="13.451738176402987"/>
    <n v="1.4794834103460122"/>
    <n v="2900"/>
    <n v="21664.323133455633"/>
    <n v="7613.6316002823205"/>
    <n v="7600"/>
    <n v="36877.954733737955"/>
    <n v="36000"/>
    <n v="72877.954733737948"/>
  </r>
  <r>
    <n v="62"/>
    <s v="Sanand"/>
    <s v="AMDBC"/>
    <x v="46"/>
    <s v="AL Dost"/>
    <s v="EMI"/>
    <s v="2015"/>
    <s v="AL Dost"/>
    <n v="17.133678707427691"/>
    <n v="1.8308787786446832"/>
    <n v="3100"/>
    <n v="16839.049434836263"/>
    <n v="7613.6316002823205"/>
    <n v="11700"/>
    <n v="36152.681035118585"/>
    <n v="36000"/>
    <n v="72152.681035118585"/>
  </r>
  <r>
    <n v="63"/>
    <s v="Vadodara"/>
    <s v="BDQT1"/>
    <x v="47"/>
    <s v="14 ft"/>
    <s v="EMI"/>
    <s v="2015"/>
    <s v="Eicher 14"/>
    <n v="12.597885435760045"/>
    <n v="2.7317924077831095"/>
    <n v="3000"/>
    <n v="18708.575521938008"/>
    <n v="11420.447400423482"/>
    <n v="15100"/>
    <n v="45229.022922361488"/>
    <n v="36000"/>
    <n v="81229.0229223614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n v="2018"/>
    <s v="Eicher 14"/>
    <n v="9"/>
    <n v="2.5"/>
    <n v="1600"/>
    <n v="16408.888888888887"/>
    <n v="11420.447400423482"/>
    <n v="9580"/>
    <n v="37409.33628931237"/>
    <n v="28000"/>
    <n v="65409.33628931237"/>
  </r>
  <r>
    <n v="2"/>
    <s v="Vapi"/>
    <s v="VAPT1"/>
    <x v="0"/>
    <s v="Tata Ace"/>
    <s v="EMI"/>
    <n v="2017"/>
    <s v="Tata Ace"/>
    <n v="14"/>
    <n v="0.75"/>
    <n v="1600"/>
    <n v="10548.571428571429"/>
    <n v="6090.9052802258566"/>
    <n v="5880"/>
    <n v="22519.476708797283"/>
    <n v="28000"/>
    <n v="50519.476708797287"/>
  </r>
  <r>
    <n v="3"/>
    <s v="Vapi"/>
    <s v="VAPT1"/>
    <x v="1"/>
    <s v="14 ft"/>
    <s v="Market"/>
    <n v="0"/>
    <s v="Eicher 14"/>
    <n v="9"/>
    <n v="2.5"/>
    <n v="1600"/>
    <n v="0"/>
    <n v="0"/>
    <n v="9580"/>
    <n v="40000"/>
    <n v="8000"/>
    <n v="48000"/>
  </r>
  <r>
    <n v="4"/>
    <s v="Ahmedabad Branch"/>
    <s v="AMDT1"/>
    <x v="2"/>
    <s v="17 ft"/>
    <s v="EMI"/>
    <n v="2014"/>
    <s v="Eicher 17"/>
    <n v="6.5525461364709248"/>
    <n v="6.5900268382448797"/>
    <n v="2900"/>
    <n v="44474.742564298867"/>
    <n v="0"/>
    <n v="12500"/>
    <n v="56974.742564298867"/>
    <n v="36000"/>
    <n v="92974.742564298867"/>
  </r>
  <r>
    <n v="5"/>
    <s v="Gandhi Nager"/>
    <s v="GNCB1"/>
    <x v="3"/>
    <s v="Mahindra"/>
    <s v="EMI"/>
    <n v="2019"/>
    <s v="Mahindra"/>
    <n v="16.829787347508621"/>
    <n v="1.3894248629666022"/>
    <n v="2700"/>
    <n v="18194.528820724201"/>
    <n v="11420.447400423482"/>
    <n v="8200"/>
    <n v="37814.976221147685"/>
    <n v="28000"/>
    <n v="65814.976221147692"/>
  </r>
  <r>
    <n v="6"/>
    <s v="Rampura Branch"/>
    <s v="AMDBP"/>
    <x v="4"/>
    <s v="AL Dost"/>
    <s v="EMI"/>
    <n v="2016"/>
    <s v="AL Dost"/>
    <n v="15.340744990271009"/>
    <n v="1.5806763812306639"/>
    <n v="2600"/>
    <n v="13701.339883206299"/>
    <n v="7613.6316002823205"/>
    <n v="11400"/>
    <n v="32714.971483488618"/>
    <n v="28000"/>
    <n v="60714.971483488618"/>
  </r>
  <r>
    <n v="7"/>
    <s v="Rampura Branch"/>
    <s v="AMDBP"/>
    <x v="5"/>
    <s v="Tata Ace"/>
    <s v="EMI"/>
    <n v="2012"/>
    <s v="Tata Ace"/>
    <n v="7.7853868200690899"/>
    <n v="0.75264980525332092"/>
    <n v="2600"/>
    <n v="26997.857143266792"/>
    <n v="0"/>
    <n v="6900"/>
    <n v="33897.857143266796"/>
    <n v="28000"/>
    <n v="61897.857143266796"/>
  </r>
  <r>
    <n v="8"/>
    <s v="Jamnager"/>
    <s v="JGAB1"/>
    <x v="6"/>
    <s v="Tata Ace"/>
    <s v="EMI"/>
    <n v="2019"/>
    <s v="Tata Ace"/>
    <n v="17.527489465012966"/>
    <n v="0.78423707313208679"/>
    <n v="1900"/>
    <n v="10865.739812694012"/>
    <n v="6090.9052802258566"/>
    <n v="10700"/>
    <n v="27656.645092919865"/>
    <n v="28000"/>
    <n v="55656.645092919862"/>
  </r>
  <r>
    <n v="9"/>
    <s v="Surat"/>
    <s v="STVT1"/>
    <x v="7"/>
    <s v="14 ft"/>
    <s v="EMI"/>
    <n v="2016"/>
    <s v="Eicher 14"/>
    <n v="13.044642984582476"/>
    <n v="2.042136553081618"/>
    <n v="2900"/>
    <n v="22100.936769178697"/>
    <n v="11420.447400423482"/>
    <n v="18700"/>
    <n v="52221.384169602177"/>
    <n v="28000"/>
    <n v="80221.384169602185"/>
  </r>
  <r>
    <n v="10"/>
    <s v="Surat"/>
    <s v="STVT1"/>
    <x v="7"/>
    <s v="17 ft"/>
    <s v="EMI"/>
    <n v="2017"/>
    <s v="Eicher 17"/>
    <n v="7.7766332599738792"/>
    <n v="5.1635046388777424"/>
    <n v="2900"/>
    <n v="37072.44769566723"/>
    <n v="17511.352680649339"/>
    <n v="15600"/>
    <n v="70183.800376316562"/>
    <n v="36000"/>
    <n v="106183.80037631656"/>
  </r>
  <r>
    <n v="11"/>
    <s v="Surat"/>
    <s v="STVT1"/>
    <x v="7"/>
    <s v="22 ft"/>
    <s v="Market"/>
    <n v="0"/>
    <s v="22 ft"/>
    <n v="6.653749290515103"/>
    <n v="8.2407106661901022"/>
    <n v="2900"/>
    <n v="0"/>
    <n v="0"/>
    <n v="22100"/>
    <n v="80000"/>
    <n v="16000"/>
    <n v="96000"/>
  </r>
  <r>
    <n v="12"/>
    <s v="Vadodara"/>
    <s v="BDQT1"/>
    <x v="8"/>
    <s v="Tata Ace"/>
    <s v="Owned"/>
    <n v="2016"/>
    <s v="Tata Ace"/>
    <n v="18.889971546597494"/>
    <n v="0.79022382032227789"/>
    <n v="3000"/>
    <n v="12476.910857713416"/>
    <n v="0"/>
    <n v="10700"/>
    <n v="23176.910857713417"/>
    <n v="28000"/>
    <n v="51176.910857713417"/>
  </r>
  <r>
    <n v="13"/>
    <s v="Ahmmedabad City"/>
    <s v="AMDBL"/>
    <x v="9"/>
    <s v="14 ft"/>
    <s v="EMI"/>
    <n v="2013"/>
    <s v="Eicher 14"/>
    <n v="9.095012736983012"/>
    <n v="2.4855141620694923"/>
    <n v="1800"/>
    <n v="18718.663328438746"/>
    <n v="0"/>
    <n v="12000"/>
    <n v="30718.663328438746"/>
    <n v="28000"/>
    <n v="58718.66332843875"/>
  </r>
  <r>
    <n v="14"/>
    <s v="Ahmmedabad City"/>
    <s v="AMDBL"/>
    <x v="9"/>
    <s v="19 ft"/>
    <s v="Market"/>
    <n v="0"/>
    <s v="Eicher 19"/>
    <n v="3.5462174548919334"/>
    <n v="8.6536756158497194"/>
    <n v="1800"/>
    <n v="0"/>
    <n v="0"/>
    <n v="19000"/>
    <n v="80000"/>
    <n v="16000"/>
    <n v="96000"/>
  </r>
  <r>
    <n v="15"/>
    <s v="Sanand"/>
    <s v="AMDBC"/>
    <x v="10"/>
    <s v="Tata Ace"/>
    <s v="EMI"/>
    <n v="2020"/>
    <s v="Tata Ace"/>
    <n v="17.157710528177709"/>
    <n v="1.0426350561035722"/>
    <n v="3100"/>
    <n v="16815.46394439719"/>
    <n v="6090.9052802258566"/>
    <n v="11800"/>
    <n v="34706.369224623049"/>
    <n v="28000"/>
    <n v="62706.369224623049"/>
  </r>
  <r>
    <n v="16"/>
    <s v="Vapi"/>
    <s v="VAPT1"/>
    <x v="11"/>
    <s v="Tata Ace"/>
    <s v="EMI"/>
    <n v="2010"/>
    <s v="Tata Ace"/>
    <n v="14"/>
    <n v="0.75"/>
    <n v="1600"/>
    <n v="10548.571428571429"/>
    <n v="0"/>
    <n v="5880"/>
    <n v="16428.571428571428"/>
    <n v="28000"/>
    <n v="44428.571428571428"/>
  </r>
  <r>
    <n v="17"/>
    <s v="Rajkot"/>
    <s v="RAJB1"/>
    <x v="12"/>
    <s v="Super ace"/>
    <s v="Owned"/>
    <n v="2019"/>
    <s v="Super ace"/>
    <n v="17.582051377297987"/>
    <n v="1.1466290648202664"/>
    <n v="1800"/>
    <n v="9285.0019192570508"/>
    <n v="0"/>
    <n v="9900"/>
    <n v="19185.001919257051"/>
    <n v="28000"/>
    <n v="47185.001919257047"/>
  </r>
  <r>
    <n v="18"/>
    <s v="Gandhi Nager"/>
    <s v="GNCB1"/>
    <x v="13"/>
    <s v="Mahindra"/>
    <s v="EMI"/>
    <n v="2019"/>
    <s v="Mahindra"/>
    <n v="16.829787347508621"/>
    <n v="1.3894248629666022"/>
    <n v="2700"/>
    <n v="18194.528820724201"/>
    <n v="11420.447400423482"/>
    <n v="8200"/>
    <n v="37814.976221147685"/>
    <n v="28000"/>
    <n v="65814.976221147692"/>
  </r>
  <r>
    <n v="19"/>
    <s v="Bhavnager"/>
    <s v="BVCB1"/>
    <x v="14"/>
    <s v="Mahindra"/>
    <s v="Owned"/>
    <n v="2020"/>
    <s v="Mahindra"/>
    <n v="9.8332980589745791"/>
    <n v="2.1170956821339351"/>
    <n v="2500"/>
    <n v="24433.001229891568"/>
    <n v="0"/>
    <n v="10200"/>
    <n v="34633.001229891568"/>
    <n v="28000"/>
    <n v="62633.001229891568"/>
  </r>
  <r>
    <n v="20"/>
    <s v="Ahmedabad Branch"/>
    <s v="AMDT1"/>
    <x v="15"/>
    <s v="17 ft"/>
    <s v="Owned"/>
    <n v="2012"/>
    <s v="Eicher 17"/>
    <n v="6.5525461364709248"/>
    <n v="6.5900268382448797"/>
    <n v="2900"/>
    <n v="44474.742564298867"/>
    <n v="0"/>
    <n v="12500"/>
    <n v="56974.742564298867"/>
    <n v="36000"/>
    <n v="92974.742564298867"/>
  </r>
  <r>
    <n v="21"/>
    <s v="Ahmedabad Branch"/>
    <s v="AMDT1"/>
    <x v="16"/>
    <s v="19 ft"/>
    <s v="Market"/>
    <n v="0"/>
    <s v="Eicher 19"/>
    <n v="6.9433969910850388"/>
    <n v="6.3444422201305457"/>
    <n v="2900"/>
    <n v="0"/>
    <n v="0"/>
    <n v="11400"/>
    <n v="80000"/>
    <n v="16000"/>
    <n v="96000"/>
  </r>
  <r>
    <n v="22"/>
    <s v="Jamnager"/>
    <s v="JGAB1"/>
    <x v="17"/>
    <s v="14 ft"/>
    <s v="EMI"/>
    <n v="2020"/>
    <s v="Eicher 14"/>
    <n v="8.5572888357740542"/>
    <n v="3.0291773948414247"/>
    <n v="1900"/>
    <n v="22255.780277088084"/>
    <n v="11420.447400423482"/>
    <n v="11900"/>
    <n v="45576.227677511561"/>
    <n v="36000"/>
    <n v="81576.227677511561"/>
  </r>
  <r>
    <n v="23"/>
    <s v="Jamnager"/>
    <s v="JGAB1"/>
    <x v="17"/>
    <s v="Tata Ace"/>
    <s v="Owned"/>
    <n v="2018"/>
    <s v="Tata Ace"/>
    <n v="17.527489465012966"/>
    <n v="0.78423707313208679"/>
    <n v="1900"/>
    <n v="10865.739812694012"/>
    <n v="0"/>
    <n v="10700"/>
    <n v="21565.73981269401"/>
    <n v="28000"/>
    <n v="49565.73981269401"/>
  </r>
  <r>
    <n v="24"/>
    <s v="Rajkot"/>
    <s v="RAJB1"/>
    <x v="18"/>
    <s v="Mahindra"/>
    <s v="Owned"/>
    <n v="2013"/>
    <s v="Mahindra"/>
    <n v="9.8850325042295175"/>
    <n v="1.3434882381767432"/>
    <n v="1800"/>
    <n v="16514.804651662827"/>
    <n v="0"/>
    <n v="8600"/>
    <n v="25114.804651662827"/>
    <n v="28000"/>
    <n v="53114.804651662824"/>
  </r>
  <r>
    <n v="25"/>
    <s v="Vadodara"/>
    <s v="BDQT1"/>
    <x v="19"/>
    <s v="14 ft"/>
    <s v="Market"/>
    <n v="0"/>
    <s v="Eicher 14"/>
    <n v="12.597885435760045"/>
    <n v="2.7317924077831095"/>
    <n v="3000"/>
    <n v="0"/>
    <n v="0"/>
    <n v="15100"/>
    <n v="40000"/>
    <n v="8000"/>
    <n v="48000"/>
  </r>
  <r>
    <n v="26"/>
    <s v="Vadodara"/>
    <s v="BDQT1"/>
    <x v="19"/>
    <s v="AL Dost"/>
    <s v="EMI"/>
    <n v="2019"/>
    <s v="AL Dost"/>
    <n v="16.206961290646341"/>
    <n v="0.97146367060579686"/>
    <n v="3000"/>
    <n v="14542.423275093808"/>
    <n v="7613.6316002823205"/>
    <n v="10200"/>
    <n v="32356.054875376132"/>
    <n v="28000"/>
    <n v="60356.054875376132"/>
  </r>
  <r>
    <n v="27"/>
    <s v="Vadodara"/>
    <s v="BDQT1"/>
    <x v="19"/>
    <s v="Super ace"/>
    <s v="EMI"/>
    <n v="2018"/>
    <s v="Super ace"/>
    <n v="9.9226528824228826"/>
    <n v="1.6651510049498304"/>
    <n v="3000"/>
    <n v="23752.568379081509"/>
    <n v="8374.9947603105538"/>
    <n v="10500"/>
    <n v="42627.563139392063"/>
    <n v="28000"/>
    <n v="70627.563139392063"/>
  </r>
  <r>
    <n v="28"/>
    <s v="Vadodara"/>
    <s v="BDQT1"/>
    <x v="20"/>
    <s v="Tata Ace"/>
    <s v="EMI"/>
    <n v="2013"/>
    <s v="Tata Ace"/>
    <n v="18.889971546597494"/>
    <n v="0.79022382032227789"/>
    <n v="3000"/>
    <n v="12476.910857713416"/>
    <n v="0"/>
    <n v="10700"/>
    <n v="23176.910857713417"/>
    <n v="28000"/>
    <n v="51176.910857713417"/>
  </r>
  <r>
    <n v="29"/>
    <s v="Vadodara"/>
    <s v="BDQT1"/>
    <x v="20"/>
    <s v="Super ace"/>
    <s v="Owned"/>
    <n v="2015"/>
    <s v="Super ace"/>
    <n v="9.9226528824228826"/>
    <n v="1.6651510049498304"/>
    <n v="3000"/>
    <n v="23752.568379081509"/>
    <n v="0"/>
    <n v="10500"/>
    <n v="34252.568379081509"/>
    <n v="28000"/>
    <n v="62252.568379081509"/>
  </r>
  <r>
    <n v="30"/>
    <s v="Ahmedabad Branch"/>
    <s v="AMDT1"/>
    <x v="21"/>
    <s v="AL Dost"/>
    <s v="EMI"/>
    <n v="2013"/>
    <s v="AL Dost"/>
    <n v="13.451738176402987"/>
    <n v="1.4794834103460122"/>
    <n v="2900"/>
    <n v="21664.323133455633"/>
    <n v="0"/>
    <n v="7600"/>
    <n v="29264.323133455633"/>
    <n v="28000"/>
    <n v="57264.323133455633"/>
  </r>
  <r>
    <n v="31"/>
    <s v="Amreli"/>
    <s v="AKVB1"/>
    <x v="22"/>
    <s v="AL Dost"/>
    <s v="Owned"/>
    <n v="2011"/>
    <s v="AL Dost"/>
    <n v="12.342261159350826"/>
    <n v="1.4205369964896497"/>
    <n v="2400"/>
    <n v="19100.862449123269"/>
    <n v="0"/>
    <n v="6500"/>
    <n v="25600.862449123269"/>
    <n v="28000"/>
    <n v="53600.862449123269"/>
  </r>
  <r>
    <n v="32"/>
    <s v="Surat"/>
    <s v="STVT1"/>
    <x v="23"/>
    <s v="14 ft"/>
    <s v="Market"/>
    <n v="0"/>
    <s v="Eicher 14"/>
    <n v="13.044642984582476"/>
    <n v="2.042136553081618"/>
    <n v="2900"/>
    <n v="0"/>
    <n v="0"/>
    <n v="18700"/>
    <n v="40000"/>
    <n v="8000"/>
    <n v="48000"/>
  </r>
  <r>
    <n v="33"/>
    <s v="Surat"/>
    <s v="STVT1"/>
    <x v="23"/>
    <s v="Tata Ace"/>
    <s v="Owned"/>
    <n v="2013"/>
    <s v="Tata Ace"/>
    <n v="17.294647938760768"/>
    <n v="1.0764283836997799"/>
    <n v="2900"/>
    <n v="16669.829348340325"/>
    <n v="0"/>
    <n v="11500"/>
    <n v="28169.829348340325"/>
    <n v="28000"/>
    <n v="56169.829348340325"/>
  </r>
  <r>
    <n v="34"/>
    <s v="Vadodara"/>
    <s v="BDQT1"/>
    <x v="24"/>
    <s v="AL Dost"/>
    <s v="Owned"/>
    <n v="2015"/>
    <s v="AL Dost"/>
    <n v="16.206961290646341"/>
    <n v="0.97146367060579686"/>
    <n v="3000"/>
    <n v="14542.423275093808"/>
    <n v="0"/>
    <n v="10200"/>
    <n v="24742.42327509381"/>
    <n v="28000"/>
    <n v="52742.42327509381"/>
  </r>
  <r>
    <n v="35"/>
    <s v="Surat"/>
    <s v="STVT1"/>
    <x v="25"/>
    <s v="AL Dost"/>
    <s v="Owned"/>
    <n v="2014"/>
    <s v="AL Dost"/>
    <n v="6.5028597954101208"/>
    <n v="1.2307641755925045"/>
    <n v="2900"/>
    <n v="44334.160484631124"/>
    <n v="0"/>
    <n v="11200"/>
    <n v="55534.160484631124"/>
    <n v="28000"/>
    <n v="83534.160484631124"/>
  </r>
  <r>
    <n v="36"/>
    <s v="Gandhi Nager"/>
    <s v="GNCB1"/>
    <x v="26"/>
    <s v="Tata Ace"/>
    <s v="EMI"/>
    <n v="2012"/>
    <s v="Tata Ace"/>
    <n v="9.3641429387747763"/>
    <n v="0.9429848152367003"/>
    <n v="2700"/>
    <n v="32700.275181934616"/>
    <n v="0"/>
    <n v="7800"/>
    <n v="40500.275181934616"/>
    <n v="28000"/>
    <n v="68500.275181934616"/>
  </r>
  <r>
    <n v="37"/>
    <s v="Rampura Branch"/>
    <s v="AMDBP"/>
    <x v="27"/>
    <s v="Mahindra"/>
    <s v="EMI"/>
    <n v="2015"/>
    <s v="Mahindra"/>
    <n v="11.216814907083885"/>
    <n v="1.4849540362195355"/>
    <n v="2600"/>
    <n v="18738.720654163106"/>
    <n v="0"/>
    <n v="11200"/>
    <n v="29938.720654163106"/>
    <n v="28000"/>
    <n v="57938.720654163102"/>
  </r>
  <r>
    <n v="38"/>
    <s v="Ahmedabad Branch"/>
    <s v="AMDT1"/>
    <x v="28"/>
    <s v="17 ft"/>
    <s v="Market"/>
    <n v="0"/>
    <s v="Eicher 17"/>
    <n v="6.5525461364709248"/>
    <n v="6.5900268382448797"/>
    <n v="2900"/>
    <n v="0"/>
    <n v="0"/>
    <n v="12500"/>
    <n v="80000"/>
    <n v="16000"/>
    <n v="96000"/>
  </r>
  <r>
    <n v="39"/>
    <s v="Vadodara"/>
    <s v="BDQT1"/>
    <x v="29"/>
    <s v="AL Dost"/>
    <s v="Owned"/>
    <n v="2014"/>
    <s v="AL Dost"/>
    <n v="16.206961290646341"/>
    <n v="0.97146367060579686"/>
    <n v="3000"/>
    <n v="14542.423275093808"/>
    <n v="0"/>
    <n v="10200"/>
    <n v="24742.42327509381"/>
    <n v="28000"/>
    <n v="52742.42327509381"/>
  </r>
  <r>
    <n v="40"/>
    <s v="Rajkot"/>
    <s v="RAJB1"/>
    <x v="30"/>
    <s v="Pickup"/>
    <s v="Owned"/>
    <n v="2014"/>
    <s v="Pickup"/>
    <n v="13.840671454814565"/>
    <n v="1.6537934308679081"/>
    <n v="1800"/>
    <n v="11794.903254198736"/>
    <n v="0"/>
    <n v="9300"/>
    <n v="21094.903254198736"/>
    <n v="28000"/>
    <n v="49094.90325419874"/>
  </r>
  <r>
    <n v="41"/>
    <s v="Rajkot"/>
    <s v="RAJB1"/>
    <x v="30"/>
    <s v="Tata Ace"/>
    <s v="Owned"/>
    <n v="2020"/>
    <s v="Tata Ace"/>
    <n v="15.252132362435546"/>
    <n v="0.44282249549748876"/>
    <n v="1800"/>
    <n v="10703.38080626382"/>
    <n v="0"/>
    <n v="6200"/>
    <n v="16903.38080626382"/>
    <n v="28000"/>
    <n v="44903.38080626382"/>
  </r>
  <r>
    <n v="42"/>
    <s v="Rampura Branch"/>
    <s v="AMDBC"/>
    <x v="31"/>
    <s v="Tata Ace"/>
    <s v="EMI"/>
    <n v="2012"/>
    <s v="Tata Ace"/>
    <n v="17.157710528177709"/>
    <n v="1.0426350561035722"/>
    <n v="3100"/>
    <n v="16815.46394439719"/>
    <n v="0"/>
    <n v="11800"/>
    <n v="28615.46394439719"/>
    <n v="28000"/>
    <n v="56615.46394439719"/>
  </r>
  <r>
    <n v="43"/>
    <s v="Surat"/>
    <s v="STVT1"/>
    <x v="32"/>
    <s v="Tata Ace"/>
    <s v="Owned"/>
    <n v="2019"/>
    <s v="Tata Ace"/>
    <n v="17.294647938760768"/>
    <n v="1.0764283836997799"/>
    <n v="2900"/>
    <n v="16669.829348340325"/>
    <n v="0"/>
    <n v="11500"/>
    <n v="28169.829348340325"/>
    <n v="28000"/>
    <n v="56169.829348340325"/>
  </r>
  <r>
    <n v="44"/>
    <s v="Ahmedabad Branch"/>
    <s v="AMDT1"/>
    <x v="33"/>
    <s v="17 ft"/>
    <s v="Market"/>
    <n v="0"/>
    <s v="Eicher 17"/>
    <n v="6.5525461364709248"/>
    <n v="6.5900268382448797"/>
    <n v="2900"/>
    <n v="0"/>
    <n v="0"/>
    <n v="12500"/>
    <n v="80000"/>
    <n v="16000"/>
    <n v="96000"/>
  </r>
  <r>
    <n v="45"/>
    <s v="Gandhi Nager"/>
    <s v="GNCB1"/>
    <x v="34"/>
    <s v="Tata Ace"/>
    <s v="Owned"/>
    <n v="2020"/>
    <s v="Tata Ace"/>
    <n v="9.3641429387747763"/>
    <n v="0.9429848152367003"/>
    <n v="2700"/>
    <n v="32700.275181934616"/>
    <n v="0"/>
    <n v="7800"/>
    <n v="40500.275181934616"/>
    <n v="28000"/>
    <n v="68500.275181934616"/>
  </r>
  <r>
    <n v="46"/>
    <s v="Vadodara"/>
    <s v="BDQT1"/>
    <x v="35"/>
    <s v="Super ace"/>
    <s v="Owned"/>
    <n v="2014"/>
    <s v="Super ace"/>
    <n v="9.9226528824228826"/>
    <n v="1.6651510049498304"/>
    <n v="3000"/>
    <n v="23752.568379081509"/>
    <n v="0"/>
    <n v="10500"/>
    <n v="34252.568379081509"/>
    <n v="28000"/>
    <n v="62252.568379081509"/>
  </r>
  <r>
    <n v="47"/>
    <s v="Vadodara"/>
    <s v="BDQT1"/>
    <x v="35"/>
    <s v="AL Dost"/>
    <s v="Owned"/>
    <n v="2018"/>
    <s v="AL Dost"/>
    <n v="16.206961290646341"/>
    <n v="0.97146367060579686"/>
    <n v="3000"/>
    <n v="14542.423275093808"/>
    <n v="0"/>
    <n v="10200"/>
    <n v="24742.42327509381"/>
    <n v="28000"/>
    <n v="52742.42327509381"/>
  </r>
  <r>
    <n v="48"/>
    <s v="Junagarh"/>
    <s v="JNDB1"/>
    <x v="36"/>
    <s v="Tata Ace"/>
    <s v="Owned"/>
    <n v="2015"/>
    <s v="Tata Ace"/>
    <n v="10.173410042173559"/>
    <n v="1.020976097530419"/>
    <n v="1800"/>
    <n v="14495.51069292958"/>
    <n v="0"/>
    <n v="9700"/>
    <n v="24195.51069292958"/>
    <n v="28000"/>
    <n v="52195.51069292958"/>
  </r>
  <r>
    <n v="49"/>
    <s v="Mehsana"/>
    <s v="MSHB1"/>
    <x v="37"/>
    <s v="Mahindra"/>
    <s v="EMI"/>
    <n v="2019"/>
    <s v="Mahindra"/>
    <n v="8.6217992604575731"/>
    <n v="1.7903212444492185"/>
    <n v="2000"/>
    <n v="23052.631423483541"/>
    <n v="11420.447400423482"/>
    <n v="10200"/>
    <n v="44673.078823907024"/>
    <n v="28000"/>
    <n v="72673.078823907024"/>
  </r>
  <r>
    <n v="50"/>
    <s v="Mehsana"/>
    <s v="MSHB1"/>
    <x v="37"/>
    <s v="Mahindra"/>
    <s v="Owned"/>
    <n v="2018"/>
    <s v="Mahindra"/>
    <n v="8.6217992604575731"/>
    <n v="1.7903212444492185"/>
    <n v="2000"/>
    <n v="23052.631423483541"/>
    <n v="0"/>
    <n v="10200"/>
    <n v="33252.631423483544"/>
    <n v="28000"/>
    <n v="61252.631423483544"/>
  </r>
  <r>
    <n v="51"/>
    <s v="Ahmedabad Branch"/>
    <s v="AMDT1"/>
    <x v="38"/>
    <s v="17 ft"/>
    <s v="Market"/>
    <n v="0"/>
    <s v="Eicher 17"/>
    <n v="6.5525461364709248"/>
    <n v="6.5900268382448797"/>
    <n v="2900"/>
    <n v="0"/>
    <n v="0"/>
    <n v="12500"/>
    <n v="80000"/>
    <n v="16000"/>
    <n v="96000"/>
  </r>
  <r>
    <n v="52"/>
    <s v="Rampura Branch"/>
    <s v="AMDBP"/>
    <x v="39"/>
    <s v="Mahindra"/>
    <s v="EMI"/>
    <n v="2011"/>
    <s v="Mahindra"/>
    <n v="11.216814907083885"/>
    <n v="1.4849540362195355"/>
    <n v="2600"/>
    <n v="18738.720654163106"/>
    <n v="0"/>
    <n v="11200"/>
    <n v="29938.720654163106"/>
    <n v="28000"/>
    <n v="57938.720654163102"/>
  </r>
  <r>
    <n v="53"/>
    <s v="Vadodara"/>
    <s v="BDQT1"/>
    <x v="40"/>
    <s v="AL Dost"/>
    <s v="Owned"/>
    <n v="2015"/>
    <s v="AL Dost"/>
    <n v="16.206961290646341"/>
    <n v="0.97146367060579686"/>
    <n v="3000"/>
    <n v="14542.423275093808"/>
    <n v="0"/>
    <n v="10200"/>
    <n v="24742.42327509381"/>
    <n v="28000"/>
    <n v="52742.42327509381"/>
  </r>
  <r>
    <n v="54"/>
    <s v="Surat"/>
    <s v="STVT1"/>
    <x v="41"/>
    <s v="Tata Ace"/>
    <s v="Owned"/>
    <n v="2019"/>
    <s v="Tata Ace"/>
    <n v="17.294647938760768"/>
    <n v="1.0764283836997799"/>
    <n v="2900"/>
    <n v="16669.829348340325"/>
    <n v="0"/>
    <n v="11500"/>
    <n v="28169.829348340325"/>
    <n v="28000"/>
    <n v="56169.829348340325"/>
  </r>
  <r>
    <n v="55"/>
    <s v="Rampura Branch"/>
    <s v="AMDBP"/>
    <x v="42"/>
    <s v="17 ft"/>
    <s v="Market"/>
    <n v="0"/>
    <s v="Eicher 17"/>
    <n v="4.6995094079618678"/>
    <n v="2.6680743558814162"/>
    <n v="2600"/>
    <n v="0"/>
    <n v="0"/>
    <n v="11200"/>
    <n v="40000"/>
    <n v="8000"/>
    <n v="48000"/>
  </r>
  <r>
    <n v="56"/>
    <s v="Rampura Branch"/>
    <s v="AMDBP"/>
    <x v="42"/>
    <s v="Mahindra"/>
    <s v="EMI"/>
    <n v="2018"/>
    <s v="Mahindra"/>
    <n v="11.216814907083885"/>
    <n v="1.4849540362195355"/>
    <n v="2600"/>
    <n v="18738.720654163106"/>
    <n v="11420.447400423482"/>
    <n v="11200"/>
    <n v="41359.168054586589"/>
    <n v="28000"/>
    <n v="69359.168054586597"/>
  </r>
  <r>
    <n v="57"/>
    <s v="Rampura Branch"/>
    <s v="AMDBP"/>
    <x v="42"/>
    <s v="Pickup"/>
    <s v="EMI"/>
    <n v="2018"/>
    <s v="Pickup"/>
    <n v="8.0856008470429561"/>
    <n v="1.2007936330416782"/>
    <n v="2600"/>
    <n v="25995.441173696705"/>
    <n v="9897.7210803670168"/>
    <n v="9800"/>
    <n v="45693.162254063718"/>
    <n v="28000"/>
    <n v="73693.162254063718"/>
  </r>
  <r>
    <n v="58"/>
    <s v="Rampura Branch"/>
    <s v="AMDBP"/>
    <x v="42"/>
    <s v="Tata Ace"/>
    <s v="EMI"/>
    <n v="2014"/>
    <s v="Tata Ace"/>
    <n v="7.7853868200690899"/>
    <n v="0.75264980525332092"/>
    <n v="2600"/>
    <n v="26997.857143266792"/>
    <n v="0"/>
    <n v="6900"/>
    <n v="33897.857143266796"/>
    <n v="28000"/>
    <n v="61897.857143266796"/>
  </r>
  <r>
    <n v="59"/>
    <s v="Ahmmedabad City"/>
    <s v="AMDBL"/>
    <x v="43"/>
    <s v="Mahindra"/>
    <s v="EMI"/>
    <n v="2019"/>
    <s v="Mahindra"/>
    <n v="12.660297306770655"/>
    <n v="0.76558845019723076"/>
    <n v="1800"/>
    <n v="13447.273572351289"/>
    <n v="11420.447400423482"/>
    <n v="11800"/>
    <n v="36667.720972774769"/>
    <n v="28000"/>
    <n v="64667.720972774769"/>
  </r>
  <r>
    <n v="60"/>
    <s v="Vapi"/>
    <s v="VAPT1"/>
    <x v="44"/>
    <s v="20 ft"/>
    <s v="Market"/>
    <n v="0"/>
    <s v="Eicher 20"/>
    <n v="7"/>
    <n v="6.5"/>
    <n v="1600"/>
    <n v="0"/>
    <n v="0"/>
    <n v="11080"/>
    <n v="80000"/>
    <n v="16000"/>
    <n v="96000"/>
  </r>
  <r>
    <n v="61"/>
    <s v="Sanand"/>
    <s v="AMDT1"/>
    <x v="45"/>
    <s v="AL Dost"/>
    <s v="EMI"/>
    <n v="2010"/>
    <s v="AL Dost"/>
    <n v="13.451738176402987"/>
    <n v="1.4794834103460122"/>
    <n v="2900"/>
    <n v="21664.323133455633"/>
    <n v="0"/>
    <n v="7600"/>
    <n v="29264.323133455633"/>
    <n v="28000"/>
    <n v="57264.323133455633"/>
  </r>
  <r>
    <n v="62"/>
    <s v="Sanand"/>
    <s v="AMDBC"/>
    <x v="46"/>
    <s v="AL Dost"/>
    <s v="EMI"/>
    <n v="2015"/>
    <s v="AL Dost"/>
    <n v="17.133678707427691"/>
    <n v="1.8308787786446832"/>
    <n v="3100"/>
    <n v="16839.049434836263"/>
    <n v="0"/>
    <n v="11700"/>
    <n v="28539.049434836263"/>
    <n v="28000"/>
    <n v="56539.049434836263"/>
  </r>
  <r>
    <n v="63"/>
    <s v="Vadodara"/>
    <s v="BDQT1"/>
    <x v="47"/>
    <s v="14 ft"/>
    <s v="EMI"/>
    <n v="2015"/>
    <s v="Eicher 14"/>
    <n v="12.597885435760045"/>
    <n v="2.7317924077831095"/>
    <n v="3000"/>
    <n v="18708.575521938008"/>
    <n v="0"/>
    <n v="15100"/>
    <n v="33808.575521938008"/>
    <n v="28000"/>
    <n v="61808.575521938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D58730-FD0E-4734-9303-24B99989FA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2"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AB1412-2F37-4039-8DA5-FCB9D7FE1D0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51"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numFmtId="1"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F4E3F0FA-2795-468C-99D2-1169D47A8D18}" autoFormatId="16" applyNumberFormats="0" applyBorderFormats="0" applyFontFormats="0" applyPatternFormats="0" applyAlignmentFormats="0" applyWidthHeightFormats="0">
  <queryTableRefresh nextId="7">
    <queryTableFields count="6">
      <queryTableField id="1" name="BP Code" tableColumnId="1"/>
      <queryTableField id="2" name="BP" tableColumnId="2"/>
      <queryTableField id="3" name="OU " tableColumnId="3"/>
      <queryTableField id="4" name="Cluster" tableColumnId="4"/>
      <queryTableField id="5" name="Total Payout" tableColumnId="5"/>
      <queryTableField id="6" name="Budgeted payou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76F70593-18C3-4891-8C6E-B6BEC2C8257A}" autoFormatId="16" applyNumberFormats="0" applyBorderFormats="0" applyFontFormats="0" applyPatternFormats="0" applyAlignmentFormats="0" applyWidthHeightFormats="0">
  <queryTableRefresh nextId="6">
    <queryTableFields count="5">
      <queryTableField id="1" name="OU" tableColumnId="1"/>
      <queryTableField id="2" name="BP name" tableColumnId="2"/>
      <queryTableField id="3" name="Vehicle" tableColumnId="3"/>
      <queryTableField id="4" name="Vehicle ownership" tableColumnId="4"/>
      <queryTableField id="5" name="Year of purchas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97A1C270-E0AE-4165-9040-2E92ED61423D}"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441775FA-AF69-4B1D-AAE3-B963F7090BCD}"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ownership"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7" xr16:uid="{2CA493C8-C6B4-401A-A248-4DF1B0AB3726}"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Year of purchase"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3D9BD85D-C010-4272-9FB0-F5F67D546440}" autoFormatId="16" applyNumberFormats="0" applyBorderFormats="0" applyFontFormats="0" applyPatternFormats="0" applyAlignmentFormats="0" applyWidthHeightFormats="0">
  <queryTableRefresh nextId="5">
    <queryTableFields count="3">
      <queryTableField id="2" name="BP name" tableColumnId="2"/>
      <queryTableField id="1" name="OU" tableColumnId="1"/>
      <queryTableField id="3" name="OU Code"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8160FEBA-BBED-4509-A587-5F9C3AABD12F}" autoFormatId="16" applyNumberFormats="0" applyBorderFormats="0" applyFontFormats="0" applyPatternFormats="0" applyAlignmentFormats="0" applyWidthHeightFormats="0">
  <queryTableRefresh nextId="3">
    <queryTableFields count="2">
      <queryTableField id="1" name="BP Name" tableColumnId="1"/>
      <queryTableField id="2" name="Net Capacity"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ship" xr10:uid="{A9FE4C14-654A-4F96-B42E-DF4B60B6E5A2}" sourceName="Ownership">
  <extLst>
    <x:ext xmlns:x15="http://schemas.microsoft.com/office/spreadsheetml/2010/11/main" uri="{2F2917AC-EB37-4324-AD4E-5DD8C200BD13}">
      <x15:tableSlicerCache tableId="14"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wnership" xr10:uid="{0F3E2F9F-1715-4568-AC30-A3F7060EE4AC}" cache="Slicer_Ownership" caption="Ownership" columnCount="3" style="SlicerStyleLight2" rowHeight="252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wnership 1" xr10:uid="{52E95675-9C0B-4318-B37B-D62580B9D7EC}" cache="Slicer_Ownership" caption="Ownership" columnCount="3" style="SlicerStyleLight2" rowHeight="2520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81DABA5-74A2-4A22-BF6E-DA91BD5E8A40}" name="Cost_Structure" displayName="Cost_Structure" ref="A6:Q69" totalsRowShown="0">
  <autoFilter ref="A6:Q69" xr:uid="{181DABA5-74A2-4A22-BF6E-DA91BD5E8A40}"/>
  <tableColumns count="17">
    <tableColumn id="1" xr3:uid="{333E6F52-EFE2-40F9-9F18-6575173EDA2E}" name="Index"/>
    <tableColumn id="2" xr3:uid="{F3F6FD0F-DE13-4FFF-B1DA-EA343C5E0741}" name="OU" dataDxfId="147">
      <calculatedColumnFormula>VLOOKUP(Cost_Structure[[#This Row],[Index]],Vehicle[#All],2,)</calculatedColumnFormula>
    </tableColumn>
    <tableColumn id="3" xr3:uid="{C83F1D26-E9CE-442B-B0AD-4A1D7A5D7890}" name="OU Code" dataDxfId="146">
      <calculatedColumnFormula>VLOOKUP(Cost_Structure[[#This Row],[BP Name]],OU_Map[#All],3,)</calculatedColumnFormula>
    </tableColumn>
    <tableColumn id="4" xr3:uid="{1D815DA3-0ECA-4ECB-9252-B566A19FEA33}" name="BP Name" dataDxfId="145">
      <calculatedColumnFormula>VLOOKUP(Cost_Structure[[#This Row],[Index]],Vehicle[#All],3,)</calculatedColumnFormula>
    </tableColumn>
    <tableColumn id="5" xr3:uid="{EB361647-9511-46D4-AE63-89E201F8072A}" name="Vehicle" dataDxfId="144">
      <calculatedColumnFormula>VLOOKUP(Cost_Structure[[#This Row],[Index]],Vehicle[#All],4,)</calculatedColumnFormula>
    </tableColumn>
    <tableColumn id="6" xr3:uid="{4B2CE7F5-D972-4D06-A70D-572114BD9A68}" name="Ownership" dataDxfId="143">
      <calculatedColumnFormula>VLOOKUP(Cost_Structure[[#This Row],[Index]],Vehicle_Ownership[#All],4,)</calculatedColumnFormula>
    </tableColumn>
    <tableColumn id="7" xr3:uid="{58B8220F-4218-4319-BEC4-8B677E3CB90C}" name="Purchase Year" dataDxfId="142">
      <calculatedColumnFormula>VLOOKUP(Cost_Structure[[#This Row],[Index]],Year_of_Purchase[#All],4,)</calculatedColumnFormula>
    </tableColumn>
    <tableColumn id="8" xr3:uid="{27A42E8B-4B43-4C6C-89CD-B7907FE743F3}" name="Vehicle Name" dataDxfId="141">
      <calculatedColumnFormula>VLOOKUP(Cost_Structure[[#This Row],[Vehicle]],Vehicle_Map[#All],2,)</calculatedColumnFormula>
    </tableColumn>
    <tableColumn id="9" xr3:uid="{49FEC9A7-D022-4B17-94F6-523A059E791A}" name="Mileage" dataDxfId="140">
      <calculatedColumnFormula>INDEX(Mileage[],MATCH(Cost_Structure[[#This Row],[OU Code]],Mileage[OU Code],0),MATCH(Cost_Structure[[#This Row],[Vehicle]],Mileage[#Headers],0))</calculatedColumnFormula>
    </tableColumn>
    <tableColumn id="10" xr3:uid="{7C480DC6-02DE-4F5F-9C40-62C7783088B9}" name="Vehicle Capacity" dataDxfId="139">
      <calculatedColumnFormula>INDEX(Capacity[],MATCH(Cost_Structure[[#This Row],[OU Code]],Capacity[OU Code],0),MATCH(Cost_Structure[[#This Row],[Vehicle]],Capacity[#Headers],0))</calculatedColumnFormula>
    </tableColumn>
    <tableColumn id="11" xr3:uid="{75B8A816-EE6E-4117-A8D0-4A7A73FDBBC1}" name="KM Travelled" dataDxfId="138">
      <calculatedColumnFormula>VLOOKUP(Cost_Structure[[#This Row],[OU Code]],KM_and_FuelCost[#All],2,)</calculatedColumnFormula>
    </tableColumn>
    <tableColumn id="12" xr3:uid="{40AD67F6-F251-4E25-BA8B-C4B77929CFC6}" name="Fuel Cost" dataDxfId="137">
      <calculatedColumnFormula>(Cost_Structure[[#This Row],[KM Travelled]]/Cost_Structure[[#This Row],[Mileage]])*VLOOKUP(Cost_Structure[[#This Row],[OU Code]],KM_and_FuelCost[#All],3,)</calculatedColumnFormula>
    </tableColumn>
    <tableColumn id="13" xr3:uid="{74E6C213-FE92-4A48-BEFC-521FFF443B9E}" name="EMI " dataDxfId="136">
      <calculatedColumnFormula>VLOOKUP(Cost_Structure[[#This Row],[Vehicle Name]],EMI[#All],5,)</calculatedColumnFormula>
    </tableColumn>
    <tableColumn id="14" xr3:uid="{0EA56A3A-F612-4825-8055-85FB63AFA0F5}" name="Maintenance" dataDxfId="135">
      <calculatedColumnFormula>INDEX(Maintenance[],MATCH(Cost_Structure[[#This Row],[OU Code]],Maintenance[OU Code],0),MATCH(Cost_Structure[[#This Row],[Vehicle]],Maintenance[#Headers],0))</calculatedColumnFormula>
    </tableColumn>
    <tableColumn id="15" xr3:uid="{3D76AE28-B0C1-4BA8-A311-E60D41EA31BC}" name="Vehicle Cost" dataDxfId="134">
      <calculatedColumnFormula>Cost_Structure[[#This Row],[Fuel Cost]]+Cost_Structure[[#This Row],[EMI ]]+Cost_Structure[[#This Row],[Maintenance]]</calculatedColumnFormula>
    </tableColumn>
    <tableColumn id="16" xr3:uid="{51D20F78-972A-4AE5-B5F3-DF199769DF8A}" name="Team Cost" dataDxfId="133"/>
    <tableColumn id="17" xr3:uid="{BE7796FF-1393-463D-8FB8-A19E4BD5F562}" name="Total Cost" dataDxfId="132">
      <calculatedColumnFormula>Cost_Structure[[#This Row],[Vehicle Cost]]+Cost_Structure[[#This Row],[Team Cost]]</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4A596ED-A1CA-417C-A88A-2ECF35079782}" name="Profitability_Sample" displayName="Profitability_Sample" ref="A1:M49" totalsRowShown="0" headerRowDxfId="131">
  <autoFilter ref="A1:M49" xr:uid="{FF06B34A-7032-45B3-BA3A-84262A6EB10D}"/>
  <tableColumns count="13">
    <tableColumn id="1" xr3:uid="{45DEB9E3-48CD-42C9-8AB5-88594ECCB608}" name="BP name"/>
    <tableColumn id="2" xr3:uid="{1E504618-2309-403D-94AB-91B2A01B61E0}" name="Total cost" dataDxfId="130"/>
    <tableColumn id="3" xr3:uid="{B2926C3D-04E6-4411-BFE1-0A3478E468EA}" name="per kg rate" dataDxfId="129">
      <calculatedColumnFormula>VLOOKUP(Profitability_Sample[[#This Row],[BP name]],payouts_table_AMD!$B$1:$E$52,3,)</calculatedColumnFormula>
    </tableColumn>
    <tableColumn id="4" xr3:uid="{FF4E7CF4-51EF-46C2-BE82-B1C37C96C472}" name="kg delivered" dataDxfId="128">
      <calculatedColumnFormula>VLOOKUP(Profitability_Sample[[#This Row],[BP name]],payouts_table_AMD!$B$1:$E$52,4,)</calculatedColumnFormula>
    </tableColumn>
    <tableColumn id="5" xr3:uid="{94322D7D-C1C0-4CD6-92FD-CE98B1C01C80}" name="payout" dataDxfId="127">
      <calculatedColumnFormula>Profitability_Sample[[#This Row],[per kg rate]]*Profitability_Sample[[#This Row],[kg delivered]]</calculatedColumnFormula>
    </tableColumn>
    <tableColumn id="6" xr3:uid="{39B88A71-F69F-4D45-8BE7-372CD4E186CA}" name="budget" dataDxfId="126">
      <calculatedColumnFormula>VLOOKUP(Profitability_Sample[[#This Row],[BP name]],Payout!$B$1:$F$510,5,FALSE)</calculatedColumnFormula>
    </tableColumn>
    <tableColumn id="7" xr3:uid="{3B31030C-CC8E-472E-AB41-DA23F747B758}" name="difference" dataDxfId="125">
      <calculatedColumnFormula>Profitability_Sample[[#This Row],[payout]]-Profitability_Sample[[#This Row],[budget]]</calculatedColumnFormula>
    </tableColumn>
    <tableColumn id="8" xr3:uid="{FB0DD5CB-29F9-4E70-9700-C00810ED9E02}" name="difference %" dataDxfId="124">
      <calculatedColumnFormula>Profitability_Sample[[#This Row],[difference]]/Profitability_Sample[[#This Row],[budget]]</calculatedColumnFormula>
    </tableColumn>
    <tableColumn id="9" xr3:uid="{84D6DB76-A277-423D-B589-005228589F76}" name="profit" dataDxfId="123">
      <calculatedColumnFormula>Profitability_Sample[[#This Row],[payout]]-Profitability_Sample[[#This Row],[Total cost]]</calculatedColumnFormula>
    </tableColumn>
    <tableColumn id="10" xr3:uid="{A007221D-6E1B-4013-BCF6-C588EA3EE6ED}" name="profit margin" dataDxfId="122">
      <calculatedColumnFormula>Profitability_Sample[[#This Row],[profit]]/Profitability_Sample[[#This Row],[payout]]</calculatedColumnFormula>
    </tableColumn>
    <tableColumn id="11" xr3:uid="{81A72369-B545-449B-A021-4065F46B0637}" name="cost per kg" dataDxfId="121">
      <calculatedColumnFormula>Profitability_Sample[[#This Row],[Total cost]]/Profitability_Sample[[#This Row],[kg delivered]]</calculatedColumnFormula>
    </tableColumn>
    <tableColumn id="12" xr3:uid="{07C334C9-8EEC-4EBD-90CD-B71E3522125A}" name="status" dataDxfId="120">
      <calculatedColumnFormula>IF(Profitability_Sample[[#This Row],[difference %]]&gt; 0, "Overpaid", "Under Budget")</calculatedColumnFormula>
    </tableColumn>
    <tableColumn id="13" xr3:uid="{A087C582-A9AE-4F26-B5D2-B1F5A8616974}" name="profitability" dataDxfId="119">
      <calculatedColumnFormula>IF(Profitability_Sample[[#This Row],[profit margin]]&lt;0,"In Loss", "Profitable")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D5F3D84-B057-4505-9062-A423A039322D}" name="Cost_Structure16" displayName="Cost_Structure16" ref="A6:Q69" totalsRowShown="0">
  <autoFilter ref="A6:Q69" xr:uid="{524A7150-2562-4360-8CD7-C6CE6A47A4B8}"/>
  <tableColumns count="17">
    <tableColumn id="1" xr3:uid="{5224D827-5437-475F-A416-A7E3AAEDCE3A}" name="Index"/>
    <tableColumn id="2" xr3:uid="{75C9F6E9-AD5D-4F54-9CE9-99F5B552F573}" name="OU" dataDxfId="118">
      <calculatedColumnFormula>VLOOKUP(Cost_Structure16[[#This Row],[Index]],Vehicle[#All],2,)</calculatedColumnFormula>
    </tableColumn>
    <tableColumn id="3" xr3:uid="{D65801C3-2BED-49E5-AC83-74D09AEC1843}" name="OU Code" dataDxfId="117">
      <calculatedColumnFormula>VLOOKUP(Cost_Structure16[[#This Row],[BP Name]],OU_Map[#All],3,)</calculatedColumnFormula>
    </tableColumn>
    <tableColumn id="4" xr3:uid="{4BCA540F-BDC3-49B0-BD20-EE750F162283}" name="BP Name" dataDxfId="116">
      <calculatedColumnFormula>VLOOKUP(Cost_Structure16[[#This Row],[Index]],Vehicle[#All],3,)</calculatedColumnFormula>
    </tableColumn>
    <tableColumn id="5" xr3:uid="{46603B82-F6CE-46A3-BB09-3BCC018B72C4}" name="Vehicle" dataDxfId="115">
      <calculatedColumnFormula>VLOOKUP(Cost_Structure16[[#This Row],[Index]],Vehicle[#All],4,)</calculatedColumnFormula>
    </tableColumn>
    <tableColumn id="6" xr3:uid="{2CED9151-5BF9-4297-9259-1B4975BEB8F1}" name="Ownership" dataDxfId="114">
      <calculatedColumnFormula>VLOOKUP(Cost_Structure16[[#This Row],[Index]],Vehicle_Ownership[#All],4,)</calculatedColumnFormula>
    </tableColumn>
    <tableColumn id="7" xr3:uid="{2379E1F1-3A04-4E68-8480-624813B87725}" name="Purchase Year" dataDxfId="113">
      <calculatedColumnFormula>VLOOKUP(Cost_Structure16[[#This Row],[Index]],Year_of_Purchase[#All],4,)</calculatedColumnFormula>
    </tableColumn>
    <tableColumn id="8" xr3:uid="{A4659BE5-E96F-4DA6-AF96-210B8B23C515}" name="Vehicle Name" dataDxfId="112">
      <calculatedColumnFormula>VLOOKUP(Cost_Structure16[[#This Row],[Vehicle]],Vehicle_Map[#All],2,)</calculatedColumnFormula>
    </tableColumn>
    <tableColumn id="9" xr3:uid="{9115BC34-5403-4387-8195-32758EABD936}" name="Mileage" dataDxfId="111">
      <calculatedColumnFormula>INDEX(Mileage[#Data],MATCH(Cost_Structure16[[#This Row],[OU Code]],Mileage[OU Code],0),MATCH(Cost_Structure16[[#This Row],[Vehicle]],Mileage[#Headers],0))</calculatedColumnFormula>
    </tableColumn>
    <tableColumn id="10" xr3:uid="{F64DA416-E1E0-4EC1-8A26-A40A2311A84A}" name="Vehicle Capacity" dataDxfId="110">
      <calculatedColumnFormula>INDEX(Capacity[#Data],MATCH(Cost_Structure16[[#This Row],[OU Code]],Capacity[OU Code],0),MATCH(Cost_Structure16[[#This Row],[Vehicle]],Capacity[#Headers],0))</calculatedColumnFormula>
    </tableColumn>
    <tableColumn id="11" xr3:uid="{974479A5-97E0-49A1-B7D6-C035CAA1B438}" name="KM Travelled" dataDxfId="109">
      <calculatedColumnFormula>VLOOKUP(Cost_Structure16[[#This Row],[OU Code]],KM_and_FuelCost[#All],2,)</calculatedColumnFormula>
    </tableColumn>
    <tableColumn id="12" xr3:uid="{8DCDD419-2E70-40E0-B3EB-7DE7C55DD0A8}" name="Fuel Cost" dataDxfId="108">
      <calculatedColumnFormula>IF(Cost_Structure16[[#This Row],[Ownership]]="Market",0,(Cost_Structure16[[#This Row],[KM Travelled]]/Cost_Structure16[[#This Row],[Mileage]])*VLOOKUP(Cost_Structure16[[#This Row],[OU Code]],KM_and_FuelCost[#All],3,))</calculatedColumnFormula>
    </tableColumn>
    <tableColumn id="13" xr3:uid="{DC699C21-F996-41DD-8350-C97E2AE3F649}" name="EMI " dataDxfId="107">
      <calculatedColumnFormula>IF(AND( Cost_Structure16[[#This Row],[Purchase Year]] &gt;= 2016,Cost_Structure16[[#This Row],[Ownership]]="EMI"), VLOOKUP(Cost_Structure16[[#This Row],[Vehicle Name]],EMI[#All],5,FALSE), 0)</calculatedColumnFormula>
    </tableColumn>
    <tableColumn id="14" xr3:uid="{B8299873-2C5C-4C65-9B4D-FB4F99A3AFCD}" name="Maintenance" dataDxfId="106">
      <calculatedColumnFormula>INDEX(Maintenance[#Data],MATCH(Cost_Structure16[[#This Row],[OU Code]],Maintenance[OU Code],0),MATCH(Cost_Structure16[[#This Row],[Vehicle]],Maintenance[#Headers],0))</calculatedColumnFormula>
    </tableColumn>
    <tableColumn id="15" xr3:uid="{2DE13106-046E-48B7-8CC4-D5202170DE0E}" name="Vehicle Cost" dataDxfId="105">
      <calculatedColumnFormula>IF(Cost_Structure16[[#This Row],[Ownership]]="Market",IF(Cost_Structure16[[#This Row],[Vehicle Capacity]]&gt;3,80000,40000),Cost_Structure16[[#This Row],[Fuel Cost]]+Cost_Structure16[[#This Row],[Maintenance]]+Cost_Structure16[[#This Row],[EMI ]])</calculatedColumnFormula>
    </tableColumn>
    <tableColumn id="16" xr3:uid="{C65A7D75-0CC8-4EBC-86B6-DC11A39F0F73}" name="Team Cost" dataDxfId="104">
      <calculatedColumnFormula array="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calculatedColumnFormula>
    </tableColumn>
    <tableColumn id="17" xr3:uid="{74A01F2E-05AB-4DAF-A322-B16EABE0F68D}" name="Total Cost" dataDxfId="103">
      <calculatedColumnFormula>Cost_Structure16[[#This Row],[Vehicle Cost]]+Cost_Structure16[[#This Row],[Team Cost]]</calculatedColumnFormula>
    </tableColumn>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ACD7200-3B32-419C-93B9-06A8CDF0E305}" name="std_profitability" displayName="std_profitability" ref="A1:O49" totalsRowShown="0" headerRowDxfId="102">
  <autoFilter ref="A1:O49" xr:uid="{FF06B34A-7032-45B3-BA3A-84262A6EB10D}"/>
  <tableColumns count="15">
    <tableColumn id="1" xr3:uid="{ECB04115-C212-44FE-827F-116671129DB8}" name="BP name"/>
    <tableColumn id="2" xr3:uid="{66B1624A-33C9-47A1-8CD6-F641D0B03250}" name="Total cost" dataDxfId="101"/>
    <tableColumn id="3" xr3:uid="{E04B5677-672E-4F0A-A247-94422A285DB5}" name="per kg rate" dataDxfId="100">
      <calculatedColumnFormula>VLOOKUP(std_profitability[[#This Row],[BP name]],payouts_table_AMD!$B$1:$E$52,3,)</calculatedColumnFormula>
    </tableColumn>
    <tableColumn id="4" xr3:uid="{260AF4A2-7D09-4559-A2E5-F8CBDA9FCC55}" name="kg delivered" dataDxfId="99">
      <calculatedColumnFormula>VLOOKUP(std_profitability[[#This Row],[BP name]],payouts_table_AMD!$B$1:$E$52,4,)</calculatedColumnFormula>
    </tableColumn>
    <tableColumn id="5" xr3:uid="{79FC14CE-9540-48EF-854C-F43BEB000811}" name="payout" dataDxfId="98">
      <calculatedColumnFormula>std_profitability[[#This Row],[per kg rate]]*std_profitability[[#This Row],[kg delivered]]</calculatedColumnFormula>
    </tableColumn>
    <tableColumn id="6" xr3:uid="{16A76666-2619-4D8D-ABD5-42B1296B23D4}" name="budget" dataDxfId="97">
      <calculatedColumnFormula>VLOOKUP(std_profitability[[#This Row],[BP name]],Payout!$B$1:$F$510,5,FALSE)</calculatedColumnFormula>
    </tableColumn>
    <tableColumn id="7" xr3:uid="{2C54AEE6-149A-48EB-99AE-28025D7BE6E1}" name="difference" dataDxfId="96">
      <calculatedColumnFormula>std_profitability[[#This Row],[payout]]-std_profitability[[#This Row],[budget]]</calculatedColumnFormula>
    </tableColumn>
    <tableColumn id="8" xr3:uid="{DA8D1C43-6EFA-4D11-A2CE-626F8340F11C}" name="difference %" dataDxfId="95">
      <calculatedColumnFormula>std_profitability[[#This Row],[difference]]/std_profitability[[#This Row],[budget]]</calculatedColumnFormula>
    </tableColumn>
    <tableColumn id="9" xr3:uid="{8423624D-7D71-4343-8C17-DFBA1A2C6DF4}" name="profit" dataDxfId="94">
      <calculatedColumnFormula>std_profitability[[#This Row],[payout]]-std_profitability[[#This Row],[Total cost]]</calculatedColumnFormula>
    </tableColumn>
    <tableColumn id="10" xr3:uid="{369664ED-0B14-4B9E-A070-C135A36B5A67}" name="profit margin" dataDxfId="93">
      <calculatedColumnFormula>std_profitability[[#This Row],[profit]]/std_profitability[[#This Row],[payout]]</calculatedColumnFormula>
    </tableColumn>
    <tableColumn id="11" xr3:uid="{434A8CA6-2AA4-4194-8876-FCA894B95280}" name="cost per kg" dataDxfId="92">
      <calculatedColumnFormula>std_profitability[[#This Row],[Total cost]]/std_profitability[[#This Row],[kg delivered]]</calculatedColumnFormula>
    </tableColumn>
    <tableColumn id="12" xr3:uid="{2798CDF7-AC41-429B-9461-748941BAFE2C}" name="status" dataDxfId="91">
      <calculatedColumnFormula>IF(std_profitability[[#This Row],[difference %]]&gt; 0, "Overpaid", "Under Budget")</calculatedColumnFormula>
    </tableColumn>
    <tableColumn id="13" xr3:uid="{DE30D9B5-AF00-40D5-91D7-9651196A8516}" name="profitability" dataDxfId="90">
      <calculatedColumnFormula>IF(std_profitability[[#This Row],[profit margin]]&lt;0,"In Loss", "Profitable")</calculatedColumnFormula>
    </tableColumn>
    <tableColumn id="15" xr3:uid="{2D7D9177-B95C-49F3-AE53-4EFC20F24F23}" name="Monthly Capacity" dataDxfId="89" dataCellStyle="Normal 3">
      <calculatedColumnFormula>Net_capacity[[#This Row],[Net Capacity]]*25*1000+ N("Total working days assumed in a month are 25 and capacity was given in tons, so converted to kg")</calculatedColumnFormula>
    </tableColumn>
    <tableColumn id="14" xr3:uid="{F502851B-1C03-4E93-BE8C-89CCD42E4120}" name="Utilization" dataDxfId="88" dataCellStyle="Percent">
      <calculatedColumnFormula>std_profitability[[#This Row],[kg delivered]]/std_profitability[[#This Row],[Monthly Capacity]]</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69D4B-CEA1-4D37-9D60-60F9E08985CD}" name="partner_vehicles_form_AMD" displayName="partner_vehicles_form_AMD" ref="A1:E49" totalsRowShown="0" headerRowDxfId="87" dataDxfId="86">
  <autoFilter ref="A1:E49" xr:uid="{08F69D4B-CEA1-4D37-9D60-60F9E08985CD}"/>
  <tableColumns count="5">
    <tableColumn id="1" xr3:uid="{F83C13CE-5759-4CBB-BF47-A2AE12D9F9CB}" name="OU" dataDxfId="85"/>
    <tableColumn id="2" xr3:uid="{497A8445-28EA-4928-857E-D81455DAE3D3}" name="BP name" dataDxfId="84"/>
    <tableColumn id="3" xr3:uid="{E35E41E7-1AA9-49E1-9BCD-2C1A17E1C4FB}" name="Vehicle" dataDxfId="83"/>
    <tableColumn id="4" xr3:uid="{361859C5-8E2B-4DCC-A4B2-17928467916C}" name="Vehicle ownership" dataDxfId="82"/>
    <tableColumn id="5" xr3:uid="{F087CF65-C567-49A4-B906-CD10517F41E6}" name="Year of purchase" dataDxfId="8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EE7710-2343-43B8-891D-CA1FE1413066}" name="Payout" displayName="Payout" ref="A1:F999" tableType="queryTable" totalsRowShown="0">
  <autoFilter ref="A1:F999" xr:uid="{CEEE7710-2343-43B8-891D-CA1FE1413066}"/>
  <tableColumns count="6">
    <tableColumn id="1" xr3:uid="{C1072EF5-DF7F-4747-84E5-1D3C8E730728}" uniqueName="1" name="BP Code" queryTableFieldId="1" dataDxfId="80"/>
    <tableColumn id="2" xr3:uid="{0A5EC4A7-C991-4409-BEE3-193F6B1281F7}" uniqueName="2" name="BP" queryTableFieldId="2" dataDxfId="79"/>
    <tableColumn id="3" xr3:uid="{24622B6A-4877-4842-9CB6-7EC5967C4E56}" uniqueName="3" name="OU " queryTableFieldId="3" dataDxfId="78"/>
    <tableColumn id="4" xr3:uid="{C058ADE7-E396-41C6-9E55-C45371E4DF69}" uniqueName="4" name="Cluster" queryTableFieldId="4" dataDxfId="77"/>
    <tableColumn id="5" xr3:uid="{8408F103-44F8-4F7C-A580-C34A000D0558}" uniqueName="5" name="Total Payout" queryTableFieldId="5"/>
    <tableColumn id="6" xr3:uid="{FFF38F68-7BE7-4473-BF77-3441D083F89F}" uniqueName="6" name="Budgeted payout" queryTableField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EDE176-7774-4FC0-A91C-26624915EE1E}" name="Capacity" displayName="Capacity" ref="C5:M19" totalsRowShown="0" headerRowDxfId="76" dataDxfId="75">
  <autoFilter ref="C5:M19" xr:uid="{C4EDE176-7774-4FC0-A91C-26624915EE1E}"/>
  <tableColumns count="11">
    <tableColumn id="1" xr3:uid="{BEEF8A63-00A7-4DD6-A040-C8C98CEA6E6A}" name="OU Code" dataDxfId="74"/>
    <tableColumn id="2" xr3:uid="{04A0AB2C-3159-46CC-A251-5F50A0CAD3F5}" name="14 ft" dataDxfId="73"/>
    <tableColumn id="3" xr3:uid="{934E7534-3429-400A-B263-8FD5C4469703}" name="Tata Ace" dataDxfId="72"/>
    <tableColumn id="4" xr3:uid="{769B5A24-3EDE-40A3-83AF-79C52823FFFD}" name="17 ft" dataDxfId="71"/>
    <tableColumn id="5" xr3:uid="{3EB75BAD-889F-458E-AF8E-5E3CFDF12087}" name="Mahindra" dataDxfId="70"/>
    <tableColumn id="6" xr3:uid="{D5DDEEEB-E694-46D1-A1C6-FC38925C52DD}" name="AL Dost" dataDxfId="69"/>
    <tableColumn id="7" xr3:uid="{39DDF14D-86D9-4D6D-94C5-FF63F36A650D}" name="22 ft" dataDxfId="68"/>
    <tableColumn id="8" xr3:uid="{08ABFB5C-F97C-4BAD-B35C-2A6909C083F8}" name="19 ft" dataDxfId="67"/>
    <tableColumn id="9" xr3:uid="{F9E534A6-6D63-4404-BCA5-E97A73EC2304}" name="Super ace" dataDxfId="66"/>
    <tableColumn id="10" xr3:uid="{70F0CF30-D533-4027-A593-ED5EE677013B}" name="Pickup" dataDxfId="65"/>
    <tableColumn id="11" xr3:uid="{03420079-A46F-44A6-A583-8E8429E4B010}" name="20 ft" dataDxfId="6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BCDCAC-A80B-411A-886B-E0B1AC902479}" name="Mileage" displayName="Mileage" ref="C24:M38" totalsRowShown="0" headerRowDxfId="63" dataDxfId="62">
  <autoFilter ref="C24:M38" xr:uid="{88BCDCAC-A80B-411A-886B-E0B1AC902479}"/>
  <tableColumns count="11">
    <tableColumn id="1" xr3:uid="{4417B59D-6089-4123-B0EA-1C050C51C72F}" name="OU Code" dataDxfId="61"/>
    <tableColumn id="2" xr3:uid="{E27C87CC-FA49-4E8D-9F75-6C19E1B25ECF}" name="14 ft" dataDxfId="60"/>
    <tableColumn id="3" xr3:uid="{91BFA224-861B-4790-A277-99E1D0A8F498}" name="Tata Ace" dataDxfId="59"/>
    <tableColumn id="4" xr3:uid="{19DBBE74-0744-4D6D-B909-41E160AD6C80}" name="17 ft" dataDxfId="58"/>
    <tableColumn id="5" xr3:uid="{841684C1-C690-4B35-96A9-9FA5D884DA8A}" name="Mahindra" dataDxfId="57"/>
    <tableColumn id="6" xr3:uid="{FF832E0F-54AE-4582-8E36-B9F2754D7278}" name="AL Dost" dataDxfId="56"/>
    <tableColumn id="7" xr3:uid="{FCEC849F-5B56-48DB-819E-79E47347238C}" name="22 ft" dataDxfId="55"/>
    <tableColumn id="8" xr3:uid="{1CCC9D60-D79B-4087-8255-5236AA1688FA}" name="19 ft" dataDxfId="54"/>
    <tableColumn id="9" xr3:uid="{AB12E44C-5E61-42E5-908F-05FE4D91CE76}" name="Super ace" dataDxfId="53"/>
    <tableColumn id="10" xr3:uid="{BE8682FA-5E33-4CAB-8FDD-CC972D975330}" name="Pickup" dataDxfId="52"/>
    <tableColumn id="11" xr3:uid="{7A70DEAA-6E65-44DF-BBE9-03DE951BF86D}" name="20 ft" dataDxfId="5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C4AEBF-067E-4006-BF2D-A836F5FAAF3A}" name="KM_and_FuelCost" displayName="KM_and_FuelCost" ref="C42:E56" totalsRowShown="0" headerRowDxfId="50">
  <autoFilter ref="C42:E56" xr:uid="{FFC4AEBF-067E-4006-BF2D-A836F5FAAF3A}"/>
  <tableColumns count="3">
    <tableColumn id="1" xr3:uid="{BC412588-12E1-4956-AE5D-877475405860}" name="OU Code" dataDxfId="49"/>
    <tableColumn id="2" xr3:uid="{A2A726D4-8D55-43F8-9F5E-5D8153561DB6}" name="Km travelled" dataDxfId="48"/>
    <tableColumn id="3" xr3:uid="{A7A00309-BD05-43D5-AE73-DF4DCA5BC1C8}" name="Fuel Cost/liter" dataDxfId="4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8012D7-95F8-4FB5-927A-0A140BF5D234}" name="Maintenance" displayName="Maintenance" ref="C60:M74" totalsRowShown="0" headerRowDxfId="46" dataDxfId="45">
  <autoFilter ref="C60:M74" xr:uid="{AC8012D7-95F8-4FB5-927A-0A140BF5D234}"/>
  <tableColumns count="11">
    <tableColumn id="1" xr3:uid="{F9E6554C-C776-45F4-8D98-597F4A3A87F9}" name="OU Code" dataDxfId="44"/>
    <tableColumn id="2" xr3:uid="{2A0EFF61-14A4-4063-9E33-87C2DCC319A9}" name="14 ft" dataDxfId="43"/>
    <tableColumn id="3" xr3:uid="{2F551AC3-2299-498B-93D3-8ED3C44C01D7}" name="Tata Ace" dataDxfId="42"/>
    <tableColumn id="4" xr3:uid="{954DF023-18F1-4DF0-BAA2-A9B2DD00016B}" name="17 ft" dataDxfId="41"/>
    <tableColumn id="5" xr3:uid="{24664847-22E7-4E76-98EB-EC610F920583}" name="Mahindra" dataDxfId="40"/>
    <tableColumn id="6" xr3:uid="{2B8EC86B-9A43-4466-BE38-CEA7A5C191DA}" name="AL Dost" dataDxfId="39"/>
    <tableColumn id="7" xr3:uid="{2138CFB7-7984-4D29-9F10-33D2842E6C9F}" name="22 ft" dataDxfId="38"/>
    <tableColumn id="8" xr3:uid="{053CCED2-D2C6-4D73-9D4A-C1BCA3F1765C}" name="19 ft" dataDxfId="37"/>
    <tableColumn id="9" xr3:uid="{C8EB0576-78ED-49FD-B2C5-C2348ABDA553}" name="Super ace" dataDxfId="36"/>
    <tableColumn id="10" xr3:uid="{CD42873C-FB7D-4EBF-8135-7794ECB352C2}" name="Pickup" dataDxfId="35"/>
    <tableColumn id="11" xr3:uid="{AF984E24-FDD0-4484-939C-0787BBB9D4A4}" name="20 ft" dataDxfId="3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1C9F129-44FE-4A4C-B47F-42FE9D202377}" name="TeamCost" displayName="TeamCost" ref="B2:C3" totalsRowShown="0" headerRowDxfId="33" dataDxfId="32">
  <autoFilter ref="B2:C3" xr:uid="{D1C9F129-44FE-4A4C-B47F-42FE9D202377}"/>
  <tableColumns count="2">
    <tableColumn id="1" xr3:uid="{2C80D965-3541-4907-A594-70164E33C843}" name="Driver cost" dataDxfId="31"/>
    <tableColumn id="2" xr3:uid="{ECD7D594-012A-4B8B-A7F0-4C0E041128CD}" name="Loader cost" dataDxfId="3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342173-00C8-4115-B1B4-35048C7771AA}" name="EMI" displayName="EMI" ref="A7:E27" totalsRowShown="0" headerRowDxfId="29" dataDxfId="28">
  <autoFilter ref="A7:E27" xr:uid="{36342173-00C8-4115-B1B4-35048C7771AA}"/>
  <tableColumns count="5">
    <tableColumn id="1" xr3:uid="{7ADC5E50-EAF9-445C-8B9D-68333992372E}" name="Vehicles" dataDxfId="27"/>
    <tableColumn id="2" xr3:uid="{CD676697-EE3A-455F-816F-58AB28BB2D31}" name="Ex- Showroom Price" dataDxfId="26"/>
    <tableColumn id="3" xr3:uid="{2BE2D121-5C1B-4D48-8131-A00822756896}" name="Downpayment Amount" dataDxfId="25">
      <calculatedColumnFormula>B8*$B$1</calculatedColumnFormula>
    </tableColumn>
    <tableColumn id="4" xr3:uid="{F5C89642-7B12-4756-A931-968E6569EC77}" name="Balance" dataDxfId="24">
      <calculatedColumnFormula>B8-C8</calculatedColumnFormula>
    </tableColumn>
    <tableColumn id="5" xr3:uid="{7F8B1673-0CEB-4900-BE78-4F84387263A4}" name="EMI" dataDxfId="23">
      <calculatedColumnFormula>-PMT($B$5,$B$3,D8)</calculatedColumnFormula>
    </tableColumn>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186DD95-0BDF-4CA8-9FF8-9488C3821691}" name="partner_vehicles_form_AMD1" displayName="partner_vehicles_form_AMD1" ref="A1:E49" tableType="queryTable" totalsRowShown="0">
  <autoFilter ref="A1:E49" xr:uid="{B186DD95-0BDF-4CA8-9FF8-9488C3821691}"/>
  <tableColumns count="5">
    <tableColumn id="1" xr3:uid="{6CBF2B4A-909E-4DE7-A4F8-2E1527ED7505}" uniqueName="1" name="OU" queryTableFieldId="1" dataDxfId="22"/>
    <tableColumn id="2" xr3:uid="{69374288-006D-455A-AFDF-FC328D9A74DF}" uniqueName="2" name="BP name" queryTableFieldId="2" dataDxfId="21"/>
    <tableColumn id="3" xr3:uid="{92235D35-C37E-4D11-8063-49D2047416C9}" uniqueName="3" name="Vehicle" queryTableFieldId="3" dataDxfId="20"/>
    <tableColumn id="4" xr3:uid="{B60FA045-A232-43B6-A533-C54BCEC87FB2}" uniqueName="4" name="Vehicle ownership" queryTableFieldId="4" dataDxfId="19"/>
    <tableColumn id="5" xr3:uid="{A5ED710E-B10D-480B-885B-DA949EAAB082}" uniqueName="5" name="Year of purchase" queryTableFieldId="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4BCE5F-E4FC-490E-ACF1-49619B794FFE}" name="Vehicle" displayName="Vehicle" ref="A1:D64" tableType="queryTable" totalsRowShown="0">
  <autoFilter ref="A1:D64" xr:uid="{D54BCE5F-E4FC-490E-ACF1-49619B794FFE}"/>
  <tableColumns count="4">
    <tableColumn id="1" xr3:uid="{83F39E96-C75F-4EB2-B0E7-82490E1F1B78}" uniqueName="1" name="Index" queryTableFieldId="1"/>
    <tableColumn id="2" xr3:uid="{3968939D-5426-4831-B3C0-66AC24948E9B}" uniqueName="2" name="OU" queryTableFieldId="2" dataDxfId="18"/>
    <tableColumn id="3" xr3:uid="{8463583F-F63F-4DE9-92B8-B29F2BFAA05F}" uniqueName="3" name="BP name" queryTableFieldId="3" dataDxfId="17"/>
    <tableColumn id="4" xr3:uid="{05CEFA22-B805-4CF1-B1AF-4227E9B593DB}" uniqueName="4" name="Vehicle" queryTableFieldId="4" dataDxfId="1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0EBFD7E-23A9-41C1-80E4-74D9CA1F45FF}" name="Vehicle_Ownership" displayName="Vehicle_Ownership" ref="A1:D64" tableType="queryTable" totalsRowShown="0">
  <autoFilter ref="A1:D64" xr:uid="{C0EBFD7E-23A9-41C1-80E4-74D9CA1F45FF}"/>
  <tableColumns count="4">
    <tableColumn id="1" xr3:uid="{22A62CD1-9DDE-4962-9D34-48571D0F4C44}" uniqueName="1" name="Index" queryTableFieldId="1"/>
    <tableColumn id="2" xr3:uid="{D7D991EE-114F-4AEC-9F73-654D1A5F078A}" uniqueName="2" name="OU" queryTableFieldId="2" dataDxfId="15"/>
    <tableColumn id="3" xr3:uid="{69DDDF92-94EB-4987-BB51-8158E6E1D3D9}" uniqueName="3" name="BP name" queryTableFieldId="3" dataDxfId="14"/>
    <tableColumn id="4" xr3:uid="{79F4A719-FB01-4590-A1F9-5C00C70437E0}" uniqueName="4" name="Vehicle ownership" queryTableFieldId="4" dataDxfId="1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3EF3DE4-1A3B-4A65-A9C3-13946982FE25}" name="Year_of_Purchase" displayName="Year_of_Purchase" ref="A1:D64" tableType="queryTable" totalsRowShown="0">
  <autoFilter ref="A1:D64" xr:uid="{B3EF3DE4-1A3B-4A65-A9C3-13946982FE25}"/>
  <tableColumns count="4">
    <tableColumn id="1" xr3:uid="{548E26D7-6633-48B5-9EE5-50BE1BCAF998}" uniqueName="1" name="Index" queryTableFieldId="1"/>
    <tableColumn id="2" xr3:uid="{FA6224DF-4891-4F7D-9C78-56253B840FE6}" uniqueName="2" name="OU" queryTableFieldId="2" dataDxfId="12"/>
    <tableColumn id="3" xr3:uid="{3DE621D1-0477-442D-839E-5052AB919F08}" uniqueName="3" name="BP name" queryTableFieldId="3" dataDxfId="11"/>
    <tableColumn id="4" xr3:uid="{BFC8DC8E-FE37-4DD9-8D24-B9C3A79F0183}" uniqueName="4" name="Year of purchase" queryTableFieldId="4" dataDxfId="1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FB6E9F-3A7D-4122-A030-B707810B0C6F}" name="Vehicle_Map" displayName="Vehicle_Map" ref="A1:B11" totalsRowShown="0" headerRowDxfId="9" dataDxfId="8">
  <autoFilter ref="A1:B11" xr:uid="{7EFB6E9F-3A7D-4122-A030-B707810B0C6F}"/>
  <tableColumns count="2">
    <tableColumn id="1" xr3:uid="{66248A33-709C-468C-B069-4DB7181EB7C1}" name="Code" dataDxfId="7"/>
    <tableColumn id="2" xr3:uid="{8E1996BE-8DE5-4544-B886-B8B8D3BBD517}" name="Name" dataDxfId="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7027A7-48BA-4B04-A1FD-C1C40F9A5736}" name="OU_Map" displayName="OU_Map" ref="A1:C49" tableType="queryTable" totalsRowShown="0">
  <autoFilter ref="A1:C49" xr:uid="{9D7027A7-48BA-4B04-A1FD-C1C40F9A5736}"/>
  <tableColumns count="3">
    <tableColumn id="2" xr3:uid="{F9592CEF-54BB-4757-8865-3A8DB1587629}" uniqueName="2" name="BP name" queryTableFieldId="2" dataDxfId="5"/>
    <tableColumn id="1" xr3:uid="{52677D91-915B-42B3-9E5A-91DEBA1FF73B}" uniqueName="1" name="OU" queryTableFieldId="1" dataDxfId="4"/>
    <tableColumn id="3" xr3:uid="{62993ACD-3E38-4A0B-854D-57C2C1C0E610}" uniqueName="3" name="OU Code" queryTableFieldId="3" dataDxfId="3"/>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CC7D33B-B73A-42C0-B072-014EED4722D0}" name="Net_capacity" displayName="Net_capacity" ref="A1:B49" tableType="queryTable" totalsRowShown="0">
  <autoFilter ref="A1:B49" xr:uid="{2CC7D33B-B73A-42C0-B072-014EED4722D0}"/>
  <tableColumns count="2">
    <tableColumn id="1" xr3:uid="{EDD752BA-C462-4FFB-A9FF-D58A0757D285}" uniqueName="1" name="BP Name" queryTableFieldId="1" dataDxfId="2"/>
    <tableColumn id="2" xr3:uid="{83C2DE1A-431F-4858-9ECC-1962EE1D91F5}" uniqueName="2" name="Net Capacity"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9C9-88EA-45C5-AC1E-D3F2D9D0CB14}">
  <dimension ref="A6:Q69"/>
  <sheetViews>
    <sheetView showGridLines="0" workbookViewId="0">
      <selection activeCell="E28" sqref="E28"/>
    </sheetView>
  </sheetViews>
  <sheetFormatPr defaultRowHeight="13.8" x14ac:dyDescent="0.3"/>
  <cols>
    <col min="2" max="2" width="19.44140625" customWidth="1"/>
    <col min="3" max="3" width="13.88671875" customWidth="1"/>
    <col min="4" max="4" width="28.6640625" customWidth="1"/>
    <col min="5" max="5" width="13.44140625" customWidth="1"/>
    <col min="6" max="6" width="12.109375" customWidth="1"/>
    <col min="7" max="7" width="15.21875" customWidth="1"/>
    <col min="8" max="8" width="13.77734375" customWidth="1"/>
    <col min="9" max="9" width="10.5546875" style="19" customWidth="1"/>
    <col min="10" max="10" width="15.6640625" style="19" customWidth="1"/>
    <col min="11" max="11" width="13.21875" customWidth="1"/>
    <col min="12" max="12" width="13.33203125" style="20" customWidth="1"/>
    <col min="13" max="13" width="10.21875" style="20" customWidth="1"/>
    <col min="14" max="14" width="13.21875" style="20" customWidth="1"/>
    <col min="15" max="15" width="12.77734375" style="20" customWidth="1"/>
    <col min="16" max="16" width="11.109375" style="20" customWidth="1"/>
    <col min="17" max="17" width="11.21875" style="20" customWidth="1"/>
  </cols>
  <sheetData>
    <row r="6" spans="1:17" x14ac:dyDescent="0.3">
      <c r="A6" t="s">
        <v>156</v>
      </c>
      <c r="B6" t="s">
        <v>95</v>
      </c>
      <c r="C6" t="s">
        <v>154</v>
      </c>
      <c r="D6" t="s">
        <v>157</v>
      </c>
      <c r="E6" t="s">
        <v>1</v>
      </c>
      <c r="F6" t="s">
        <v>158</v>
      </c>
      <c r="G6"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VLOOKUP(Cost_Structure[[#This Row],[Index]],Vehicle[#All],2,)</f>
        <v>Vapi</v>
      </c>
      <c r="C7" t="str">
        <f>VLOOKUP(Cost_Structure[[#This Row],[BP Name]],OU_Map[#All],3,)</f>
        <v>VAPT1</v>
      </c>
      <c r="D7" t="str">
        <f>VLOOKUP(Cost_Structure[[#This Row],[Index]],Vehicle[#All],3,)</f>
        <v>Agarwal Sugandha Amit</v>
      </c>
      <c r="E7" t="str">
        <f>VLOOKUP(Cost_Structure[[#This Row],[Index]],Vehicle[#All],4,)</f>
        <v>14 ft</v>
      </c>
      <c r="F7" t="str">
        <f>VLOOKUP(Cost_Structure[[#This Row],[Index]],Vehicle_Ownership[#All],4,)</f>
        <v>EMI</v>
      </c>
      <c r="G7">
        <f>VLOOKUP(Cost_Structure[[#This Row],[Index]],Year_of_Purchase[#All],4,)</f>
        <v>2018</v>
      </c>
      <c r="H7" t="str">
        <f>VLOOKUP(Cost_Structure[[#This Row],[Vehicle]],Vehicle_Map[#All],2,)</f>
        <v>Eicher 14</v>
      </c>
      <c r="I7" s="19">
        <f>INDEX(Mileage[],MATCH(Cost_Structure[[#This Row],[OU Code]],Mileage[OU Code],0),MATCH(Cost_Structure[[#This Row],[Vehicle]],Mileage[#Headers],0))</f>
        <v>9</v>
      </c>
      <c r="J7" s="19">
        <f>INDEX(Capacity[],MATCH(Cost_Structure[[#This Row],[OU Code]],Capacity[OU Code],0),MATCH(Cost_Structure[[#This Row],[Vehicle]],Capacity[#Headers],0))</f>
        <v>2.5</v>
      </c>
      <c r="K7">
        <f>VLOOKUP(Cost_Structure[[#This Row],[OU Code]],KM_and_FuelCost[#All],2,)</f>
        <v>1600</v>
      </c>
      <c r="L7" s="20">
        <f>(Cost_Structure[[#This Row],[KM Travelled]]/Cost_Structure[[#This Row],[Mileage]])*VLOOKUP(Cost_Structure[[#This Row],[OU Code]],KM_and_FuelCost[#All],3,)</f>
        <v>16408.888888888887</v>
      </c>
      <c r="M7" s="20">
        <f>VLOOKUP(Cost_Structure[[#This Row],[Vehicle Name]],EMI[#All],5,)</f>
        <v>11420.447400423482</v>
      </c>
      <c r="N7" s="20">
        <f>INDEX(Maintenance[],MATCH(Cost_Structure[[#This Row],[OU Code]],Maintenance[OU Code],0),MATCH(Cost_Structure[[#This Row],[Vehicle]],Maintenance[#Headers],0))</f>
        <v>9580</v>
      </c>
      <c r="O7" s="20">
        <f>Cost_Structure[[#This Row],[Fuel Cost]]+Cost_Structure[[#This Row],[EMI ]]+Cost_Structure[[#This Row],[Maintenance]]</f>
        <v>37409.33628931237</v>
      </c>
      <c r="P7" s="20">
        <v>36000</v>
      </c>
      <c r="Q7" s="20">
        <f>Cost_Structure[[#This Row],[Vehicle Cost]]+Cost_Structure[[#This Row],[Team Cost]]</f>
        <v>73409.33628931237</v>
      </c>
    </row>
    <row r="8" spans="1:17" x14ac:dyDescent="0.3">
      <c r="A8">
        <v>2</v>
      </c>
      <c r="B8" t="str">
        <f>VLOOKUP(Cost_Structure[[#This Row],[Index]],Vehicle[#All],2,)</f>
        <v>Vapi</v>
      </c>
      <c r="C8" t="str">
        <f>VLOOKUP(Cost_Structure[[#This Row],[BP Name]],OU_Map[#All],3,)</f>
        <v>VAPT1</v>
      </c>
      <c r="D8" t="str">
        <f>VLOOKUP(Cost_Structure[[#This Row],[Index]],Vehicle[#All],3,)</f>
        <v>Agarwal Sugandha Amit</v>
      </c>
      <c r="E8" t="str">
        <f>VLOOKUP(Cost_Structure[[#This Row],[Index]],Vehicle[#All],4,)</f>
        <v>Tata Ace</v>
      </c>
      <c r="F8" t="str">
        <f>VLOOKUP(Cost_Structure[[#This Row],[Index]],Vehicle_Ownership[#All],4,)</f>
        <v>EMI</v>
      </c>
      <c r="G8">
        <f>VLOOKUP(Cost_Structure[[#This Row],[Index]],Year_of_Purchase[#All],4,)</f>
        <v>2017</v>
      </c>
      <c r="H8" t="str">
        <f>VLOOKUP(Cost_Structure[[#This Row],[Vehicle]],Vehicle_Map[#All],2,)</f>
        <v>Tata Ace</v>
      </c>
      <c r="I8" s="19">
        <f>INDEX(Mileage[],MATCH(Cost_Structure[[#This Row],[OU Code]],Mileage[OU Code],0),MATCH(Cost_Structure[[#This Row],[Vehicle]],Mileage[#Headers],0))</f>
        <v>14</v>
      </c>
      <c r="J8" s="19">
        <f>INDEX(Capacity[],MATCH(Cost_Structure[[#This Row],[OU Code]],Capacity[OU Code],0),MATCH(Cost_Structure[[#This Row],[Vehicle]],Capacity[#Headers],0))</f>
        <v>0.75</v>
      </c>
      <c r="K8">
        <f>VLOOKUP(Cost_Structure[[#This Row],[OU Code]],KM_and_FuelCost[#All],2,)</f>
        <v>1600</v>
      </c>
      <c r="L8" s="20">
        <f>(Cost_Structure[[#This Row],[KM Travelled]]/Cost_Structure[[#This Row],[Mileage]])*VLOOKUP(Cost_Structure[[#This Row],[OU Code]],KM_and_FuelCost[#All],3,)</f>
        <v>10548.571428571429</v>
      </c>
      <c r="M8" s="20">
        <f>VLOOKUP(Cost_Structure[[#This Row],[Vehicle Name]],EMI[#All],5,)</f>
        <v>6090.9052802258566</v>
      </c>
      <c r="N8" s="20">
        <f>INDEX(Maintenance[],MATCH(Cost_Structure[[#This Row],[OU Code]],Maintenance[OU Code],0),MATCH(Cost_Structure[[#This Row],[Vehicle]],Maintenance[#Headers],0))</f>
        <v>5880</v>
      </c>
      <c r="O8" s="20">
        <f>Cost_Structure[[#This Row],[Fuel Cost]]+Cost_Structure[[#This Row],[EMI ]]+Cost_Structure[[#This Row],[Maintenance]]</f>
        <v>22519.476708797287</v>
      </c>
      <c r="P8" s="20">
        <v>36000</v>
      </c>
      <c r="Q8" s="20">
        <f>Cost_Structure[[#This Row],[Vehicle Cost]]+Cost_Structure[[#This Row],[Team Cost]]</f>
        <v>58519.476708797287</v>
      </c>
    </row>
    <row r="9" spans="1:17" x14ac:dyDescent="0.3">
      <c r="A9">
        <v>3</v>
      </c>
      <c r="B9" t="str">
        <f>VLOOKUP(Cost_Structure[[#This Row],[Index]],Vehicle[#All],2,)</f>
        <v>Vapi</v>
      </c>
      <c r="C9" t="str">
        <f>VLOOKUP(Cost_Structure[[#This Row],[BP Name]],OU_Map[#All],3,)</f>
        <v>VAPT1</v>
      </c>
      <c r="D9" t="str">
        <f>VLOOKUP(Cost_Structure[[#This Row],[Index]],Vehicle[#All],3,)</f>
        <v>Amit Ramesh Agarwal</v>
      </c>
      <c r="E9" t="str">
        <f>VLOOKUP(Cost_Structure[[#This Row],[Index]],Vehicle[#All],4,)</f>
        <v>14 ft</v>
      </c>
      <c r="F9" t="str">
        <f>VLOOKUP(Cost_Structure[[#This Row],[Index]],Vehicle_Ownership[#All],4,)</f>
        <v>Market</v>
      </c>
      <c r="G9">
        <f>VLOOKUP(Cost_Structure[[#This Row],[Index]],Year_of_Purchase[#All],4,)</f>
        <v>0</v>
      </c>
      <c r="H9" t="str">
        <f>VLOOKUP(Cost_Structure[[#This Row],[Vehicle]],Vehicle_Map[#All],2,)</f>
        <v>Eicher 14</v>
      </c>
      <c r="I9" s="19">
        <f>INDEX(Mileage[],MATCH(Cost_Structure[[#This Row],[OU Code]],Mileage[OU Code],0),MATCH(Cost_Structure[[#This Row],[Vehicle]],Mileage[#Headers],0))</f>
        <v>9</v>
      </c>
      <c r="J9" s="19">
        <f>INDEX(Capacity[],MATCH(Cost_Structure[[#This Row],[OU Code]],Capacity[OU Code],0),MATCH(Cost_Structure[[#This Row],[Vehicle]],Capacity[#Headers],0))</f>
        <v>2.5</v>
      </c>
      <c r="K9">
        <f>VLOOKUP(Cost_Structure[[#This Row],[OU Code]],KM_and_FuelCost[#All],2,)</f>
        <v>1600</v>
      </c>
      <c r="L9" s="20">
        <f>(Cost_Structure[[#This Row],[KM Travelled]]/Cost_Structure[[#This Row],[Mileage]])*VLOOKUP(Cost_Structure[[#This Row],[OU Code]],KM_and_FuelCost[#All],3,)</f>
        <v>16408.888888888887</v>
      </c>
      <c r="M9" s="20">
        <f>VLOOKUP(Cost_Structure[[#This Row],[Vehicle Name]],EMI[#All],5,)</f>
        <v>11420.447400423482</v>
      </c>
      <c r="N9" s="20">
        <f>INDEX(Maintenance[],MATCH(Cost_Structure[[#This Row],[OU Code]],Maintenance[OU Code],0),MATCH(Cost_Structure[[#This Row],[Vehicle]],Maintenance[#Headers],0))</f>
        <v>9580</v>
      </c>
      <c r="O9" s="20">
        <f>Cost_Structure[[#This Row],[Fuel Cost]]+Cost_Structure[[#This Row],[EMI ]]+Cost_Structure[[#This Row],[Maintenance]]</f>
        <v>37409.33628931237</v>
      </c>
      <c r="P9" s="20">
        <v>36000</v>
      </c>
      <c r="Q9" s="20">
        <f>Cost_Structure[[#This Row],[Vehicle Cost]]+Cost_Structure[[#This Row],[Team Cost]]</f>
        <v>73409.33628931237</v>
      </c>
    </row>
    <row r="10" spans="1:17" x14ac:dyDescent="0.3">
      <c r="A10">
        <v>4</v>
      </c>
      <c r="B10" t="str">
        <f>VLOOKUP(Cost_Structure[[#This Row],[Index]],Vehicle[#All],2,)</f>
        <v>Ahmedabad Branch</v>
      </c>
      <c r="C10" t="str">
        <f>VLOOKUP(Cost_Structure[[#This Row],[BP Name]],OU_Map[#All],3,)</f>
        <v>AMDT1</v>
      </c>
      <c r="D10" t="str">
        <f>VLOOKUP(Cost_Structure[[#This Row],[Index]],Vehicle[#All],3,)</f>
        <v>Ashish Saxena</v>
      </c>
      <c r="E10" t="str">
        <f>VLOOKUP(Cost_Structure[[#This Row],[Index]],Vehicle[#All],4,)</f>
        <v>17 ft</v>
      </c>
      <c r="F10" t="str">
        <f>VLOOKUP(Cost_Structure[[#This Row],[Index]],Vehicle_Ownership[#All],4,)</f>
        <v>EMI</v>
      </c>
      <c r="G10">
        <f>VLOOKUP(Cost_Structure[[#This Row],[Index]],Year_of_Purchase[#All],4,)</f>
        <v>2014</v>
      </c>
      <c r="H10" t="str">
        <f>VLOOKUP(Cost_Structure[[#This Row],[Vehicle]],Vehicle_Map[#All],2,)</f>
        <v>Eicher 17</v>
      </c>
      <c r="I10" s="19">
        <f>INDEX(Mileage[],MATCH(Cost_Structure[[#This Row],[OU Code]],Mileage[OU Code],0),MATCH(Cost_Structure[[#This Row],[Vehicle]],Mileage[#Headers],0))</f>
        <v>6.5525461364709248</v>
      </c>
      <c r="J10" s="19">
        <f>INDEX(Capacity[],MATCH(Cost_Structure[[#This Row],[OU Code]],Capacity[OU Code],0),MATCH(Cost_Structure[[#This Row],[Vehicle]],Capacity[#Headers],0))</f>
        <v>6.5900268382448797</v>
      </c>
      <c r="K10">
        <f>VLOOKUP(Cost_Structure[[#This Row],[OU Code]],KM_and_FuelCost[#All],2,)</f>
        <v>2900</v>
      </c>
      <c r="L10" s="20">
        <f>(Cost_Structure[[#This Row],[KM Travelled]]/Cost_Structure[[#This Row],[Mileage]])*VLOOKUP(Cost_Structure[[#This Row],[OU Code]],KM_and_FuelCost[#All],3,)</f>
        <v>44474.742564298867</v>
      </c>
      <c r="M10" s="20">
        <f>VLOOKUP(Cost_Structure[[#This Row],[Vehicle Name]],EMI[#All],5,)</f>
        <v>17511.352680649339</v>
      </c>
      <c r="N10" s="20">
        <f>INDEX(Maintenance[],MATCH(Cost_Structure[[#This Row],[OU Code]],Maintenance[OU Code],0),MATCH(Cost_Structure[[#This Row],[Vehicle]],Maintenance[#Headers],0))</f>
        <v>12500</v>
      </c>
      <c r="O10" s="20">
        <f>Cost_Structure[[#This Row],[Fuel Cost]]+Cost_Structure[[#This Row],[EMI ]]+Cost_Structure[[#This Row],[Maintenance]]</f>
        <v>74486.095244948199</v>
      </c>
      <c r="P10" s="20">
        <v>36000</v>
      </c>
      <c r="Q10" s="20">
        <f>Cost_Structure[[#This Row],[Vehicle Cost]]+Cost_Structure[[#This Row],[Team Cost]]</f>
        <v>110486.0952449482</v>
      </c>
    </row>
    <row r="11" spans="1:17" x14ac:dyDescent="0.3">
      <c r="A11">
        <v>5</v>
      </c>
      <c r="B11" t="str">
        <f>VLOOKUP(Cost_Structure[[#This Row],[Index]],Vehicle[#All],2,)</f>
        <v>Gandhi Nager</v>
      </c>
      <c r="C11" t="str">
        <f>VLOOKUP(Cost_Structure[[#This Row],[BP Name]],OU_Map[#All],3,)</f>
        <v>GNCB1</v>
      </c>
      <c r="D11" t="str">
        <f>VLOOKUP(Cost_Structure[[#This Row],[Index]],Vehicle[#All],3,)</f>
        <v>Ashok Kumar_Gncb1</v>
      </c>
      <c r="E11" t="str">
        <f>VLOOKUP(Cost_Structure[[#This Row],[Index]],Vehicle[#All],4,)</f>
        <v>Mahindra</v>
      </c>
      <c r="F11" t="str">
        <f>VLOOKUP(Cost_Structure[[#This Row],[Index]],Vehicle_Ownership[#All],4,)</f>
        <v>EMI</v>
      </c>
      <c r="G11">
        <f>VLOOKUP(Cost_Structure[[#This Row],[Index]],Year_of_Purchase[#All],4,)</f>
        <v>2019</v>
      </c>
      <c r="H11" t="str">
        <f>VLOOKUP(Cost_Structure[[#This Row],[Vehicle]],Vehicle_Map[#All],2,)</f>
        <v>Mahindra</v>
      </c>
      <c r="I11" s="19">
        <f>INDEX(Mileage[],MATCH(Cost_Structure[[#This Row],[OU Code]],Mileage[OU Code],0),MATCH(Cost_Structure[[#This Row],[Vehicle]],Mileage[#Headers],0))</f>
        <v>16.829787347508621</v>
      </c>
      <c r="J11" s="19">
        <f>INDEX(Capacity[],MATCH(Cost_Structure[[#This Row],[OU Code]],Capacity[OU Code],0),MATCH(Cost_Structure[[#This Row],[Vehicle]],Capacity[#Headers],0))</f>
        <v>1.3894248629666022</v>
      </c>
      <c r="K11">
        <f>VLOOKUP(Cost_Structure[[#This Row],[OU Code]],KM_and_FuelCost[#All],2,)</f>
        <v>2700</v>
      </c>
      <c r="L11" s="20">
        <f>(Cost_Structure[[#This Row],[KM Travelled]]/Cost_Structure[[#This Row],[Mileage]])*VLOOKUP(Cost_Structure[[#This Row],[OU Code]],KM_and_FuelCost[#All],3,)</f>
        <v>18194.528820724201</v>
      </c>
      <c r="M11" s="20">
        <f>VLOOKUP(Cost_Structure[[#This Row],[Vehicle Name]],EMI[#All],5,)</f>
        <v>11420.447400423482</v>
      </c>
      <c r="N11" s="20">
        <f>INDEX(Maintenance[],MATCH(Cost_Structure[[#This Row],[OU Code]],Maintenance[OU Code],0),MATCH(Cost_Structure[[#This Row],[Vehicle]],Maintenance[#Headers],0))</f>
        <v>8200</v>
      </c>
      <c r="O11" s="20">
        <f>Cost_Structure[[#This Row],[Fuel Cost]]+Cost_Structure[[#This Row],[EMI ]]+Cost_Structure[[#This Row],[Maintenance]]</f>
        <v>37814.976221147685</v>
      </c>
      <c r="P11" s="20">
        <v>36000</v>
      </c>
      <c r="Q11" s="20">
        <f>Cost_Structure[[#This Row],[Vehicle Cost]]+Cost_Structure[[#This Row],[Team Cost]]</f>
        <v>73814.976221147692</v>
      </c>
    </row>
    <row r="12" spans="1:17" x14ac:dyDescent="0.3">
      <c r="A12">
        <v>6</v>
      </c>
      <c r="B12" t="str">
        <f>VLOOKUP(Cost_Structure[[#This Row],[Index]],Vehicle[#All],2,)</f>
        <v>Rampura Branch</v>
      </c>
      <c r="C12" t="str">
        <f>VLOOKUP(Cost_Structure[[#This Row],[BP Name]],OU_Map[#All],3,)</f>
        <v>AMDBP</v>
      </c>
      <c r="D12" t="str">
        <f>VLOOKUP(Cost_Structure[[#This Row],[Index]],Vehicle[#All],3,)</f>
        <v>Belim Riyazuddin Mehboobbhai</v>
      </c>
      <c r="E12" t="str">
        <f>VLOOKUP(Cost_Structure[[#This Row],[Index]],Vehicle[#All],4,)</f>
        <v>AL Dost</v>
      </c>
      <c r="F12" t="str">
        <f>VLOOKUP(Cost_Structure[[#This Row],[Index]],Vehicle_Ownership[#All],4,)</f>
        <v>EMI</v>
      </c>
      <c r="G12">
        <f>VLOOKUP(Cost_Structure[[#This Row],[Index]],Year_of_Purchase[#All],4,)</f>
        <v>2016</v>
      </c>
      <c r="H12" t="str">
        <f>VLOOKUP(Cost_Structure[[#This Row],[Vehicle]],Vehicle_Map[#All],2,)</f>
        <v>AL Dost</v>
      </c>
      <c r="I12" s="19">
        <f>INDEX(Mileage[],MATCH(Cost_Structure[[#This Row],[OU Code]],Mileage[OU Code],0),MATCH(Cost_Structure[[#This Row],[Vehicle]],Mileage[#Headers],0))</f>
        <v>15.340744990271009</v>
      </c>
      <c r="J12" s="19">
        <f>INDEX(Capacity[],MATCH(Cost_Structure[[#This Row],[OU Code]],Capacity[OU Code],0),MATCH(Cost_Structure[[#This Row],[Vehicle]],Capacity[#Headers],0))</f>
        <v>1.5806763812306639</v>
      </c>
      <c r="K12">
        <f>VLOOKUP(Cost_Structure[[#This Row],[OU Code]],KM_and_FuelCost[#All],2,)</f>
        <v>2600</v>
      </c>
      <c r="L12" s="20">
        <f>(Cost_Structure[[#This Row],[KM Travelled]]/Cost_Structure[[#This Row],[Mileage]])*VLOOKUP(Cost_Structure[[#This Row],[OU Code]],KM_and_FuelCost[#All],3,)</f>
        <v>13701.339883206299</v>
      </c>
      <c r="M12" s="20">
        <f>VLOOKUP(Cost_Structure[[#This Row],[Vehicle Name]],EMI[#All],5,)</f>
        <v>7613.6316002823205</v>
      </c>
      <c r="N12" s="20">
        <f>INDEX(Maintenance[],MATCH(Cost_Structure[[#This Row],[OU Code]],Maintenance[OU Code],0),MATCH(Cost_Structure[[#This Row],[Vehicle]],Maintenance[#Headers],0))</f>
        <v>11400</v>
      </c>
      <c r="O12" s="20">
        <f>Cost_Structure[[#This Row],[Fuel Cost]]+Cost_Structure[[#This Row],[EMI ]]+Cost_Structure[[#This Row],[Maintenance]]</f>
        <v>32714.971483488618</v>
      </c>
      <c r="P12" s="20">
        <v>36000</v>
      </c>
      <c r="Q12" s="20">
        <f>Cost_Structure[[#This Row],[Vehicle Cost]]+Cost_Structure[[#This Row],[Team Cost]]</f>
        <v>68714.971483488625</v>
      </c>
    </row>
    <row r="13" spans="1:17" x14ac:dyDescent="0.3">
      <c r="A13">
        <v>7</v>
      </c>
      <c r="B13" t="str">
        <f>VLOOKUP(Cost_Structure[[#This Row],[Index]],Vehicle[#All],2,)</f>
        <v>Rampura Branch</v>
      </c>
      <c r="C13" t="str">
        <f>VLOOKUP(Cost_Structure[[#This Row],[BP Name]],OU_Map[#All],3,)</f>
        <v>AMDBP</v>
      </c>
      <c r="D13" t="str">
        <f>VLOOKUP(Cost_Structure[[#This Row],[Index]],Vehicle[#All],3,)</f>
        <v>Bharat Madhusing Lodha</v>
      </c>
      <c r="E13" t="str">
        <f>VLOOKUP(Cost_Structure[[#This Row],[Index]],Vehicle[#All],4,)</f>
        <v>Tata Ace</v>
      </c>
      <c r="F13" t="str">
        <f>VLOOKUP(Cost_Structure[[#This Row],[Index]],Vehicle_Ownership[#All],4,)</f>
        <v>EMI</v>
      </c>
      <c r="G13">
        <f>VLOOKUP(Cost_Structure[[#This Row],[Index]],Year_of_Purchase[#All],4,)</f>
        <v>2012</v>
      </c>
      <c r="H13" t="str">
        <f>VLOOKUP(Cost_Structure[[#This Row],[Vehicle]],Vehicle_Map[#All],2,)</f>
        <v>Tata Ace</v>
      </c>
      <c r="I13" s="19">
        <f>INDEX(Mileage[],MATCH(Cost_Structure[[#This Row],[OU Code]],Mileage[OU Code],0),MATCH(Cost_Structure[[#This Row],[Vehicle]],Mileage[#Headers],0))</f>
        <v>7.7853868200690899</v>
      </c>
      <c r="J13" s="19">
        <f>INDEX(Capacity[],MATCH(Cost_Structure[[#This Row],[OU Code]],Capacity[OU Code],0),MATCH(Cost_Structure[[#This Row],[Vehicle]],Capacity[#Headers],0))</f>
        <v>0.75264980525332092</v>
      </c>
      <c r="K13">
        <f>VLOOKUP(Cost_Structure[[#This Row],[OU Code]],KM_and_FuelCost[#All],2,)</f>
        <v>2600</v>
      </c>
      <c r="L13" s="20">
        <f>(Cost_Structure[[#This Row],[KM Travelled]]/Cost_Structure[[#This Row],[Mileage]])*VLOOKUP(Cost_Structure[[#This Row],[OU Code]],KM_and_FuelCost[#All],3,)</f>
        <v>26997.857143266792</v>
      </c>
      <c r="M13" s="20">
        <f>VLOOKUP(Cost_Structure[[#This Row],[Vehicle Name]],EMI[#All],5,)</f>
        <v>6090.9052802258566</v>
      </c>
      <c r="N13" s="20">
        <f>INDEX(Maintenance[],MATCH(Cost_Structure[[#This Row],[OU Code]],Maintenance[OU Code],0),MATCH(Cost_Structure[[#This Row],[Vehicle]],Maintenance[#Headers],0))</f>
        <v>6900</v>
      </c>
      <c r="O13" s="20">
        <f>Cost_Structure[[#This Row],[Fuel Cost]]+Cost_Structure[[#This Row],[EMI ]]+Cost_Structure[[#This Row],[Maintenance]]</f>
        <v>39988.762423492648</v>
      </c>
      <c r="P13" s="20">
        <v>36000</v>
      </c>
      <c r="Q13" s="20">
        <f>Cost_Structure[[#This Row],[Vehicle Cost]]+Cost_Structure[[#This Row],[Team Cost]]</f>
        <v>75988.762423492648</v>
      </c>
    </row>
    <row r="14" spans="1:17" x14ac:dyDescent="0.3">
      <c r="A14">
        <v>8</v>
      </c>
      <c r="B14" t="str">
        <f>VLOOKUP(Cost_Structure[[#This Row],[Index]],Vehicle[#All],2,)</f>
        <v>Jamnager</v>
      </c>
      <c r="C14" t="str">
        <f>VLOOKUP(Cost_Structure[[#This Row],[BP Name]],OU_Map[#All],3,)</f>
        <v>JGAB1</v>
      </c>
      <c r="D14" t="str">
        <f>VLOOKUP(Cost_Structure[[#This Row],[Index]],Vehicle[#All],3,)</f>
        <v>Denish B. Bavariya</v>
      </c>
      <c r="E14" t="str">
        <f>VLOOKUP(Cost_Structure[[#This Row],[Index]],Vehicle[#All],4,)</f>
        <v>Tata Ace</v>
      </c>
      <c r="F14" t="str">
        <f>VLOOKUP(Cost_Structure[[#This Row],[Index]],Vehicle_Ownership[#All],4,)</f>
        <v>EMI</v>
      </c>
      <c r="G14">
        <f>VLOOKUP(Cost_Structure[[#This Row],[Index]],Year_of_Purchase[#All],4,)</f>
        <v>2019</v>
      </c>
      <c r="H14" t="str">
        <f>VLOOKUP(Cost_Structure[[#This Row],[Vehicle]],Vehicle_Map[#All],2,)</f>
        <v>Tata Ace</v>
      </c>
      <c r="I14" s="19">
        <f>INDEX(Mileage[],MATCH(Cost_Structure[[#This Row],[OU Code]],Mileage[OU Code],0),MATCH(Cost_Structure[[#This Row],[Vehicle]],Mileage[#Headers],0))</f>
        <v>17.527489465012966</v>
      </c>
      <c r="J14" s="19">
        <f>INDEX(Capacity[],MATCH(Cost_Structure[[#This Row],[OU Code]],Capacity[OU Code],0),MATCH(Cost_Structure[[#This Row],[Vehicle]],Capacity[#Headers],0))</f>
        <v>0.78423707313208679</v>
      </c>
      <c r="K14">
        <f>VLOOKUP(Cost_Structure[[#This Row],[OU Code]],KM_and_FuelCost[#All],2,)</f>
        <v>1900</v>
      </c>
      <c r="L14" s="20">
        <f>(Cost_Structure[[#This Row],[KM Travelled]]/Cost_Structure[[#This Row],[Mileage]])*VLOOKUP(Cost_Structure[[#This Row],[OU Code]],KM_and_FuelCost[#All],3,)</f>
        <v>10865.739812694012</v>
      </c>
      <c r="M14" s="20">
        <f>VLOOKUP(Cost_Structure[[#This Row],[Vehicle Name]],EMI[#All],5,)</f>
        <v>6090.9052802258566</v>
      </c>
      <c r="N14" s="20">
        <f>INDEX(Maintenance[],MATCH(Cost_Structure[[#This Row],[OU Code]],Maintenance[OU Code],0),MATCH(Cost_Structure[[#This Row],[Vehicle]],Maintenance[#Headers],0))</f>
        <v>10700</v>
      </c>
      <c r="O14" s="20">
        <f>Cost_Structure[[#This Row],[Fuel Cost]]+Cost_Structure[[#This Row],[EMI ]]+Cost_Structure[[#This Row],[Maintenance]]</f>
        <v>27656.645092919869</v>
      </c>
      <c r="P14" s="20">
        <v>36000</v>
      </c>
      <c r="Q14" s="20">
        <f>Cost_Structure[[#This Row],[Vehicle Cost]]+Cost_Structure[[#This Row],[Team Cost]]</f>
        <v>63656.645092919869</v>
      </c>
    </row>
    <row r="15" spans="1:17" x14ac:dyDescent="0.3">
      <c r="A15">
        <v>9</v>
      </c>
      <c r="B15" t="str">
        <f>VLOOKUP(Cost_Structure[[#This Row],[Index]],Vehicle[#All],2,)</f>
        <v>Surat</v>
      </c>
      <c r="C15" t="str">
        <f>VLOOKUP(Cost_Structure[[#This Row],[BP Name]],OU_Map[#All],3,)</f>
        <v>STVT1</v>
      </c>
      <c r="D15" t="str">
        <f>VLOOKUP(Cost_Structure[[#This Row],[Index]],Vehicle[#All],3,)</f>
        <v>Devendar Vanga</v>
      </c>
      <c r="E15" t="str">
        <f>VLOOKUP(Cost_Structure[[#This Row],[Index]],Vehicle[#All],4,)</f>
        <v>14 ft</v>
      </c>
      <c r="F15" t="str">
        <f>VLOOKUP(Cost_Structure[[#This Row],[Index]],Vehicle_Ownership[#All],4,)</f>
        <v>EMI</v>
      </c>
      <c r="G15">
        <f>VLOOKUP(Cost_Structure[[#This Row],[Index]],Year_of_Purchase[#All],4,)</f>
        <v>2016</v>
      </c>
      <c r="H15" t="str">
        <f>VLOOKUP(Cost_Structure[[#This Row],[Vehicle]],Vehicle_Map[#All],2,)</f>
        <v>Eicher 14</v>
      </c>
      <c r="I15" s="19">
        <f>INDEX(Mileage[],MATCH(Cost_Structure[[#This Row],[OU Code]],Mileage[OU Code],0),MATCH(Cost_Structure[[#This Row],[Vehicle]],Mileage[#Headers],0))</f>
        <v>13.044642984582476</v>
      </c>
      <c r="J15" s="19">
        <f>INDEX(Capacity[],MATCH(Cost_Structure[[#This Row],[OU Code]],Capacity[OU Code],0),MATCH(Cost_Structure[[#This Row],[Vehicle]],Capacity[#Headers],0))</f>
        <v>2.042136553081618</v>
      </c>
      <c r="K15">
        <f>VLOOKUP(Cost_Structure[[#This Row],[OU Code]],KM_and_FuelCost[#All],2,)</f>
        <v>2900</v>
      </c>
      <c r="L15" s="20">
        <f>(Cost_Structure[[#This Row],[KM Travelled]]/Cost_Structure[[#This Row],[Mileage]])*VLOOKUP(Cost_Structure[[#This Row],[OU Code]],KM_and_FuelCost[#All],3,)</f>
        <v>22100.936769178697</v>
      </c>
      <c r="M15" s="20">
        <f>VLOOKUP(Cost_Structure[[#This Row],[Vehicle Name]],EMI[#All],5,)</f>
        <v>11420.447400423482</v>
      </c>
      <c r="N15" s="20">
        <f>INDEX(Maintenance[],MATCH(Cost_Structure[[#This Row],[OU Code]],Maintenance[OU Code],0),MATCH(Cost_Structure[[#This Row],[Vehicle]],Maintenance[#Headers],0))</f>
        <v>18700</v>
      </c>
      <c r="O15" s="20">
        <f>Cost_Structure[[#This Row],[Fuel Cost]]+Cost_Structure[[#This Row],[EMI ]]+Cost_Structure[[#This Row],[Maintenance]]</f>
        <v>52221.384169602177</v>
      </c>
      <c r="P15" s="20">
        <v>36000</v>
      </c>
      <c r="Q15" s="20">
        <f>Cost_Structure[[#This Row],[Vehicle Cost]]+Cost_Structure[[#This Row],[Team Cost]]</f>
        <v>88221.384169602185</v>
      </c>
    </row>
    <row r="16" spans="1:17" x14ac:dyDescent="0.3">
      <c r="A16">
        <v>10</v>
      </c>
      <c r="B16" t="str">
        <f>VLOOKUP(Cost_Structure[[#This Row],[Index]],Vehicle[#All],2,)</f>
        <v>Surat</v>
      </c>
      <c r="C16" t="str">
        <f>VLOOKUP(Cost_Structure[[#This Row],[BP Name]],OU_Map[#All],3,)</f>
        <v>STVT1</v>
      </c>
      <c r="D16" t="str">
        <f>VLOOKUP(Cost_Structure[[#This Row],[Index]],Vehicle[#All],3,)</f>
        <v>Devendar Vanga</v>
      </c>
      <c r="E16" t="str">
        <f>VLOOKUP(Cost_Structure[[#This Row],[Index]],Vehicle[#All],4,)</f>
        <v>17 ft</v>
      </c>
      <c r="F16" t="str">
        <f>VLOOKUP(Cost_Structure[[#This Row],[Index]],Vehicle_Ownership[#All],4,)</f>
        <v>EMI</v>
      </c>
      <c r="G16">
        <f>VLOOKUP(Cost_Structure[[#This Row],[Index]],Year_of_Purchase[#All],4,)</f>
        <v>2017</v>
      </c>
      <c r="H16" t="str">
        <f>VLOOKUP(Cost_Structure[[#This Row],[Vehicle]],Vehicle_Map[#All],2,)</f>
        <v>Eicher 17</v>
      </c>
      <c r="I16" s="19">
        <f>INDEX(Mileage[],MATCH(Cost_Structure[[#This Row],[OU Code]],Mileage[OU Code],0),MATCH(Cost_Structure[[#This Row],[Vehicle]],Mileage[#Headers],0))</f>
        <v>7.7766332599738792</v>
      </c>
      <c r="J16" s="19">
        <f>INDEX(Capacity[],MATCH(Cost_Structure[[#This Row],[OU Code]],Capacity[OU Code],0),MATCH(Cost_Structure[[#This Row],[Vehicle]],Capacity[#Headers],0))</f>
        <v>5.1635046388777424</v>
      </c>
      <c r="K16">
        <f>VLOOKUP(Cost_Structure[[#This Row],[OU Code]],KM_and_FuelCost[#All],2,)</f>
        <v>2900</v>
      </c>
      <c r="L16" s="20">
        <f>(Cost_Structure[[#This Row],[KM Travelled]]/Cost_Structure[[#This Row],[Mileage]])*VLOOKUP(Cost_Structure[[#This Row],[OU Code]],KM_and_FuelCost[#All],3,)</f>
        <v>37072.44769566723</v>
      </c>
      <c r="M16" s="20">
        <f>VLOOKUP(Cost_Structure[[#This Row],[Vehicle Name]],EMI[#All],5,)</f>
        <v>17511.352680649339</v>
      </c>
      <c r="N16" s="20">
        <f>INDEX(Maintenance[],MATCH(Cost_Structure[[#This Row],[OU Code]],Maintenance[OU Code],0),MATCH(Cost_Structure[[#This Row],[Vehicle]],Maintenance[#Headers],0))</f>
        <v>15600</v>
      </c>
      <c r="O16" s="20">
        <f>Cost_Structure[[#This Row],[Fuel Cost]]+Cost_Structure[[#This Row],[EMI ]]+Cost_Structure[[#This Row],[Maintenance]]</f>
        <v>70183.800376316562</v>
      </c>
      <c r="P16" s="20">
        <v>36000</v>
      </c>
      <c r="Q16" s="20">
        <f>Cost_Structure[[#This Row],[Vehicle Cost]]+Cost_Structure[[#This Row],[Team Cost]]</f>
        <v>106183.80037631656</v>
      </c>
    </row>
    <row r="17" spans="1:17" x14ac:dyDescent="0.3">
      <c r="A17">
        <v>11</v>
      </c>
      <c r="B17" t="str">
        <f>VLOOKUP(Cost_Structure[[#This Row],[Index]],Vehicle[#All],2,)</f>
        <v>Surat</v>
      </c>
      <c r="C17" t="str">
        <f>VLOOKUP(Cost_Structure[[#This Row],[BP Name]],OU_Map[#All],3,)</f>
        <v>STVT1</v>
      </c>
      <c r="D17" t="str">
        <f>VLOOKUP(Cost_Structure[[#This Row],[Index]],Vehicle[#All],3,)</f>
        <v>Devendar Vanga</v>
      </c>
      <c r="E17" t="str">
        <f>VLOOKUP(Cost_Structure[[#This Row],[Index]],Vehicle[#All],4,)</f>
        <v>22 ft</v>
      </c>
      <c r="F17" t="str">
        <f>VLOOKUP(Cost_Structure[[#This Row],[Index]],Vehicle_Ownership[#All],4,)</f>
        <v>Market</v>
      </c>
      <c r="G17">
        <f>VLOOKUP(Cost_Structure[[#This Row],[Index]],Year_of_Purchase[#All],4,)</f>
        <v>0</v>
      </c>
      <c r="H17" t="str">
        <f>VLOOKUP(Cost_Structure[[#This Row],[Vehicle]],Vehicle_Map[#All],2,)</f>
        <v>22 ft</v>
      </c>
      <c r="I17" s="19">
        <f>INDEX(Mileage[],MATCH(Cost_Structure[[#This Row],[OU Code]],Mileage[OU Code],0),MATCH(Cost_Structure[[#This Row],[Vehicle]],Mileage[#Headers],0))</f>
        <v>6.653749290515103</v>
      </c>
      <c r="J17" s="19">
        <f>INDEX(Capacity[],MATCH(Cost_Structure[[#This Row],[OU Code]],Capacity[OU Code],0),MATCH(Cost_Structure[[#This Row],[Vehicle]],Capacity[#Headers],0))</f>
        <v>8.2407106661901022</v>
      </c>
      <c r="K17">
        <f>VLOOKUP(Cost_Structure[[#This Row],[OU Code]],KM_and_FuelCost[#All],2,)</f>
        <v>2900</v>
      </c>
      <c r="L17" s="20">
        <f>(Cost_Structure[[#This Row],[KM Travelled]]/Cost_Structure[[#This Row],[Mileage]])*VLOOKUP(Cost_Structure[[#This Row],[OU Code]],KM_and_FuelCost[#All],3,)</f>
        <v>43328.778586493601</v>
      </c>
      <c r="M17" s="20">
        <f>VLOOKUP(Cost_Structure[[#This Row],[Vehicle Name]],EMI[#All],5,)</f>
        <v>21318.1684807905</v>
      </c>
      <c r="N17" s="20">
        <f>INDEX(Maintenance[],MATCH(Cost_Structure[[#This Row],[OU Code]],Maintenance[OU Code],0),MATCH(Cost_Structure[[#This Row],[Vehicle]],Maintenance[#Headers],0))</f>
        <v>22100</v>
      </c>
      <c r="O17" s="20">
        <f>Cost_Structure[[#This Row],[Fuel Cost]]+Cost_Structure[[#This Row],[EMI ]]+Cost_Structure[[#This Row],[Maintenance]]</f>
        <v>86746.947067284098</v>
      </c>
      <c r="P17" s="20">
        <v>36000</v>
      </c>
      <c r="Q17" s="20">
        <f>Cost_Structure[[#This Row],[Vehicle Cost]]+Cost_Structure[[#This Row],[Team Cost]]</f>
        <v>122746.9470672841</v>
      </c>
    </row>
    <row r="18" spans="1:17" x14ac:dyDescent="0.3">
      <c r="A18">
        <v>12</v>
      </c>
      <c r="B18" t="str">
        <f>VLOOKUP(Cost_Structure[[#This Row],[Index]],Vehicle[#All],2,)</f>
        <v>Vadodara</v>
      </c>
      <c r="C18" t="str">
        <f>VLOOKUP(Cost_Structure[[#This Row],[BP Name]],OU_Map[#All],3,)</f>
        <v>BDQT1</v>
      </c>
      <c r="D18" t="str">
        <f>VLOOKUP(Cost_Structure[[#This Row],[Index]],Vehicle[#All],3,)</f>
        <v>Devendra R. Mistry</v>
      </c>
      <c r="E18" t="str">
        <f>VLOOKUP(Cost_Structure[[#This Row],[Index]],Vehicle[#All],4,)</f>
        <v>Tata Ace</v>
      </c>
      <c r="F18" t="str">
        <f>VLOOKUP(Cost_Structure[[#This Row],[Index]],Vehicle_Ownership[#All],4,)</f>
        <v>Owned</v>
      </c>
      <c r="G18">
        <f>VLOOKUP(Cost_Structure[[#This Row],[Index]],Year_of_Purchase[#All],4,)</f>
        <v>2016</v>
      </c>
      <c r="H18" t="str">
        <f>VLOOKUP(Cost_Structure[[#This Row],[Vehicle]],Vehicle_Map[#All],2,)</f>
        <v>Tata Ace</v>
      </c>
      <c r="I18" s="19">
        <f>INDEX(Mileage[],MATCH(Cost_Structure[[#This Row],[OU Code]],Mileage[OU Code],0),MATCH(Cost_Structure[[#This Row],[Vehicle]],Mileage[#Headers],0))</f>
        <v>18.889971546597494</v>
      </c>
      <c r="J18" s="19">
        <f>INDEX(Capacity[],MATCH(Cost_Structure[[#This Row],[OU Code]],Capacity[OU Code],0),MATCH(Cost_Structure[[#This Row],[Vehicle]],Capacity[#Headers],0))</f>
        <v>0.79022382032227789</v>
      </c>
      <c r="K18">
        <f>VLOOKUP(Cost_Structure[[#This Row],[OU Code]],KM_and_FuelCost[#All],2,)</f>
        <v>3000</v>
      </c>
      <c r="L18" s="20">
        <f>(Cost_Structure[[#This Row],[KM Travelled]]/Cost_Structure[[#This Row],[Mileage]])*VLOOKUP(Cost_Structure[[#This Row],[OU Code]],KM_and_FuelCost[#All],3,)</f>
        <v>12476.910857713416</v>
      </c>
      <c r="M18" s="20">
        <f>VLOOKUP(Cost_Structure[[#This Row],[Vehicle Name]],EMI[#All],5,)</f>
        <v>6090.9052802258566</v>
      </c>
      <c r="N18" s="20">
        <f>INDEX(Maintenance[],MATCH(Cost_Structure[[#This Row],[OU Code]],Maintenance[OU Code],0),MATCH(Cost_Structure[[#This Row],[Vehicle]],Maintenance[#Headers],0))</f>
        <v>10700</v>
      </c>
      <c r="O18" s="20">
        <f>Cost_Structure[[#This Row],[Fuel Cost]]+Cost_Structure[[#This Row],[EMI ]]+Cost_Structure[[#This Row],[Maintenance]]</f>
        <v>29267.816137939273</v>
      </c>
      <c r="P18" s="20">
        <v>36000</v>
      </c>
      <c r="Q18" s="20">
        <f>Cost_Structure[[#This Row],[Vehicle Cost]]+Cost_Structure[[#This Row],[Team Cost]]</f>
        <v>65267.81613793927</v>
      </c>
    </row>
    <row r="19" spans="1:17" x14ac:dyDescent="0.3">
      <c r="A19">
        <v>13</v>
      </c>
      <c r="B19" t="str">
        <f>VLOOKUP(Cost_Structure[[#This Row],[Index]],Vehicle[#All],2,)</f>
        <v>Ahmmedabad City</v>
      </c>
      <c r="C19" t="str">
        <f>VLOOKUP(Cost_Structure[[#This Row],[BP Name]],OU_Map[#All],3,)</f>
        <v>AMDBL</v>
      </c>
      <c r="D19" t="str">
        <f>VLOOKUP(Cost_Structure[[#This Row],[Index]],Vehicle[#All],3,)</f>
        <v>Dharmendra Sharma</v>
      </c>
      <c r="E19" t="str">
        <f>VLOOKUP(Cost_Structure[[#This Row],[Index]],Vehicle[#All],4,)</f>
        <v>14 ft</v>
      </c>
      <c r="F19" t="str">
        <f>VLOOKUP(Cost_Structure[[#This Row],[Index]],Vehicle_Ownership[#All],4,)</f>
        <v>EMI</v>
      </c>
      <c r="G19">
        <f>VLOOKUP(Cost_Structure[[#This Row],[Index]],Year_of_Purchase[#All],4,)</f>
        <v>2013</v>
      </c>
      <c r="H19" t="str">
        <f>VLOOKUP(Cost_Structure[[#This Row],[Vehicle]],Vehicle_Map[#All],2,)</f>
        <v>Eicher 14</v>
      </c>
      <c r="I19" s="19">
        <f>INDEX(Mileage[],MATCH(Cost_Structure[[#This Row],[OU Code]],Mileage[OU Code],0),MATCH(Cost_Structure[[#This Row],[Vehicle]],Mileage[#Headers],0))</f>
        <v>9.095012736983012</v>
      </c>
      <c r="J19" s="19">
        <f>INDEX(Capacity[],MATCH(Cost_Structure[[#This Row],[OU Code]],Capacity[OU Code],0),MATCH(Cost_Structure[[#This Row],[Vehicle]],Capacity[#Headers],0))</f>
        <v>2.4855141620694923</v>
      </c>
      <c r="K19">
        <f>VLOOKUP(Cost_Structure[[#This Row],[OU Code]],KM_and_FuelCost[#All],2,)</f>
        <v>1800</v>
      </c>
      <c r="L19" s="20">
        <f>(Cost_Structure[[#This Row],[KM Travelled]]/Cost_Structure[[#This Row],[Mileage]])*VLOOKUP(Cost_Structure[[#This Row],[OU Code]],KM_and_FuelCost[#All],3,)</f>
        <v>18718.663328438746</v>
      </c>
      <c r="M19" s="20">
        <f>VLOOKUP(Cost_Structure[[#This Row],[Vehicle Name]],EMI[#All],5,)</f>
        <v>11420.447400423482</v>
      </c>
      <c r="N19" s="20">
        <f>INDEX(Maintenance[],MATCH(Cost_Structure[[#This Row],[OU Code]],Maintenance[OU Code],0),MATCH(Cost_Structure[[#This Row],[Vehicle]],Maintenance[#Headers],0))</f>
        <v>12000</v>
      </c>
      <c r="O19" s="20">
        <f>Cost_Structure[[#This Row],[Fuel Cost]]+Cost_Structure[[#This Row],[EMI ]]+Cost_Structure[[#This Row],[Maintenance]]</f>
        <v>42139.11072886223</v>
      </c>
      <c r="P19" s="20">
        <v>36000</v>
      </c>
      <c r="Q19" s="20">
        <f>Cost_Structure[[#This Row],[Vehicle Cost]]+Cost_Structure[[#This Row],[Team Cost]]</f>
        <v>78139.11072886223</v>
      </c>
    </row>
    <row r="20" spans="1:17" x14ac:dyDescent="0.3">
      <c r="A20">
        <v>14</v>
      </c>
      <c r="B20" t="str">
        <f>VLOOKUP(Cost_Structure[[#This Row],[Index]],Vehicle[#All],2,)</f>
        <v>Ahmmedabad City</v>
      </c>
      <c r="C20" t="str">
        <f>VLOOKUP(Cost_Structure[[#This Row],[BP Name]],OU_Map[#All],3,)</f>
        <v>AMDBL</v>
      </c>
      <c r="D20" t="str">
        <f>VLOOKUP(Cost_Structure[[#This Row],[Index]],Vehicle[#All],3,)</f>
        <v>Dharmendra Sharma</v>
      </c>
      <c r="E20" t="str">
        <f>VLOOKUP(Cost_Structure[[#This Row],[Index]],Vehicle[#All],4,)</f>
        <v>19 ft</v>
      </c>
      <c r="F20" t="str">
        <f>VLOOKUP(Cost_Structure[[#This Row],[Index]],Vehicle_Ownership[#All],4,)</f>
        <v>Market</v>
      </c>
      <c r="G20">
        <f>VLOOKUP(Cost_Structure[[#This Row],[Index]],Year_of_Purchase[#All],4,)</f>
        <v>0</v>
      </c>
      <c r="H20" t="str">
        <f>VLOOKUP(Cost_Structure[[#This Row],[Vehicle]],Vehicle_Map[#All],2,)</f>
        <v>Eicher 19</v>
      </c>
      <c r="I20" s="19">
        <f>INDEX(Mileage[],MATCH(Cost_Structure[[#This Row],[OU Code]],Mileage[OU Code],0),MATCH(Cost_Structure[[#This Row],[Vehicle]],Mileage[#Headers],0))</f>
        <v>3.5462174548919334</v>
      </c>
      <c r="J20" s="19">
        <f>INDEX(Capacity[],MATCH(Cost_Structure[[#This Row],[OU Code]],Capacity[OU Code],0),MATCH(Cost_Structure[[#This Row],[Vehicle]],Capacity[#Headers],0))</f>
        <v>8.6536756158497194</v>
      </c>
      <c r="K20">
        <f>VLOOKUP(Cost_Structure[[#This Row],[OU Code]],KM_and_FuelCost[#All],2,)</f>
        <v>1800</v>
      </c>
      <c r="L20" s="20">
        <f>(Cost_Structure[[#This Row],[KM Travelled]]/Cost_Structure[[#This Row],[Mileage]])*VLOOKUP(Cost_Structure[[#This Row],[OU Code]],KM_and_FuelCost[#All],3,)</f>
        <v>48007.908019457667</v>
      </c>
      <c r="M20" s="20">
        <f>VLOOKUP(Cost_Structure[[#This Row],[Vehicle Name]],EMI[#All],5,)</f>
        <v>17511.352680649339</v>
      </c>
      <c r="N20" s="20">
        <f>INDEX(Maintenance[],MATCH(Cost_Structure[[#This Row],[OU Code]],Maintenance[OU Code],0),MATCH(Cost_Structure[[#This Row],[Vehicle]],Maintenance[#Headers],0))</f>
        <v>19000</v>
      </c>
      <c r="O20" s="20">
        <f>Cost_Structure[[#This Row],[Fuel Cost]]+Cost_Structure[[#This Row],[EMI ]]+Cost_Structure[[#This Row],[Maintenance]]</f>
        <v>84519.260700106999</v>
      </c>
      <c r="P20" s="20">
        <v>36000</v>
      </c>
      <c r="Q20" s="20">
        <f>Cost_Structure[[#This Row],[Vehicle Cost]]+Cost_Structure[[#This Row],[Team Cost]]</f>
        <v>120519.260700107</v>
      </c>
    </row>
    <row r="21" spans="1:17" x14ac:dyDescent="0.3">
      <c r="A21">
        <v>15</v>
      </c>
      <c r="B21" t="str">
        <f>VLOOKUP(Cost_Structure[[#This Row],[Index]],Vehicle[#All],2,)</f>
        <v>Sanand</v>
      </c>
      <c r="C21" t="str">
        <f>VLOOKUP(Cost_Structure[[#This Row],[BP Name]],OU_Map[#All],3,)</f>
        <v>AMDBC</v>
      </c>
      <c r="D21" t="str">
        <f>VLOOKUP(Cost_Structure[[#This Row],[Index]],Vehicle[#All],3,)</f>
        <v>Dineshbhai Mohanbhai Solanki</v>
      </c>
      <c r="E21" t="str">
        <f>VLOOKUP(Cost_Structure[[#This Row],[Index]],Vehicle[#All],4,)</f>
        <v>Tata Ace</v>
      </c>
      <c r="F21" t="str">
        <f>VLOOKUP(Cost_Structure[[#This Row],[Index]],Vehicle_Ownership[#All],4,)</f>
        <v>EMI</v>
      </c>
      <c r="G21">
        <f>VLOOKUP(Cost_Structure[[#This Row],[Index]],Year_of_Purchase[#All],4,)</f>
        <v>2020</v>
      </c>
      <c r="H21" t="str">
        <f>VLOOKUP(Cost_Structure[[#This Row],[Vehicle]],Vehicle_Map[#All],2,)</f>
        <v>Tata Ace</v>
      </c>
      <c r="I21" s="19">
        <f>INDEX(Mileage[],MATCH(Cost_Structure[[#This Row],[OU Code]],Mileage[OU Code],0),MATCH(Cost_Structure[[#This Row],[Vehicle]],Mileage[#Headers],0))</f>
        <v>17.157710528177709</v>
      </c>
      <c r="J21" s="19">
        <f>INDEX(Capacity[],MATCH(Cost_Structure[[#This Row],[OU Code]],Capacity[OU Code],0),MATCH(Cost_Structure[[#This Row],[Vehicle]],Capacity[#Headers],0))</f>
        <v>1.0426350561035722</v>
      </c>
      <c r="K21">
        <f>VLOOKUP(Cost_Structure[[#This Row],[OU Code]],KM_and_FuelCost[#All],2,)</f>
        <v>3100</v>
      </c>
      <c r="L21" s="20">
        <f>(Cost_Structure[[#This Row],[KM Travelled]]/Cost_Structure[[#This Row],[Mileage]])*VLOOKUP(Cost_Structure[[#This Row],[OU Code]],KM_and_FuelCost[#All],3,)</f>
        <v>16815.46394439719</v>
      </c>
      <c r="M21" s="20">
        <f>VLOOKUP(Cost_Structure[[#This Row],[Vehicle Name]],EMI[#All],5,)</f>
        <v>6090.9052802258566</v>
      </c>
      <c r="N21" s="20">
        <f>INDEX(Maintenance[],MATCH(Cost_Structure[[#This Row],[OU Code]],Maintenance[OU Code],0),MATCH(Cost_Structure[[#This Row],[Vehicle]],Maintenance[#Headers],0))</f>
        <v>11800</v>
      </c>
      <c r="O21" s="20">
        <f>Cost_Structure[[#This Row],[Fuel Cost]]+Cost_Structure[[#This Row],[EMI ]]+Cost_Structure[[#This Row],[Maintenance]]</f>
        <v>34706.369224623049</v>
      </c>
      <c r="P21" s="20">
        <v>36000</v>
      </c>
      <c r="Q21" s="20">
        <f>Cost_Structure[[#This Row],[Vehicle Cost]]+Cost_Structure[[#This Row],[Team Cost]]</f>
        <v>70706.369224623049</v>
      </c>
    </row>
    <row r="22" spans="1:17" x14ac:dyDescent="0.3">
      <c r="A22">
        <v>16</v>
      </c>
      <c r="B22" t="str">
        <f>VLOOKUP(Cost_Structure[[#This Row],[Index]],Vehicle[#All],2,)</f>
        <v>Vapi</v>
      </c>
      <c r="C22" t="str">
        <f>VLOOKUP(Cost_Structure[[#This Row],[BP Name]],OU_Map[#All],3,)</f>
        <v>VAPT1</v>
      </c>
      <c r="D22" t="str">
        <f>VLOOKUP(Cost_Structure[[#This Row],[Index]],Vehicle[#All],3,)</f>
        <v>Ekta Agarwal</v>
      </c>
      <c r="E22" t="str">
        <f>VLOOKUP(Cost_Structure[[#This Row],[Index]],Vehicle[#All],4,)</f>
        <v>Tata Ace</v>
      </c>
      <c r="F22" t="str">
        <f>VLOOKUP(Cost_Structure[[#This Row],[Index]],Vehicle_Ownership[#All],4,)</f>
        <v>EMI</v>
      </c>
      <c r="G22">
        <f>VLOOKUP(Cost_Structure[[#This Row],[Index]],Year_of_Purchase[#All],4,)</f>
        <v>2010</v>
      </c>
      <c r="H22" t="str">
        <f>VLOOKUP(Cost_Structure[[#This Row],[Vehicle]],Vehicle_Map[#All],2,)</f>
        <v>Tata Ace</v>
      </c>
      <c r="I22" s="19">
        <f>INDEX(Mileage[],MATCH(Cost_Structure[[#This Row],[OU Code]],Mileage[OU Code],0),MATCH(Cost_Structure[[#This Row],[Vehicle]],Mileage[#Headers],0))</f>
        <v>14</v>
      </c>
      <c r="J22" s="19">
        <f>INDEX(Capacity[],MATCH(Cost_Structure[[#This Row],[OU Code]],Capacity[OU Code],0),MATCH(Cost_Structure[[#This Row],[Vehicle]],Capacity[#Headers],0))</f>
        <v>0.75</v>
      </c>
      <c r="K22">
        <f>VLOOKUP(Cost_Structure[[#This Row],[OU Code]],KM_and_FuelCost[#All],2,)</f>
        <v>1600</v>
      </c>
      <c r="L22" s="20">
        <f>(Cost_Structure[[#This Row],[KM Travelled]]/Cost_Structure[[#This Row],[Mileage]])*VLOOKUP(Cost_Structure[[#This Row],[OU Code]],KM_and_FuelCost[#All],3,)</f>
        <v>10548.571428571429</v>
      </c>
      <c r="M22" s="20">
        <f>VLOOKUP(Cost_Structure[[#This Row],[Vehicle Name]],EMI[#All],5,)</f>
        <v>6090.9052802258566</v>
      </c>
      <c r="N22" s="20">
        <f>INDEX(Maintenance[],MATCH(Cost_Structure[[#This Row],[OU Code]],Maintenance[OU Code],0),MATCH(Cost_Structure[[#This Row],[Vehicle]],Maintenance[#Headers],0))</f>
        <v>5880</v>
      </c>
      <c r="O22" s="20">
        <f>Cost_Structure[[#This Row],[Fuel Cost]]+Cost_Structure[[#This Row],[EMI ]]+Cost_Structure[[#This Row],[Maintenance]]</f>
        <v>22519.476708797287</v>
      </c>
      <c r="P22" s="20">
        <v>36000</v>
      </c>
      <c r="Q22" s="20">
        <f>Cost_Structure[[#This Row],[Vehicle Cost]]+Cost_Structure[[#This Row],[Team Cost]]</f>
        <v>58519.476708797287</v>
      </c>
    </row>
    <row r="23" spans="1:17" x14ac:dyDescent="0.3">
      <c r="A23">
        <v>17</v>
      </c>
      <c r="B23" t="str">
        <f>VLOOKUP(Cost_Structure[[#This Row],[Index]],Vehicle[#All],2,)</f>
        <v>Rajkot</v>
      </c>
      <c r="C23" t="str">
        <f>VLOOKUP(Cost_Structure[[#This Row],[BP Name]],OU_Map[#All],3,)</f>
        <v>RAJB1</v>
      </c>
      <c r="D23" t="str">
        <f>VLOOKUP(Cost_Structure[[#This Row],[Index]],Vehicle[#All],3,)</f>
        <v>Faizila Theba</v>
      </c>
      <c r="E23" t="str">
        <f>VLOOKUP(Cost_Structure[[#This Row],[Index]],Vehicle[#All],4,)</f>
        <v>Super ace</v>
      </c>
      <c r="F23" t="str">
        <f>VLOOKUP(Cost_Structure[[#This Row],[Index]],Vehicle_Ownership[#All],4,)</f>
        <v>Owned</v>
      </c>
      <c r="G23">
        <f>VLOOKUP(Cost_Structure[[#This Row],[Index]],Year_of_Purchase[#All],4,)</f>
        <v>2019</v>
      </c>
      <c r="H23" t="str">
        <f>VLOOKUP(Cost_Structure[[#This Row],[Vehicle]],Vehicle_Map[#All],2,)</f>
        <v>Super ace</v>
      </c>
      <c r="I23" s="19">
        <f>INDEX(Mileage[],MATCH(Cost_Structure[[#This Row],[OU Code]],Mileage[OU Code],0),MATCH(Cost_Structure[[#This Row],[Vehicle]],Mileage[#Headers],0))</f>
        <v>17.582051377297987</v>
      </c>
      <c r="J23" s="19">
        <f>INDEX(Capacity[],MATCH(Cost_Structure[[#This Row],[OU Code]],Capacity[OU Code],0),MATCH(Cost_Structure[[#This Row],[Vehicle]],Capacity[#Headers],0))</f>
        <v>1.1466290648202664</v>
      </c>
      <c r="K23">
        <f>VLOOKUP(Cost_Structure[[#This Row],[OU Code]],KM_and_FuelCost[#All],2,)</f>
        <v>1800</v>
      </c>
      <c r="L23" s="20">
        <f>(Cost_Structure[[#This Row],[KM Travelled]]/Cost_Structure[[#This Row],[Mileage]])*VLOOKUP(Cost_Structure[[#This Row],[OU Code]],KM_and_FuelCost[#All],3,)</f>
        <v>9285.0019192570508</v>
      </c>
      <c r="M23" s="20">
        <f>VLOOKUP(Cost_Structure[[#This Row],[Vehicle Name]],EMI[#All],5,)</f>
        <v>8374.9947603105538</v>
      </c>
      <c r="N23" s="20">
        <f>INDEX(Maintenance[],MATCH(Cost_Structure[[#This Row],[OU Code]],Maintenance[OU Code],0),MATCH(Cost_Structure[[#This Row],[Vehicle]],Maintenance[#Headers],0))</f>
        <v>9900</v>
      </c>
      <c r="O23" s="20">
        <f>Cost_Structure[[#This Row],[Fuel Cost]]+Cost_Structure[[#This Row],[EMI ]]+Cost_Structure[[#This Row],[Maintenance]]</f>
        <v>27559.996679567605</v>
      </c>
      <c r="P23" s="20">
        <v>36000</v>
      </c>
      <c r="Q23" s="20">
        <f>Cost_Structure[[#This Row],[Vehicle Cost]]+Cost_Structure[[#This Row],[Team Cost]]</f>
        <v>63559.996679567601</v>
      </c>
    </row>
    <row r="24" spans="1:17" x14ac:dyDescent="0.3">
      <c r="A24">
        <v>18</v>
      </c>
      <c r="B24" t="str">
        <f>VLOOKUP(Cost_Structure[[#This Row],[Index]],Vehicle[#All],2,)</f>
        <v>Gandhi Nager</v>
      </c>
      <c r="C24" t="str">
        <f>VLOOKUP(Cost_Structure[[#This Row],[BP Name]],OU_Map[#All],3,)</f>
        <v>GNCB1</v>
      </c>
      <c r="D24" t="str">
        <f>VLOOKUP(Cost_Structure[[#This Row],[Index]],Vehicle[#All],3,)</f>
        <v>Gajrajsingh B Rathod</v>
      </c>
      <c r="E24" t="str">
        <f>VLOOKUP(Cost_Structure[[#This Row],[Index]],Vehicle[#All],4,)</f>
        <v>Mahindra</v>
      </c>
      <c r="F24" t="str">
        <f>VLOOKUP(Cost_Structure[[#This Row],[Index]],Vehicle_Ownership[#All],4,)</f>
        <v>EMI</v>
      </c>
      <c r="G24">
        <f>VLOOKUP(Cost_Structure[[#This Row],[Index]],Year_of_Purchase[#All],4,)</f>
        <v>2019</v>
      </c>
      <c r="H24" t="str">
        <f>VLOOKUP(Cost_Structure[[#This Row],[Vehicle]],Vehicle_Map[#All],2,)</f>
        <v>Mahindra</v>
      </c>
      <c r="I24" s="19">
        <f>INDEX(Mileage[],MATCH(Cost_Structure[[#This Row],[OU Code]],Mileage[OU Code],0),MATCH(Cost_Structure[[#This Row],[Vehicle]],Mileage[#Headers],0))</f>
        <v>16.829787347508621</v>
      </c>
      <c r="J24" s="19">
        <f>INDEX(Capacity[],MATCH(Cost_Structure[[#This Row],[OU Code]],Capacity[OU Code],0),MATCH(Cost_Structure[[#This Row],[Vehicle]],Capacity[#Headers],0))</f>
        <v>1.3894248629666022</v>
      </c>
      <c r="K24">
        <f>VLOOKUP(Cost_Structure[[#This Row],[OU Code]],KM_and_FuelCost[#All],2,)</f>
        <v>2700</v>
      </c>
      <c r="L24" s="20">
        <f>(Cost_Structure[[#This Row],[KM Travelled]]/Cost_Structure[[#This Row],[Mileage]])*VLOOKUP(Cost_Structure[[#This Row],[OU Code]],KM_and_FuelCost[#All],3,)</f>
        <v>18194.528820724201</v>
      </c>
      <c r="M24" s="20">
        <f>VLOOKUP(Cost_Structure[[#This Row],[Vehicle Name]],EMI[#All],5,)</f>
        <v>11420.447400423482</v>
      </c>
      <c r="N24" s="20">
        <f>INDEX(Maintenance[],MATCH(Cost_Structure[[#This Row],[OU Code]],Maintenance[OU Code],0),MATCH(Cost_Structure[[#This Row],[Vehicle]],Maintenance[#Headers],0))</f>
        <v>8200</v>
      </c>
      <c r="O24" s="20">
        <f>Cost_Structure[[#This Row],[Fuel Cost]]+Cost_Structure[[#This Row],[EMI ]]+Cost_Structure[[#This Row],[Maintenance]]</f>
        <v>37814.976221147685</v>
      </c>
      <c r="P24" s="20">
        <v>36000</v>
      </c>
      <c r="Q24" s="20">
        <f>Cost_Structure[[#This Row],[Vehicle Cost]]+Cost_Structure[[#This Row],[Team Cost]]</f>
        <v>73814.976221147692</v>
      </c>
    </row>
    <row r="25" spans="1:17" x14ac:dyDescent="0.3">
      <c r="A25">
        <v>19</v>
      </c>
      <c r="B25" t="str">
        <f>VLOOKUP(Cost_Structure[[#This Row],[Index]],Vehicle[#All],2,)</f>
        <v>Bhavnager</v>
      </c>
      <c r="C25" t="str">
        <f>VLOOKUP(Cost_Structure[[#This Row],[BP Name]],OU_Map[#All],3,)</f>
        <v>BVCB1</v>
      </c>
      <c r="D25" t="str">
        <f>VLOOKUP(Cost_Structure[[#This Row],[Index]],Vehicle[#All],3,)</f>
        <v>Gohil Raghuvirsinh R</v>
      </c>
      <c r="E25" t="str">
        <f>VLOOKUP(Cost_Structure[[#This Row],[Index]],Vehicle[#All],4,)</f>
        <v>Mahindra</v>
      </c>
      <c r="F25" t="str">
        <f>VLOOKUP(Cost_Structure[[#This Row],[Index]],Vehicle_Ownership[#All],4,)</f>
        <v>Owned</v>
      </c>
      <c r="G25">
        <f>VLOOKUP(Cost_Structure[[#This Row],[Index]],Year_of_Purchase[#All],4,)</f>
        <v>2020</v>
      </c>
      <c r="H25" t="str">
        <f>VLOOKUP(Cost_Structure[[#This Row],[Vehicle]],Vehicle_Map[#All],2,)</f>
        <v>Mahindra</v>
      </c>
      <c r="I25" s="19">
        <f>INDEX(Mileage[],MATCH(Cost_Structure[[#This Row],[OU Code]],Mileage[OU Code],0),MATCH(Cost_Structure[[#This Row],[Vehicle]],Mileage[#Headers],0))</f>
        <v>9.8332980589745791</v>
      </c>
      <c r="J25" s="19">
        <f>INDEX(Capacity[],MATCH(Cost_Structure[[#This Row],[OU Code]],Capacity[OU Code],0),MATCH(Cost_Structure[[#This Row],[Vehicle]],Capacity[#Headers],0))</f>
        <v>2.1170956821339351</v>
      </c>
      <c r="K25">
        <f>VLOOKUP(Cost_Structure[[#This Row],[OU Code]],KM_and_FuelCost[#All],2,)</f>
        <v>2500</v>
      </c>
      <c r="L25" s="20">
        <f>(Cost_Structure[[#This Row],[KM Travelled]]/Cost_Structure[[#This Row],[Mileage]])*VLOOKUP(Cost_Structure[[#This Row],[OU Code]],KM_and_FuelCost[#All],3,)</f>
        <v>24433.001229891568</v>
      </c>
      <c r="M25" s="20">
        <f>VLOOKUP(Cost_Structure[[#This Row],[Vehicle Name]],EMI[#All],5,)</f>
        <v>11420.447400423482</v>
      </c>
      <c r="N25" s="20">
        <f>INDEX(Maintenance[],MATCH(Cost_Structure[[#This Row],[OU Code]],Maintenance[OU Code],0),MATCH(Cost_Structure[[#This Row],[Vehicle]],Maintenance[#Headers],0))</f>
        <v>10200</v>
      </c>
      <c r="O25" s="20">
        <f>Cost_Structure[[#This Row],[Fuel Cost]]+Cost_Structure[[#This Row],[EMI ]]+Cost_Structure[[#This Row],[Maintenance]]</f>
        <v>46053.448630315048</v>
      </c>
      <c r="P25" s="20">
        <v>36000</v>
      </c>
      <c r="Q25" s="20">
        <f>Cost_Structure[[#This Row],[Vehicle Cost]]+Cost_Structure[[#This Row],[Team Cost]]</f>
        <v>82053.448630315048</v>
      </c>
    </row>
    <row r="26" spans="1:17" x14ac:dyDescent="0.3">
      <c r="A26">
        <v>20</v>
      </c>
      <c r="B26" t="str">
        <f>VLOOKUP(Cost_Structure[[#This Row],[Index]],Vehicle[#All],2,)</f>
        <v>Ahmedabad Branch</v>
      </c>
      <c r="C26" t="str">
        <f>VLOOKUP(Cost_Structure[[#This Row],[BP Name]],OU_Map[#All],3,)</f>
        <v>AMDT1</v>
      </c>
      <c r="D26" t="str">
        <f>VLOOKUP(Cost_Structure[[#This Row],[Index]],Vehicle[#All],3,)</f>
        <v>Gulamhusen Mohamad Ghanchi</v>
      </c>
      <c r="E26" t="str">
        <f>VLOOKUP(Cost_Structure[[#This Row],[Index]],Vehicle[#All],4,)</f>
        <v>17 ft</v>
      </c>
      <c r="F26" t="str">
        <f>VLOOKUP(Cost_Structure[[#This Row],[Index]],Vehicle_Ownership[#All],4,)</f>
        <v>Owned</v>
      </c>
      <c r="G26">
        <f>VLOOKUP(Cost_Structure[[#This Row],[Index]],Year_of_Purchase[#All],4,)</f>
        <v>2012</v>
      </c>
      <c r="H26" t="str">
        <f>VLOOKUP(Cost_Structure[[#This Row],[Vehicle]],Vehicle_Map[#All],2,)</f>
        <v>Eicher 17</v>
      </c>
      <c r="I26" s="19">
        <f>INDEX(Mileage[],MATCH(Cost_Structure[[#This Row],[OU Code]],Mileage[OU Code],0),MATCH(Cost_Structure[[#This Row],[Vehicle]],Mileage[#Headers],0))</f>
        <v>6.5525461364709248</v>
      </c>
      <c r="J26" s="19">
        <f>INDEX(Capacity[],MATCH(Cost_Structure[[#This Row],[OU Code]],Capacity[OU Code],0),MATCH(Cost_Structure[[#This Row],[Vehicle]],Capacity[#Headers],0))</f>
        <v>6.5900268382448797</v>
      </c>
      <c r="K26">
        <f>VLOOKUP(Cost_Structure[[#This Row],[OU Code]],KM_and_FuelCost[#All],2,)</f>
        <v>2900</v>
      </c>
      <c r="L26" s="20">
        <f>(Cost_Structure[[#This Row],[KM Travelled]]/Cost_Structure[[#This Row],[Mileage]])*VLOOKUP(Cost_Structure[[#This Row],[OU Code]],KM_and_FuelCost[#All],3,)</f>
        <v>44474.742564298867</v>
      </c>
      <c r="M26" s="20">
        <f>VLOOKUP(Cost_Structure[[#This Row],[Vehicle Name]],EMI[#All],5,)</f>
        <v>17511.352680649339</v>
      </c>
      <c r="N26" s="20">
        <f>INDEX(Maintenance[],MATCH(Cost_Structure[[#This Row],[OU Code]],Maintenance[OU Code],0),MATCH(Cost_Structure[[#This Row],[Vehicle]],Maintenance[#Headers],0))</f>
        <v>12500</v>
      </c>
      <c r="O26" s="20">
        <f>Cost_Structure[[#This Row],[Fuel Cost]]+Cost_Structure[[#This Row],[EMI ]]+Cost_Structure[[#This Row],[Maintenance]]</f>
        <v>74486.095244948199</v>
      </c>
      <c r="P26" s="20">
        <v>36000</v>
      </c>
      <c r="Q26" s="20">
        <f>Cost_Structure[[#This Row],[Vehicle Cost]]+Cost_Structure[[#This Row],[Team Cost]]</f>
        <v>110486.0952449482</v>
      </c>
    </row>
    <row r="27" spans="1:17" x14ac:dyDescent="0.3">
      <c r="A27">
        <v>21</v>
      </c>
      <c r="B27" t="str">
        <f>VLOOKUP(Cost_Structure[[#This Row],[Index]],Vehicle[#All],2,)</f>
        <v>Ahmedabad Branch</v>
      </c>
      <c r="C27" t="str">
        <f>VLOOKUP(Cost_Structure[[#This Row],[BP Name]],OU_Map[#All],3,)</f>
        <v>AMDT1</v>
      </c>
      <c r="D27" t="str">
        <f>VLOOKUP(Cost_Structure[[#This Row],[Index]],Vehicle[#All],3,)</f>
        <v>Gulzar F Memon</v>
      </c>
      <c r="E27" t="str">
        <f>VLOOKUP(Cost_Structure[[#This Row],[Index]],Vehicle[#All],4,)</f>
        <v>19 ft</v>
      </c>
      <c r="F27" t="str">
        <f>VLOOKUP(Cost_Structure[[#This Row],[Index]],Vehicle_Ownership[#All],4,)</f>
        <v>Market</v>
      </c>
      <c r="G27">
        <f>VLOOKUP(Cost_Structure[[#This Row],[Index]],Year_of_Purchase[#All],4,)</f>
        <v>0</v>
      </c>
      <c r="H27" t="str">
        <f>VLOOKUP(Cost_Structure[[#This Row],[Vehicle]],Vehicle_Map[#All],2,)</f>
        <v>Eicher 19</v>
      </c>
      <c r="I27" s="19">
        <f>INDEX(Mileage[],MATCH(Cost_Structure[[#This Row],[OU Code]],Mileage[OU Code],0),MATCH(Cost_Structure[[#This Row],[Vehicle]],Mileage[#Headers],0))</f>
        <v>6.9433969910850388</v>
      </c>
      <c r="J27" s="19">
        <f>INDEX(Capacity[],MATCH(Cost_Structure[[#This Row],[OU Code]],Capacity[OU Code],0),MATCH(Cost_Structure[[#This Row],[Vehicle]],Capacity[#Headers],0))</f>
        <v>6.3444422201305457</v>
      </c>
      <c r="K27">
        <f>VLOOKUP(Cost_Structure[[#This Row],[OU Code]],KM_and_FuelCost[#All],2,)</f>
        <v>2900</v>
      </c>
      <c r="L27" s="20">
        <f>(Cost_Structure[[#This Row],[KM Travelled]]/Cost_Structure[[#This Row],[Mileage]])*VLOOKUP(Cost_Structure[[#This Row],[OU Code]],KM_and_FuelCost[#All],3,)</f>
        <v>41971.214224738593</v>
      </c>
      <c r="M27" s="20">
        <f>VLOOKUP(Cost_Structure[[#This Row],[Vehicle Name]],EMI[#All],5,)</f>
        <v>17511.352680649339</v>
      </c>
      <c r="N27" s="20">
        <f>INDEX(Maintenance[],MATCH(Cost_Structure[[#This Row],[OU Code]],Maintenance[OU Code],0),MATCH(Cost_Structure[[#This Row],[Vehicle]],Maintenance[#Headers],0))</f>
        <v>11400</v>
      </c>
      <c r="O27" s="20">
        <f>Cost_Structure[[#This Row],[Fuel Cost]]+Cost_Structure[[#This Row],[EMI ]]+Cost_Structure[[#This Row],[Maintenance]]</f>
        <v>70882.566905387939</v>
      </c>
      <c r="P27" s="20">
        <v>36000</v>
      </c>
      <c r="Q27" s="20">
        <f>Cost_Structure[[#This Row],[Vehicle Cost]]+Cost_Structure[[#This Row],[Team Cost]]</f>
        <v>106882.56690538794</v>
      </c>
    </row>
    <row r="28" spans="1:17" x14ac:dyDescent="0.3">
      <c r="A28">
        <v>22</v>
      </c>
      <c r="B28" t="str">
        <f>VLOOKUP(Cost_Structure[[#This Row],[Index]],Vehicle[#All],2,)</f>
        <v>Jamnager</v>
      </c>
      <c r="C28" t="str">
        <f>VLOOKUP(Cost_Structure[[#This Row],[BP Name]],OU_Map[#All],3,)</f>
        <v>JGAB1</v>
      </c>
      <c r="D28" t="str">
        <f>VLOOKUP(Cost_Structure[[#This Row],[Index]],Vehicle[#All],3,)</f>
        <v>Hardik Patel</v>
      </c>
      <c r="E28" t="str">
        <f>VLOOKUP(Cost_Structure[[#This Row],[Index]],Vehicle[#All],4,)</f>
        <v>14 ft</v>
      </c>
      <c r="F28" t="str">
        <f>VLOOKUP(Cost_Structure[[#This Row],[Index]],Vehicle_Ownership[#All],4,)</f>
        <v>EMI</v>
      </c>
      <c r="G28">
        <f>VLOOKUP(Cost_Structure[[#This Row],[Index]],Year_of_Purchase[#All],4,)</f>
        <v>2020</v>
      </c>
      <c r="H28" t="str">
        <f>VLOOKUP(Cost_Structure[[#This Row],[Vehicle]],Vehicle_Map[#All],2,)</f>
        <v>Eicher 14</v>
      </c>
      <c r="I28" s="19">
        <f>INDEX(Mileage[],MATCH(Cost_Structure[[#This Row],[OU Code]],Mileage[OU Code],0),MATCH(Cost_Structure[[#This Row],[Vehicle]],Mileage[#Headers],0))</f>
        <v>8.5572888357740542</v>
      </c>
      <c r="J28" s="19">
        <f>INDEX(Capacity[],MATCH(Cost_Structure[[#This Row],[OU Code]],Capacity[OU Code],0),MATCH(Cost_Structure[[#This Row],[Vehicle]],Capacity[#Headers],0))</f>
        <v>3.0291773948414247</v>
      </c>
      <c r="K28">
        <f>VLOOKUP(Cost_Structure[[#This Row],[OU Code]],KM_and_FuelCost[#All],2,)</f>
        <v>1900</v>
      </c>
      <c r="L28" s="20">
        <f>(Cost_Structure[[#This Row],[KM Travelled]]/Cost_Structure[[#This Row],[Mileage]])*VLOOKUP(Cost_Structure[[#This Row],[OU Code]],KM_and_FuelCost[#All],3,)</f>
        <v>22255.780277088084</v>
      </c>
      <c r="M28" s="20">
        <f>VLOOKUP(Cost_Structure[[#This Row],[Vehicle Name]],EMI[#All],5,)</f>
        <v>11420.447400423482</v>
      </c>
      <c r="N28" s="20">
        <f>INDEX(Maintenance[],MATCH(Cost_Structure[[#This Row],[OU Code]],Maintenance[OU Code],0),MATCH(Cost_Structure[[#This Row],[Vehicle]],Maintenance[#Headers],0))</f>
        <v>11900</v>
      </c>
      <c r="O28" s="20">
        <f>Cost_Structure[[#This Row],[Fuel Cost]]+Cost_Structure[[#This Row],[EMI ]]+Cost_Structure[[#This Row],[Maintenance]]</f>
        <v>45576.227677511568</v>
      </c>
      <c r="P28" s="20">
        <v>36000</v>
      </c>
      <c r="Q28" s="20">
        <f>Cost_Structure[[#This Row],[Vehicle Cost]]+Cost_Structure[[#This Row],[Team Cost]]</f>
        <v>81576.227677511575</v>
      </c>
    </row>
    <row r="29" spans="1:17" x14ac:dyDescent="0.3">
      <c r="A29">
        <v>23</v>
      </c>
      <c r="B29" t="str">
        <f>VLOOKUP(Cost_Structure[[#This Row],[Index]],Vehicle[#All],2,)</f>
        <v>Jamnager</v>
      </c>
      <c r="C29" t="str">
        <f>VLOOKUP(Cost_Structure[[#This Row],[BP Name]],OU_Map[#All],3,)</f>
        <v>JGAB1</v>
      </c>
      <c r="D29" t="str">
        <f>VLOOKUP(Cost_Structure[[#This Row],[Index]],Vehicle[#All],3,)</f>
        <v>Hardik Patel</v>
      </c>
      <c r="E29" t="str">
        <f>VLOOKUP(Cost_Structure[[#This Row],[Index]],Vehicle[#All],4,)</f>
        <v>Tata Ace</v>
      </c>
      <c r="F29" t="str">
        <f>VLOOKUP(Cost_Structure[[#This Row],[Index]],Vehicle_Ownership[#All],4,)</f>
        <v>Owned</v>
      </c>
      <c r="G29">
        <f>VLOOKUP(Cost_Structure[[#This Row],[Index]],Year_of_Purchase[#All],4,)</f>
        <v>2018</v>
      </c>
      <c r="H29" t="str">
        <f>VLOOKUP(Cost_Structure[[#This Row],[Vehicle]],Vehicle_Map[#All],2,)</f>
        <v>Tata Ace</v>
      </c>
      <c r="I29" s="19">
        <f>INDEX(Mileage[],MATCH(Cost_Structure[[#This Row],[OU Code]],Mileage[OU Code],0),MATCH(Cost_Structure[[#This Row],[Vehicle]],Mileage[#Headers],0))</f>
        <v>17.527489465012966</v>
      </c>
      <c r="J29" s="19">
        <f>INDEX(Capacity[],MATCH(Cost_Structure[[#This Row],[OU Code]],Capacity[OU Code],0),MATCH(Cost_Structure[[#This Row],[Vehicle]],Capacity[#Headers],0))</f>
        <v>0.78423707313208679</v>
      </c>
      <c r="K29">
        <f>VLOOKUP(Cost_Structure[[#This Row],[OU Code]],KM_and_FuelCost[#All],2,)</f>
        <v>1900</v>
      </c>
      <c r="L29" s="20">
        <f>(Cost_Structure[[#This Row],[KM Travelled]]/Cost_Structure[[#This Row],[Mileage]])*VLOOKUP(Cost_Structure[[#This Row],[OU Code]],KM_and_FuelCost[#All],3,)</f>
        <v>10865.739812694012</v>
      </c>
      <c r="M29" s="20">
        <f>VLOOKUP(Cost_Structure[[#This Row],[Vehicle Name]],EMI[#All],5,)</f>
        <v>6090.9052802258566</v>
      </c>
      <c r="N29" s="20">
        <f>INDEX(Maintenance[],MATCH(Cost_Structure[[#This Row],[OU Code]],Maintenance[OU Code],0),MATCH(Cost_Structure[[#This Row],[Vehicle]],Maintenance[#Headers],0))</f>
        <v>10700</v>
      </c>
      <c r="O29" s="20">
        <f>Cost_Structure[[#This Row],[Fuel Cost]]+Cost_Structure[[#This Row],[EMI ]]+Cost_Structure[[#This Row],[Maintenance]]</f>
        <v>27656.645092919869</v>
      </c>
      <c r="P29" s="20">
        <v>36000</v>
      </c>
      <c r="Q29" s="20">
        <f>Cost_Structure[[#This Row],[Vehicle Cost]]+Cost_Structure[[#This Row],[Team Cost]]</f>
        <v>63656.645092919869</v>
      </c>
    </row>
    <row r="30" spans="1:17" x14ac:dyDescent="0.3">
      <c r="A30">
        <v>24</v>
      </c>
      <c r="B30" t="str">
        <f>VLOOKUP(Cost_Structure[[#This Row],[Index]],Vehicle[#All],2,)</f>
        <v>Rajkot</v>
      </c>
      <c r="C30" t="str">
        <f>VLOOKUP(Cost_Structure[[#This Row],[BP Name]],OU_Map[#All],3,)</f>
        <v>RAJB1</v>
      </c>
      <c r="D30" t="str">
        <f>VLOOKUP(Cost_Structure[[#This Row],[Index]],Vehicle[#All],3,)</f>
        <v>Harun Abdul Bhai Theba</v>
      </c>
      <c r="E30" t="str">
        <f>VLOOKUP(Cost_Structure[[#This Row],[Index]],Vehicle[#All],4,)</f>
        <v>Mahindra</v>
      </c>
      <c r="F30" t="str">
        <f>VLOOKUP(Cost_Structure[[#This Row],[Index]],Vehicle_Ownership[#All],4,)</f>
        <v>Owned</v>
      </c>
      <c r="G30">
        <f>VLOOKUP(Cost_Structure[[#This Row],[Index]],Year_of_Purchase[#All],4,)</f>
        <v>2013</v>
      </c>
      <c r="H30" t="str">
        <f>VLOOKUP(Cost_Structure[[#This Row],[Vehicle]],Vehicle_Map[#All],2,)</f>
        <v>Mahindra</v>
      </c>
      <c r="I30" s="19">
        <f>INDEX(Mileage[],MATCH(Cost_Structure[[#This Row],[OU Code]],Mileage[OU Code],0),MATCH(Cost_Structure[[#This Row],[Vehicle]],Mileage[#Headers],0))</f>
        <v>9.8850325042295175</v>
      </c>
      <c r="J30" s="19">
        <f>INDEX(Capacity[],MATCH(Cost_Structure[[#This Row],[OU Code]],Capacity[OU Code],0),MATCH(Cost_Structure[[#This Row],[Vehicle]],Capacity[#Headers],0))</f>
        <v>1.3434882381767432</v>
      </c>
      <c r="K30">
        <f>VLOOKUP(Cost_Structure[[#This Row],[OU Code]],KM_and_FuelCost[#All],2,)</f>
        <v>1800</v>
      </c>
      <c r="L30" s="20">
        <f>(Cost_Structure[[#This Row],[KM Travelled]]/Cost_Structure[[#This Row],[Mileage]])*VLOOKUP(Cost_Structure[[#This Row],[OU Code]],KM_and_FuelCost[#All],3,)</f>
        <v>16514.804651662827</v>
      </c>
      <c r="M30" s="20">
        <f>VLOOKUP(Cost_Structure[[#This Row],[Vehicle Name]],EMI[#All],5,)</f>
        <v>11420.447400423482</v>
      </c>
      <c r="N30" s="20">
        <f>INDEX(Maintenance[],MATCH(Cost_Structure[[#This Row],[OU Code]],Maintenance[OU Code],0),MATCH(Cost_Structure[[#This Row],[Vehicle]],Maintenance[#Headers],0))</f>
        <v>8600</v>
      </c>
      <c r="O30" s="20">
        <f>Cost_Structure[[#This Row],[Fuel Cost]]+Cost_Structure[[#This Row],[EMI ]]+Cost_Structure[[#This Row],[Maintenance]]</f>
        <v>36535.252052086311</v>
      </c>
      <c r="P30" s="20">
        <v>36000</v>
      </c>
      <c r="Q30" s="20">
        <f>Cost_Structure[[#This Row],[Vehicle Cost]]+Cost_Structure[[#This Row],[Team Cost]]</f>
        <v>72535.252052086318</v>
      </c>
    </row>
    <row r="31" spans="1:17" x14ac:dyDescent="0.3">
      <c r="A31">
        <v>25</v>
      </c>
      <c r="B31" t="str">
        <f>VLOOKUP(Cost_Structure[[#This Row],[Index]],Vehicle[#All],2,)</f>
        <v>Vadodara</v>
      </c>
      <c r="C31" t="str">
        <f>VLOOKUP(Cost_Structure[[#This Row],[BP Name]],OU_Map[#All],3,)</f>
        <v>BDQT1</v>
      </c>
      <c r="D31" t="str">
        <f>VLOOKUP(Cost_Structure[[#This Row],[Index]],Vehicle[#All],3,)</f>
        <v>Inderkumar Moolchand Gupta</v>
      </c>
      <c r="E31" t="str">
        <f>VLOOKUP(Cost_Structure[[#This Row],[Index]],Vehicle[#All],4,)</f>
        <v>14 ft</v>
      </c>
      <c r="F31" t="str">
        <f>VLOOKUP(Cost_Structure[[#This Row],[Index]],Vehicle_Ownership[#All],4,)</f>
        <v>Market</v>
      </c>
      <c r="G31">
        <f>VLOOKUP(Cost_Structure[[#This Row],[Index]],Year_of_Purchase[#All],4,)</f>
        <v>0</v>
      </c>
      <c r="H31" t="str">
        <f>VLOOKUP(Cost_Structure[[#This Row],[Vehicle]],Vehicle_Map[#All],2,)</f>
        <v>Eicher 14</v>
      </c>
      <c r="I31" s="19">
        <f>INDEX(Mileage[],MATCH(Cost_Structure[[#This Row],[OU Code]],Mileage[OU Code],0),MATCH(Cost_Structure[[#This Row],[Vehicle]],Mileage[#Headers],0))</f>
        <v>12.597885435760045</v>
      </c>
      <c r="J31" s="19">
        <f>INDEX(Capacity[],MATCH(Cost_Structure[[#This Row],[OU Code]],Capacity[OU Code],0),MATCH(Cost_Structure[[#This Row],[Vehicle]],Capacity[#Headers],0))</f>
        <v>2.7317924077831095</v>
      </c>
      <c r="K31">
        <f>VLOOKUP(Cost_Structure[[#This Row],[OU Code]],KM_and_FuelCost[#All],2,)</f>
        <v>3000</v>
      </c>
      <c r="L31" s="20">
        <f>(Cost_Structure[[#This Row],[KM Travelled]]/Cost_Structure[[#This Row],[Mileage]])*VLOOKUP(Cost_Structure[[#This Row],[OU Code]],KM_and_FuelCost[#All],3,)</f>
        <v>18708.575521938008</v>
      </c>
      <c r="M31" s="20">
        <f>VLOOKUP(Cost_Structure[[#This Row],[Vehicle Name]],EMI[#All],5,)</f>
        <v>11420.447400423482</v>
      </c>
      <c r="N31" s="20">
        <f>INDEX(Maintenance[],MATCH(Cost_Structure[[#This Row],[OU Code]],Maintenance[OU Code],0),MATCH(Cost_Structure[[#This Row],[Vehicle]],Maintenance[#Headers],0))</f>
        <v>15100</v>
      </c>
      <c r="O31" s="20">
        <f>Cost_Structure[[#This Row],[Fuel Cost]]+Cost_Structure[[#This Row],[EMI ]]+Cost_Structure[[#This Row],[Maintenance]]</f>
        <v>45229.022922361488</v>
      </c>
      <c r="P31" s="20">
        <v>36000</v>
      </c>
      <c r="Q31" s="20">
        <f>Cost_Structure[[#This Row],[Vehicle Cost]]+Cost_Structure[[#This Row],[Team Cost]]</f>
        <v>81229.022922361488</v>
      </c>
    </row>
    <row r="32" spans="1:17" x14ac:dyDescent="0.3">
      <c r="A32">
        <v>26</v>
      </c>
      <c r="B32" t="str">
        <f>VLOOKUP(Cost_Structure[[#This Row],[Index]],Vehicle[#All],2,)</f>
        <v>Vadodara</v>
      </c>
      <c r="C32" t="str">
        <f>VLOOKUP(Cost_Structure[[#This Row],[BP Name]],OU_Map[#All],3,)</f>
        <v>BDQT1</v>
      </c>
      <c r="D32" t="str">
        <f>VLOOKUP(Cost_Structure[[#This Row],[Index]],Vehicle[#All],3,)</f>
        <v>Inderkumar Moolchand Gupta</v>
      </c>
      <c r="E32" t="str">
        <f>VLOOKUP(Cost_Structure[[#This Row],[Index]],Vehicle[#All],4,)</f>
        <v>AL Dost</v>
      </c>
      <c r="F32" t="str">
        <f>VLOOKUP(Cost_Structure[[#This Row],[Index]],Vehicle_Ownership[#All],4,)</f>
        <v>EMI</v>
      </c>
      <c r="G32">
        <f>VLOOKUP(Cost_Structure[[#This Row],[Index]],Year_of_Purchase[#All],4,)</f>
        <v>2019</v>
      </c>
      <c r="H32" t="str">
        <f>VLOOKUP(Cost_Structure[[#This Row],[Vehicle]],Vehicle_Map[#All],2,)</f>
        <v>AL Dost</v>
      </c>
      <c r="I32" s="19">
        <f>INDEX(Mileage[],MATCH(Cost_Structure[[#This Row],[OU Code]],Mileage[OU Code],0),MATCH(Cost_Structure[[#This Row],[Vehicle]],Mileage[#Headers],0))</f>
        <v>16.206961290646341</v>
      </c>
      <c r="J32" s="19">
        <f>INDEX(Capacity[],MATCH(Cost_Structure[[#This Row],[OU Code]],Capacity[OU Code],0),MATCH(Cost_Structure[[#This Row],[Vehicle]],Capacity[#Headers],0))</f>
        <v>0.97146367060579686</v>
      </c>
      <c r="K32">
        <f>VLOOKUP(Cost_Structure[[#This Row],[OU Code]],KM_and_FuelCost[#All],2,)</f>
        <v>3000</v>
      </c>
      <c r="L32" s="20">
        <f>(Cost_Structure[[#This Row],[KM Travelled]]/Cost_Structure[[#This Row],[Mileage]])*VLOOKUP(Cost_Structure[[#This Row],[OU Code]],KM_and_FuelCost[#All],3,)</f>
        <v>14542.423275093808</v>
      </c>
      <c r="M32" s="20">
        <f>VLOOKUP(Cost_Structure[[#This Row],[Vehicle Name]],EMI[#All],5,)</f>
        <v>7613.6316002823205</v>
      </c>
      <c r="N32" s="20">
        <f>INDEX(Maintenance[],MATCH(Cost_Structure[[#This Row],[OU Code]],Maintenance[OU Code],0),MATCH(Cost_Structure[[#This Row],[Vehicle]],Maintenance[#Headers],0))</f>
        <v>10200</v>
      </c>
      <c r="O32" s="20">
        <f>Cost_Structure[[#This Row],[Fuel Cost]]+Cost_Structure[[#This Row],[EMI ]]+Cost_Structure[[#This Row],[Maintenance]]</f>
        <v>32356.054875376129</v>
      </c>
      <c r="P32" s="20">
        <v>36000</v>
      </c>
      <c r="Q32" s="20">
        <f>Cost_Structure[[#This Row],[Vehicle Cost]]+Cost_Structure[[#This Row],[Team Cost]]</f>
        <v>68356.054875376125</v>
      </c>
    </row>
    <row r="33" spans="1:17" x14ac:dyDescent="0.3">
      <c r="A33">
        <v>27</v>
      </c>
      <c r="B33" t="str">
        <f>VLOOKUP(Cost_Structure[[#This Row],[Index]],Vehicle[#All],2,)</f>
        <v>Vadodara</v>
      </c>
      <c r="C33" t="str">
        <f>VLOOKUP(Cost_Structure[[#This Row],[BP Name]],OU_Map[#All],3,)</f>
        <v>BDQT1</v>
      </c>
      <c r="D33" t="str">
        <f>VLOOKUP(Cost_Structure[[#This Row],[Index]],Vehicle[#All],3,)</f>
        <v>Inderkumar Moolchand Gupta</v>
      </c>
      <c r="E33" t="str">
        <f>VLOOKUP(Cost_Structure[[#This Row],[Index]],Vehicle[#All],4,)</f>
        <v>Super ace</v>
      </c>
      <c r="F33" t="str">
        <f>VLOOKUP(Cost_Structure[[#This Row],[Index]],Vehicle_Ownership[#All],4,)</f>
        <v>EMI</v>
      </c>
      <c r="G33">
        <f>VLOOKUP(Cost_Structure[[#This Row],[Index]],Year_of_Purchase[#All],4,)</f>
        <v>2018</v>
      </c>
      <c r="H33" t="str">
        <f>VLOOKUP(Cost_Structure[[#This Row],[Vehicle]],Vehicle_Map[#All],2,)</f>
        <v>Super ace</v>
      </c>
      <c r="I33" s="19">
        <f>INDEX(Mileage[],MATCH(Cost_Structure[[#This Row],[OU Code]],Mileage[OU Code],0),MATCH(Cost_Structure[[#This Row],[Vehicle]],Mileage[#Headers],0))</f>
        <v>9.9226528824228826</v>
      </c>
      <c r="J33" s="19">
        <f>INDEX(Capacity[],MATCH(Cost_Structure[[#This Row],[OU Code]],Capacity[OU Code],0),MATCH(Cost_Structure[[#This Row],[Vehicle]],Capacity[#Headers],0))</f>
        <v>1.6651510049498304</v>
      </c>
      <c r="K33">
        <f>VLOOKUP(Cost_Structure[[#This Row],[OU Code]],KM_and_FuelCost[#All],2,)</f>
        <v>3000</v>
      </c>
      <c r="L33" s="20">
        <f>(Cost_Structure[[#This Row],[KM Travelled]]/Cost_Structure[[#This Row],[Mileage]])*VLOOKUP(Cost_Structure[[#This Row],[OU Code]],KM_and_FuelCost[#All],3,)</f>
        <v>23752.568379081509</v>
      </c>
      <c r="M33" s="20">
        <f>VLOOKUP(Cost_Structure[[#This Row],[Vehicle Name]],EMI[#All],5,)</f>
        <v>8374.9947603105538</v>
      </c>
      <c r="N33" s="20">
        <f>INDEX(Maintenance[],MATCH(Cost_Structure[[#This Row],[OU Code]],Maintenance[OU Code],0),MATCH(Cost_Structure[[#This Row],[Vehicle]],Maintenance[#Headers],0))</f>
        <v>10500</v>
      </c>
      <c r="O33" s="20">
        <f>Cost_Structure[[#This Row],[Fuel Cost]]+Cost_Structure[[#This Row],[EMI ]]+Cost_Structure[[#This Row],[Maintenance]]</f>
        <v>42627.563139392063</v>
      </c>
      <c r="P33" s="20">
        <v>36000</v>
      </c>
      <c r="Q33" s="20">
        <f>Cost_Structure[[#This Row],[Vehicle Cost]]+Cost_Structure[[#This Row],[Team Cost]]</f>
        <v>78627.563139392063</v>
      </c>
    </row>
    <row r="34" spans="1:17" x14ac:dyDescent="0.3">
      <c r="A34">
        <v>28</v>
      </c>
      <c r="B34" t="str">
        <f>VLOOKUP(Cost_Structure[[#This Row],[Index]],Vehicle[#All],2,)</f>
        <v>Vadodara</v>
      </c>
      <c r="C34" t="str">
        <f>VLOOKUP(Cost_Structure[[#This Row],[BP Name]],OU_Map[#All],3,)</f>
        <v>BDQT1</v>
      </c>
      <c r="D34" t="str">
        <f>VLOOKUP(Cost_Structure[[#This Row],[Index]],Vehicle[#All],3,)</f>
        <v>Karan Mistry_Delivery</v>
      </c>
      <c r="E34" t="str">
        <f>VLOOKUP(Cost_Structure[[#This Row],[Index]],Vehicle[#All],4,)</f>
        <v>Tata Ace</v>
      </c>
      <c r="F34" t="str">
        <f>VLOOKUP(Cost_Structure[[#This Row],[Index]],Vehicle_Ownership[#All],4,)</f>
        <v>EMI</v>
      </c>
      <c r="G34">
        <f>VLOOKUP(Cost_Structure[[#This Row],[Index]],Year_of_Purchase[#All],4,)</f>
        <v>2013</v>
      </c>
      <c r="H34" t="str">
        <f>VLOOKUP(Cost_Structure[[#This Row],[Vehicle]],Vehicle_Map[#All],2,)</f>
        <v>Tata Ace</v>
      </c>
      <c r="I34" s="19">
        <f>INDEX(Mileage[],MATCH(Cost_Structure[[#This Row],[OU Code]],Mileage[OU Code],0),MATCH(Cost_Structure[[#This Row],[Vehicle]],Mileage[#Headers],0))</f>
        <v>18.889971546597494</v>
      </c>
      <c r="J34" s="19">
        <f>INDEX(Capacity[],MATCH(Cost_Structure[[#This Row],[OU Code]],Capacity[OU Code],0),MATCH(Cost_Structure[[#This Row],[Vehicle]],Capacity[#Headers],0))</f>
        <v>0.79022382032227789</v>
      </c>
      <c r="K34">
        <f>VLOOKUP(Cost_Structure[[#This Row],[OU Code]],KM_and_FuelCost[#All],2,)</f>
        <v>3000</v>
      </c>
      <c r="L34" s="20">
        <f>(Cost_Structure[[#This Row],[KM Travelled]]/Cost_Structure[[#This Row],[Mileage]])*VLOOKUP(Cost_Structure[[#This Row],[OU Code]],KM_and_FuelCost[#All],3,)</f>
        <v>12476.910857713416</v>
      </c>
      <c r="M34" s="20">
        <f>VLOOKUP(Cost_Structure[[#This Row],[Vehicle Name]],EMI[#All],5,)</f>
        <v>6090.9052802258566</v>
      </c>
      <c r="N34" s="20">
        <f>INDEX(Maintenance[],MATCH(Cost_Structure[[#This Row],[OU Code]],Maintenance[OU Code],0),MATCH(Cost_Structure[[#This Row],[Vehicle]],Maintenance[#Headers],0))</f>
        <v>10700</v>
      </c>
      <c r="O34" s="20">
        <f>Cost_Structure[[#This Row],[Fuel Cost]]+Cost_Structure[[#This Row],[EMI ]]+Cost_Structure[[#This Row],[Maintenance]]</f>
        <v>29267.816137939273</v>
      </c>
      <c r="P34" s="20">
        <v>36000</v>
      </c>
      <c r="Q34" s="20">
        <f>Cost_Structure[[#This Row],[Vehicle Cost]]+Cost_Structure[[#This Row],[Team Cost]]</f>
        <v>65267.81613793927</v>
      </c>
    </row>
    <row r="35" spans="1:17" x14ac:dyDescent="0.3">
      <c r="A35">
        <v>29</v>
      </c>
      <c r="B35" t="str">
        <f>VLOOKUP(Cost_Structure[[#This Row],[Index]],Vehicle[#All],2,)</f>
        <v>Vadodara</v>
      </c>
      <c r="C35" t="str">
        <f>VLOOKUP(Cost_Structure[[#This Row],[BP Name]],OU_Map[#All],3,)</f>
        <v>BDQT1</v>
      </c>
      <c r="D35" t="str">
        <f>VLOOKUP(Cost_Structure[[#This Row],[Index]],Vehicle[#All],3,)</f>
        <v>Karan Mistry_Delivery</v>
      </c>
      <c r="E35" t="str">
        <f>VLOOKUP(Cost_Structure[[#This Row],[Index]],Vehicle[#All],4,)</f>
        <v>Super ace</v>
      </c>
      <c r="F35" t="str">
        <f>VLOOKUP(Cost_Structure[[#This Row],[Index]],Vehicle_Ownership[#All],4,)</f>
        <v>Owned</v>
      </c>
      <c r="G35">
        <f>VLOOKUP(Cost_Structure[[#This Row],[Index]],Year_of_Purchase[#All],4,)</f>
        <v>2015</v>
      </c>
      <c r="H35" t="str">
        <f>VLOOKUP(Cost_Structure[[#This Row],[Vehicle]],Vehicle_Map[#All],2,)</f>
        <v>Super ace</v>
      </c>
      <c r="I35" s="19">
        <f>INDEX(Mileage[],MATCH(Cost_Structure[[#This Row],[OU Code]],Mileage[OU Code],0),MATCH(Cost_Structure[[#This Row],[Vehicle]],Mileage[#Headers],0))</f>
        <v>9.9226528824228826</v>
      </c>
      <c r="J35" s="19">
        <f>INDEX(Capacity[],MATCH(Cost_Structure[[#This Row],[OU Code]],Capacity[OU Code],0),MATCH(Cost_Structure[[#This Row],[Vehicle]],Capacity[#Headers],0))</f>
        <v>1.6651510049498304</v>
      </c>
      <c r="K35">
        <f>VLOOKUP(Cost_Structure[[#This Row],[OU Code]],KM_and_FuelCost[#All],2,)</f>
        <v>3000</v>
      </c>
      <c r="L35" s="20">
        <f>(Cost_Structure[[#This Row],[KM Travelled]]/Cost_Structure[[#This Row],[Mileage]])*VLOOKUP(Cost_Structure[[#This Row],[OU Code]],KM_and_FuelCost[#All],3,)</f>
        <v>23752.568379081509</v>
      </c>
      <c r="M35" s="20">
        <f>VLOOKUP(Cost_Structure[[#This Row],[Vehicle Name]],EMI[#All],5,)</f>
        <v>8374.9947603105538</v>
      </c>
      <c r="N35" s="20">
        <f>INDEX(Maintenance[],MATCH(Cost_Structure[[#This Row],[OU Code]],Maintenance[OU Code],0),MATCH(Cost_Structure[[#This Row],[Vehicle]],Maintenance[#Headers],0))</f>
        <v>10500</v>
      </c>
      <c r="O35" s="20">
        <f>Cost_Structure[[#This Row],[Fuel Cost]]+Cost_Structure[[#This Row],[EMI ]]+Cost_Structure[[#This Row],[Maintenance]]</f>
        <v>42627.563139392063</v>
      </c>
      <c r="P35" s="20">
        <v>36000</v>
      </c>
      <c r="Q35" s="20">
        <f>Cost_Structure[[#This Row],[Vehicle Cost]]+Cost_Structure[[#This Row],[Team Cost]]</f>
        <v>78627.563139392063</v>
      </c>
    </row>
    <row r="36" spans="1:17" x14ac:dyDescent="0.3">
      <c r="A36">
        <v>30</v>
      </c>
      <c r="B36" t="str">
        <f>VLOOKUP(Cost_Structure[[#This Row],[Index]],Vehicle[#All],2,)</f>
        <v>Ahmedabad Branch</v>
      </c>
      <c r="C36" t="str">
        <f>VLOOKUP(Cost_Structure[[#This Row],[BP Name]],OU_Map[#All],3,)</f>
        <v>AMDT1</v>
      </c>
      <c r="D36" t="str">
        <f>VLOOKUP(Cost_Structure[[#This Row],[Index]],Vehicle[#All],3,)</f>
        <v>Lalaji Bhai Thakor</v>
      </c>
      <c r="E36" t="str">
        <f>VLOOKUP(Cost_Structure[[#This Row],[Index]],Vehicle[#All],4,)</f>
        <v>AL Dost</v>
      </c>
      <c r="F36" t="str">
        <f>VLOOKUP(Cost_Structure[[#This Row],[Index]],Vehicle_Ownership[#All],4,)</f>
        <v>EMI</v>
      </c>
      <c r="G36">
        <f>VLOOKUP(Cost_Structure[[#This Row],[Index]],Year_of_Purchase[#All],4,)</f>
        <v>2013</v>
      </c>
      <c r="H36" t="str">
        <f>VLOOKUP(Cost_Structure[[#This Row],[Vehicle]],Vehicle_Map[#All],2,)</f>
        <v>AL Dost</v>
      </c>
      <c r="I36" s="19">
        <f>INDEX(Mileage[],MATCH(Cost_Structure[[#This Row],[OU Code]],Mileage[OU Code],0),MATCH(Cost_Structure[[#This Row],[Vehicle]],Mileage[#Headers],0))</f>
        <v>13.451738176402987</v>
      </c>
      <c r="J36" s="19">
        <f>INDEX(Capacity[],MATCH(Cost_Structure[[#This Row],[OU Code]],Capacity[OU Code],0),MATCH(Cost_Structure[[#This Row],[Vehicle]],Capacity[#Headers],0))</f>
        <v>1.4794834103460122</v>
      </c>
      <c r="K36">
        <f>VLOOKUP(Cost_Structure[[#This Row],[OU Code]],KM_and_FuelCost[#All],2,)</f>
        <v>2900</v>
      </c>
      <c r="L36" s="20">
        <f>(Cost_Structure[[#This Row],[KM Travelled]]/Cost_Structure[[#This Row],[Mileage]])*VLOOKUP(Cost_Structure[[#This Row],[OU Code]],KM_and_FuelCost[#All],3,)</f>
        <v>21664.323133455633</v>
      </c>
      <c r="M36" s="20">
        <f>VLOOKUP(Cost_Structure[[#This Row],[Vehicle Name]],EMI[#All],5,)</f>
        <v>7613.6316002823205</v>
      </c>
      <c r="N36" s="20">
        <f>INDEX(Maintenance[],MATCH(Cost_Structure[[#This Row],[OU Code]],Maintenance[OU Code],0),MATCH(Cost_Structure[[#This Row],[Vehicle]],Maintenance[#Headers],0))</f>
        <v>7600</v>
      </c>
      <c r="O36" s="20">
        <f>Cost_Structure[[#This Row],[Fuel Cost]]+Cost_Structure[[#This Row],[EMI ]]+Cost_Structure[[#This Row],[Maintenance]]</f>
        <v>36877.954733737955</v>
      </c>
      <c r="P36" s="20">
        <v>36000</v>
      </c>
      <c r="Q36" s="20">
        <f>Cost_Structure[[#This Row],[Vehicle Cost]]+Cost_Structure[[#This Row],[Team Cost]]</f>
        <v>72877.954733737948</v>
      </c>
    </row>
    <row r="37" spans="1:17" x14ac:dyDescent="0.3">
      <c r="A37">
        <v>31</v>
      </c>
      <c r="B37" t="str">
        <f>VLOOKUP(Cost_Structure[[#This Row],[Index]],Vehicle[#All],2,)</f>
        <v>Amreli</v>
      </c>
      <c r="C37" t="str">
        <f>VLOOKUP(Cost_Structure[[#This Row],[BP Name]],OU_Map[#All],3,)</f>
        <v>AKVB1</v>
      </c>
      <c r="D37" t="str">
        <f>VLOOKUP(Cost_Structure[[#This Row],[Index]],Vehicle[#All],3,)</f>
        <v>Mamata Pal</v>
      </c>
      <c r="E37" t="str">
        <f>VLOOKUP(Cost_Structure[[#This Row],[Index]],Vehicle[#All],4,)</f>
        <v>AL Dost</v>
      </c>
      <c r="F37" t="str">
        <f>VLOOKUP(Cost_Structure[[#This Row],[Index]],Vehicle_Ownership[#All],4,)</f>
        <v>Owned</v>
      </c>
      <c r="G37">
        <f>VLOOKUP(Cost_Structure[[#This Row],[Index]],Year_of_Purchase[#All],4,)</f>
        <v>2011</v>
      </c>
      <c r="H37" t="str">
        <f>VLOOKUP(Cost_Structure[[#This Row],[Vehicle]],Vehicle_Map[#All],2,)</f>
        <v>AL Dost</v>
      </c>
      <c r="I37" s="19">
        <f>INDEX(Mileage[],MATCH(Cost_Structure[[#This Row],[OU Code]],Mileage[OU Code],0),MATCH(Cost_Structure[[#This Row],[Vehicle]],Mileage[#Headers],0))</f>
        <v>12.342261159350826</v>
      </c>
      <c r="J37" s="19">
        <f>INDEX(Capacity[],MATCH(Cost_Structure[[#This Row],[OU Code]],Capacity[OU Code],0),MATCH(Cost_Structure[[#This Row],[Vehicle]],Capacity[#Headers],0))</f>
        <v>1.4205369964896497</v>
      </c>
      <c r="K37">
        <f>VLOOKUP(Cost_Structure[[#This Row],[OU Code]],KM_and_FuelCost[#All],2,)</f>
        <v>2400</v>
      </c>
      <c r="L37" s="20">
        <f>(Cost_Structure[[#This Row],[KM Travelled]]/Cost_Structure[[#This Row],[Mileage]])*VLOOKUP(Cost_Structure[[#This Row],[OU Code]],KM_and_FuelCost[#All],3,)</f>
        <v>19100.862449123269</v>
      </c>
      <c r="M37" s="20">
        <f>VLOOKUP(Cost_Structure[[#This Row],[Vehicle Name]],EMI[#All],5,)</f>
        <v>7613.6316002823205</v>
      </c>
      <c r="N37" s="20">
        <f>INDEX(Maintenance[],MATCH(Cost_Structure[[#This Row],[OU Code]],Maintenance[OU Code],0),MATCH(Cost_Structure[[#This Row],[Vehicle]],Maintenance[#Headers],0))</f>
        <v>6500</v>
      </c>
      <c r="O37" s="20">
        <f>Cost_Structure[[#This Row],[Fuel Cost]]+Cost_Structure[[#This Row],[EMI ]]+Cost_Structure[[#This Row],[Maintenance]]</f>
        <v>33214.494049405592</v>
      </c>
      <c r="P37" s="20">
        <v>36000</v>
      </c>
      <c r="Q37" s="20">
        <f>Cost_Structure[[#This Row],[Vehicle Cost]]+Cost_Structure[[#This Row],[Team Cost]]</f>
        <v>69214.494049405592</v>
      </c>
    </row>
    <row r="38" spans="1:17" x14ac:dyDescent="0.3">
      <c r="A38">
        <v>32</v>
      </c>
      <c r="B38" t="str">
        <f>VLOOKUP(Cost_Structure[[#This Row],[Index]],Vehicle[#All],2,)</f>
        <v>Surat</v>
      </c>
      <c r="C38" t="str">
        <f>VLOOKUP(Cost_Structure[[#This Row],[BP Name]],OU_Map[#All],3,)</f>
        <v>STVT1</v>
      </c>
      <c r="D38" t="str">
        <f>VLOOKUP(Cost_Structure[[#This Row],[Index]],Vehicle[#All],3,)</f>
        <v>Manisha Pravin Patil</v>
      </c>
      <c r="E38" t="str">
        <f>VLOOKUP(Cost_Structure[[#This Row],[Index]],Vehicle[#All],4,)</f>
        <v>14 ft</v>
      </c>
      <c r="F38" t="str">
        <f>VLOOKUP(Cost_Structure[[#This Row],[Index]],Vehicle_Ownership[#All],4,)</f>
        <v>Market</v>
      </c>
      <c r="G38">
        <f>VLOOKUP(Cost_Structure[[#This Row],[Index]],Year_of_Purchase[#All],4,)</f>
        <v>0</v>
      </c>
      <c r="H38" t="str">
        <f>VLOOKUP(Cost_Structure[[#This Row],[Vehicle]],Vehicle_Map[#All],2,)</f>
        <v>Eicher 14</v>
      </c>
      <c r="I38" s="19">
        <f>INDEX(Mileage[],MATCH(Cost_Structure[[#This Row],[OU Code]],Mileage[OU Code],0),MATCH(Cost_Structure[[#This Row],[Vehicle]],Mileage[#Headers],0))</f>
        <v>13.044642984582476</v>
      </c>
      <c r="J38" s="19">
        <f>INDEX(Capacity[],MATCH(Cost_Structure[[#This Row],[OU Code]],Capacity[OU Code],0),MATCH(Cost_Structure[[#This Row],[Vehicle]],Capacity[#Headers],0))</f>
        <v>2.042136553081618</v>
      </c>
      <c r="K38">
        <f>VLOOKUP(Cost_Structure[[#This Row],[OU Code]],KM_and_FuelCost[#All],2,)</f>
        <v>2900</v>
      </c>
      <c r="L38" s="20">
        <f>(Cost_Structure[[#This Row],[KM Travelled]]/Cost_Structure[[#This Row],[Mileage]])*VLOOKUP(Cost_Structure[[#This Row],[OU Code]],KM_and_FuelCost[#All],3,)</f>
        <v>22100.936769178697</v>
      </c>
      <c r="M38" s="20">
        <f>VLOOKUP(Cost_Structure[[#This Row],[Vehicle Name]],EMI[#All],5,)</f>
        <v>11420.447400423482</v>
      </c>
      <c r="N38" s="20">
        <f>INDEX(Maintenance[],MATCH(Cost_Structure[[#This Row],[OU Code]],Maintenance[OU Code],0),MATCH(Cost_Structure[[#This Row],[Vehicle]],Maintenance[#Headers],0))</f>
        <v>18700</v>
      </c>
      <c r="O38" s="20">
        <f>Cost_Structure[[#This Row],[Fuel Cost]]+Cost_Structure[[#This Row],[EMI ]]+Cost_Structure[[#This Row],[Maintenance]]</f>
        <v>52221.384169602177</v>
      </c>
      <c r="P38" s="20">
        <v>36000</v>
      </c>
      <c r="Q38" s="20">
        <f>Cost_Structure[[#This Row],[Vehicle Cost]]+Cost_Structure[[#This Row],[Team Cost]]</f>
        <v>88221.384169602185</v>
      </c>
    </row>
    <row r="39" spans="1:17" x14ac:dyDescent="0.3">
      <c r="A39">
        <v>33</v>
      </c>
      <c r="B39" t="str">
        <f>VLOOKUP(Cost_Structure[[#This Row],[Index]],Vehicle[#All],2,)</f>
        <v>Surat</v>
      </c>
      <c r="C39" t="str">
        <f>VLOOKUP(Cost_Structure[[#This Row],[BP Name]],OU_Map[#All],3,)</f>
        <v>STVT1</v>
      </c>
      <c r="D39" t="str">
        <f>VLOOKUP(Cost_Structure[[#This Row],[Index]],Vehicle[#All],3,)</f>
        <v>Manisha Pravin Patil</v>
      </c>
      <c r="E39" t="str">
        <f>VLOOKUP(Cost_Structure[[#This Row],[Index]],Vehicle[#All],4,)</f>
        <v>Tata Ace</v>
      </c>
      <c r="F39" t="str">
        <f>VLOOKUP(Cost_Structure[[#This Row],[Index]],Vehicle_Ownership[#All],4,)</f>
        <v>Owned</v>
      </c>
      <c r="G39">
        <f>VLOOKUP(Cost_Structure[[#This Row],[Index]],Year_of_Purchase[#All],4,)</f>
        <v>2013</v>
      </c>
      <c r="H39" t="str">
        <f>VLOOKUP(Cost_Structure[[#This Row],[Vehicle]],Vehicle_Map[#All],2,)</f>
        <v>Tata Ace</v>
      </c>
      <c r="I39" s="19">
        <f>INDEX(Mileage[],MATCH(Cost_Structure[[#This Row],[OU Code]],Mileage[OU Code],0),MATCH(Cost_Structure[[#This Row],[Vehicle]],Mileage[#Headers],0))</f>
        <v>17.294647938760768</v>
      </c>
      <c r="J39" s="19">
        <f>INDEX(Capacity[],MATCH(Cost_Structure[[#This Row],[OU Code]],Capacity[OU Code],0),MATCH(Cost_Structure[[#This Row],[Vehicle]],Capacity[#Headers],0))</f>
        <v>1.0764283836997799</v>
      </c>
      <c r="K39">
        <f>VLOOKUP(Cost_Structure[[#This Row],[OU Code]],KM_and_FuelCost[#All],2,)</f>
        <v>2900</v>
      </c>
      <c r="L39" s="20">
        <f>(Cost_Structure[[#This Row],[KM Travelled]]/Cost_Structure[[#This Row],[Mileage]])*VLOOKUP(Cost_Structure[[#This Row],[OU Code]],KM_and_FuelCost[#All],3,)</f>
        <v>16669.829348340325</v>
      </c>
      <c r="M39" s="20">
        <f>VLOOKUP(Cost_Structure[[#This Row],[Vehicle Name]],EMI[#All],5,)</f>
        <v>6090.9052802258566</v>
      </c>
      <c r="N39" s="20">
        <f>INDEX(Maintenance[],MATCH(Cost_Structure[[#This Row],[OU Code]],Maintenance[OU Code],0),MATCH(Cost_Structure[[#This Row],[Vehicle]],Maintenance[#Headers],0))</f>
        <v>11500</v>
      </c>
      <c r="O39" s="20">
        <f>Cost_Structure[[#This Row],[Fuel Cost]]+Cost_Structure[[#This Row],[EMI ]]+Cost_Structure[[#This Row],[Maintenance]]</f>
        <v>34260.734628566177</v>
      </c>
      <c r="P39" s="20">
        <v>36000</v>
      </c>
      <c r="Q39" s="20">
        <f>Cost_Structure[[#This Row],[Vehicle Cost]]+Cost_Structure[[#This Row],[Team Cost]]</f>
        <v>70260.734628566177</v>
      </c>
    </row>
    <row r="40" spans="1:17" x14ac:dyDescent="0.3">
      <c r="A40">
        <v>34</v>
      </c>
      <c r="B40" t="str">
        <f>VLOOKUP(Cost_Structure[[#This Row],[Index]],Vehicle[#All],2,)</f>
        <v>Vadodara</v>
      </c>
      <c r="C40" t="str">
        <f>VLOOKUP(Cost_Structure[[#This Row],[BP Name]],OU_Map[#All],3,)</f>
        <v>BDQT1</v>
      </c>
      <c r="D40" t="str">
        <f>VLOOKUP(Cost_Structure[[#This Row],[Index]],Vehicle[#All],3,)</f>
        <v>Meenakshi Gupta</v>
      </c>
      <c r="E40" t="str">
        <f>VLOOKUP(Cost_Structure[[#This Row],[Index]],Vehicle[#All],4,)</f>
        <v>AL Dost</v>
      </c>
      <c r="F40" t="str">
        <f>VLOOKUP(Cost_Structure[[#This Row],[Index]],Vehicle_Ownership[#All],4,)</f>
        <v>Owned</v>
      </c>
      <c r="G40">
        <f>VLOOKUP(Cost_Structure[[#This Row],[Index]],Year_of_Purchase[#All],4,)</f>
        <v>2015</v>
      </c>
      <c r="H40" t="str">
        <f>VLOOKUP(Cost_Structure[[#This Row],[Vehicle]],Vehicle_Map[#All],2,)</f>
        <v>AL Dost</v>
      </c>
      <c r="I40" s="19">
        <f>INDEX(Mileage[],MATCH(Cost_Structure[[#This Row],[OU Code]],Mileage[OU Code],0),MATCH(Cost_Structure[[#This Row],[Vehicle]],Mileage[#Headers],0))</f>
        <v>16.206961290646341</v>
      </c>
      <c r="J40" s="19">
        <f>INDEX(Capacity[],MATCH(Cost_Structure[[#This Row],[OU Code]],Capacity[OU Code],0),MATCH(Cost_Structure[[#This Row],[Vehicle]],Capacity[#Headers],0))</f>
        <v>0.97146367060579686</v>
      </c>
      <c r="K40">
        <f>VLOOKUP(Cost_Structure[[#This Row],[OU Code]],KM_and_FuelCost[#All],2,)</f>
        <v>3000</v>
      </c>
      <c r="L40" s="20">
        <f>(Cost_Structure[[#This Row],[KM Travelled]]/Cost_Structure[[#This Row],[Mileage]])*VLOOKUP(Cost_Structure[[#This Row],[OU Code]],KM_and_FuelCost[#All],3,)</f>
        <v>14542.423275093808</v>
      </c>
      <c r="M40" s="20">
        <f>VLOOKUP(Cost_Structure[[#This Row],[Vehicle Name]],EMI[#All],5,)</f>
        <v>7613.6316002823205</v>
      </c>
      <c r="N40" s="20">
        <f>INDEX(Maintenance[],MATCH(Cost_Structure[[#This Row],[OU Code]],Maintenance[OU Code],0),MATCH(Cost_Structure[[#This Row],[Vehicle]],Maintenance[#Headers],0))</f>
        <v>10200</v>
      </c>
      <c r="O40" s="20">
        <f>Cost_Structure[[#This Row],[Fuel Cost]]+Cost_Structure[[#This Row],[EMI ]]+Cost_Structure[[#This Row],[Maintenance]]</f>
        <v>32356.054875376129</v>
      </c>
      <c r="P40" s="20">
        <v>36000</v>
      </c>
      <c r="Q40" s="20">
        <f>Cost_Structure[[#This Row],[Vehicle Cost]]+Cost_Structure[[#This Row],[Team Cost]]</f>
        <v>68356.054875376125</v>
      </c>
    </row>
    <row r="41" spans="1:17" x14ac:dyDescent="0.3">
      <c r="A41">
        <v>35</v>
      </c>
      <c r="B41" t="str">
        <f>VLOOKUP(Cost_Structure[[#This Row],[Index]],Vehicle[#All],2,)</f>
        <v>Surat</v>
      </c>
      <c r="C41" t="str">
        <f>VLOOKUP(Cost_Structure[[#This Row],[BP Name]],OU_Map[#All],3,)</f>
        <v>STVT1</v>
      </c>
      <c r="D41" t="str">
        <f>VLOOKUP(Cost_Structure[[#This Row],[Index]],Vehicle[#All],3,)</f>
        <v>Mo. Farukh</v>
      </c>
      <c r="E41" t="str">
        <f>VLOOKUP(Cost_Structure[[#This Row],[Index]],Vehicle[#All],4,)</f>
        <v>AL Dost</v>
      </c>
      <c r="F41" t="str">
        <f>VLOOKUP(Cost_Structure[[#This Row],[Index]],Vehicle_Ownership[#All],4,)</f>
        <v>Owned</v>
      </c>
      <c r="G41">
        <f>VLOOKUP(Cost_Structure[[#This Row],[Index]],Year_of_Purchase[#All],4,)</f>
        <v>2014</v>
      </c>
      <c r="H41" t="str">
        <f>VLOOKUP(Cost_Structure[[#This Row],[Vehicle]],Vehicle_Map[#All],2,)</f>
        <v>AL Dost</v>
      </c>
      <c r="I41" s="19">
        <f>INDEX(Mileage[],MATCH(Cost_Structure[[#This Row],[OU Code]],Mileage[OU Code],0),MATCH(Cost_Structure[[#This Row],[Vehicle]],Mileage[#Headers],0))</f>
        <v>6.5028597954101208</v>
      </c>
      <c r="J41" s="19">
        <f>INDEX(Capacity[],MATCH(Cost_Structure[[#This Row],[OU Code]],Capacity[OU Code],0),MATCH(Cost_Structure[[#This Row],[Vehicle]],Capacity[#Headers],0))</f>
        <v>1.2307641755925045</v>
      </c>
      <c r="K41">
        <f>VLOOKUP(Cost_Structure[[#This Row],[OU Code]],KM_and_FuelCost[#All],2,)</f>
        <v>2900</v>
      </c>
      <c r="L41" s="20">
        <f>(Cost_Structure[[#This Row],[KM Travelled]]/Cost_Structure[[#This Row],[Mileage]])*VLOOKUP(Cost_Structure[[#This Row],[OU Code]],KM_and_FuelCost[#All],3,)</f>
        <v>44334.160484631124</v>
      </c>
      <c r="M41" s="20">
        <f>VLOOKUP(Cost_Structure[[#This Row],[Vehicle Name]],EMI[#All],5,)</f>
        <v>7613.6316002823205</v>
      </c>
      <c r="N41" s="20">
        <f>INDEX(Maintenance[],MATCH(Cost_Structure[[#This Row],[OU Code]],Maintenance[OU Code],0),MATCH(Cost_Structure[[#This Row],[Vehicle]],Maintenance[#Headers],0))</f>
        <v>11200</v>
      </c>
      <c r="O41" s="20">
        <f>Cost_Structure[[#This Row],[Fuel Cost]]+Cost_Structure[[#This Row],[EMI ]]+Cost_Structure[[#This Row],[Maintenance]]</f>
        <v>63147.792084913446</v>
      </c>
      <c r="P41" s="20">
        <v>36000</v>
      </c>
      <c r="Q41" s="20">
        <f>Cost_Structure[[#This Row],[Vehicle Cost]]+Cost_Structure[[#This Row],[Team Cost]]</f>
        <v>99147.792084913439</v>
      </c>
    </row>
    <row r="42" spans="1:17" x14ac:dyDescent="0.3">
      <c r="A42">
        <v>36</v>
      </c>
      <c r="B42" t="str">
        <f>VLOOKUP(Cost_Structure[[#This Row],[Index]],Vehicle[#All],2,)</f>
        <v>Gandhi Nager</v>
      </c>
      <c r="C42" t="str">
        <f>VLOOKUP(Cost_Structure[[#This Row],[BP Name]],OU_Map[#All],3,)</f>
        <v>GNCB1</v>
      </c>
      <c r="D42" t="str">
        <f>VLOOKUP(Cost_Structure[[#This Row],[Index]],Vehicle[#All],3,)</f>
        <v>Moinuddin R Shaikh</v>
      </c>
      <c r="E42" t="str">
        <f>VLOOKUP(Cost_Structure[[#This Row],[Index]],Vehicle[#All],4,)</f>
        <v>Tata Ace</v>
      </c>
      <c r="F42" t="str">
        <f>VLOOKUP(Cost_Structure[[#This Row],[Index]],Vehicle_Ownership[#All],4,)</f>
        <v>EMI</v>
      </c>
      <c r="G42">
        <f>VLOOKUP(Cost_Structure[[#This Row],[Index]],Year_of_Purchase[#All],4,)</f>
        <v>2012</v>
      </c>
      <c r="H42" t="str">
        <f>VLOOKUP(Cost_Structure[[#This Row],[Vehicle]],Vehicle_Map[#All],2,)</f>
        <v>Tata Ace</v>
      </c>
      <c r="I42" s="19">
        <f>INDEX(Mileage[],MATCH(Cost_Structure[[#This Row],[OU Code]],Mileage[OU Code],0),MATCH(Cost_Structure[[#This Row],[Vehicle]],Mileage[#Headers],0))</f>
        <v>9.3641429387747763</v>
      </c>
      <c r="J42" s="19">
        <f>INDEX(Capacity[],MATCH(Cost_Structure[[#This Row],[OU Code]],Capacity[OU Code],0),MATCH(Cost_Structure[[#This Row],[Vehicle]],Capacity[#Headers],0))</f>
        <v>0.9429848152367003</v>
      </c>
      <c r="K42">
        <f>VLOOKUP(Cost_Structure[[#This Row],[OU Code]],KM_and_FuelCost[#All],2,)</f>
        <v>2700</v>
      </c>
      <c r="L42" s="20">
        <f>(Cost_Structure[[#This Row],[KM Travelled]]/Cost_Structure[[#This Row],[Mileage]])*VLOOKUP(Cost_Structure[[#This Row],[OU Code]],KM_and_FuelCost[#All],3,)</f>
        <v>32700.275181934616</v>
      </c>
      <c r="M42" s="20">
        <f>VLOOKUP(Cost_Structure[[#This Row],[Vehicle Name]],EMI[#All],5,)</f>
        <v>6090.9052802258566</v>
      </c>
      <c r="N42" s="20">
        <f>INDEX(Maintenance[],MATCH(Cost_Structure[[#This Row],[OU Code]],Maintenance[OU Code],0),MATCH(Cost_Structure[[#This Row],[Vehicle]],Maintenance[#Headers],0))</f>
        <v>7800</v>
      </c>
      <c r="O42" s="20">
        <f>Cost_Structure[[#This Row],[Fuel Cost]]+Cost_Structure[[#This Row],[EMI ]]+Cost_Structure[[#This Row],[Maintenance]]</f>
        <v>46591.180462160475</v>
      </c>
      <c r="P42" s="20">
        <v>36000</v>
      </c>
      <c r="Q42" s="20">
        <f>Cost_Structure[[#This Row],[Vehicle Cost]]+Cost_Structure[[#This Row],[Team Cost]]</f>
        <v>82591.180462160468</v>
      </c>
    </row>
    <row r="43" spans="1:17" x14ac:dyDescent="0.3">
      <c r="A43">
        <v>37</v>
      </c>
      <c r="B43" t="str">
        <f>VLOOKUP(Cost_Structure[[#This Row],[Index]],Vehicle[#All],2,)</f>
        <v>Rampura Branch</v>
      </c>
      <c r="C43" t="str">
        <f>VLOOKUP(Cost_Structure[[#This Row],[BP Name]],OU_Map[#All],3,)</f>
        <v>AMDBP</v>
      </c>
      <c r="D43" t="str">
        <f>VLOOKUP(Cost_Structure[[#This Row],[Index]],Vehicle[#All],3,)</f>
        <v>Mukeshbhai Rajabhai Bharwad</v>
      </c>
      <c r="E43" t="str">
        <f>VLOOKUP(Cost_Structure[[#This Row],[Index]],Vehicle[#All],4,)</f>
        <v>Mahindra</v>
      </c>
      <c r="F43" t="str">
        <f>VLOOKUP(Cost_Structure[[#This Row],[Index]],Vehicle_Ownership[#All],4,)</f>
        <v>EMI</v>
      </c>
      <c r="G43">
        <f>VLOOKUP(Cost_Structure[[#This Row],[Index]],Year_of_Purchase[#All],4,)</f>
        <v>2015</v>
      </c>
      <c r="H43" t="str">
        <f>VLOOKUP(Cost_Structure[[#This Row],[Vehicle]],Vehicle_Map[#All],2,)</f>
        <v>Mahindra</v>
      </c>
      <c r="I43" s="19">
        <f>INDEX(Mileage[],MATCH(Cost_Structure[[#This Row],[OU Code]],Mileage[OU Code],0),MATCH(Cost_Structure[[#This Row],[Vehicle]],Mileage[#Headers],0))</f>
        <v>11.216814907083885</v>
      </c>
      <c r="J43" s="19">
        <f>INDEX(Capacity[],MATCH(Cost_Structure[[#This Row],[OU Code]],Capacity[OU Code],0),MATCH(Cost_Structure[[#This Row],[Vehicle]],Capacity[#Headers],0))</f>
        <v>1.4849540362195355</v>
      </c>
      <c r="K43">
        <f>VLOOKUP(Cost_Structure[[#This Row],[OU Code]],KM_and_FuelCost[#All],2,)</f>
        <v>2600</v>
      </c>
      <c r="L43" s="20">
        <f>(Cost_Structure[[#This Row],[KM Travelled]]/Cost_Structure[[#This Row],[Mileage]])*VLOOKUP(Cost_Structure[[#This Row],[OU Code]],KM_and_FuelCost[#All],3,)</f>
        <v>18738.720654163106</v>
      </c>
      <c r="M43" s="20">
        <f>VLOOKUP(Cost_Structure[[#This Row],[Vehicle Name]],EMI[#All],5,)</f>
        <v>11420.447400423482</v>
      </c>
      <c r="N43" s="20">
        <f>INDEX(Maintenance[],MATCH(Cost_Structure[[#This Row],[OU Code]],Maintenance[OU Code],0),MATCH(Cost_Structure[[#This Row],[Vehicle]],Maintenance[#Headers],0))</f>
        <v>11200</v>
      </c>
      <c r="O43" s="20">
        <f>Cost_Structure[[#This Row],[Fuel Cost]]+Cost_Structure[[#This Row],[EMI ]]+Cost_Structure[[#This Row],[Maintenance]]</f>
        <v>41359.168054586589</v>
      </c>
      <c r="P43" s="20">
        <v>36000</v>
      </c>
      <c r="Q43" s="20">
        <f>Cost_Structure[[#This Row],[Vehicle Cost]]+Cost_Structure[[#This Row],[Team Cost]]</f>
        <v>77359.168054586597</v>
      </c>
    </row>
    <row r="44" spans="1:17" x14ac:dyDescent="0.3">
      <c r="A44">
        <v>38</v>
      </c>
      <c r="B44" t="str">
        <f>VLOOKUP(Cost_Structure[[#This Row],[Index]],Vehicle[#All],2,)</f>
        <v>Ahmedabad Branch</v>
      </c>
      <c r="C44" t="str">
        <f>VLOOKUP(Cost_Structure[[#This Row],[BP Name]],OU_Map[#All],3,)</f>
        <v>AMDT1</v>
      </c>
      <c r="D44" t="str">
        <f>VLOOKUP(Cost_Structure[[#This Row],[Index]],Vehicle[#All],3,)</f>
        <v>Muliya Tofikhusen Habibbhai</v>
      </c>
      <c r="E44" t="str">
        <f>VLOOKUP(Cost_Structure[[#This Row],[Index]],Vehicle[#All],4,)</f>
        <v>17 ft</v>
      </c>
      <c r="F44" t="str">
        <f>VLOOKUP(Cost_Structure[[#This Row],[Index]],Vehicle_Ownership[#All],4,)</f>
        <v>Market</v>
      </c>
      <c r="G44">
        <f>VLOOKUP(Cost_Structure[[#This Row],[Index]],Year_of_Purchase[#All],4,)</f>
        <v>0</v>
      </c>
      <c r="H44" t="str">
        <f>VLOOKUP(Cost_Structure[[#This Row],[Vehicle]],Vehicle_Map[#All],2,)</f>
        <v>Eicher 17</v>
      </c>
      <c r="I44" s="19">
        <f>INDEX(Mileage[],MATCH(Cost_Structure[[#This Row],[OU Code]],Mileage[OU Code],0),MATCH(Cost_Structure[[#This Row],[Vehicle]],Mileage[#Headers],0))</f>
        <v>6.5525461364709248</v>
      </c>
      <c r="J44" s="19">
        <f>INDEX(Capacity[],MATCH(Cost_Structure[[#This Row],[OU Code]],Capacity[OU Code],0),MATCH(Cost_Structure[[#This Row],[Vehicle]],Capacity[#Headers],0))</f>
        <v>6.5900268382448797</v>
      </c>
      <c r="K44">
        <f>VLOOKUP(Cost_Structure[[#This Row],[OU Code]],KM_and_FuelCost[#All],2,)</f>
        <v>2900</v>
      </c>
      <c r="L44" s="20">
        <f>(Cost_Structure[[#This Row],[KM Travelled]]/Cost_Structure[[#This Row],[Mileage]])*VLOOKUP(Cost_Structure[[#This Row],[OU Code]],KM_and_FuelCost[#All],3,)</f>
        <v>44474.742564298867</v>
      </c>
      <c r="M44" s="20">
        <f>VLOOKUP(Cost_Structure[[#This Row],[Vehicle Name]],EMI[#All],5,)</f>
        <v>17511.352680649339</v>
      </c>
      <c r="N44" s="20">
        <f>INDEX(Maintenance[],MATCH(Cost_Structure[[#This Row],[OU Code]],Maintenance[OU Code],0),MATCH(Cost_Structure[[#This Row],[Vehicle]],Maintenance[#Headers],0))</f>
        <v>12500</v>
      </c>
      <c r="O44" s="20">
        <f>Cost_Structure[[#This Row],[Fuel Cost]]+Cost_Structure[[#This Row],[EMI ]]+Cost_Structure[[#This Row],[Maintenance]]</f>
        <v>74486.095244948199</v>
      </c>
      <c r="P44" s="20">
        <v>36000</v>
      </c>
      <c r="Q44" s="20">
        <f>Cost_Structure[[#This Row],[Vehicle Cost]]+Cost_Structure[[#This Row],[Team Cost]]</f>
        <v>110486.0952449482</v>
      </c>
    </row>
    <row r="45" spans="1:17" x14ac:dyDescent="0.3">
      <c r="A45">
        <v>39</v>
      </c>
      <c r="B45" t="str">
        <f>VLOOKUP(Cost_Structure[[#This Row],[Index]],Vehicle[#All],2,)</f>
        <v>Vadodara</v>
      </c>
      <c r="C45" t="str">
        <f>VLOOKUP(Cost_Structure[[#This Row],[BP Name]],OU_Map[#All],3,)</f>
        <v>BDQT1</v>
      </c>
      <c r="D45" t="str">
        <f>VLOOKUP(Cost_Structure[[#This Row],[Index]],Vehicle[#All],3,)</f>
        <v>Od Maheshbhai Bhikhabhai</v>
      </c>
      <c r="E45" t="str">
        <f>VLOOKUP(Cost_Structure[[#This Row],[Index]],Vehicle[#All],4,)</f>
        <v>AL Dost</v>
      </c>
      <c r="F45" t="str">
        <f>VLOOKUP(Cost_Structure[[#This Row],[Index]],Vehicle_Ownership[#All],4,)</f>
        <v>Owned</v>
      </c>
      <c r="G45">
        <f>VLOOKUP(Cost_Structure[[#This Row],[Index]],Year_of_Purchase[#All],4,)</f>
        <v>2014</v>
      </c>
      <c r="H45" t="str">
        <f>VLOOKUP(Cost_Structure[[#This Row],[Vehicle]],Vehicle_Map[#All],2,)</f>
        <v>AL Dost</v>
      </c>
      <c r="I45" s="19">
        <f>INDEX(Mileage[],MATCH(Cost_Structure[[#This Row],[OU Code]],Mileage[OU Code],0),MATCH(Cost_Structure[[#This Row],[Vehicle]],Mileage[#Headers],0))</f>
        <v>16.206961290646341</v>
      </c>
      <c r="J45" s="19">
        <f>INDEX(Capacity[],MATCH(Cost_Structure[[#This Row],[OU Code]],Capacity[OU Code],0),MATCH(Cost_Structure[[#This Row],[Vehicle]],Capacity[#Headers],0))</f>
        <v>0.97146367060579686</v>
      </c>
      <c r="K45">
        <f>VLOOKUP(Cost_Structure[[#This Row],[OU Code]],KM_and_FuelCost[#All],2,)</f>
        <v>3000</v>
      </c>
      <c r="L45" s="20">
        <f>(Cost_Structure[[#This Row],[KM Travelled]]/Cost_Structure[[#This Row],[Mileage]])*VLOOKUP(Cost_Structure[[#This Row],[OU Code]],KM_and_FuelCost[#All],3,)</f>
        <v>14542.423275093808</v>
      </c>
      <c r="M45" s="20">
        <f>VLOOKUP(Cost_Structure[[#This Row],[Vehicle Name]],EMI[#All],5,)</f>
        <v>7613.6316002823205</v>
      </c>
      <c r="N45" s="20">
        <f>INDEX(Maintenance[],MATCH(Cost_Structure[[#This Row],[OU Code]],Maintenance[OU Code],0),MATCH(Cost_Structure[[#This Row],[Vehicle]],Maintenance[#Headers],0))</f>
        <v>10200</v>
      </c>
      <c r="O45" s="20">
        <f>Cost_Structure[[#This Row],[Fuel Cost]]+Cost_Structure[[#This Row],[EMI ]]+Cost_Structure[[#This Row],[Maintenance]]</f>
        <v>32356.054875376129</v>
      </c>
      <c r="P45" s="20">
        <v>36000</v>
      </c>
      <c r="Q45" s="20">
        <f>Cost_Structure[[#This Row],[Vehicle Cost]]+Cost_Structure[[#This Row],[Team Cost]]</f>
        <v>68356.054875376125</v>
      </c>
    </row>
    <row r="46" spans="1:17" x14ac:dyDescent="0.3">
      <c r="A46">
        <v>40</v>
      </c>
      <c r="B46" t="str">
        <f>VLOOKUP(Cost_Structure[[#This Row],[Index]],Vehicle[#All],2,)</f>
        <v>Rajkot</v>
      </c>
      <c r="C46" t="str">
        <f>VLOOKUP(Cost_Structure[[#This Row],[BP Name]],OU_Map[#All],3,)</f>
        <v>RAJB1</v>
      </c>
      <c r="D46" t="str">
        <f>VLOOKUP(Cost_Structure[[#This Row],[Index]],Vehicle[#All],3,)</f>
        <v>Patani Salim Gafarbhai</v>
      </c>
      <c r="E46" t="str">
        <f>VLOOKUP(Cost_Structure[[#This Row],[Index]],Vehicle[#All],4,)</f>
        <v>Pickup</v>
      </c>
      <c r="F46" t="str">
        <f>VLOOKUP(Cost_Structure[[#This Row],[Index]],Vehicle_Ownership[#All],4,)</f>
        <v>Owned</v>
      </c>
      <c r="G46">
        <f>VLOOKUP(Cost_Structure[[#This Row],[Index]],Year_of_Purchase[#All],4,)</f>
        <v>2014</v>
      </c>
      <c r="H46" t="str">
        <f>VLOOKUP(Cost_Structure[[#This Row],[Vehicle]],Vehicle_Map[#All],2,)</f>
        <v>Pickup</v>
      </c>
      <c r="I46" s="19">
        <f>INDEX(Mileage[],MATCH(Cost_Structure[[#This Row],[OU Code]],Mileage[OU Code],0),MATCH(Cost_Structure[[#This Row],[Vehicle]],Mileage[#Headers],0))</f>
        <v>13.840671454814565</v>
      </c>
      <c r="J46" s="19">
        <f>INDEX(Capacity[],MATCH(Cost_Structure[[#This Row],[OU Code]],Capacity[OU Code],0),MATCH(Cost_Structure[[#This Row],[Vehicle]],Capacity[#Headers],0))</f>
        <v>1.6537934308679081</v>
      </c>
      <c r="K46">
        <f>VLOOKUP(Cost_Structure[[#This Row],[OU Code]],KM_and_FuelCost[#All],2,)</f>
        <v>1800</v>
      </c>
      <c r="L46" s="20">
        <f>(Cost_Structure[[#This Row],[KM Travelled]]/Cost_Structure[[#This Row],[Mileage]])*VLOOKUP(Cost_Structure[[#This Row],[OU Code]],KM_and_FuelCost[#All],3,)</f>
        <v>11794.903254198736</v>
      </c>
      <c r="M46" s="20">
        <f>VLOOKUP(Cost_Structure[[#This Row],[Vehicle Name]],EMI[#All],5,)</f>
        <v>9897.7210803670168</v>
      </c>
      <c r="N46" s="20">
        <f>INDEX(Maintenance[],MATCH(Cost_Structure[[#This Row],[OU Code]],Maintenance[OU Code],0),MATCH(Cost_Structure[[#This Row],[Vehicle]],Maintenance[#Headers],0))</f>
        <v>9300</v>
      </c>
      <c r="O46" s="20">
        <f>Cost_Structure[[#This Row],[Fuel Cost]]+Cost_Structure[[#This Row],[EMI ]]+Cost_Structure[[#This Row],[Maintenance]]</f>
        <v>30992.624334565753</v>
      </c>
      <c r="P46" s="20">
        <v>36000</v>
      </c>
      <c r="Q46" s="20">
        <f>Cost_Structure[[#This Row],[Vehicle Cost]]+Cost_Structure[[#This Row],[Team Cost]]</f>
        <v>66992.624334565757</v>
      </c>
    </row>
    <row r="47" spans="1:17" x14ac:dyDescent="0.3">
      <c r="A47">
        <v>41</v>
      </c>
      <c r="B47" t="str">
        <f>VLOOKUP(Cost_Structure[[#This Row],[Index]],Vehicle[#All],2,)</f>
        <v>Rajkot</v>
      </c>
      <c r="C47" t="str">
        <f>VLOOKUP(Cost_Structure[[#This Row],[BP Name]],OU_Map[#All],3,)</f>
        <v>RAJB1</v>
      </c>
      <c r="D47" t="str">
        <f>VLOOKUP(Cost_Structure[[#This Row],[Index]],Vehicle[#All],3,)</f>
        <v>Patani Salim Gafarbhai</v>
      </c>
      <c r="E47" t="str">
        <f>VLOOKUP(Cost_Structure[[#This Row],[Index]],Vehicle[#All],4,)</f>
        <v>Tata Ace</v>
      </c>
      <c r="F47" t="str">
        <f>VLOOKUP(Cost_Structure[[#This Row],[Index]],Vehicle_Ownership[#All],4,)</f>
        <v>Owned</v>
      </c>
      <c r="G47">
        <f>VLOOKUP(Cost_Structure[[#This Row],[Index]],Year_of_Purchase[#All],4,)</f>
        <v>2020</v>
      </c>
      <c r="H47" t="str">
        <f>VLOOKUP(Cost_Structure[[#This Row],[Vehicle]],Vehicle_Map[#All],2,)</f>
        <v>Tata Ace</v>
      </c>
      <c r="I47" s="19">
        <f>INDEX(Mileage[],MATCH(Cost_Structure[[#This Row],[OU Code]],Mileage[OU Code],0),MATCH(Cost_Structure[[#This Row],[Vehicle]],Mileage[#Headers],0))</f>
        <v>15.252132362435546</v>
      </c>
      <c r="J47" s="19">
        <f>INDEX(Capacity[],MATCH(Cost_Structure[[#This Row],[OU Code]],Capacity[OU Code],0),MATCH(Cost_Structure[[#This Row],[Vehicle]],Capacity[#Headers],0))</f>
        <v>0.44282249549748876</v>
      </c>
      <c r="K47">
        <f>VLOOKUP(Cost_Structure[[#This Row],[OU Code]],KM_and_FuelCost[#All],2,)</f>
        <v>1800</v>
      </c>
      <c r="L47" s="20">
        <f>(Cost_Structure[[#This Row],[KM Travelled]]/Cost_Structure[[#This Row],[Mileage]])*VLOOKUP(Cost_Structure[[#This Row],[OU Code]],KM_and_FuelCost[#All],3,)</f>
        <v>10703.38080626382</v>
      </c>
      <c r="M47" s="20">
        <f>VLOOKUP(Cost_Structure[[#This Row],[Vehicle Name]],EMI[#All],5,)</f>
        <v>6090.9052802258566</v>
      </c>
      <c r="N47" s="20">
        <f>INDEX(Maintenance[],MATCH(Cost_Structure[[#This Row],[OU Code]],Maintenance[OU Code],0),MATCH(Cost_Structure[[#This Row],[Vehicle]],Maintenance[#Headers],0))</f>
        <v>6200</v>
      </c>
      <c r="O47" s="20">
        <f>Cost_Structure[[#This Row],[Fuel Cost]]+Cost_Structure[[#This Row],[EMI ]]+Cost_Structure[[#This Row],[Maintenance]]</f>
        <v>22994.286086489676</v>
      </c>
      <c r="P47" s="20">
        <v>36000</v>
      </c>
      <c r="Q47" s="20">
        <f>Cost_Structure[[#This Row],[Vehicle Cost]]+Cost_Structure[[#This Row],[Team Cost]]</f>
        <v>58994.286086489679</v>
      </c>
    </row>
    <row r="48" spans="1:17" x14ac:dyDescent="0.3">
      <c r="A48">
        <v>42</v>
      </c>
      <c r="B48" t="str">
        <f>VLOOKUP(Cost_Structure[[#This Row],[Index]],Vehicle[#All],2,)</f>
        <v>Rampura Branch</v>
      </c>
      <c r="C48" t="str">
        <f>VLOOKUP(Cost_Structure[[#This Row],[BP Name]],OU_Map[#All],3,)</f>
        <v>AMDBC</v>
      </c>
      <c r="D48" t="str">
        <f>VLOOKUP(Cost_Structure[[#This Row],[Index]],Vehicle[#All],3,)</f>
        <v>Pathan Parvezbhai</v>
      </c>
      <c r="E48" t="str">
        <f>VLOOKUP(Cost_Structure[[#This Row],[Index]],Vehicle[#All],4,)</f>
        <v>Tata Ace</v>
      </c>
      <c r="F48" t="str">
        <f>VLOOKUP(Cost_Structure[[#This Row],[Index]],Vehicle_Ownership[#All],4,)</f>
        <v>EMI</v>
      </c>
      <c r="G48">
        <f>VLOOKUP(Cost_Structure[[#This Row],[Index]],Year_of_Purchase[#All],4,)</f>
        <v>2012</v>
      </c>
      <c r="H48" t="str">
        <f>VLOOKUP(Cost_Structure[[#This Row],[Vehicle]],Vehicle_Map[#All],2,)</f>
        <v>Tata Ace</v>
      </c>
      <c r="I48" s="19">
        <f>INDEX(Mileage[],MATCH(Cost_Structure[[#This Row],[OU Code]],Mileage[OU Code],0),MATCH(Cost_Structure[[#This Row],[Vehicle]],Mileage[#Headers],0))</f>
        <v>17.157710528177709</v>
      </c>
      <c r="J48" s="19">
        <f>INDEX(Capacity[],MATCH(Cost_Structure[[#This Row],[OU Code]],Capacity[OU Code],0),MATCH(Cost_Structure[[#This Row],[Vehicle]],Capacity[#Headers],0))</f>
        <v>1.0426350561035722</v>
      </c>
      <c r="K48">
        <f>VLOOKUP(Cost_Structure[[#This Row],[OU Code]],KM_and_FuelCost[#All],2,)</f>
        <v>3100</v>
      </c>
      <c r="L48" s="20">
        <f>(Cost_Structure[[#This Row],[KM Travelled]]/Cost_Structure[[#This Row],[Mileage]])*VLOOKUP(Cost_Structure[[#This Row],[OU Code]],KM_and_FuelCost[#All],3,)</f>
        <v>16815.46394439719</v>
      </c>
      <c r="M48" s="20">
        <f>VLOOKUP(Cost_Structure[[#This Row],[Vehicle Name]],EMI[#All],5,)</f>
        <v>6090.9052802258566</v>
      </c>
      <c r="N48" s="20">
        <f>INDEX(Maintenance[],MATCH(Cost_Structure[[#This Row],[OU Code]],Maintenance[OU Code],0),MATCH(Cost_Structure[[#This Row],[Vehicle]],Maintenance[#Headers],0))</f>
        <v>11800</v>
      </c>
      <c r="O48" s="20">
        <f>Cost_Structure[[#This Row],[Fuel Cost]]+Cost_Structure[[#This Row],[EMI ]]+Cost_Structure[[#This Row],[Maintenance]]</f>
        <v>34706.369224623049</v>
      </c>
      <c r="P48" s="20">
        <v>36000</v>
      </c>
      <c r="Q48" s="20">
        <f>Cost_Structure[[#This Row],[Vehicle Cost]]+Cost_Structure[[#This Row],[Team Cost]]</f>
        <v>70706.369224623049</v>
      </c>
    </row>
    <row r="49" spans="1:17" x14ac:dyDescent="0.3">
      <c r="A49">
        <v>43</v>
      </c>
      <c r="B49" t="str">
        <f>VLOOKUP(Cost_Structure[[#This Row],[Index]],Vehicle[#All],2,)</f>
        <v>Surat</v>
      </c>
      <c r="C49" t="str">
        <f>VLOOKUP(Cost_Structure[[#This Row],[BP Name]],OU_Map[#All],3,)</f>
        <v>STVT1</v>
      </c>
      <c r="D49" t="str">
        <f>VLOOKUP(Cost_Structure[[#This Row],[Index]],Vehicle[#All],3,)</f>
        <v>Pravin Patil</v>
      </c>
      <c r="E49" t="str">
        <f>VLOOKUP(Cost_Structure[[#This Row],[Index]],Vehicle[#All],4,)</f>
        <v>Tata Ace</v>
      </c>
      <c r="F49" t="str">
        <f>VLOOKUP(Cost_Structure[[#This Row],[Index]],Vehicle_Ownership[#All],4,)</f>
        <v>Owned</v>
      </c>
      <c r="G49">
        <f>VLOOKUP(Cost_Structure[[#This Row],[Index]],Year_of_Purchase[#All],4,)</f>
        <v>2019</v>
      </c>
      <c r="H49" t="str">
        <f>VLOOKUP(Cost_Structure[[#This Row],[Vehicle]],Vehicle_Map[#All],2,)</f>
        <v>Tata Ace</v>
      </c>
      <c r="I49" s="19">
        <f>INDEX(Mileage[],MATCH(Cost_Structure[[#This Row],[OU Code]],Mileage[OU Code],0),MATCH(Cost_Structure[[#This Row],[Vehicle]],Mileage[#Headers],0))</f>
        <v>17.294647938760768</v>
      </c>
      <c r="J49" s="19">
        <f>INDEX(Capacity[],MATCH(Cost_Structure[[#This Row],[OU Code]],Capacity[OU Code],0),MATCH(Cost_Structure[[#This Row],[Vehicle]],Capacity[#Headers],0))</f>
        <v>1.0764283836997799</v>
      </c>
      <c r="K49">
        <f>VLOOKUP(Cost_Structure[[#This Row],[OU Code]],KM_and_FuelCost[#All],2,)</f>
        <v>2900</v>
      </c>
      <c r="L49" s="20">
        <f>(Cost_Structure[[#This Row],[KM Travelled]]/Cost_Structure[[#This Row],[Mileage]])*VLOOKUP(Cost_Structure[[#This Row],[OU Code]],KM_and_FuelCost[#All],3,)</f>
        <v>16669.829348340325</v>
      </c>
      <c r="M49" s="20">
        <f>VLOOKUP(Cost_Structure[[#This Row],[Vehicle Name]],EMI[#All],5,)</f>
        <v>6090.9052802258566</v>
      </c>
      <c r="N49" s="20">
        <f>INDEX(Maintenance[],MATCH(Cost_Structure[[#This Row],[OU Code]],Maintenance[OU Code],0),MATCH(Cost_Structure[[#This Row],[Vehicle]],Maintenance[#Headers],0))</f>
        <v>11500</v>
      </c>
      <c r="O49" s="20">
        <f>Cost_Structure[[#This Row],[Fuel Cost]]+Cost_Structure[[#This Row],[EMI ]]+Cost_Structure[[#This Row],[Maintenance]]</f>
        <v>34260.734628566177</v>
      </c>
      <c r="P49" s="20">
        <v>36000</v>
      </c>
      <c r="Q49" s="20">
        <f>Cost_Structure[[#This Row],[Vehicle Cost]]+Cost_Structure[[#This Row],[Team Cost]]</f>
        <v>70260.734628566177</v>
      </c>
    </row>
    <row r="50" spans="1:17" x14ac:dyDescent="0.3">
      <c r="A50">
        <v>44</v>
      </c>
      <c r="B50" t="str">
        <f>VLOOKUP(Cost_Structure[[#This Row],[Index]],Vehicle[#All],2,)</f>
        <v>Ahmedabad Branch</v>
      </c>
      <c r="C50" t="str">
        <f>VLOOKUP(Cost_Structure[[#This Row],[BP Name]],OU_Map[#All],3,)</f>
        <v>AMDT1</v>
      </c>
      <c r="D50" t="str">
        <f>VLOOKUP(Cost_Structure[[#This Row],[Index]],Vehicle[#All],3,)</f>
        <v>Pravin Thakor</v>
      </c>
      <c r="E50" t="str">
        <f>VLOOKUP(Cost_Structure[[#This Row],[Index]],Vehicle[#All],4,)</f>
        <v>17 ft</v>
      </c>
      <c r="F50" t="str">
        <f>VLOOKUP(Cost_Structure[[#This Row],[Index]],Vehicle_Ownership[#All],4,)</f>
        <v>Market</v>
      </c>
      <c r="G50">
        <f>VLOOKUP(Cost_Structure[[#This Row],[Index]],Year_of_Purchase[#All],4,)</f>
        <v>0</v>
      </c>
      <c r="H50" t="str">
        <f>VLOOKUP(Cost_Structure[[#This Row],[Vehicle]],Vehicle_Map[#All],2,)</f>
        <v>Eicher 17</v>
      </c>
      <c r="I50" s="19">
        <f>INDEX(Mileage[],MATCH(Cost_Structure[[#This Row],[OU Code]],Mileage[OU Code],0),MATCH(Cost_Structure[[#This Row],[Vehicle]],Mileage[#Headers],0))</f>
        <v>6.5525461364709248</v>
      </c>
      <c r="J50" s="19">
        <f>INDEX(Capacity[],MATCH(Cost_Structure[[#This Row],[OU Code]],Capacity[OU Code],0),MATCH(Cost_Structure[[#This Row],[Vehicle]],Capacity[#Headers],0))</f>
        <v>6.5900268382448797</v>
      </c>
      <c r="K50">
        <f>VLOOKUP(Cost_Structure[[#This Row],[OU Code]],KM_and_FuelCost[#All],2,)</f>
        <v>2900</v>
      </c>
      <c r="L50" s="20">
        <f>(Cost_Structure[[#This Row],[KM Travelled]]/Cost_Structure[[#This Row],[Mileage]])*VLOOKUP(Cost_Structure[[#This Row],[OU Code]],KM_and_FuelCost[#All],3,)</f>
        <v>44474.742564298867</v>
      </c>
      <c r="M50" s="20">
        <f>VLOOKUP(Cost_Structure[[#This Row],[Vehicle Name]],EMI[#All],5,)</f>
        <v>17511.352680649339</v>
      </c>
      <c r="N50" s="20">
        <f>INDEX(Maintenance[],MATCH(Cost_Structure[[#This Row],[OU Code]],Maintenance[OU Code],0),MATCH(Cost_Structure[[#This Row],[Vehicle]],Maintenance[#Headers],0))</f>
        <v>12500</v>
      </c>
      <c r="O50" s="20">
        <f>Cost_Structure[[#This Row],[Fuel Cost]]+Cost_Structure[[#This Row],[EMI ]]+Cost_Structure[[#This Row],[Maintenance]]</f>
        <v>74486.095244948199</v>
      </c>
      <c r="P50" s="20">
        <v>36000</v>
      </c>
      <c r="Q50" s="20">
        <f>Cost_Structure[[#This Row],[Vehicle Cost]]+Cost_Structure[[#This Row],[Team Cost]]</f>
        <v>110486.0952449482</v>
      </c>
    </row>
    <row r="51" spans="1:17" x14ac:dyDescent="0.3">
      <c r="A51">
        <v>45</v>
      </c>
      <c r="B51" t="str">
        <f>VLOOKUP(Cost_Structure[[#This Row],[Index]],Vehicle[#All],2,)</f>
        <v>Gandhi Nager</v>
      </c>
      <c r="C51" t="str">
        <f>VLOOKUP(Cost_Structure[[#This Row],[BP Name]],OU_Map[#All],3,)</f>
        <v>GNCB1</v>
      </c>
      <c r="D51" t="str">
        <f>VLOOKUP(Cost_Structure[[#This Row],[Index]],Vehicle[#All],3,)</f>
        <v>Rajendrasinh L Chavda</v>
      </c>
      <c r="E51" t="str">
        <f>VLOOKUP(Cost_Structure[[#This Row],[Index]],Vehicle[#All],4,)</f>
        <v>Tata Ace</v>
      </c>
      <c r="F51" t="str">
        <f>VLOOKUP(Cost_Structure[[#This Row],[Index]],Vehicle_Ownership[#All],4,)</f>
        <v>Owned</v>
      </c>
      <c r="G51">
        <f>VLOOKUP(Cost_Structure[[#This Row],[Index]],Year_of_Purchase[#All],4,)</f>
        <v>2020</v>
      </c>
      <c r="H51" t="str">
        <f>VLOOKUP(Cost_Structure[[#This Row],[Vehicle]],Vehicle_Map[#All],2,)</f>
        <v>Tata Ace</v>
      </c>
      <c r="I51" s="19">
        <f>INDEX(Mileage[],MATCH(Cost_Structure[[#This Row],[OU Code]],Mileage[OU Code],0),MATCH(Cost_Structure[[#This Row],[Vehicle]],Mileage[#Headers],0))</f>
        <v>9.3641429387747763</v>
      </c>
      <c r="J51" s="19">
        <f>INDEX(Capacity[],MATCH(Cost_Structure[[#This Row],[OU Code]],Capacity[OU Code],0),MATCH(Cost_Structure[[#This Row],[Vehicle]],Capacity[#Headers],0))</f>
        <v>0.9429848152367003</v>
      </c>
      <c r="K51">
        <f>VLOOKUP(Cost_Structure[[#This Row],[OU Code]],KM_and_FuelCost[#All],2,)</f>
        <v>2700</v>
      </c>
      <c r="L51" s="20">
        <f>(Cost_Structure[[#This Row],[KM Travelled]]/Cost_Structure[[#This Row],[Mileage]])*VLOOKUP(Cost_Structure[[#This Row],[OU Code]],KM_and_FuelCost[#All],3,)</f>
        <v>32700.275181934616</v>
      </c>
      <c r="M51" s="20">
        <f>VLOOKUP(Cost_Structure[[#This Row],[Vehicle Name]],EMI[#All],5,)</f>
        <v>6090.9052802258566</v>
      </c>
      <c r="N51" s="20">
        <f>INDEX(Maintenance[],MATCH(Cost_Structure[[#This Row],[OU Code]],Maintenance[OU Code],0),MATCH(Cost_Structure[[#This Row],[Vehicle]],Maintenance[#Headers],0))</f>
        <v>7800</v>
      </c>
      <c r="O51" s="20">
        <f>Cost_Structure[[#This Row],[Fuel Cost]]+Cost_Structure[[#This Row],[EMI ]]+Cost_Structure[[#This Row],[Maintenance]]</f>
        <v>46591.180462160475</v>
      </c>
      <c r="P51" s="20">
        <v>36000</v>
      </c>
      <c r="Q51" s="20">
        <f>Cost_Structure[[#This Row],[Vehicle Cost]]+Cost_Structure[[#This Row],[Team Cost]]</f>
        <v>82591.180462160468</v>
      </c>
    </row>
    <row r="52" spans="1:17" x14ac:dyDescent="0.3">
      <c r="A52">
        <v>46</v>
      </c>
      <c r="B52" t="str">
        <f>VLOOKUP(Cost_Structure[[#This Row],[Index]],Vehicle[#All],2,)</f>
        <v>Vadodara</v>
      </c>
      <c r="C52" t="str">
        <f>VLOOKUP(Cost_Structure[[#This Row],[BP Name]],OU_Map[#All],3,)</f>
        <v>BDQT1</v>
      </c>
      <c r="D52" t="str">
        <f>VLOOKUP(Cost_Structure[[#This Row],[Index]],Vehicle[#All],3,)</f>
        <v>Rajesh Kumar Misra_Delivery</v>
      </c>
      <c r="E52" t="str">
        <f>VLOOKUP(Cost_Structure[[#This Row],[Index]],Vehicle[#All],4,)</f>
        <v>Super ace</v>
      </c>
      <c r="F52" t="str">
        <f>VLOOKUP(Cost_Structure[[#This Row],[Index]],Vehicle_Ownership[#All],4,)</f>
        <v>Owned</v>
      </c>
      <c r="G52">
        <f>VLOOKUP(Cost_Structure[[#This Row],[Index]],Year_of_Purchase[#All],4,)</f>
        <v>2014</v>
      </c>
      <c r="H52" t="str">
        <f>VLOOKUP(Cost_Structure[[#This Row],[Vehicle]],Vehicle_Map[#All],2,)</f>
        <v>Super ace</v>
      </c>
      <c r="I52" s="19">
        <f>INDEX(Mileage[],MATCH(Cost_Structure[[#This Row],[OU Code]],Mileage[OU Code],0),MATCH(Cost_Structure[[#This Row],[Vehicle]],Mileage[#Headers],0))</f>
        <v>9.9226528824228826</v>
      </c>
      <c r="J52" s="19">
        <f>INDEX(Capacity[],MATCH(Cost_Structure[[#This Row],[OU Code]],Capacity[OU Code],0),MATCH(Cost_Structure[[#This Row],[Vehicle]],Capacity[#Headers],0))</f>
        <v>1.6651510049498304</v>
      </c>
      <c r="K52">
        <f>VLOOKUP(Cost_Structure[[#This Row],[OU Code]],KM_and_FuelCost[#All],2,)</f>
        <v>3000</v>
      </c>
      <c r="L52" s="20">
        <f>(Cost_Structure[[#This Row],[KM Travelled]]/Cost_Structure[[#This Row],[Mileage]])*VLOOKUP(Cost_Structure[[#This Row],[OU Code]],KM_and_FuelCost[#All],3,)</f>
        <v>23752.568379081509</v>
      </c>
      <c r="M52" s="20">
        <f>VLOOKUP(Cost_Structure[[#This Row],[Vehicle Name]],EMI[#All],5,)</f>
        <v>8374.9947603105538</v>
      </c>
      <c r="N52" s="20">
        <f>INDEX(Maintenance[],MATCH(Cost_Structure[[#This Row],[OU Code]],Maintenance[OU Code],0),MATCH(Cost_Structure[[#This Row],[Vehicle]],Maintenance[#Headers],0))</f>
        <v>10500</v>
      </c>
      <c r="O52" s="20">
        <f>Cost_Structure[[#This Row],[Fuel Cost]]+Cost_Structure[[#This Row],[EMI ]]+Cost_Structure[[#This Row],[Maintenance]]</f>
        <v>42627.563139392063</v>
      </c>
      <c r="P52" s="20">
        <v>36000</v>
      </c>
      <c r="Q52" s="20">
        <f>Cost_Structure[[#This Row],[Vehicle Cost]]+Cost_Structure[[#This Row],[Team Cost]]</f>
        <v>78627.563139392063</v>
      </c>
    </row>
    <row r="53" spans="1:17" x14ac:dyDescent="0.3">
      <c r="A53">
        <v>47</v>
      </c>
      <c r="B53" t="str">
        <f>VLOOKUP(Cost_Structure[[#This Row],[Index]],Vehicle[#All],2,)</f>
        <v>Vadodara</v>
      </c>
      <c r="C53" t="str">
        <f>VLOOKUP(Cost_Structure[[#This Row],[BP Name]],OU_Map[#All],3,)</f>
        <v>BDQT1</v>
      </c>
      <c r="D53" t="str">
        <f>VLOOKUP(Cost_Structure[[#This Row],[Index]],Vehicle[#All],3,)</f>
        <v>Rajesh Kumar Misra_Delivery</v>
      </c>
      <c r="E53" t="str">
        <f>VLOOKUP(Cost_Structure[[#This Row],[Index]],Vehicle[#All],4,)</f>
        <v>AL Dost</v>
      </c>
      <c r="F53" t="str">
        <f>VLOOKUP(Cost_Structure[[#This Row],[Index]],Vehicle_Ownership[#All],4,)</f>
        <v>Owned</v>
      </c>
      <c r="G53">
        <f>VLOOKUP(Cost_Structure[[#This Row],[Index]],Year_of_Purchase[#All],4,)</f>
        <v>2018</v>
      </c>
      <c r="H53" t="str">
        <f>VLOOKUP(Cost_Structure[[#This Row],[Vehicle]],Vehicle_Map[#All],2,)</f>
        <v>AL Dost</v>
      </c>
      <c r="I53" s="19">
        <f>INDEX(Mileage[],MATCH(Cost_Structure[[#This Row],[OU Code]],Mileage[OU Code],0),MATCH(Cost_Structure[[#This Row],[Vehicle]],Mileage[#Headers],0))</f>
        <v>16.206961290646341</v>
      </c>
      <c r="J53" s="19">
        <f>INDEX(Capacity[],MATCH(Cost_Structure[[#This Row],[OU Code]],Capacity[OU Code],0),MATCH(Cost_Structure[[#This Row],[Vehicle]],Capacity[#Headers],0))</f>
        <v>0.97146367060579686</v>
      </c>
      <c r="K53">
        <f>VLOOKUP(Cost_Structure[[#This Row],[OU Code]],KM_and_FuelCost[#All],2,)</f>
        <v>3000</v>
      </c>
      <c r="L53" s="20">
        <f>(Cost_Structure[[#This Row],[KM Travelled]]/Cost_Structure[[#This Row],[Mileage]])*VLOOKUP(Cost_Structure[[#This Row],[OU Code]],KM_and_FuelCost[#All],3,)</f>
        <v>14542.423275093808</v>
      </c>
      <c r="M53" s="20">
        <f>VLOOKUP(Cost_Structure[[#This Row],[Vehicle Name]],EMI[#All],5,)</f>
        <v>7613.6316002823205</v>
      </c>
      <c r="N53" s="20">
        <f>INDEX(Maintenance[],MATCH(Cost_Structure[[#This Row],[OU Code]],Maintenance[OU Code],0),MATCH(Cost_Structure[[#This Row],[Vehicle]],Maintenance[#Headers],0))</f>
        <v>10200</v>
      </c>
      <c r="O53" s="20">
        <f>Cost_Structure[[#This Row],[Fuel Cost]]+Cost_Structure[[#This Row],[EMI ]]+Cost_Structure[[#This Row],[Maintenance]]</f>
        <v>32356.054875376129</v>
      </c>
      <c r="P53" s="20">
        <v>36000</v>
      </c>
      <c r="Q53" s="20">
        <f>Cost_Structure[[#This Row],[Vehicle Cost]]+Cost_Structure[[#This Row],[Team Cost]]</f>
        <v>68356.054875376125</v>
      </c>
    </row>
    <row r="54" spans="1:17" x14ac:dyDescent="0.3">
      <c r="A54">
        <v>48</v>
      </c>
      <c r="B54" t="str">
        <f>VLOOKUP(Cost_Structure[[#This Row],[Index]],Vehicle[#All],2,)</f>
        <v>Junagarh</v>
      </c>
      <c r="C54" t="str">
        <f>VLOOKUP(Cost_Structure[[#This Row],[BP Name]],OU_Map[#All],3,)</f>
        <v>JNDB1</v>
      </c>
      <c r="D54" t="str">
        <f>VLOOKUP(Cost_Structure[[#This Row],[Index]],Vehicle[#All],3,)</f>
        <v>Rakib Gulamkadar Bloch</v>
      </c>
      <c r="E54" t="str">
        <f>VLOOKUP(Cost_Structure[[#This Row],[Index]],Vehicle[#All],4,)</f>
        <v>Tata Ace</v>
      </c>
      <c r="F54" t="str">
        <f>VLOOKUP(Cost_Structure[[#This Row],[Index]],Vehicle_Ownership[#All],4,)</f>
        <v>Owned</v>
      </c>
      <c r="G54">
        <f>VLOOKUP(Cost_Structure[[#This Row],[Index]],Year_of_Purchase[#All],4,)</f>
        <v>2015</v>
      </c>
      <c r="H54" t="str">
        <f>VLOOKUP(Cost_Structure[[#This Row],[Vehicle]],Vehicle_Map[#All],2,)</f>
        <v>Tata Ace</v>
      </c>
      <c r="I54" s="19">
        <f>INDEX(Mileage[],MATCH(Cost_Structure[[#This Row],[OU Code]],Mileage[OU Code],0),MATCH(Cost_Structure[[#This Row],[Vehicle]],Mileage[#Headers],0))</f>
        <v>10.173410042173559</v>
      </c>
      <c r="J54" s="19">
        <f>INDEX(Capacity[],MATCH(Cost_Structure[[#This Row],[OU Code]],Capacity[OU Code],0),MATCH(Cost_Structure[[#This Row],[Vehicle]],Capacity[#Headers],0))</f>
        <v>1.020976097530419</v>
      </c>
      <c r="K54">
        <f>VLOOKUP(Cost_Structure[[#This Row],[OU Code]],KM_and_FuelCost[#All],2,)</f>
        <v>1800</v>
      </c>
      <c r="L54" s="20">
        <f>(Cost_Structure[[#This Row],[KM Travelled]]/Cost_Structure[[#This Row],[Mileage]])*VLOOKUP(Cost_Structure[[#This Row],[OU Code]],KM_and_FuelCost[#All],3,)</f>
        <v>14495.51069292958</v>
      </c>
      <c r="M54" s="20">
        <f>VLOOKUP(Cost_Structure[[#This Row],[Vehicle Name]],EMI[#All],5,)</f>
        <v>6090.9052802258566</v>
      </c>
      <c r="N54" s="20">
        <f>INDEX(Maintenance[],MATCH(Cost_Structure[[#This Row],[OU Code]],Maintenance[OU Code],0),MATCH(Cost_Structure[[#This Row],[Vehicle]],Maintenance[#Headers],0))</f>
        <v>9700</v>
      </c>
      <c r="O54" s="20">
        <f>Cost_Structure[[#This Row],[Fuel Cost]]+Cost_Structure[[#This Row],[EMI ]]+Cost_Structure[[#This Row],[Maintenance]]</f>
        <v>30286.415973155435</v>
      </c>
      <c r="P54" s="20">
        <v>36000</v>
      </c>
      <c r="Q54" s="20">
        <f>Cost_Structure[[#This Row],[Vehicle Cost]]+Cost_Structure[[#This Row],[Team Cost]]</f>
        <v>66286.415973155439</v>
      </c>
    </row>
    <row r="55" spans="1:17" x14ac:dyDescent="0.3">
      <c r="A55">
        <v>49</v>
      </c>
      <c r="B55" t="str">
        <f>VLOOKUP(Cost_Structure[[#This Row],[Index]],Vehicle[#All],2,)</f>
        <v>Mehsana</v>
      </c>
      <c r="C55" t="str">
        <f>VLOOKUP(Cost_Structure[[#This Row],[BP Name]],OU_Map[#All],3,)</f>
        <v>MSHB1</v>
      </c>
      <c r="D55" t="str">
        <f>VLOOKUP(Cost_Structure[[#This Row],[Index]],Vehicle[#All],3,)</f>
        <v>Sadhu Ram Kargwal</v>
      </c>
      <c r="E55" t="str">
        <f>VLOOKUP(Cost_Structure[[#This Row],[Index]],Vehicle[#All],4,)</f>
        <v>Mahindra</v>
      </c>
      <c r="F55" t="str">
        <f>VLOOKUP(Cost_Structure[[#This Row],[Index]],Vehicle_Ownership[#All],4,)</f>
        <v>EMI</v>
      </c>
      <c r="G55">
        <f>VLOOKUP(Cost_Structure[[#This Row],[Index]],Year_of_Purchase[#All],4,)</f>
        <v>2019</v>
      </c>
      <c r="H55" t="str">
        <f>VLOOKUP(Cost_Structure[[#This Row],[Vehicle]],Vehicle_Map[#All],2,)</f>
        <v>Mahindra</v>
      </c>
      <c r="I55" s="19">
        <f>INDEX(Mileage[],MATCH(Cost_Structure[[#This Row],[OU Code]],Mileage[OU Code],0),MATCH(Cost_Structure[[#This Row],[Vehicle]],Mileage[#Headers],0))</f>
        <v>8.6217992604575731</v>
      </c>
      <c r="J55" s="19">
        <f>INDEX(Capacity[],MATCH(Cost_Structure[[#This Row],[OU Code]],Capacity[OU Code],0),MATCH(Cost_Structure[[#This Row],[Vehicle]],Capacity[#Headers],0))</f>
        <v>1.7903212444492185</v>
      </c>
      <c r="K55">
        <f>VLOOKUP(Cost_Structure[[#This Row],[OU Code]],KM_and_FuelCost[#All],2,)</f>
        <v>2000</v>
      </c>
      <c r="L55" s="20">
        <f>(Cost_Structure[[#This Row],[KM Travelled]]/Cost_Structure[[#This Row],[Mileage]])*VLOOKUP(Cost_Structure[[#This Row],[OU Code]],KM_and_FuelCost[#All],3,)</f>
        <v>23052.631423483541</v>
      </c>
      <c r="M55" s="20">
        <f>VLOOKUP(Cost_Structure[[#This Row],[Vehicle Name]],EMI[#All],5,)</f>
        <v>11420.447400423482</v>
      </c>
      <c r="N55" s="20">
        <f>INDEX(Maintenance[],MATCH(Cost_Structure[[#This Row],[OU Code]],Maintenance[OU Code],0),MATCH(Cost_Structure[[#This Row],[Vehicle]],Maintenance[#Headers],0))</f>
        <v>10200</v>
      </c>
      <c r="O55" s="20">
        <f>Cost_Structure[[#This Row],[Fuel Cost]]+Cost_Structure[[#This Row],[EMI ]]+Cost_Structure[[#This Row],[Maintenance]]</f>
        <v>44673.078823907024</v>
      </c>
      <c r="P55" s="20">
        <v>36000</v>
      </c>
      <c r="Q55" s="20">
        <f>Cost_Structure[[#This Row],[Vehicle Cost]]+Cost_Structure[[#This Row],[Team Cost]]</f>
        <v>80673.078823907024</v>
      </c>
    </row>
    <row r="56" spans="1:17" x14ac:dyDescent="0.3">
      <c r="A56">
        <v>50</v>
      </c>
      <c r="B56" t="str">
        <f>VLOOKUP(Cost_Structure[[#This Row],[Index]],Vehicle[#All],2,)</f>
        <v>Mehsana</v>
      </c>
      <c r="C56" t="str">
        <f>VLOOKUP(Cost_Structure[[#This Row],[BP Name]],OU_Map[#All],3,)</f>
        <v>MSHB1</v>
      </c>
      <c r="D56" t="str">
        <f>VLOOKUP(Cost_Structure[[#This Row],[Index]],Vehicle[#All],3,)</f>
        <v>Sadhu Ram Kargwal</v>
      </c>
      <c r="E56" t="str">
        <f>VLOOKUP(Cost_Structure[[#This Row],[Index]],Vehicle[#All],4,)</f>
        <v>Mahindra</v>
      </c>
      <c r="F56" t="str">
        <f>VLOOKUP(Cost_Structure[[#This Row],[Index]],Vehicle_Ownership[#All],4,)</f>
        <v>Owned</v>
      </c>
      <c r="G56">
        <f>VLOOKUP(Cost_Structure[[#This Row],[Index]],Year_of_Purchase[#All],4,)</f>
        <v>2018</v>
      </c>
      <c r="H56" t="str">
        <f>VLOOKUP(Cost_Structure[[#This Row],[Vehicle]],Vehicle_Map[#All],2,)</f>
        <v>Mahindra</v>
      </c>
      <c r="I56" s="19">
        <f>INDEX(Mileage[],MATCH(Cost_Structure[[#This Row],[OU Code]],Mileage[OU Code],0),MATCH(Cost_Structure[[#This Row],[Vehicle]],Mileage[#Headers],0))</f>
        <v>8.6217992604575731</v>
      </c>
      <c r="J56" s="19">
        <f>INDEX(Capacity[],MATCH(Cost_Structure[[#This Row],[OU Code]],Capacity[OU Code],0),MATCH(Cost_Structure[[#This Row],[Vehicle]],Capacity[#Headers],0))</f>
        <v>1.7903212444492185</v>
      </c>
      <c r="K56">
        <f>VLOOKUP(Cost_Structure[[#This Row],[OU Code]],KM_and_FuelCost[#All],2,)</f>
        <v>2000</v>
      </c>
      <c r="L56" s="20">
        <f>(Cost_Structure[[#This Row],[KM Travelled]]/Cost_Structure[[#This Row],[Mileage]])*VLOOKUP(Cost_Structure[[#This Row],[OU Code]],KM_and_FuelCost[#All],3,)</f>
        <v>23052.631423483541</v>
      </c>
      <c r="M56" s="20">
        <f>VLOOKUP(Cost_Structure[[#This Row],[Vehicle Name]],EMI[#All],5,)</f>
        <v>11420.447400423482</v>
      </c>
      <c r="N56" s="20">
        <f>INDEX(Maintenance[],MATCH(Cost_Structure[[#This Row],[OU Code]],Maintenance[OU Code],0),MATCH(Cost_Structure[[#This Row],[Vehicle]],Maintenance[#Headers],0))</f>
        <v>10200</v>
      </c>
      <c r="O56" s="20">
        <f>Cost_Structure[[#This Row],[Fuel Cost]]+Cost_Structure[[#This Row],[EMI ]]+Cost_Structure[[#This Row],[Maintenance]]</f>
        <v>44673.078823907024</v>
      </c>
      <c r="P56" s="20">
        <v>36000</v>
      </c>
      <c r="Q56" s="20">
        <f>Cost_Structure[[#This Row],[Vehicle Cost]]+Cost_Structure[[#This Row],[Team Cost]]</f>
        <v>80673.078823907024</v>
      </c>
    </row>
    <row r="57" spans="1:17" x14ac:dyDescent="0.3">
      <c r="A57">
        <v>51</v>
      </c>
      <c r="B57" t="str">
        <f>VLOOKUP(Cost_Structure[[#This Row],[Index]],Vehicle[#All],2,)</f>
        <v>Ahmedabad Branch</v>
      </c>
      <c r="C57" t="str">
        <f>VLOOKUP(Cost_Structure[[#This Row],[BP Name]],OU_Map[#All],3,)</f>
        <v>AMDT1</v>
      </c>
      <c r="D57" t="str">
        <f>VLOOKUP(Cost_Structure[[#This Row],[Index]],Vehicle[#All],3,)</f>
        <v>Sandeep Kumar</v>
      </c>
      <c r="E57" t="str">
        <f>VLOOKUP(Cost_Structure[[#This Row],[Index]],Vehicle[#All],4,)</f>
        <v>17 ft</v>
      </c>
      <c r="F57" t="str">
        <f>VLOOKUP(Cost_Structure[[#This Row],[Index]],Vehicle_Ownership[#All],4,)</f>
        <v>Market</v>
      </c>
      <c r="G57">
        <f>VLOOKUP(Cost_Structure[[#This Row],[Index]],Year_of_Purchase[#All],4,)</f>
        <v>0</v>
      </c>
      <c r="H57" t="str">
        <f>VLOOKUP(Cost_Structure[[#This Row],[Vehicle]],Vehicle_Map[#All],2,)</f>
        <v>Eicher 17</v>
      </c>
      <c r="I57" s="19">
        <f>INDEX(Mileage[],MATCH(Cost_Structure[[#This Row],[OU Code]],Mileage[OU Code],0),MATCH(Cost_Structure[[#This Row],[Vehicle]],Mileage[#Headers],0))</f>
        <v>6.5525461364709248</v>
      </c>
      <c r="J57" s="19">
        <f>INDEX(Capacity[],MATCH(Cost_Structure[[#This Row],[OU Code]],Capacity[OU Code],0),MATCH(Cost_Structure[[#This Row],[Vehicle]],Capacity[#Headers],0))</f>
        <v>6.5900268382448797</v>
      </c>
      <c r="K57">
        <f>VLOOKUP(Cost_Structure[[#This Row],[OU Code]],KM_and_FuelCost[#All],2,)</f>
        <v>2900</v>
      </c>
      <c r="L57" s="20">
        <f>(Cost_Structure[[#This Row],[KM Travelled]]/Cost_Structure[[#This Row],[Mileage]])*VLOOKUP(Cost_Structure[[#This Row],[OU Code]],KM_and_FuelCost[#All],3,)</f>
        <v>44474.742564298867</v>
      </c>
      <c r="M57" s="20">
        <f>VLOOKUP(Cost_Structure[[#This Row],[Vehicle Name]],EMI[#All],5,)</f>
        <v>17511.352680649339</v>
      </c>
      <c r="N57" s="20">
        <f>INDEX(Maintenance[],MATCH(Cost_Structure[[#This Row],[OU Code]],Maintenance[OU Code],0),MATCH(Cost_Structure[[#This Row],[Vehicle]],Maintenance[#Headers],0))</f>
        <v>12500</v>
      </c>
      <c r="O57" s="20">
        <f>Cost_Structure[[#This Row],[Fuel Cost]]+Cost_Structure[[#This Row],[EMI ]]+Cost_Structure[[#This Row],[Maintenance]]</f>
        <v>74486.095244948199</v>
      </c>
      <c r="P57" s="20">
        <v>36000</v>
      </c>
      <c r="Q57" s="20">
        <f>Cost_Structure[[#This Row],[Vehicle Cost]]+Cost_Structure[[#This Row],[Team Cost]]</f>
        <v>110486.0952449482</v>
      </c>
    </row>
    <row r="58" spans="1:17" x14ac:dyDescent="0.3">
      <c r="A58">
        <v>52</v>
      </c>
      <c r="B58" t="str">
        <f>VLOOKUP(Cost_Structure[[#This Row],[Index]],Vehicle[#All],2,)</f>
        <v>Rampura Branch</v>
      </c>
      <c r="C58" t="str">
        <f>VLOOKUP(Cost_Structure[[#This Row],[BP Name]],OU_Map[#All],3,)</f>
        <v>AMDBP</v>
      </c>
      <c r="D58" t="str">
        <f>VLOOKUP(Cost_Structure[[#This Row],[Index]],Vehicle[#All],3,)</f>
        <v>Shekh Jenulabedeen Badrudin</v>
      </c>
      <c r="E58" t="str">
        <f>VLOOKUP(Cost_Structure[[#This Row],[Index]],Vehicle[#All],4,)</f>
        <v>Mahindra</v>
      </c>
      <c r="F58" t="str">
        <f>VLOOKUP(Cost_Structure[[#This Row],[Index]],Vehicle_Ownership[#All],4,)</f>
        <v>EMI</v>
      </c>
      <c r="G58">
        <f>VLOOKUP(Cost_Structure[[#This Row],[Index]],Year_of_Purchase[#All],4,)</f>
        <v>2011</v>
      </c>
      <c r="H58" t="str">
        <f>VLOOKUP(Cost_Structure[[#This Row],[Vehicle]],Vehicle_Map[#All],2,)</f>
        <v>Mahindra</v>
      </c>
      <c r="I58" s="19">
        <f>INDEX(Mileage[],MATCH(Cost_Structure[[#This Row],[OU Code]],Mileage[OU Code],0),MATCH(Cost_Structure[[#This Row],[Vehicle]],Mileage[#Headers],0))</f>
        <v>11.216814907083885</v>
      </c>
      <c r="J58" s="19">
        <f>INDEX(Capacity[],MATCH(Cost_Structure[[#This Row],[OU Code]],Capacity[OU Code],0),MATCH(Cost_Structure[[#This Row],[Vehicle]],Capacity[#Headers],0))</f>
        <v>1.4849540362195355</v>
      </c>
      <c r="K58">
        <f>VLOOKUP(Cost_Structure[[#This Row],[OU Code]],KM_and_FuelCost[#All],2,)</f>
        <v>2600</v>
      </c>
      <c r="L58" s="20">
        <f>(Cost_Structure[[#This Row],[KM Travelled]]/Cost_Structure[[#This Row],[Mileage]])*VLOOKUP(Cost_Structure[[#This Row],[OU Code]],KM_and_FuelCost[#All],3,)</f>
        <v>18738.720654163106</v>
      </c>
      <c r="M58" s="20">
        <f>VLOOKUP(Cost_Structure[[#This Row],[Vehicle Name]],EMI[#All],5,)</f>
        <v>11420.447400423482</v>
      </c>
      <c r="N58" s="20">
        <f>INDEX(Maintenance[],MATCH(Cost_Structure[[#This Row],[OU Code]],Maintenance[OU Code],0),MATCH(Cost_Structure[[#This Row],[Vehicle]],Maintenance[#Headers],0))</f>
        <v>11200</v>
      </c>
      <c r="O58" s="20">
        <f>Cost_Structure[[#This Row],[Fuel Cost]]+Cost_Structure[[#This Row],[EMI ]]+Cost_Structure[[#This Row],[Maintenance]]</f>
        <v>41359.168054586589</v>
      </c>
      <c r="P58" s="20">
        <v>36000</v>
      </c>
      <c r="Q58" s="20">
        <f>Cost_Structure[[#This Row],[Vehicle Cost]]+Cost_Structure[[#This Row],[Team Cost]]</f>
        <v>77359.168054586597</v>
      </c>
    </row>
    <row r="59" spans="1:17" x14ac:dyDescent="0.3">
      <c r="A59">
        <v>53</v>
      </c>
      <c r="B59" t="str">
        <f>VLOOKUP(Cost_Structure[[#This Row],[Index]],Vehicle[#All],2,)</f>
        <v>Vadodara</v>
      </c>
      <c r="C59" t="str">
        <f>VLOOKUP(Cost_Structure[[#This Row],[BP Name]],OU_Map[#All],3,)</f>
        <v>BDQT1</v>
      </c>
      <c r="D59" t="str">
        <f>VLOOKUP(Cost_Structure[[#This Row],[Index]],Vehicle[#All],3,)</f>
        <v>Shekh Seemabanu Mohammad</v>
      </c>
      <c r="E59" t="str">
        <f>VLOOKUP(Cost_Structure[[#This Row],[Index]],Vehicle[#All],4,)</f>
        <v>AL Dost</v>
      </c>
      <c r="F59" t="str">
        <f>VLOOKUP(Cost_Structure[[#This Row],[Index]],Vehicle_Ownership[#All],4,)</f>
        <v>Owned</v>
      </c>
      <c r="G59">
        <f>VLOOKUP(Cost_Structure[[#This Row],[Index]],Year_of_Purchase[#All],4,)</f>
        <v>2015</v>
      </c>
      <c r="H59" t="str">
        <f>VLOOKUP(Cost_Structure[[#This Row],[Vehicle]],Vehicle_Map[#All],2,)</f>
        <v>AL Dost</v>
      </c>
      <c r="I59" s="19">
        <f>INDEX(Mileage[],MATCH(Cost_Structure[[#This Row],[OU Code]],Mileage[OU Code],0),MATCH(Cost_Structure[[#This Row],[Vehicle]],Mileage[#Headers],0))</f>
        <v>16.206961290646341</v>
      </c>
      <c r="J59" s="19">
        <f>INDEX(Capacity[],MATCH(Cost_Structure[[#This Row],[OU Code]],Capacity[OU Code],0),MATCH(Cost_Structure[[#This Row],[Vehicle]],Capacity[#Headers],0))</f>
        <v>0.97146367060579686</v>
      </c>
      <c r="K59">
        <f>VLOOKUP(Cost_Structure[[#This Row],[OU Code]],KM_and_FuelCost[#All],2,)</f>
        <v>3000</v>
      </c>
      <c r="L59" s="20">
        <f>(Cost_Structure[[#This Row],[KM Travelled]]/Cost_Structure[[#This Row],[Mileage]])*VLOOKUP(Cost_Structure[[#This Row],[OU Code]],KM_and_FuelCost[#All],3,)</f>
        <v>14542.423275093808</v>
      </c>
      <c r="M59" s="20">
        <f>VLOOKUP(Cost_Structure[[#This Row],[Vehicle Name]],EMI[#All],5,)</f>
        <v>7613.6316002823205</v>
      </c>
      <c r="N59" s="20">
        <f>INDEX(Maintenance[],MATCH(Cost_Structure[[#This Row],[OU Code]],Maintenance[OU Code],0),MATCH(Cost_Structure[[#This Row],[Vehicle]],Maintenance[#Headers],0))</f>
        <v>10200</v>
      </c>
      <c r="O59" s="20">
        <f>Cost_Structure[[#This Row],[Fuel Cost]]+Cost_Structure[[#This Row],[EMI ]]+Cost_Structure[[#This Row],[Maintenance]]</f>
        <v>32356.054875376129</v>
      </c>
      <c r="P59" s="20">
        <v>36000</v>
      </c>
      <c r="Q59" s="20">
        <f>Cost_Structure[[#This Row],[Vehicle Cost]]+Cost_Structure[[#This Row],[Team Cost]]</f>
        <v>68356.054875376125</v>
      </c>
    </row>
    <row r="60" spans="1:17" x14ac:dyDescent="0.3">
      <c r="A60">
        <v>54</v>
      </c>
      <c r="B60" t="str">
        <f>VLOOKUP(Cost_Structure[[#This Row],[Index]],Vehicle[#All],2,)</f>
        <v>Surat</v>
      </c>
      <c r="C60" t="str">
        <f>VLOOKUP(Cost_Structure[[#This Row],[BP Name]],OU_Map[#All],3,)</f>
        <v>STVT1</v>
      </c>
      <c r="D60" t="str">
        <f>VLOOKUP(Cost_Structure[[#This Row],[Index]],Vehicle[#All],3,)</f>
        <v>Siddhant Subhash Borse</v>
      </c>
      <c r="E60" t="str">
        <f>VLOOKUP(Cost_Structure[[#This Row],[Index]],Vehicle[#All],4,)</f>
        <v>Tata Ace</v>
      </c>
      <c r="F60" t="str">
        <f>VLOOKUP(Cost_Structure[[#This Row],[Index]],Vehicle_Ownership[#All],4,)</f>
        <v>Owned</v>
      </c>
      <c r="G60">
        <f>VLOOKUP(Cost_Structure[[#This Row],[Index]],Year_of_Purchase[#All],4,)</f>
        <v>2019</v>
      </c>
      <c r="H60" t="str">
        <f>VLOOKUP(Cost_Structure[[#This Row],[Vehicle]],Vehicle_Map[#All],2,)</f>
        <v>Tata Ace</v>
      </c>
      <c r="I60" s="19">
        <f>INDEX(Mileage[],MATCH(Cost_Structure[[#This Row],[OU Code]],Mileage[OU Code],0),MATCH(Cost_Structure[[#This Row],[Vehicle]],Mileage[#Headers],0))</f>
        <v>17.294647938760768</v>
      </c>
      <c r="J60" s="19">
        <f>INDEX(Capacity[],MATCH(Cost_Structure[[#This Row],[OU Code]],Capacity[OU Code],0),MATCH(Cost_Structure[[#This Row],[Vehicle]],Capacity[#Headers],0))</f>
        <v>1.0764283836997799</v>
      </c>
      <c r="K60">
        <f>VLOOKUP(Cost_Structure[[#This Row],[OU Code]],KM_and_FuelCost[#All],2,)</f>
        <v>2900</v>
      </c>
      <c r="L60" s="20">
        <f>(Cost_Structure[[#This Row],[KM Travelled]]/Cost_Structure[[#This Row],[Mileage]])*VLOOKUP(Cost_Structure[[#This Row],[OU Code]],KM_and_FuelCost[#All],3,)</f>
        <v>16669.829348340325</v>
      </c>
      <c r="M60" s="20">
        <f>VLOOKUP(Cost_Structure[[#This Row],[Vehicle Name]],EMI[#All],5,)</f>
        <v>6090.9052802258566</v>
      </c>
      <c r="N60" s="20">
        <f>INDEX(Maintenance[],MATCH(Cost_Structure[[#This Row],[OU Code]],Maintenance[OU Code],0),MATCH(Cost_Structure[[#This Row],[Vehicle]],Maintenance[#Headers],0))</f>
        <v>11500</v>
      </c>
      <c r="O60" s="20">
        <f>Cost_Structure[[#This Row],[Fuel Cost]]+Cost_Structure[[#This Row],[EMI ]]+Cost_Structure[[#This Row],[Maintenance]]</f>
        <v>34260.734628566177</v>
      </c>
      <c r="P60" s="20">
        <v>36000</v>
      </c>
      <c r="Q60" s="20">
        <f>Cost_Structure[[#This Row],[Vehicle Cost]]+Cost_Structure[[#This Row],[Team Cost]]</f>
        <v>70260.734628566177</v>
      </c>
    </row>
    <row r="61" spans="1:17" x14ac:dyDescent="0.3">
      <c r="A61">
        <v>55</v>
      </c>
      <c r="B61" t="str">
        <f>VLOOKUP(Cost_Structure[[#This Row],[Index]],Vehicle[#All],2,)</f>
        <v>Rampura Branch</v>
      </c>
      <c r="C61" t="str">
        <f>VLOOKUP(Cost_Structure[[#This Row],[BP Name]],OU_Map[#All],3,)</f>
        <v>AMDBP</v>
      </c>
      <c r="D61" t="str">
        <f>VLOOKUP(Cost_Structure[[#This Row],[Index]],Vehicle[#All],3,)</f>
        <v>Sureshbhai Rajabhai Bharwad</v>
      </c>
      <c r="E61" t="str">
        <f>VLOOKUP(Cost_Structure[[#This Row],[Index]],Vehicle[#All],4,)</f>
        <v>17 ft</v>
      </c>
      <c r="F61" t="str">
        <f>VLOOKUP(Cost_Structure[[#This Row],[Index]],Vehicle_Ownership[#All],4,)</f>
        <v>Market</v>
      </c>
      <c r="G61">
        <f>VLOOKUP(Cost_Structure[[#This Row],[Index]],Year_of_Purchase[#All],4,)</f>
        <v>0</v>
      </c>
      <c r="H61" t="str">
        <f>VLOOKUP(Cost_Structure[[#This Row],[Vehicle]],Vehicle_Map[#All],2,)</f>
        <v>Eicher 17</v>
      </c>
      <c r="I61" s="19">
        <f>INDEX(Mileage[],MATCH(Cost_Structure[[#This Row],[OU Code]],Mileage[OU Code],0),MATCH(Cost_Structure[[#This Row],[Vehicle]],Mileage[#Headers],0))</f>
        <v>4.6995094079618678</v>
      </c>
      <c r="J61" s="19">
        <f>INDEX(Capacity[],MATCH(Cost_Structure[[#This Row],[OU Code]],Capacity[OU Code],0),MATCH(Cost_Structure[[#This Row],[Vehicle]],Capacity[#Headers],0))</f>
        <v>2.6680743558814162</v>
      </c>
      <c r="K61">
        <f>VLOOKUP(Cost_Structure[[#This Row],[OU Code]],KM_and_FuelCost[#All],2,)</f>
        <v>2600</v>
      </c>
      <c r="L61" s="20">
        <f>(Cost_Structure[[#This Row],[KM Travelled]]/Cost_Structure[[#This Row],[Mileage]])*VLOOKUP(Cost_Structure[[#This Row],[OU Code]],KM_and_FuelCost[#All],3,)</f>
        <v>44725.681539693796</v>
      </c>
      <c r="M61" s="20">
        <f>VLOOKUP(Cost_Structure[[#This Row],[Vehicle Name]],EMI[#All],5,)</f>
        <v>17511.352680649339</v>
      </c>
      <c r="N61" s="20">
        <f>INDEX(Maintenance[],MATCH(Cost_Structure[[#This Row],[OU Code]],Maintenance[OU Code],0),MATCH(Cost_Structure[[#This Row],[Vehicle]],Maintenance[#Headers],0))</f>
        <v>11200</v>
      </c>
      <c r="O61" s="20">
        <f>Cost_Structure[[#This Row],[Fuel Cost]]+Cost_Structure[[#This Row],[EMI ]]+Cost_Structure[[#This Row],[Maintenance]]</f>
        <v>73437.034220343136</v>
      </c>
      <c r="P61" s="20">
        <v>36000</v>
      </c>
      <c r="Q61" s="20">
        <f>Cost_Structure[[#This Row],[Vehicle Cost]]+Cost_Structure[[#This Row],[Team Cost]]</f>
        <v>109437.03422034314</v>
      </c>
    </row>
    <row r="62" spans="1:17" x14ac:dyDescent="0.3">
      <c r="A62">
        <v>56</v>
      </c>
      <c r="B62" t="str">
        <f>VLOOKUP(Cost_Structure[[#This Row],[Index]],Vehicle[#All],2,)</f>
        <v>Rampura Branch</v>
      </c>
      <c r="C62" t="str">
        <f>VLOOKUP(Cost_Structure[[#This Row],[BP Name]],OU_Map[#All],3,)</f>
        <v>AMDBP</v>
      </c>
      <c r="D62" t="str">
        <f>VLOOKUP(Cost_Structure[[#This Row],[Index]],Vehicle[#All],3,)</f>
        <v>Sureshbhai Rajabhai Bharwad</v>
      </c>
      <c r="E62" t="str">
        <f>VLOOKUP(Cost_Structure[[#This Row],[Index]],Vehicle[#All],4,)</f>
        <v>Mahindra</v>
      </c>
      <c r="F62" t="str">
        <f>VLOOKUP(Cost_Structure[[#This Row],[Index]],Vehicle_Ownership[#All],4,)</f>
        <v>EMI</v>
      </c>
      <c r="G62">
        <f>VLOOKUP(Cost_Structure[[#This Row],[Index]],Year_of_Purchase[#All],4,)</f>
        <v>2018</v>
      </c>
      <c r="H62" t="str">
        <f>VLOOKUP(Cost_Structure[[#This Row],[Vehicle]],Vehicle_Map[#All],2,)</f>
        <v>Mahindra</v>
      </c>
      <c r="I62" s="19">
        <f>INDEX(Mileage[],MATCH(Cost_Structure[[#This Row],[OU Code]],Mileage[OU Code],0),MATCH(Cost_Structure[[#This Row],[Vehicle]],Mileage[#Headers],0))</f>
        <v>11.216814907083885</v>
      </c>
      <c r="J62" s="19">
        <f>INDEX(Capacity[],MATCH(Cost_Structure[[#This Row],[OU Code]],Capacity[OU Code],0),MATCH(Cost_Structure[[#This Row],[Vehicle]],Capacity[#Headers],0))</f>
        <v>1.4849540362195355</v>
      </c>
      <c r="K62">
        <f>VLOOKUP(Cost_Structure[[#This Row],[OU Code]],KM_and_FuelCost[#All],2,)</f>
        <v>2600</v>
      </c>
      <c r="L62" s="20">
        <f>(Cost_Structure[[#This Row],[KM Travelled]]/Cost_Structure[[#This Row],[Mileage]])*VLOOKUP(Cost_Structure[[#This Row],[OU Code]],KM_and_FuelCost[#All],3,)</f>
        <v>18738.720654163106</v>
      </c>
      <c r="M62" s="20">
        <f>VLOOKUP(Cost_Structure[[#This Row],[Vehicle Name]],EMI[#All],5,)</f>
        <v>11420.447400423482</v>
      </c>
      <c r="N62" s="20">
        <f>INDEX(Maintenance[],MATCH(Cost_Structure[[#This Row],[OU Code]],Maintenance[OU Code],0),MATCH(Cost_Structure[[#This Row],[Vehicle]],Maintenance[#Headers],0))</f>
        <v>11200</v>
      </c>
      <c r="O62" s="20">
        <f>Cost_Structure[[#This Row],[Fuel Cost]]+Cost_Structure[[#This Row],[EMI ]]+Cost_Structure[[#This Row],[Maintenance]]</f>
        <v>41359.168054586589</v>
      </c>
      <c r="P62" s="20">
        <v>36000</v>
      </c>
      <c r="Q62" s="20">
        <f>Cost_Structure[[#This Row],[Vehicle Cost]]+Cost_Structure[[#This Row],[Team Cost]]</f>
        <v>77359.168054586597</v>
      </c>
    </row>
    <row r="63" spans="1:17" x14ac:dyDescent="0.3">
      <c r="A63">
        <v>57</v>
      </c>
      <c r="B63" t="str">
        <f>VLOOKUP(Cost_Structure[[#This Row],[Index]],Vehicle[#All],2,)</f>
        <v>Rampura Branch</v>
      </c>
      <c r="C63" t="str">
        <f>VLOOKUP(Cost_Structure[[#This Row],[BP Name]],OU_Map[#All],3,)</f>
        <v>AMDBP</v>
      </c>
      <c r="D63" t="str">
        <f>VLOOKUP(Cost_Structure[[#This Row],[Index]],Vehicle[#All],3,)</f>
        <v>Sureshbhai Rajabhai Bharwad</v>
      </c>
      <c r="E63" t="str">
        <f>VLOOKUP(Cost_Structure[[#This Row],[Index]],Vehicle[#All],4,)</f>
        <v>Pickup</v>
      </c>
      <c r="F63" t="str">
        <f>VLOOKUP(Cost_Structure[[#This Row],[Index]],Vehicle_Ownership[#All],4,)</f>
        <v>EMI</v>
      </c>
      <c r="G63">
        <f>VLOOKUP(Cost_Structure[[#This Row],[Index]],Year_of_Purchase[#All],4,)</f>
        <v>2018</v>
      </c>
      <c r="H63" t="str">
        <f>VLOOKUP(Cost_Structure[[#This Row],[Vehicle]],Vehicle_Map[#All],2,)</f>
        <v>Pickup</v>
      </c>
      <c r="I63" s="19">
        <f>INDEX(Mileage[],MATCH(Cost_Structure[[#This Row],[OU Code]],Mileage[OU Code],0),MATCH(Cost_Structure[[#This Row],[Vehicle]],Mileage[#Headers],0))</f>
        <v>8.0856008470429561</v>
      </c>
      <c r="J63" s="19">
        <f>INDEX(Capacity[],MATCH(Cost_Structure[[#This Row],[OU Code]],Capacity[OU Code],0),MATCH(Cost_Structure[[#This Row],[Vehicle]],Capacity[#Headers],0))</f>
        <v>1.2007936330416782</v>
      </c>
      <c r="K63">
        <f>VLOOKUP(Cost_Structure[[#This Row],[OU Code]],KM_and_FuelCost[#All],2,)</f>
        <v>2600</v>
      </c>
      <c r="L63" s="20">
        <f>(Cost_Structure[[#This Row],[KM Travelled]]/Cost_Structure[[#This Row],[Mileage]])*VLOOKUP(Cost_Structure[[#This Row],[OU Code]],KM_and_FuelCost[#All],3,)</f>
        <v>25995.441173696705</v>
      </c>
      <c r="M63" s="20">
        <f>VLOOKUP(Cost_Structure[[#This Row],[Vehicle Name]],EMI[#All],5,)</f>
        <v>9897.7210803670168</v>
      </c>
      <c r="N63" s="20">
        <f>INDEX(Maintenance[],MATCH(Cost_Structure[[#This Row],[OU Code]],Maintenance[OU Code],0),MATCH(Cost_Structure[[#This Row],[Vehicle]],Maintenance[#Headers],0))</f>
        <v>9800</v>
      </c>
      <c r="O63" s="20">
        <f>Cost_Structure[[#This Row],[Fuel Cost]]+Cost_Structure[[#This Row],[EMI ]]+Cost_Structure[[#This Row],[Maintenance]]</f>
        <v>45693.162254063718</v>
      </c>
      <c r="P63" s="20">
        <v>36000</v>
      </c>
      <c r="Q63" s="20">
        <f>Cost_Structure[[#This Row],[Vehicle Cost]]+Cost_Structure[[#This Row],[Team Cost]]</f>
        <v>81693.162254063718</v>
      </c>
    </row>
    <row r="64" spans="1:17" x14ac:dyDescent="0.3">
      <c r="A64">
        <v>58</v>
      </c>
      <c r="B64" t="str">
        <f>VLOOKUP(Cost_Structure[[#This Row],[Index]],Vehicle[#All],2,)</f>
        <v>Rampura Branch</v>
      </c>
      <c r="C64" t="str">
        <f>VLOOKUP(Cost_Structure[[#This Row],[BP Name]],OU_Map[#All],3,)</f>
        <v>AMDBP</v>
      </c>
      <c r="D64" t="str">
        <f>VLOOKUP(Cost_Structure[[#This Row],[Index]],Vehicle[#All],3,)</f>
        <v>Sureshbhai Rajabhai Bharwad</v>
      </c>
      <c r="E64" t="str">
        <f>VLOOKUP(Cost_Structure[[#This Row],[Index]],Vehicle[#All],4,)</f>
        <v>Tata Ace</v>
      </c>
      <c r="F64" t="str">
        <f>VLOOKUP(Cost_Structure[[#This Row],[Index]],Vehicle_Ownership[#All],4,)</f>
        <v>EMI</v>
      </c>
      <c r="G64">
        <f>VLOOKUP(Cost_Structure[[#This Row],[Index]],Year_of_Purchase[#All],4,)</f>
        <v>2014</v>
      </c>
      <c r="H64" t="str">
        <f>VLOOKUP(Cost_Structure[[#This Row],[Vehicle]],Vehicle_Map[#All],2,)</f>
        <v>Tata Ace</v>
      </c>
      <c r="I64" s="19">
        <f>INDEX(Mileage[],MATCH(Cost_Structure[[#This Row],[OU Code]],Mileage[OU Code],0),MATCH(Cost_Structure[[#This Row],[Vehicle]],Mileage[#Headers],0))</f>
        <v>7.7853868200690899</v>
      </c>
      <c r="J64" s="19">
        <f>INDEX(Capacity[],MATCH(Cost_Structure[[#This Row],[OU Code]],Capacity[OU Code],0),MATCH(Cost_Structure[[#This Row],[Vehicle]],Capacity[#Headers],0))</f>
        <v>0.75264980525332092</v>
      </c>
      <c r="K64">
        <f>VLOOKUP(Cost_Structure[[#This Row],[OU Code]],KM_and_FuelCost[#All],2,)</f>
        <v>2600</v>
      </c>
      <c r="L64" s="20">
        <f>(Cost_Structure[[#This Row],[KM Travelled]]/Cost_Structure[[#This Row],[Mileage]])*VLOOKUP(Cost_Structure[[#This Row],[OU Code]],KM_and_FuelCost[#All],3,)</f>
        <v>26997.857143266792</v>
      </c>
      <c r="M64" s="20">
        <f>VLOOKUP(Cost_Structure[[#This Row],[Vehicle Name]],EMI[#All],5,)</f>
        <v>6090.9052802258566</v>
      </c>
      <c r="N64" s="20">
        <f>INDEX(Maintenance[],MATCH(Cost_Structure[[#This Row],[OU Code]],Maintenance[OU Code],0),MATCH(Cost_Structure[[#This Row],[Vehicle]],Maintenance[#Headers],0))</f>
        <v>6900</v>
      </c>
      <c r="O64" s="20">
        <f>Cost_Structure[[#This Row],[Fuel Cost]]+Cost_Structure[[#This Row],[EMI ]]+Cost_Structure[[#This Row],[Maintenance]]</f>
        <v>39988.762423492648</v>
      </c>
      <c r="P64" s="20">
        <v>36000</v>
      </c>
      <c r="Q64" s="20">
        <f>Cost_Structure[[#This Row],[Vehicle Cost]]+Cost_Structure[[#This Row],[Team Cost]]</f>
        <v>75988.762423492648</v>
      </c>
    </row>
    <row r="65" spans="1:17" x14ac:dyDescent="0.3">
      <c r="A65">
        <v>59</v>
      </c>
      <c r="B65" t="str">
        <f>VLOOKUP(Cost_Structure[[#This Row],[Index]],Vehicle[#All],2,)</f>
        <v>Ahmmedabad City</v>
      </c>
      <c r="C65" t="str">
        <f>VLOOKUP(Cost_Structure[[#This Row],[BP Name]],OU_Map[#All],3,)</f>
        <v>AMDBL</v>
      </c>
      <c r="D65" t="str">
        <f>VLOOKUP(Cost_Structure[[#This Row],[Index]],Vehicle[#All],3,)</f>
        <v>Swapnil Pandey_Bp</v>
      </c>
      <c r="E65" t="str">
        <f>VLOOKUP(Cost_Structure[[#This Row],[Index]],Vehicle[#All],4,)</f>
        <v>Mahindra</v>
      </c>
      <c r="F65" t="str">
        <f>VLOOKUP(Cost_Structure[[#This Row],[Index]],Vehicle_Ownership[#All],4,)</f>
        <v>EMI</v>
      </c>
      <c r="G65">
        <f>VLOOKUP(Cost_Structure[[#This Row],[Index]],Year_of_Purchase[#All],4,)</f>
        <v>2019</v>
      </c>
      <c r="H65" t="str">
        <f>VLOOKUP(Cost_Structure[[#This Row],[Vehicle]],Vehicle_Map[#All],2,)</f>
        <v>Mahindra</v>
      </c>
      <c r="I65" s="19">
        <f>INDEX(Mileage[],MATCH(Cost_Structure[[#This Row],[OU Code]],Mileage[OU Code],0),MATCH(Cost_Structure[[#This Row],[Vehicle]],Mileage[#Headers],0))</f>
        <v>12.660297306770655</v>
      </c>
      <c r="J65" s="19">
        <f>INDEX(Capacity[],MATCH(Cost_Structure[[#This Row],[OU Code]],Capacity[OU Code],0),MATCH(Cost_Structure[[#This Row],[Vehicle]],Capacity[#Headers],0))</f>
        <v>0.76558845019723076</v>
      </c>
      <c r="K65">
        <f>VLOOKUP(Cost_Structure[[#This Row],[OU Code]],KM_and_FuelCost[#All],2,)</f>
        <v>1800</v>
      </c>
      <c r="L65" s="20">
        <f>(Cost_Structure[[#This Row],[KM Travelled]]/Cost_Structure[[#This Row],[Mileage]])*VLOOKUP(Cost_Structure[[#This Row],[OU Code]],KM_and_FuelCost[#All],3,)</f>
        <v>13447.273572351289</v>
      </c>
      <c r="M65" s="20">
        <f>VLOOKUP(Cost_Structure[[#This Row],[Vehicle Name]],EMI[#All],5,)</f>
        <v>11420.447400423482</v>
      </c>
      <c r="N65" s="20">
        <f>INDEX(Maintenance[],MATCH(Cost_Structure[[#This Row],[OU Code]],Maintenance[OU Code],0),MATCH(Cost_Structure[[#This Row],[Vehicle]],Maintenance[#Headers],0))</f>
        <v>11800</v>
      </c>
      <c r="O65" s="20">
        <f>Cost_Structure[[#This Row],[Fuel Cost]]+Cost_Structure[[#This Row],[EMI ]]+Cost_Structure[[#This Row],[Maintenance]]</f>
        <v>36667.720972774769</v>
      </c>
      <c r="P65" s="20">
        <v>36000</v>
      </c>
      <c r="Q65" s="20">
        <f>Cost_Structure[[#This Row],[Vehicle Cost]]+Cost_Structure[[#This Row],[Team Cost]]</f>
        <v>72667.720972774769</v>
      </c>
    </row>
    <row r="66" spans="1:17" x14ac:dyDescent="0.3">
      <c r="A66">
        <v>60</v>
      </c>
      <c r="B66" t="str">
        <f>VLOOKUP(Cost_Structure[[#This Row],[Index]],Vehicle[#All],2,)</f>
        <v>Vapi</v>
      </c>
      <c r="C66" t="str">
        <f>VLOOKUP(Cost_Structure[[#This Row],[BP Name]],OU_Map[#All],3,)</f>
        <v>VAPT1</v>
      </c>
      <c r="D66" t="str">
        <f>VLOOKUP(Cost_Structure[[#This Row],[Index]],Vehicle[#All],3,)</f>
        <v>Vikas Agarwal</v>
      </c>
      <c r="E66" t="str">
        <f>VLOOKUP(Cost_Structure[[#This Row],[Index]],Vehicle[#All],4,)</f>
        <v>20 ft</v>
      </c>
      <c r="F66" t="str">
        <f>VLOOKUP(Cost_Structure[[#This Row],[Index]],Vehicle_Ownership[#All],4,)</f>
        <v>Market</v>
      </c>
      <c r="G66">
        <f>VLOOKUP(Cost_Structure[[#This Row],[Index]],Year_of_Purchase[#All],4,)</f>
        <v>0</v>
      </c>
      <c r="H66" t="str">
        <f>VLOOKUP(Cost_Structure[[#This Row],[Vehicle]],Vehicle_Map[#All],2,)</f>
        <v>Eicher 20</v>
      </c>
      <c r="I66" s="19">
        <f>INDEX(Mileage[],MATCH(Cost_Structure[[#This Row],[OU Code]],Mileage[OU Code],0),MATCH(Cost_Structure[[#This Row],[Vehicle]],Mileage[#Headers],0))</f>
        <v>7</v>
      </c>
      <c r="J66" s="19">
        <f>INDEX(Capacity[],MATCH(Cost_Structure[[#This Row],[OU Code]],Capacity[OU Code],0),MATCH(Cost_Structure[[#This Row],[Vehicle]],Capacity[#Headers],0))</f>
        <v>6.5</v>
      </c>
      <c r="K66">
        <f>VLOOKUP(Cost_Structure[[#This Row],[OU Code]],KM_and_FuelCost[#All],2,)</f>
        <v>1600</v>
      </c>
      <c r="L66" s="20">
        <f>(Cost_Structure[[#This Row],[KM Travelled]]/Cost_Structure[[#This Row],[Mileage]])*VLOOKUP(Cost_Structure[[#This Row],[OU Code]],KM_and_FuelCost[#All],3,)</f>
        <v>21097.142857142859</v>
      </c>
      <c r="M66" s="20">
        <f>VLOOKUP(Cost_Structure[[#This Row],[Vehicle Name]],EMI[#All],5,)</f>
        <v>19034.079000705802</v>
      </c>
      <c r="N66" s="20">
        <f>INDEX(Maintenance[],MATCH(Cost_Structure[[#This Row],[OU Code]],Maintenance[OU Code],0),MATCH(Cost_Structure[[#This Row],[Vehicle]],Maintenance[#Headers],0))</f>
        <v>11080</v>
      </c>
      <c r="O66" s="20">
        <f>Cost_Structure[[#This Row],[Fuel Cost]]+Cost_Structure[[#This Row],[EMI ]]+Cost_Structure[[#This Row],[Maintenance]]</f>
        <v>51211.221857848665</v>
      </c>
      <c r="P66" s="20">
        <v>36000</v>
      </c>
      <c r="Q66" s="20">
        <f>Cost_Structure[[#This Row],[Vehicle Cost]]+Cost_Structure[[#This Row],[Team Cost]]</f>
        <v>87211.221857848665</v>
      </c>
    </row>
    <row r="67" spans="1:17" x14ac:dyDescent="0.3">
      <c r="A67">
        <v>61</v>
      </c>
      <c r="B67" t="str">
        <f>VLOOKUP(Cost_Structure[[#This Row],[Index]],Vehicle[#All],2,)</f>
        <v>Sanand</v>
      </c>
      <c r="C67" t="str">
        <f>VLOOKUP(Cost_Structure[[#This Row],[BP Name]],OU_Map[#All],3,)</f>
        <v>AMDT1</v>
      </c>
      <c r="D67" t="str">
        <f>VLOOKUP(Cost_Structure[[#This Row],[Index]],Vehicle[#All],3,)</f>
        <v>Virendra Solanki</v>
      </c>
      <c r="E67" t="str">
        <f>VLOOKUP(Cost_Structure[[#This Row],[Index]],Vehicle[#All],4,)</f>
        <v>AL Dost</v>
      </c>
      <c r="F67" t="str">
        <f>VLOOKUP(Cost_Structure[[#This Row],[Index]],Vehicle_Ownership[#All],4,)</f>
        <v>EMI</v>
      </c>
      <c r="G67">
        <f>VLOOKUP(Cost_Structure[[#This Row],[Index]],Year_of_Purchase[#All],4,)</f>
        <v>2010</v>
      </c>
      <c r="H67" t="str">
        <f>VLOOKUP(Cost_Structure[[#This Row],[Vehicle]],Vehicle_Map[#All],2,)</f>
        <v>AL Dost</v>
      </c>
      <c r="I67" s="19">
        <f>INDEX(Mileage[],MATCH(Cost_Structure[[#This Row],[OU Code]],Mileage[OU Code],0),MATCH(Cost_Structure[[#This Row],[Vehicle]],Mileage[#Headers],0))</f>
        <v>13.451738176402987</v>
      </c>
      <c r="J67" s="19">
        <f>INDEX(Capacity[],MATCH(Cost_Structure[[#This Row],[OU Code]],Capacity[OU Code],0),MATCH(Cost_Structure[[#This Row],[Vehicle]],Capacity[#Headers],0))</f>
        <v>1.4794834103460122</v>
      </c>
      <c r="K67">
        <f>VLOOKUP(Cost_Structure[[#This Row],[OU Code]],KM_and_FuelCost[#All],2,)</f>
        <v>2900</v>
      </c>
      <c r="L67" s="20">
        <f>(Cost_Structure[[#This Row],[KM Travelled]]/Cost_Structure[[#This Row],[Mileage]])*VLOOKUP(Cost_Structure[[#This Row],[OU Code]],KM_and_FuelCost[#All],3,)</f>
        <v>21664.323133455633</v>
      </c>
      <c r="M67" s="20">
        <f>VLOOKUP(Cost_Structure[[#This Row],[Vehicle Name]],EMI[#All],5,)</f>
        <v>7613.6316002823205</v>
      </c>
      <c r="N67" s="20">
        <f>INDEX(Maintenance[],MATCH(Cost_Structure[[#This Row],[OU Code]],Maintenance[OU Code],0),MATCH(Cost_Structure[[#This Row],[Vehicle]],Maintenance[#Headers],0))</f>
        <v>7600</v>
      </c>
      <c r="O67" s="20">
        <f>Cost_Structure[[#This Row],[Fuel Cost]]+Cost_Structure[[#This Row],[EMI ]]+Cost_Structure[[#This Row],[Maintenance]]</f>
        <v>36877.954733737955</v>
      </c>
      <c r="P67" s="20">
        <v>36000</v>
      </c>
      <c r="Q67" s="20">
        <f>Cost_Structure[[#This Row],[Vehicle Cost]]+Cost_Structure[[#This Row],[Team Cost]]</f>
        <v>72877.954733737948</v>
      </c>
    </row>
    <row r="68" spans="1:17" x14ac:dyDescent="0.3">
      <c r="A68">
        <v>62</v>
      </c>
      <c r="B68" t="str">
        <f>VLOOKUP(Cost_Structure[[#This Row],[Index]],Vehicle[#All],2,)</f>
        <v>Sanand</v>
      </c>
      <c r="C68" t="str">
        <f>VLOOKUP(Cost_Structure[[#This Row],[BP Name]],OU_Map[#All],3,)</f>
        <v>AMDBC</v>
      </c>
      <c r="D68" t="str">
        <f>VLOOKUP(Cost_Structure[[#This Row],[Index]],Vehicle[#All],3,)</f>
        <v>Visharad Chauhan</v>
      </c>
      <c r="E68" t="str">
        <f>VLOOKUP(Cost_Structure[[#This Row],[Index]],Vehicle[#All],4,)</f>
        <v>AL Dost</v>
      </c>
      <c r="F68" t="str">
        <f>VLOOKUP(Cost_Structure[[#This Row],[Index]],Vehicle_Ownership[#All],4,)</f>
        <v>EMI</v>
      </c>
      <c r="G68">
        <f>VLOOKUP(Cost_Structure[[#This Row],[Index]],Year_of_Purchase[#All],4,)</f>
        <v>2015</v>
      </c>
      <c r="H68" t="str">
        <f>VLOOKUP(Cost_Structure[[#This Row],[Vehicle]],Vehicle_Map[#All],2,)</f>
        <v>AL Dost</v>
      </c>
      <c r="I68" s="19">
        <f>INDEX(Mileage[],MATCH(Cost_Structure[[#This Row],[OU Code]],Mileage[OU Code],0),MATCH(Cost_Structure[[#This Row],[Vehicle]],Mileage[#Headers],0))</f>
        <v>17.133678707427691</v>
      </c>
      <c r="J68" s="19">
        <f>INDEX(Capacity[],MATCH(Cost_Structure[[#This Row],[OU Code]],Capacity[OU Code],0),MATCH(Cost_Structure[[#This Row],[Vehicle]],Capacity[#Headers],0))</f>
        <v>1.8308787786446832</v>
      </c>
      <c r="K68">
        <f>VLOOKUP(Cost_Structure[[#This Row],[OU Code]],KM_and_FuelCost[#All],2,)</f>
        <v>3100</v>
      </c>
      <c r="L68" s="20">
        <f>(Cost_Structure[[#This Row],[KM Travelled]]/Cost_Structure[[#This Row],[Mileage]])*VLOOKUP(Cost_Structure[[#This Row],[OU Code]],KM_and_FuelCost[#All],3,)</f>
        <v>16839.049434836263</v>
      </c>
      <c r="M68" s="20">
        <f>VLOOKUP(Cost_Structure[[#This Row],[Vehicle Name]],EMI[#All],5,)</f>
        <v>7613.6316002823205</v>
      </c>
      <c r="N68" s="20">
        <f>INDEX(Maintenance[],MATCH(Cost_Structure[[#This Row],[OU Code]],Maintenance[OU Code],0),MATCH(Cost_Structure[[#This Row],[Vehicle]],Maintenance[#Headers],0))</f>
        <v>11700</v>
      </c>
      <c r="O68" s="20">
        <f>Cost_Structure[[#This Row],[Fuel Cost]]+Cost_Structure[[#This Row],[EMI ]]+Cost_Structure[[#This Row],[Maintenance]]</f>
        <v>36152.681035118585</v>
      </c>
      <c r="P68" s="20">
        <v>36000</v>
      </c>
      <c r="Q68" s="20">
        <f>Cost_Structure[[#This Row],[Vehicle Cost]]+Cost_Structure[[#This Row],[Team Cost]]</f>
        <v>72152.681035118585</v>
      </c>
    </row>
    <row r="69" spans="1:17" x14ac:dyDescent="0.3">
      <c r="A69">
        <v>63</v>
      </c>
      <c r="B69" t="str">
        <f>VLOOKUP(Cost_Structure[[#This Row],[Index]],Vehicle[#All],2,)</f>
        <v>Vadodara</v>
      </c>
      <c r="C69" t="str">
        <f>VLOOKUP(Cost_Structure[[#This Row],[BP Name]],OU_Map[#All],3,)</f>
        <v>BDQT1</v>
      </c>
      <c r="D69" t="str">
        <f>VLOOKUP(Cost_Structure[[#This Row],[Index]],Vehicle[#All],3,)</f>
        <v>Zainulsha.M.Diwan</v>
      </c>
      <c r="E69" t="str">
        <f>VLOOKUP(Cost_Structure[[#This Row],[Index]],Vehicle[#All],4,)</f>
        <v>14 ft</v>
      </c>
      <c r="F69" t="str">
        <f>VLOOKUP(Cost_Structure[[#This Row],[Index]],Vehicle_Ownership[#All],4,)</f>
        <v>EMI</v>
      </c>
      <c r="G69">
        <f>VLOOKUP(Cost_Structure[[#This Row],[Index]],Year_of_Purchase[#All],4,)</f>
        <v>2015</v>
      </c>
      <c r="H69" t="str">
        <f>VLOOKUP(Cost_Structure[[#This Row],[Vehicle]],Vehicle_Map[#All],2,)</f>
        <v>Eicher 14</v>
      </c>
      <c r="I69" s="19">
        <f>INDEX(Mileage[],MATCH(Cost_Structure[[#This Row],[OU Code]],Mileage[OU Code],0),MATCH(Cost_Structure[[#This Row],[Vehicle]],Mileage[#Headers],0))</f>
        <v>12.597885435760045</v>
      </c>
      <c r="J69" s="19">
        <f>INDEX(Capacity[],MATCH(Cost_Structure[[#This Row],[OU Code]],Capacity[OU Code],0),MATCH(Cost_Structure[[#This Row],[Vehicle]],Capacity[#Headers],0))</f>
        <v>2.7317924077831095</v>
      </c>
      <c r="K69">
        <f>VLOOKUP(Cost_Structure[[#This Row],[OU Code]],KM_and_FuelCost[#All],2,)</f>
        <v>3000</v>
      </c>
      <c r="L69" s="20">
        <f>(Cost_Structure[[#This Row],[KM Travelled]]/Cost_Structure[[#This Row],[Mileage]])*VLOOKUP(Cost_Structure[[#This Row],[OU Code]],KM_and_FuelCost[#All],3,)</f>
        <v>18708.575521938008</v>
      </c>
      <c r="M69" s="20">
        <f>VLOOKUP(Cost_Structure[[#This Row],[Vehicle Name]],EMI[#All],5,)</f>
        <v>11420.447400423482</v>
      </c>
      <c r="N69" s="20">
        <f>INDEX(Maintenance[],MATCH(Cost_Structure[[#This Row],[OU Code]],Maintenance[OU Code],0),MATCH(Cost_Structure[[#This Row],[Vehicle]],Maintenance[#Headers],0))</f>
        <v>15100</v>
      </c>
      <c r="O69" s="20">
        <f>Cost_Structure[[#This Row],[Fuel Cost]]+Cost_Structure[[#This Row],[EMI ]]+Cost_Structure[[#This Row],[Maintenance]]</f>
        <v>45229.022922361488</v>
      </c>
      <c r="P69" s="20">
        <v>36000</v>
      </c>
      <c r="Q69" s="20">
        <f>Cost_Structure[[#This Row],[Vehicle Cost]]+Cost_Structure[[#This Row],[Team Cost]]</f>
        <v>81229.022922361488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3780A-8AA6-4406-9F34-06FE2548C130}">
  <dimension ref="A1:Y49"/>
  <sheetViews>
    <sheetView topLeftCell="C1" zoomScale="99" zoomScaleNormal="205" workbookViewId="0">
      <selection activeCell="C2" sqref="C2"/>
    </sheetView>
  </sheetViews>
  <sheetFormatPr defaultColWidth="12.6640625" defaultRowHeight="14.4" x14ac:dyDescent="0.3"/>
  <cols>
    <col min="1" max="1" width="32.5546875" style="21" bestFit="1" customWidth="1"/>
    <col min="2" max="2" width="11.33203125" style="25" customWidth="1"/>
    <col min="3" max="3" width="16.777343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9" style="21" customWidth="1"/>
    <col min="10" max="10" width="13.88671875" style="23" customWidth="1"/>
    <col min="11" max="11" width="12.33203125" style="22" customWidth="1"/>
    <col min="12" max="12" width="12.109375" style="21" customWidth="1"/>
    <col min="13" max="13" width="12.6640625" style="22" customWidth="1"/>
    <col min="14" max="14" width="9.33203125" style="21" customWidth="1"/>
    <col min="15" max="15" width="19" style="21" customWidth="1"/>
    <col min="16" max="19" width="9.33203125" style="21" customWidth="1"/>
    <col min="20" max="20" width="13.109375" style="21" customWidth="1"/>
    <col min="21" max="21" width="9.33203125" style="21" customWidth="1"/>
    <col min="22" max="22" width="13.6640625" style="21" customWidth="1"/>
    <col min="23" max="29" width="9.33203125" style="21" customWidth="1"/>
    <col min="30" max="16384" width="12.6640625" style="21"/>
  </cols>
  <sheetData>
    <row r="1" spans="1:25"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row>
    <row r="2" spans="1:25" x14ac:dyDescent="0.3">
      <c r="A2" s="26" t="s">
        <v>3</v>
      </c>
      <c r="B2" s="31">
        <v>131928.81299810967</v>
      </c>
      <c r="C2" s="27">
        <f>VLOOKUP(Profitability_Sample[[#This Row],[BP name]],payouts_table_AMD!$B$1:$E$52,3,)</f>
        <v>5</v>
      </c>
      <c r="D2" s="30">
        <f>VLOOKUP(Profitability_Sample[[#This Row],[BP name]],payouts_table_AMD!$B$1:$E$52,4,)</f>
        <v>16347.6</v>
      </c>
      <c r="E2" s="29">
        <f>Profitability_Sample[[#This Row],[per kg rate]]*Profitability_Sample[[#This Row],[kg delivered]]</f>
        <v>81738</v>
      </c>
      <c r="F2" s="60">
        <f>VLOOKUP(Profitability_Sample[[#This Row],[BP name]],Payout!$B$1:$F$510,5,FALSE)</f>
        <v>67307.695444082405</v>
      </c>
      <c r="G2" s="29">
        <f>Profitability_Sample[[#This Row],[payout]]-Profitability_Sample[[#This Row],[budget]]</f>
        <v>14430.304555917595</v>
      </c>
      <c r="H2" s="28">
        <f>Profitability_Sample[[#This Row],[difference]]/Profitability_Sample[[#This Row],[budget]]</f>
        <v>0.21439308626910189</v>
      </c>
      <c r="I2" s="29">
        <f>Profitability_Sample[[#This Row],[payout]]-Profitability_Sample[[#This Row],[Total cost]]</f>
        <v>-50190.812998109672</v>
      </c>
      <c r="J2" s="28">
        <f>Profitability_Sample[[#This Row],[profit]]/Profitability_Sample[[#This Row],[payout]]</f>
        <v>-0.61404503411032407</v>
      </c>
      <c r="K2" s="27">
        <f>Profitability_Sample[[#This Row],[Total cost]]/Profitability_Sample[[#This Row],[kg delivered]]</f>
        <v>8.0702251705516197</v>
      </c>
      <c r="L2" s="26" t="str">
        <f>IF(Profitability_Sample[[#This Row],[difference %]]&gt; 0, "Overpaid", "Under Budget")</f>
        <v>Overpaid</v>
      </c>
      <c r="M2" s="26" t="str">
        <f>IF(Profitability_Sample[[#This Row],[profit margin]]&lt;0,"In Loss", "Profitable")</f>
        <v>In Loss</v>
      </c>
    </row>
    <row r="3" spans="1:25" ht="21" x14ac:dyDescent="0.4">
      <c r="A3" s="26" t="s">
        <v>7</v>
      </c>
      <c r="B3" s="31">
        <v>73409.33628931237</v>
      </c>
      <c r="C3" s="27">
        <f>VLOOKUP(Profitability_Sample[[#This Row],[BP name]],payouts_table_AMD!$B$1:$E$52,3,)</f>
        <v>5</v>
      </c>
      <c r="D3" s="30">
        <f>VLOOKUP(Profitability_Sample[[#This Row],[BP name]],payouts_table_AMD!$B$1:$E$52,4,)</f>
        <v>36413.599999999999</v>
      </c>
      <c r="E3" s="29">
        <f>Profitability_Sample[[#This Row],[per kg rate]]*Profitability_Sample[[#This Row],[kg delivered]]</f>
        <v>182068</v>
      </c>
      <c r="F3" s="29">
        <f>VLOOKUP(Profitability_Sample[[#This Row],[BP name]],Payout!$B$1:$F$510,5,FALSE)</f>
        <v>151594.20238356592</v>
      </c>
      <c r="G3" s="29">
        <f>Profitability_Sample[[#This Row],[payout]]-Profitability_Sample[[#This Row],[budget]]</f>
        <v>30473.79761643408</v>
      </c>
      <c r="H3" s="28">
        <f>Profitability_Sample[[#This Row],[difference]]/Profitability_Sample[[#This Row],[budget]]</f>
        <v>0.20102218381233883</v>
      </c>
      <c r="I3" s="29">
        <f>Profitability_Sample[[#This Row],[payout]]-Profitability_Sample[[#This Row],[Total cost]]</f>
        <v>108658.66371068763</v>
      </c>
      <c r="J3" s="28">
        <f>Profitability_Sample[[#This Row],[profit]]/Profitability_Sample[[#This Row],[payout]]</f>
        <v>0.59680264357650781</v>
      </c>
      <c r="K3" s="27">
        <f>Profitability_Sample[[#This Row],[Total cost]]/Profitability_Sample[[#This Row],[kg delivered]]</f>
        <v>2.0159867821174609</v>
      </c>
      <c r="L3" s="26" t="str">
        <f>IF(Profitability_Sample[[#This Row],[difference %]]&gt; 0, "Overpaid", "Under Budget")</f>
        <v>Overpaid</v>
      </c>
      <c r="M3" s="26" t="str">
        <f>IF(Profitability_Sample[[#This Row],[profit margin]]&lt;0,"In Loss", "Profitable")</f>
        <v>Profitable</v>
      </c>
      <c r="O3" s="67" t="s">
        <v>1445</v>
      </c>
      <c r="P3" s="68"/>
      <c r="Q3" s="69"/>
      <c r="R3" s="69"/>
      <c r="S3" s="69"/>
      <c r="T3" s="70">
        <f>CORREL(Profitability_Sample[cost per kg],Profitability_Sample[per kg rate])</f>
        <v>3.6610382679941031E-2</v>
      </c>
    </row>
    <row r="4" spans="1:25" x14ac:dyDescent="0.3">
      <c r="A4" s="26" t="s">
        <v>11</v>
      </c>
      <c r="B4" s="31">
        <v>110486.0952449482</v>
      </c>
      <c r="C4" s="27">
        <f>VLOOKUP(Profitability_Sample[[#This Row],[BP name]],payouts_table_AMD!$B$1:$E$52,3,)</f>
        <v>5</v>
      </c>
      <c r="D4" s="30">
        <f>VLOOKUP(Profitability_Sample[[#This Row],[BP name]],payouts_table_AMD!$B$1:$E$52,4,)</f>
        <v>29269</v>
      </c>
      <c r="E4" s="29">
        <f>Profitability_Sample[[#This Row],[per kg rate]]*Profitability_Sample[[#This Row],[kg delivered]]</f>
        <v>146345</v>
      </c>
      <c r="F4" s="29">
        <f>VLOOKUP(Profitability_Sample[[#This Row],[BP name]],Payout!$B$1:$F$510,5,FALSE)</f>
        <v>27180.821150192936</v>
      </c>
      <c r="G4" s="29">
        <f>Profitability_Sample[[#This Row],[payout]]-Profitability_Sample[[#This Row],[budget]]</f>
        <v>119164.17884980707</v>
      </c>
      <c r="H4" s="28">
        <f>Profitability_Sample[[#This Row],[difference]]/Profitability_Sample[[#This Row],[budget]]</f>
        <v>4.3841272561760416</v>
      </c>
      <c r="I4" s="29">
        <f>Profitability_Sample[[#This Row],[payout]]-Profitability_Sample[[#This Row],[Total cost]]</f>
        <v>35858.904755051801</v>
      </c>
      <c r="J4" s="28">
        <f>Profitability_Sample[[#This Row],[profit]]/Profitability_Sample[[#This Row],[payout]]</f>
        <v>0.2450299276029369</v>
      </c>
      <c r="K4" s="27">
        <f>Profitability_Sample[[#This Row],[Total cost]]/Profitability_Sample[[#This Row],[kg delivered]]</f>
        <v>3.7748503619853153</v>
      </c>
      <c r="L4" s="26" t="str">
        <f>IF(Profitability_Sample[[#This Row],[difference %]]&gt; 0, "Overpaid", "Under Budget")</f>
        <v>Overpaid</v>
      </c>
      <c r="M4" s="26" t="str">
        <f>IF(Profitability_Sample[[#This Row],[profit margin]]&lt;0,"In Loss", "Profitable")</f>
        <v>Profitable</v>
      </c>
      <c r="P4" s="26"/>
    </row>
    <row r="5" spans="1:25" ht="21" x14ac:dyDescent="0.4">
      <c r="A5" s="26" t="s">
        <v>141</v>
      </c>
      <c r="B5" s="31">
        <v>73814.976221147692</v>
      </c>
      <c r="C5" s="27">
        <f>VLOOKUP(Profitability_Sample[[#This Row],[BP name]],payouts_table_AMD!$B$1:$E$52,3,)</f>
        <v>19</v>
      </c>
      <c r="D5" s="30">
        <f>VLOOKUP(Profitability_Sample[[#This Row],[BP name]],payouts_table_AMD!$B$1:$E$52,4,)</f>
        <v>6740.5789473684208</v>
      </c>
      <c r="E5" s="29">
        <f>Profitability_Sample[[#This Row],[per kg rate]]*Profitability_Sample[[#This Row],[kg delivered]]</f>
        <v>128071</v>
      </c>
      <c r="F5" s="29">
        <f>VLOOKUP(Profitability_Sample[[#This Row],[BP name]],Payout!$B$1:$F$510,5,FALSE)</f>
        <v>23560.66190357352</v>
      </c>
      <c r="G5" s="29">
        <f>Profitability_Sample[[#This Row],[payout]]-Profitability_Sample[[#This Row],[budget]]</f>
        <v>104510.33809642648</v>
      </c>
      <c r="H5" s="28">
        <f>Profitability_Sample[[#This Row],[difference]]/Profitability_Sample[[#This Row],[budget]]</f>
        <v>4.4357980486352577</v>
      </c>
      <c r="I5" s="29">
        <f>Profitability_Sample[[#This Row],[payout]]-Profitability_Sample[[#This Row],[Total cost]]</f>
        <v>54256.023778852308</v>
      </c>
      <c r="J5" s="28">
        <f>Profitability_Sample[[#This Row],[profit]]/Profitability_Sample[[#This Row],[payout]]</f>
        <v>0.4236401978500387</v>
      </c>
      <c r="K5" s="27">
        <f>Profitability_Sample[[#This Row],[Total cost]]/Profitability_Sample[[#This Row],[kg delivered]]</f>
        <v>10.950836240849265</v>
      </c>
      <c r="L5" s="26" t="str">
        <f>IF(Profitability_Sample[[#This Row],[difference %]]&gt; 0, "Overpaid", "Under Budget")</f>
        <v>Overpaid</v>
      </c>
      <c r="M5" s="26" t="str">
        <f>IF(Profitability_Sample[[#This Row],[profit margin]]&lt;0,"In Loss", "Profitable")</f>
        <v>Profitable</v>
      </c>
      <c r="O5" s="71" t="s">
        <v>1447</v>
      </c>
      <c r="P5" s="71"/>
      <c r="Q5" s="72"/>
      <c r="R5" s="72"/>
      <c r="S5" s="72"/>
      <c r="T5" s="72"/>
      <c r="U5" s="72"/>
      <c r="V5" s="72"/>
      <c r="W5" s="73"/>
      <c r="X5" s="73"/>
      <c r="Y5" s="73"/>
    </row>
    <row r="6" spans="1:25" x14ac:dyDescent="0.3">
      <c r="A6" s="26" t="s">
        <v>15</v>
      </c>
      <c r="B6" s="31">
        <v>68714.971483488625</v>
      </c>
      <c r="C6" s="27">
        <f>VLOOKUP(Profitability_Sample[[#This Row],[BP name]],payouts_table_AMD!$B$1:$E$52,3,)</f>
        <v>9</v>
      </c>
      <c r="D6" s="30">
        <f>VLOOKUP(Profitability_Sample[[#This Row],[BP name]],payouts_table_AMD!$B$1:$E$52,4,)</f>
        <v>2553.3333333333335</v>
      </c>
      <c r="E6" s="29">
        <f>Profitability_Sample[[#This Row],[per kg rate]]*Profitability_Sample[[#This Row],[kg delivered]]</f>
        <v>22980</v>
      </c>
      <c r="F6" s="29">
        <f>VLOOKUP(Profitability_Sample[[#This Row],[BP name]],Payout!$B$1:$F$510,5,FALSE)</f>
        <v>14574.070793404973</v>
      </c>
      <c r="G6" s="29">
        <f>Profitability_Sample[[#This Row],[payout]]-Profitability_Sample[[#This Row],[budget]]</f>
        <v>8405.9292065950267</v>
      </c>
      <c r="H6" s="28">
        <f>Profitability_Sample[[#This Row],[difference]]/Profitability_Sample[[#This Row],[budget]]</f>
        <v>0.57677290893899458</v>
      </c>
      <c r="I6" s="29">
        <f>Profitability_Sample[[#This Row],[payout]]-Profitability_Sample[[#This Row],[Total cost]]</f>
        <v>-45734.971483488625</v>
      </c>
      <c r="J6" s="28">
        <f>Profitability_Sample[[#This Row],[profit]]/Profitability_Sample[[#This Row],[payout]]</f>
        <v>-1.9902076363572074</v>
      </c>
      <c r="K6" s="27">
        <f>Profitability_Sample[[#This Row],[Total cost]]/Profitability_Sample[[#This Row],[kg delivered]]</f>
        <v>26.911868727214866</v>
      </c>
      <c r="L6" s="26" t="str">
        <f>IF(Profitability_Sample[[#This Row],[difference %]]&gt; 0, "Overpaid", "Under Budget")</f>
        <v>Overpaid</v>
      </c>
      <c r="M6" s="26" t="str">
        <f>IF(Profitability_Sample[[#This Row],[profit margin]]&lt;0,"In Loss", "Profitable")</f>
        <v>In Loss</v>
      </c>
      <c r="O6" s="26"/>
      <c r="P6" s="26"/>
    </row>
    <row r="7" spans="1:25" x14ac:dyDescent="0.3">
      <c r="A7" s="26" t="s">
        <v>17</v>
      </c>
      <c r="B7" s="31">
        <v>75988.762423492648</v>
      </c>
      <c r="C7" s="27">
        <f>VLOOKUP(Profitability_Sample[[#This Row],[BP name]],payouts_table_AMD!$B$1:$E$52,3,)</f>
        <v>9</v>
      </c>
      <c r="D7" s="30">
        <f>VLOOKUP(Profitability_Sample[[#This Row],[BP name]],payouts_table_AMD!$B$1:$E$52,4,)</f>
        <v>4069</v>
      </c>
      <c r="E7" s="29">
        <f>Profitability_Sample[[#This Row],[per kg rate]]*Profitability_Sample[[#This Row],[kg delivered]]</f>
        <v>36621</v>
      </c>
      <c r="F7" s="29">
        <f>VLOOKUP(Profitability_Sample[[#This Row],[BP name]],Payout!$B$1:$F$510,5,FALSE)</f>
        <v>11610.612907422201</v>
      </c>
      <c r="G7" s="29">
        <f>Profitability_Sample[[#This Row],[payout]]-Profitability_Sample[[#This Row],[budget]]</f>
        <v>25010.387092577799</v>
      </c>
      <c r="H7" s="28">
        <f>Profitability_Sample[[#This Row],[difference]]/Profitability_Sample[[#This Row],[budget]]</f>
        <v>2.1540970568909121</v>
      </c>
      <c r="I7" s="29">
        <f>Profitability_Sample[[#This Row],[payout]]-Profitability_Sample[[#This Row],[Total cost]]</f>
        <v>-39367.762423492648</v>
      </c>
      <c r="J7" s="28">
        <f>Profitability_Sample[[#This Row],[profit]]/Profitability_Sample[[#This Row],[payout]]</f>
        <v>-1.075005117923941</v>
      </c>
      <c r="K7" s="27">
        <f>Profitability_Sample[[#This Row],[Total cost]]/Profitability_Sample[[#This Row],[kg delivered]]</f>
        <v>18.67504606131547</v>
      </c>
      <c r="L7" s="26" t="str">
        <f>IF(Profitability_Sample[[#This Row],[difference %]]&gt; 0, "Overpaid", "Under Budget")</f>
        <v>Overpaid</v>
      </c>
      <c r="M7" s="26" t="str">
        <f>IF(Profitability_Sample[[#This Row],[profit margin]]&lt;0,"In Loss", "Profitable")</f>
        <v>In Loss</v>
      </c>
      <c r="R7" s="33"/>
      <c r="S7" s="32"/>
      <c r="T7" s="33"/>
      <c r="U7" s="33"/>
      <c r="V7" s="32"/>
    </row>
    <row r="8" spans="1:25" x14ac:dyDescent="0.3">
      <c r="A8" s="26" t="s">
        <v>20</v>
      </c>
      <c r="B8" s="31">
        <v>63656.645092919869</v>
      </c>
      <c r="C8" s="27">
        <f>VLOOKUP(Profitability_Sample[[#This Row],[BP name]],payouts_table_AMD!$B$1:$E$52,3,)</f>
        <v>8.5</v>
      </c>
      <c r="D8" s="30">
        <f>VLOOKUP(Profitability_Sample[[#This Row],[BP name]],payouts_table_AMD!$B$1:$E$52,4,)</f>
        <v>14256.470588235294</v>
      </c>
      <c r="E8" s="29">
        <f>Profitability_Sample[[#This Row],[per kg rate]]*Profitability_Sample[[#This Row],[kg delivered]]</f>
        <v>121180</v>
      </c>
      <c r="F8" s="29">
        <f>VLOOKUP(Profitability_Sample[[#This Row],[BP name]],Payout!$B$1:$F$510,5,FALSE)</f>
        <v>73367.308383054638</v>
      </c>
      <c r="G8" s="29">
        <f>Profitability_Sample[[#This Row],[payout]]-Profitability_Sample[[#This Row],[budget]]</f>
        <v>47812.691616945362</v>
      </c>
      <c r="H8" s="28">
        <f>Profitability_Sample[[#This Row],[difference]]/Profitability_Sample[[#This Row],[budget]]</f>
        <v>0.6516893241784576</v>
      </c>
      <c r="I8" s="29">
        <f>Profitability_Sample[[#This Row],[payout]]-Profitability_Sample[[#This Row],[Total cost]]</f>
        <v>57523.354907080131</v>
      </c>
      <c r="J8" s="28">
        <f>Profitability_Sample[[#This Row],[profit]]/Profitability_Sample[[#This Row],[payout]]</f>
        <v>0.47469347175342574</v>
      </c>
      <c r="K8" s="27">
        <f>Profitability_Sample[[#This Row],[Total cost]]/Profitability_Sample[[#This Row],[kg delivered]]</f>
        <v>4.4651054900958815</v>
      </c>
      <c r="L8" s="26" t="str">
        <f>IF(Profitability_Sample[[#This Row],[difference %]]&gt; 0, "Overpaid", "Under Budget")</f>
        <v>Overpaid</v>
      </c>
      <c r="M8" s="26" t="str">
        <f>IF(Profitability_Sample[[#This Row],[profit margin]]&lt;0,"In Loss", "Profitable")</f>
        <v>Profitable</v>
      </c>
      <c r="R8" s="33"/>
      <c r="S8" s="34"/>
      <c r="T8" s="33"/>
      <c r="U8" s="33"/>
      <c r="V8" s="35"/>
    </row>
    <row r="9" spans="1:25" x14ac:dyDescent="0.3">
      <c r="A9" s="26" t="s">
        <v>21</v>
      </c>
      <c r="B9" s="31">
        <v>317152.13161320286</v>
      </c>
      <c r="C9" s="27">
        <f>VLOOKUP(Profitability_Sample[[#This Row],[BP name]],payouts_table_AMD!$B$1:$E$52,3,)</f>
        <v>5</v>
      </c>
      <c r="D9" s="30">
        <f>VLOOKUP(Profitability_Sample[[#This Row],[BP name]],payouts_table_AMD!$B$1:$E$52,4,)</f>
        <v>14851.2</v>
      </c>
      <c r="E9" s="29">
        <f>Profitability_Sample[[#This Row],[per kg rate]]*Profitability_Sample[[#This Row],[kg delivered]]</f>
        <v>74256</v>
      </c>
      <c r="F9" s="29">
        <f>VLOOKUP(Profitability_Sample[[#This Row],[BP name]],Payout!$B$1:$F$510,5,FALSE)</f>
        <v>44310.062860390266</v>
      </c>
      <c r="G9" s="29">
        <f>Profitability_Sample[[#This Row],[payout]]-Profitability_Sample[[#This Row],[budget]]</f>
        <v>29945.937139609734</v>
      </c>
      <c r="H9" s="28">
        <f>Profitability_Sample[[#This Row],[difference]]/Profitability_Sample[[#This Row],[budget]]</f>
        <v>0.67582700647394167</v>
      </c>
      <c r="I9" s="29">
        <f>Profitability_Sample[[#This Row],[payout]]-Profitability_Sample[[#This Row],[Total cost]]</f>
        <v>-242896.13161320286</v>
      </c>
      <c r="J9" s="28">
        <f>Profitability_Sample[[#This Row],[profit]]/Profitability_Sample[[#This Row],[payout]]</f>
        <v>-3.2710640434874336</v>
      </c>
      <c r="K9" s="27">
        <f>Profitability_Sample[[#This Row],[Total cost]]/Profitability_Sample[[#This Row],[kg delivered]]</f>
        <v>21.355320217437168</v>
      </c>
      <c r="L9" s="26" t="str">
        <f>IF(Profitability_Sample[[#This Row],[difference %]]&gt; 0, "Overpaid", "Under Budget")</f>
        <v>Overpaid</v>
      </c>
      <c r="M9" s="26" t="str">
        <f>IF(Profitability_Sample[[#This Row],[profit margin]]&lt;0,"In Loss", "Profitable")</f>
        <v>In Loss</v>
      </c>
      <c r="R9" s="33"/>
      <c r="S9" s="34"/>
      <c r="T9" s="33"/>
      <c r="U9" s="33"/>
      <c r="V9" s="33"/>
    </row>
    <row r="10" spans="1:25" x14ac:dyDescent="0.3">
      <c r="A10" s="26" t="s">
        <v>23</v>
      </c>
      <c r="B10" s="31">
        <v>65267.81613793927</v>
      </c>
      <c r="C10" s="27">
        <f>VLOOKUP(Profitability_Sample[[#This Row],[BP name]],payouts_table_AMD!$B$1:$E$52,3,)</f>
        <v>10</v>
      </c>
      <c r="D10" s="30">
        <f>VLOOKUP(Profitability_Sample[[#This Row],[BP name]],payouts_table_AMD!$B$1:$E$52,4,)</f>
        <v>13628.4</v>
      </c>
      <c r="E10" s="29">
        <f>Profitability_Sample[[#This Row],[per kg rate]]*Profitability_Sample[[#This Row],[kg delivered]]</f>
        <v>136284</v>
      </c>
      <c r="F10" s="29">
        <f>VLOOKUP(Profitability_Sample[[#This Row],[BP name]],Payout!$B$1:$F$510,5,FALSE)</f>
        <v>61680.103608114805</v>
      </c>
      <c r="G10" s="29">
        <f>Profitability_Sample[[#This Row],[payout]]-Profitability_Sample[[#This Row],[budget]]</f>
        <v>74603.896391885195</v>
      </c>
      <c r="H10" s="28">
        <f>Profitability_Sample[[#This Row],[difference]]/Profitability_Sample[[#This Row],[budget]]</f>
        <v>1.2095293624323631</v>
      </c>
      <c r="I10" s="29">
        <f>Profitability_Sample[[#This Row],[payout]]-Profitability_Sample[[#This Row],[Total cost]]</f>
        <v>71016.18386206073</v>
      </c>
      <c r="J10" s="28">
        <f>Profitability_Sample[[#This Row],[profit]]/Profitability_Sample[[#This Row],[payout]]</f>
        <v>0.5210896646859553</v>
      </c>
      <c r="K10" s="27">
        <f>Profitability_Sample[[#This Row],[Total cost]]/Profitability_Sample[[#This Row],[kg delivered]]</f>
        <v>4.7891033531404474</v>
      </c>
      <c r="L10" s="26" t="str">
        <f>IF(Profitability_Sample[[#This Row],[difference %]]&gt; 0, "Overpaid", "Under Budget")</f>
        <v>Overpaid</v>
      </c>
      <c r="M10" s="26" t="str">
        <f>IF(Profitability_Sample[[#This Row],[profit margin]]&lt;0,"In Loss", "Profitable")</f>
        <v>Profitable</v>
      </c>
      <c r="R10" s="33"/>
      <c r="S10" s="33"/>
      <c r="T10" s="33"/>
      <c r="U10" s="33"/>
      <c r="V10" s="33"/>
    </row>
    <row r="11" spans="1:25" x14ac:dyDescent="0.3">
      <c r="A11" s="26" t="s">
        <v>24</v>
      </c>
      <c r="B11" s="31">
        <v>198658.37142896923</v>
      </c>
      <c r="C11" s="27">
        <f>VLOOKUP(Profitability_Sample[[#This Row],[BP name]],payouts_table_AMD!$B$1:$E$52,3,)</f>
        <v>3</v>
      </c>
      <c r="D11" s="30">
        <f>VLOOKUP(Profitability_Sample[[#This Row],[BP name]],payouts_table_AMD!$B$1:$E$52,4,)</f>
        <v>34688.666666666664</v>
      </c>
      <c r="E11" s="29">
        <f>Profitability_Sample[[#This Row],[per kg rate]]*Profitability_Sample[[#This Row],[kg delivered]]</f>
        <v>104066</v>
      </c>
      <c r="F11" s="29">
        <f>VLOOKUP(Profitability_Sample[[#This Row],[BP name]],Payout!$B$1:$F$510,5,FALSE)</f>
        <v>91629.307316704435</v>
      </c>
      <c r="G11" s="29">
        <f>Profitability_Sample[[#This Row],[payout]]-Profitability_Sample[[#This Row],[budget]]</f>
        <v>12436.692683295565</v>
      </c>
      <c r="H11" s="28">
        <f>Profitability_Sample[[#This Row],[difference]]/Profitability_Sample[[#This Row],[budget]]</f>
        <v>0.13572832805894516</v>
      </c>
      <c r="I11" s="29">
        <f>Profitability_Sample[[#This Row],[payout]]-Profitability_Sample[[#This Row],[Total cost]]</f>
        <v>-94592.371428969229</v>
      </c>
      <c r="J11" s="28">
        <f>Profitability_Sample[[#This Row],[profit]]/Profitability_Sample[[#This Row],[payout]]</f>
        <v>-0.9089651896774088</v>
      </c>
      <c r="K11" s="27">
        <f>Profitability_Sample[[#This Row],[Total cost]]/Profitability_Sample[[#This Row],[kg delivered]]</f>
        <v>5.7268955690322265</v>
      </c>
      <c r="L11" s="26" t="str">
        <f>IF(Profitability_Sample[[#This Row],[difference %]]&gt; 0, "Overpaid", "Under Budget")</f>
        <v>Overpaid</v>
      </c>
      <c r="M11" s="26" t="str">
        <f>IF(Profitability_Sample[[#This Row],[profit margin]]&lt;0,"In Loss", "Profitable")</f>
        <v>In Loss</v>
      </c>
      <c r="R11" s="33"/>
      <c r="S11" s="34"/>
      <c r="T11" s="33"/>
      <c r="U11" s="33"/>
      <c r="V11" s="35"/>
    </row>
    <row r="12" spans="1:25" x14ac:dyDescent="0.3">
      <c r="A12" s="26" t="s">
        <v>26</v>
      </c>
      <c r="B12" s="31">
        <v>70706.369224623049</v>
      </c>
      <c r="C12" s="27">
        <f>VLOOKUP(Profitability_Sample[[#This Row],[BP name]],payouts_table_AMD!$B$1:$E$52,3,)</f>
        <v>5</v>
      </c>
      <c r="D12" s="30">
        <f>VLOOKUP(Profitability_Sample[[#This Row],[BP name]],payouts_table_AMD!$B$1:$E$52,4,)</f>
        <v>162.47999999999999</v>
      </c>
      <c r="E12" s="29">
        <f>Profitability_Sample[[#This Row],[per kg rate]]*Profitability_Sample[[#This Row],[kg delivered]]</f>
        <v>812.4</v>
      </c>
      <c r="F12" s="29">
        <f>VLOOKUP(Profitability_Sample[[#This Row],[BP name]],Payout!$B$1:$F$510,5,FALSE)</f>
        <v>744.30830420710652</v>
      </c>
      <c r="G12" s="29">
        <f>Profitability_Sample[[#This Row],[payout]]-Profitability_Sample[[#This Row],[budget]]</f>
        <v>68.091695792893461</v>
      </c>
      <c r="H12" s="28">
        <f>Profitability_Sample[[#This Row],[difference]]/Profitability_Sample[[#This Row],[budget]]</f>
        <v>9.1483187018086387E-2</v>
      </c>
      <c r="I12" s="29">
        <f>Profitability_Sample[[#This Row],[payout]]-Profitability_Sample[[#This Row],[Total cost]]</f>
        <v>-69893.969224623055</v>
      </c>
      <c r="J12" s="28">
        <f>Profitability_Sample[[#This Row],[profit]]/Profitability_Sample[[#This Row],[payout]]</f>
        <v>-86.033935530062848</v>
      </c>
      <c r="K12" s="27">
        <f>Profitability_Sample[[#This Row],[Total cost]]/Profitability_Sample[[#This Row],[kg delivered]]</f>
        <v>435.16967765031421</v>
      </c>
      <c r="L12" s="26" t="str">
        <f>IF(Profitability_Sample[[#This Row],[difference %]]&gt; 0, "Overpaid", "Under Budget")</f>
        <v>Overpaid</v>
      </c>
      <c r="M12" s="26" t="str">
        <f>IF(Profitability_Sample[[#This Row],[profit margin]]&lt;0,"In Loss", "Profitable")</f>
        <v>In Loss</v>
      </c>
      <c r="R12" s="33"/>
      <c r="S12" s="34"/>
      <c r="T12" s="33"/>
      <c r="U12" s="33"/>
      <c r="V12" s="35"/>
    </row>
    <row r="13" spans="1:25" ht="21" x14ac:dyDescent="0.4">
      <c r="A13" s="26" t="s">
        <v>27</v>
      </c>
      <c r="B13" s="31">
        <v>58519.476708797287</v>
      </c>
      <c r="C13" s="27">
        <f>VLOOKUP(Profitability_Sample[[#This Row],[BP name]],payouts_table_AMD!$B$1:$E$52,3,)</f>
        <v>5</v>
      </c>
      <c r="D13" s="30">
        <f>VLOOKUP(Profitability_Sample[[#This Row],[BP name]],payouts_table_AMD!$B$1:$E$52,4,)</f>
        <v>6016.6</v>
      </c>
      <c r="E13" s="29">
        <f>Profitability_Sample[[#This Row],[per kg rate]]*Profitability_Sample[[#This Row],[kg delivered]]</f>
        <v>30083</v>
      </c>
      <c r="F13" s="29">
        <f>VLOOKUP(Profitability_Sample[[#This Row],[BP name]],Payout!$B$1:$F$510,5,FALSE)</f>
        <v>6448.8527245637169</v>
      </c>
      <c r="G13" s="29">
        <f>Profitability_Sample[[#This Row],[payout]]-Profitability_Sample[[#This Row],[budget]]</f>
        <v>23634.147275436284</v>
      </c>
      <c r="H13" s="28">
        <f>Profitability_Sample[[#This Row],[difference]]/Profitability_Sample[[#This Row],[budget]]</f>
        <v>3.6648607566139138</v>
      </c>
      <c r="I13" s="29">
        <f>Profitability_Sample[[#This Row],[payout]]-Profitability_Sample[[#This Row],[Total cost]]</f>
        <v>-28436.476708797287</v>
      </c>
      <c r="J13" s="28">
        <f>Profitability_Sample[[#This Row],[profit]]/Profitability_Sample[[#This Row],[payout]]</f>
        <v>-0.9452673173818199</v>
      </c>
      <c r="K13" s="27">
        <f>Profitability_Sample[[#This Row],[Total cost]]/Profitability_Sample[[#This Row],[kg delivered]]</f>
        <v>9.726336586909099</v>
      </c>
      <c r="L13" s="26" t="str">
        <f>IF(Profitability_Sample[[#This Row],[difference %]]&gt; 0, "Overpaid", "Under Budget")</f>
        <v>Overpaid</v>
      </c>
      <c r="M13" s="26" t="str">
        <f>IF(Profitability_Sample[[#This Row],[profit margin]]&lt;0,"In Loss", "Profitable")</f>
        <v>In Loss</v>
      </c>
      <c r="O13" s="64" t="s">
        <v>1399</v>
      </c>
      <c r="P13" s="65">
        <f>COUNTA(A2:A49)</f>
        <v>48</v>
      </c>
      <c r="R13" s="33"/>
      <c r="S13" s="34"/>
      <c r="T13" s="33"/>
      <c r="U13" s="33"/>
      <c r="V13" s="33"/>
    </row>
    <row r="14" spans="1:25" ht="21" x14ac:dyDescent="0.4">
      <c r="A14" s="26" t="s">
        <v>28</v>
      </c>
      <c r="B14" s="31">
        <v>63559.996679567601</v>
      </c>
      <c r="C14" s="27">
        <f>VLOOKUP(Profitability_Sample[[#This Row],[BP name]],payouts_table_AMD!$B$1:$E$52,3,)</f>
        <v>7</v>
      </c>
      <c r="D14" s="30">
        <f>VLOOKUP(Profitability_Sample[[#This Row],[BP name]],payouts_table_AMD!$B$1:$E$52,4,)</f>
        <v>4040.4285714285716</v>
      </c>
      <c r="E14" s="29">
        <f>Profitability_Sample[[#This Row],[per kg rate]]*Profitability_Sample[[#This Row],[kg delivered]]</f>
        <v>28283</v>
      </c>
      <c r="F14" s="29">
        <f>VLOOKUP(Profitability_Sample[[#This Row],[BP name]],Payout!$B$1:$F$510,5,FALSE)</f>
        <v>6489.8369612275828</v>
      </c>
      <c r="G14" s="29">
        <f>Profitability_Sample[[#This Row],[payout]]-Profitability_Sample[[#This Row],[budget]]</f>
        <v>21793.163038772418</v>
      </c>
      <c r="H14" s="28">
        <f>Profitability_Sample[[#This Row],[difference]]/Profitability_Sample[[#This Row],[budget]]</f>
        <v>3.3580447658349404</v>
      </c>
      <c r="I14" s="29">
        <f>Profitability_Sample[[#This Row],[payout]]-Profitability_Sample[[#This Row],[Total cost]]</f>
        <v>-35276.996679567601</v>
      </c>
      <c r="J14" s="28">
        <f>Profitability_Sample[[#This Row],[profit]]/Profitability_Sample[[#This Row],[payout]]</f>
        <v>-1.2472862383611216</v>
      </c>
      <c r="K14" s="27">
        <f>Profitability_Sample[[#This Row],[Total cost]]/Profitability_Sample[[#This Row],[kg delivered]]</f>
        <v>15.731003668527851</v>
      </c>
      <c r="L14" s="26" t="str">
        <f>IF(Profitability_Sample[[#This Row],[difference %]]&gt; 0, "Overpaid", "Under Budget")</f>
        <v>Overpaid</v>
      </c>
      <c r="M14" s="26" t="str">
        <f>IF(Profitability_Sample[[#This Row],[profit margin]]&lt;0,"In Loss", "Profitable")</f>
        <v>In Loss</v>
      </c>
      <c r="O14" s="64" t="s">
        <v>1398</v>
      </c>
      <c r="P14" s="65">
        <f>COUNTIF(Profitability_Sample[profitability],"Profitable")</f>
        <v>14</v>
      </c>
      <c r="R14" s="33"/>
      <c r="S14" s="34"/>
      <c r="T14" s="33"/>
      <c r="U14" s="33"/>
      <c r="V14" s="35"/>
    </row>
    <row r="15" spans="1:25" ht="21" x14ac:dyDescent="0.4">
      <c r="A15" s="26" t="s">
        <v>30</v>
      </c>
      <c r="B15" s="31">
        <v>73814.976221147692</v>
      </c>
      <c r="C15" s="27">
        <f>VLOOKUP(Profitability_Sample[[#This Row],[BP name]],payouts_table_AMD!$B$1:$E$52,3,)</f>
        <v>19</v>
      </c>
      <c r="D15" s="30">
        <f>VLOOKUP(Profitability_Sample[[#This Row],[BP name]],payouts_table_AMD!$B$1:$E$52,4,)</f>
        <v>3100</v>
      </c>
      <c r="E15" s="29">
        <f>Profitability_Sample[[#This Row],[per kg rate]]*Profitability_Sample[[#This Row],[kg delivered]]</f>
        <v>58900</v>
      </c>
      <c r="F15" s="29">
        <f>VLOOKUP(Profitability_Sample[[#This Row],[BP name]],Payout!$B$1:$F$510,5,FALSE)</f>
        <v>17011.759078401352</v>
      </c>
      <c r="G15" s="29">
        <f>Profitability_Sample[[#This Row],[payout]]-Profitability_Sample[[#This Row],[budget]]</f>
        <v>41888.240921598648</v>
      </c>
      <c r="H15" s="28">
        <f>Profitability_Sample[[#This Row],[difference]]/Profitability_Sample[[#This Row],[budget]]</f>
        <v>2.4623109655239142</v>
      </c>
      <c r="I15" s="29">
        <f>Profitability_Sample[[#This Row],[payout]]-Profitability_Sample[[#This Row],[Total cost]]</f>
        <v>-14914.976221147692</v>
      </c>
      <c r="J15" s="28">
        <f>Profitability_Sample[[#This Row],[profit]]/Profitability_Sample[[#This Row],[payout]]</f>
        <v>-0.25322540273595401</v>
      </c>
      <c r="K15" s="27">
        <f>Profitability_Sample[[#This Row],[Total cost]]/Profitability_Sample[[#This Row],[kg delivered]]</f>
        <v>23.811282651983127</v>
      </c>
      <c r="L15" s="26" t="str">
        <f>IF(Profitability_Sample[[#This Row],[difference %]]&gt; 0, "Overpaid", "Under Budget")</f>
        <v>Overpaid</v>
      </c>
      <c r="M15" s="26" t="str">
        <f>IF(Profitability_Sample[[#This Row],[profit margin]]&lt;0,"In Loss", "Profitable")</f>
        <v>In Loss</v>
      </c>
      <c r="O15" s="64" t="s">
        <v>1397</v>
      </c>
      <c r="P15" s="66">
        <f>P14/P13</f>
        <v>0.29166666666666669</v>
      </c>
      <c r="R15" s="33"/>
      <c r="S15" s="34"/>
      <c r="T15" s="33"/>
      <c r="U15" s="33"/>
      <c r="V15" s="35"/>
    </row>
    <row r="16" spans="1:25" x14ac:dyDescent="0.3">
      <c r="A16" s="26" t="s">
        <v>31</v>
      </c>
      <c r="B16" s="31">
        <v>82053.448630315048</v>
      </c>
      <c r="C16" s="27">
        <f>VLOOKUP(Profitability_Sample[[#This Row],[BP name]],payouts_table_AMD!$B$1:$E$52,3,)</f>
        <v>7</v>
      </c>
      <c r="D16" s="30">
        <f>VLOOKUP(Profitability_Sample[[#This Row],[BP name]],payouts_table_AMD!$B$1:$E$52,4,)</f>
        <v>2739.4285714285716</v>
      </c>
      <c r="E16" s="29">
        <f>Profitability_Sample[[#This Row],[per kg rate]]*Profitability_Sample[[#This Row],[kg delivered]]</f>
        <v>19176</v>
      </c>
      <c r="F16" s="29">
        <f>VLOOKUP(Profitability_Sample[[#This Row],[BP name]],Payout!$B$1:$F$510,5,FALSE)</f>
        <v>5958.8762529929299</v>
      </c>
      <c r="G16" s="29">
        <f>Profitability_Sample[[#This Row],[payout]]-Profitability_Sample[[#This Row],[budget]]</f>
        <v>13217.12374700707</v>
      </c>
      <c r="H16" s="28">
        <f>Profitability_Sample[[#This Row],[difference]]/Profitability_Sample[[#This Row],[budget]]</f>
        <v>2.2180564230325444</v>
      </c>
      <c r="I16" s="29">
        <f>Profitability_Sample[[#This Row],[payout]]-Profitability_Sample[[#This Row],[Total cost]]</f>
        <v>-62877.448630315048</v>
      </c>
      <c r="J16" s="28">
        <f>Profitability_Sample[[#This Row],[profit]]/Profitability_Sample[[#This Row],[payout]]</f>
        <v>-3.2789658234415442</v>
      </c>
      <c r="K16" s="27">
        <f>Profitability_Sample[[#This Row],[Total cost]]/Profitability_Sample[[#This Row],[kg delivered]]</f>
        <v>29.952760764090808</v>
      </c>
      <c r="L16" s="26" t="str">
        <f>IF(Profitability_Sample[[#This Row],[difference %]]&gt; 0, "Overpaid", "Under Budget")</f>
        <v>Overpaid</v>
      </c>
      <c r="M16" s="26" t="str">
        <f>IF(Profitability_Sample[[#This Row],[profit margin]]&lt;0,"In Loss", "Profitable")</f>
        <v>In Loss</v>
      </c>
      <c r="R16" s="33"/>
      <c r="S16" s="34"/>
      <c r="T16" s="33"/>
      <c r="U16" s="33"/>
      <c r="V16" s="33"/>
    </row>
    <row r="17" spans="1:22" x14ac:dyDescent="0.3">
      <c r="A17" s="26" t="s">
        <v>32</v>
      </c>
      <c r="B17" s="31">
        <v>110486.0952449482</v>
      </c>
      <c r="C17" s="27">
        <f>VLOOKUP(Profitability_Sample[[#This Row],[BP name]],payouts_table_AMD!$B$1:$E$52,3,)</f>
        <v>5</v>
      </c>
      <c r="D17" s="30">
        <f>VLOOKUP(Profitability_Sample[[#This Row],[BP name]],payouts_table_AMD!$B$1:$E$52,4,)</f>
        <v>30367.4</v>
      </c>
      <c r="E17" s="29">
        <f>Profitability_Sample[[#This Row],[per kg rate]]*Profitability_Sample[[#This Row],[kg delivered]]</f>
        <v>151837</v>
      </c>
      <c r="F17" s="29">
        <f>VLOOKUP(Profitability_Sample[[#This Row],[BP name]],Payout!$B$1:$F$510,5,FALSE)</f>
        <v>32793.876250880952</v>
      </c>
      <c r="G17" s="29">
        <f>Profitability_Sample[[#This Row],[payout]]-Profitability_Sample[[#This Row],[budget]]</f>
        <v>119043.12374911905</v>
      </c>
      <c r="H17" s="28">
        <f>Profitability_Sample[[#This Row],[difference]]/Profitability_Sample[[#This Row],[budget]]</f>
        <v>3.6300412564349163</v>
      </c>
      <c r="I17" s="29">
        <f>Profitability_Sample[[#This Row],[payout]]-Profitability_Sample[[#This Row],[Total cost]]</f>
        <v>41350.904755051801</v>
      </c>
      <c r="J17" s="28">
        <f>Profitability_Sample[[#This Row],[profit]]/Profitability_Sample[[#This Row],[payout]]</f>
        <v>0.27233747212505383</v>
      </c>
      <c r="K17" s="27">
        <f>Profitability_Sample[[#This Row],[Total cost]]/Profitability_Sample[[#This Row],[kg delivered]]</f>
        <v>3.6383126393747305</v>
      </c>
      <c r="L17" s="26" t="str">
        <f>IF(Profitability_Sample[[#This Row],[difference %]]&gt; 0, "Overpaid", "Under Budget")</f>
        <v>Overpaid</v>
      </c>
      <c r="M17" s="26" t="str">
        <f>IF(Profitability_Sample[[#This Row],[profit margin]]&lt;0,"In Loss", "Profitable")</f>
        <v>Profitable</v>
      </c>
      <c r="R17" s="33"/>
      <c r="S17" s="34"/>
      <c r="T17" s="33"/>
      <c r="U17" s="33"/>
      <c r="V17" s="33"/>
    </row>
    <row r="18" spans="1:22" x14ac:dyDescent="0.3">
      <c r="A18" s="26" t="s">
        <v>33</v>
      </c>
      <c r="B18" s="31">
        <v>106882.56690538794</v>
      </c>
      <c r="C18" s="27">
        <f>VLOOKUP(Profitability_Sample[[#This Row],[BP name]],payouts_table_AMD!$B$1:$E$52,3,)</f>
        <v>5</v>
      </c>
      <c r="D18" s="30">
        <f>VLOOKUP(Profitability_Sample[[#This Row],[BP name]],payouts_table_AMD!$B$1:$E$52,4,)</f>
        <v>8948.2000000000007</v>
      </c>
      <c r="E18" s="29">
        <f>Profitability_Sample[[#This Row],[per kg rate]]*Profitability_Sample[[#This Row],[kg delivered]]</f>
        <v>44741</v>
      </c>
      <c r="F18" s="29">
        <f>VLOOKUP(Profitability_Sample[[#This Row],[BP name]],Payout!$B$1:$F$510,5,FALSE)</f>
        <v>7103.2057058461787</v>
      </c>
      <c r="G18" s="29">
        <f>Profitability_Sample[[#This Row],[payout]]-Profitability_Sample[[#This Row],[budget]]</f>
        <v>37637.79429415382</v>
      </c>
      <c r="H18" s="28">
        <f>Profitability_Sample[[#This Row],[difference]]/Profitability_Sample[[#This Row],[budget]]</f>
        <v>5.2987053807517697</v>
      </c>
      <c r="I18" s="29">
        <f>Profitability_Sample[[#This Row],[payout]]-Profitability_Sample[[#This Row],[Total cost]]</f>
        <v>-62141.566905387939</v>
      </c>
      <c r="J18" s="28">
        <f>Profitability_Sample[[#This Row],[profit]]/Profitability_Sample[[#This Row],[payout]]</f>
        <v>-1.3889177020046028</v>
      </c>
      <c r="K18" s="27">
        <f>Profitability_Sample[[#This Row],[Total cost]]/Profitability_Sample[[#This Row],[kg delivered]]</f>
        <v>11.944588510023014</v>
      </c>
      <c r="L18" s="26" t="str">
        <f>IF(Profitability_Sample[[#This Row],[difference %]]&gt; 0, "Overpaid", "Under Budget")</f>
        <v>Overpaid</v>
      </c>
      <c r="M18" s="26" t="str">
        <f>IF(Profitability_Sample[[#This Row],[profit margin]]&lt;0,"In Loss", "Profitable")</f>
        <v>In Loss</v>
      </c>
      <c r="R18" s="33"/>
      <c r="S18" s="34"/>
      <c r="T18" s="33"/>
      <c r="U18" s="33"/>
      <c r="V18" s="33"/>
    </row>
    <row r="19" spans="1:22" x14ac:dyDescent="0.3">
      <c r="A19" s="26" t="s">
        <v>35</v>
      </c>
      <c r="B19" s="31">
        <v>145232.87277043145</v>
      </c>
      <c r="C19" s="27">
        <f>VLOOKUP(Profitability_Sample[[#This Row],[BP name]],payouts_table_AMD!$B$1:$E$52,3,)</f>
        <v>4</v>
      </c>
      <c r="D19" s="30">
        <f>VLOOKUP(Profitability_Sample[[#This Row],[BP name]],payouts_table_AMD!$B$1:$E$52,4,)</f>
        <v>66343</v>
      </c>
      <c r="E19" s="29">
        <f>Profitability_Sample[[#This Row],[per kg rate]]*Profitability_Sample[[#This Row],[kg delivered]]</f>
        <v>265372</v>
      </c>
      <c r="F19" s="29">
        <f>VLOOKUP(Profitability_Sample[[#This Row],[BP name]],Payout!$B$1:$F$510,5,FALSE)</f>
        <v>171703.4978070069</v>
      </c>
      <c r="G19" s="29">
        <f>Profitability_Sample[[#This Row],[payout]]-Profitability_Sample[[#This Row],[budget]]</f>
        <v>93668.502192993095</v>
      </c>
      <c r="H19" s="28">
        <f>Profitability_Sample[[#This Row],[difference]]/Profitability_Sample[[#This Row],[budget]]</f>
        <v>0.54552471783816303</v>
      </c>
      <c r="I19" s="29">
        <f>Profitability_Sample[[#This Row],[payout]]-Profitability_Sample[[#This Row],[Total cost]]</f>
        <v>120139.12722956855</v>
      </c>
      <c r="J19" s="28">
        <f>Profitability_Sample[[#This Row],[profit]]/Profitability_Sample[[#This Row],[payout]]</f>
        <v>0.4527196811629281</v>
      </c>
      <c r="K19" s="27">
        <f>Profitability_Sample[[#This Row],[Total cost]]/Profitability_Sample[[#This Row],[kg delivered]]</f>
        <v>2.1891212753482878</v>
      </c>
      <c r="L19" s="26" t="str">
        <f>IF(Profitability_Sample[[#This Row],[difference %]]&gt; 0, "Overpaid", "Under Budget")</f>
        <v>Overpaid</v>
      </c>
      <c r="M19" s="26" t="str">
        <f>IF(Profitability_Sample[[#This Row],[profit margin]]&lt;0,"In Loss", "Profitable")</f>
        <v>Profitable</v>
      </c>
      <c r="R19" s="33"/>
      <c r="S19" s="33"/>
      <c r="T19" s="33"/>
      <c r="U19" s="33"/>
      <c r="V19" s="33"/>
    </row>
    <row r="20" spans="1:22" x14ac:dyDescent="0.3">
      <c r="A20" s="26" t="s">
        <v>38</v>
      </c>
      <c r="B20" s="31">
        <v>72535.252052086318</v>
      </c>
      <c r="C20" s="27">
        <f>VLOOKUP(Profitability_Sample[[#This Row],[BP name]],payouts_table_AMD!$B$1:$E$52,3,)</f>
        <v>7</v>
      </c>
      <c r="D20" s="30">
        <f>VLOOKUP(Profitability_Sample[[#This Row],[BP name]],payouts_table_AMD!$B$1:$E$52,4,)</f>
        <v>11221.857142857143</v>
      </c>
      <c r="E20" s="29">
        <f>Profitability_Sample[[#This Row],[per kg rate]]*Profitability_Sample[[#This Row],[kg delivered]]</f>
        <v>78553</v>
      </c>
      <c r="F20" s="29">
        <f>VLOOKUP(Profitability_Sample[[#This Row],[BP name]],Payout!$B$1:$F$510,5,FALSE)</f>
        <v>11737.89370301184</v>
      </c>
      <c r="G20" s="29">
        <f>Profitability_Sample[[#This Row],[payout]]-Profitability_Sample[[#This Row],[budget]]</f>
        <v>66815.10629698816</v>
      </c>
      <c r="H20" s="28">
        <f>Profitability_Sample[[#This Row],[difference]]/Profitability_Sample[[#This Row],[budget]]</f>
        <v>5.6922568893126027</v>
      </c>
      <c r="I20" s="29">
        <f>Profitability_Sample[[#This Row],[payout]]-Profitability_Sample[[#This Row],[Total cost]]</f>
        <v>6017.7479479136819</v>
      </c>
      <c r="J20" s="28">
        <f>Profitability_Sample[[#This Row],[profit]]/Profitability_Sample[[#This Row],[payout]]</f>
        <v>7.6607487275007727E-2</v>
      </c>
      <c r="K20" s="27">
        <f>Profitability_Sample[[#This Row],[Total cost]]/Profitability_Sample[[#This Row],[kg delivered]]</f>
        <v>6.4637475890749458</v>
      </c>
      <c r="L20" s="26" t="str">
        <f>IF(Profitability_Sample[[#This Row],[difference %]]&gt; 0, "Overpaid", "Under Budget")</f>
        <v>Overpaid</v>
      </c>
      <c r="M20" s="26" t="str">
        <f>IF(Profitability_Sample[[#This Row],[profit margin]]&lt;0,"In Loss", "Profitable")</f>
        <v>Profitable</v>
      </c>
    </row>
    <row r="21" spans="1:22" x14ac:dyDescent="0.3">
      <c r="A21" s="26" t="s">
        <v>39</v>
      </c>
      <c r="B21" s="31">
        <v>228212.64093712968</v>
      </c>
      <c r="C21" s="27">
        <f>VLOOKUP(Profitability_Sample[[#This Row],[BP name]],payouts_table_AMD!$B$1:$E$52,3,)</f>
        <v>5</v>
      </c>
      <c r="D21" s="30">
        <f>VLOOKUP(Profitability_Sample[[#This Row],[BP name]],payouts_table_AMD!$B$1:$E$52,4,)</f>
        <v>37402.800000000003</v>
      </c>
      <c r="E21" s="29">
        <f>Profitability_Sample[[#This Row],[per kg rate]]*Profitability_Sample[[#This Row],[kg delivered]]</f>
        <v>187014</v>
      </c>
      <c r="F21" s="29">
        <f>VLOOKUP(Profitability_Sample[[#This Row],[BP name]],Payout!$B$1:$F$510,5,FALSE)</f>
        <v>92225.256194979564</v>
      </c>
      <c r="G21" s="29">
        <f>Profitability_Sample[[#This Row],[payout]]-Profitability_Sample[[#This Row],[budget]]</f>
        <v>94788.743805020436</v>
      </c>
      <c r="H21" s="28">
        <f>Profitability_Sample[[#This Row],[difference]]/Profitability_Sample[[#This Row],[budget]]</f>
        <v>1.0277959391581546</v>
      </c>
      <c r="I21" s="29">
        <f>Profitability_Sample[[#This Row],[payout]]-Profitability_Sample[[#This Row],[Total cost]]</f>
        <v>-41198.640937129676</v>
      </c>
      <c r="J21" s="28">
        <f>Profitability_Sample[[#This Row],[profit]]/Profitability_Sample[[#This Row],[payout]]</f>
        <v>-0.22029709506844233</v>
      </c>
      <c r="K21" s="27">
        <f>Profitability_Sample[[#This Row],[Total cost]]/Profitability_Sample[[#This Row],[kg delivered]]</f>
        <v>6.1014854753422112</v>
      </c>
      <c r="L21" s="26" t="str">
        <f>IF(Profitability_Sample[[#This Row],[difference %]]&gt; 0, "Overpaid", "Under Budget")</f>
        <v>Overpaid</v>
      </c>
      <c r="M21" s="26" t="str">
        <f>IF(Profitability_Sample[[#This Row],[profit margin]]&lt;0,"In Loss", "Profitable")</f>
        <v>In Loss</v>
      </c>
    </row>
    <row r="22" spans="1:22" x14ac:dyDescent="0.3">
      <c r="A22" s="26" t="s">
        <v>41</v>
      </c>
      <c r="B22" s="31">
        <v>143895.37927733135</v>
      </c>
      <c r="C22" s="27">
        <f>VLOOKUP(Profitability_Sample[[#This Row],[BP name]],payouts_table_AMD!$B$1:$E$52,3,)</f>
        <v>10</v>
      </c>
      <c r="D22" s="30">
        <f>VLOOKUP(Profitability_Sample[[#This Row],[BP name]],payouts_table_AMD!$B$1:$E$52,4,)</f>
        <v>17853.400000000001</v>
      </c>
      <c r="E22" s="29">
        <f>Profitability_Sample[[#This Row],[per kg rate]]*Profitability_Sample[[#This Row],[kg delivered]]</f>
        <v>178534</v>
      </c>
      <c r="F22" s="29">
        <f>VLOOKUP(Profitability_Sample[[#This Row],[BP name]],Payout!$B$1:$F$510,5,FALSE)</f>
        <v>79369.259316286232</v>
      </c>
      <c r="G22" s="29">
        <f>Profitability_Sample[[#This Row],[payout]]-Profitability_Sample[[#This Row],[budget]]</f>
        <v>99164.740683713768</v>
      </c>
      <c r="H22" s="28">
        <f>Profitability_Sample[[#This Row],[difference]]/Profitability_Sample[[#This Row],[budget]]</f>
        <v>1.2494099294607577</v>
      </c>
      <c r="I22" s="29">
        <f>Profitability_Sample[[#This Row],[payout]]-Profitability_Sample[[#This Row],[Total cost]]</f>
        <v>34638.620722668653</v>
      </c>
      <c r="J22" s="28">
        <f>Profitability_Sample[[#This Row],[profit]]/Profitability_Sample[[#This Row],[payout]]</f>
        <v>0.19401694199798725</v>
      </c>
      <c r="K22" s="27">
        <f>Profitability_Sample[[#This Row],[Total cost]]/Profitability_Sample[[#This Row],[kg delivered]]</f>
        <v>8.0598305800201278</v>
      </c>
      <c r="L22" s="26" t="str">
        <f>IF(Profitability_Sample[[#This Row],[difference %]]&gt; 0, "Overpaid", "Under Budget")</f>
        <v>Overpaid</v>
      </c>
      <c r="M22" s="26" t="str">
        <f>IF(Profitability_Sample[[#This Row],[profit margin]]&lt;0,"In Loss", "Profitable")</f>
        <v>Profitable</v>
      </c>
    </row>
    <row r="23" spans="1:22" x14ac:dyDescent="0.3">
      <c r="A23" s="26" t="s">
        <v>44</v>
      </c>
      <c r="B23" s="31">
        <v>72877.954733737948</v>
      </c>
      <c r="C23" s="27">
        <f>VLOOKUP(Profitability_Sample[[#This Row],[BP name]],payouts_table_AMD!$B$1:$E$52,3,)</f>
        <v>5</v>
      </c>
      <c r="D23" s="30">
        <f>VLOOKUP(Profitability_Sample[[#This Row],[BP name]],payouts_table_AMD!$B$1:$E$52,4,)</f>
        <v>30552.2</v>
      </c>
      <c r="E23" s="29">
        <f>Profitability_Sample[[#This Row],[per kg rate]]*Profitability_Sample[[#This Row],[kg delivered]]</f>
        <v>152761</v>
      </c>
      <c r="F23" s="29">
        <f>VLOOKUP(Profitability_Sample[[#This Row],[BP name]],Payout!$B$1:$F$510,5,FALSE)</f>
        <v>86832.960867592148</v>
      </c>
      <c r="G23" s="29">
        <f>Profitability_Sample[[#This Row],[payout]]-Profitability_Sample[[#This Row],[budget]]</f>
        <v>65928.039132407852</v>
      </c>
      <c r="H23" s="28">
        <f>Profitability_Sample[[#This Row],[difference]]/Profitability_Sample[[#This Row],[budget]]</f>
        <v>0.75925130818628528</v>
      </c>
      <c r="I23" s="29">
        <f>Profitability_Sample[[#This Row],[payout]]-Profitability_Sample[[#This Row],[Total cost]]</f>
        <v>79883.045266262052</v>
      </c>
      <c r="J23" s="28">
        <f>Profitability_Sample[[#This Row],[profit]]/Profitability_Sample[[#This Row],[payout]]</f>
        <v>0.52292826877450427</v>
      </c>
      <c r="K23" s="27">
        <f>Profitability_Sample[[#This Row],[Total cost]]/Profitability_Sample[[#This Row],[kg delivered]]</f>
        <v>2.3853586561274782</v>
      </c>
      <c r="L23" s="26" t="str">
        <f>IF(Profitability_Sample[[#This Row],[difference %]]&gt; 0, "Overpaid", "Under Budget")</f>
        <v>Overpaid</v>
      </c>
      <c r="M23" s="26" t="str">
        <f>IF(Profitability_Sample[[#This Row],[profit margin]]&lt;0,"In Loss", "Profitable")</f>
        <v>Profitable</v>
      </c>
      <c r="S23" s="32"/>
    </row>
    <row r="24" spans="1:22" x14ac:dyDescent="0.3">
      <c r="A24" s="26" t="s">
        <v>45</v>
      </c>
      <c r="B24" s="31">
        <v>69214.494049405592</v>
      </c>
      <c r="C24" s="27">
        <f>VLOOKUP(Profitability_Sample[[#This Row],[BP name]],payouts_table_AMD!$B$1:$E$52,3,)</f>
        <v>4</v>
      </c>
      <c r="D24" s="30">
        <f>VLOOKUP(Profitability_Sample[[#This Row],[BP name]],payouts_table_AMD!$B$1:$E$52,4,)</f>
        <v>15837.5</v>
      </c>
      <c r="E24" s="29">
        <f>Profitability_Sample[[#This Row],[per kg rate]]*Profitability_Sample[[#This Row],[kg delivered]]</f>
        <v>63350</v>
      </c>
      <c r="F24" s="29">
        <f>VLOOKUP(Profitability_Sample[[#This Row],[BP name]],Payout!$B$1:$F$510,5,FALSE)</f>
        <v>23340.920231854023</v>
      </c>
      <c r="G24" s="29">
        <f>Profitability_Sample[[#This Row],[payout]]-Profitability_Sample[[#This Row],[budget]]</f>
        <v>40009.079768145981</v>
      </c>
      <c r="H24" s="28">
        <f>Profitability_Sample[[#This Row],[difference]]/Profitability_Sample[[#This Row],[budget]]</f>
        <v>1.7141174971132647</v>
      </c>
      <c r="I24" s="29">
        <f>Profitability_Sample[[#This Row],[payout]]-Profitability_Sample[[#This Row],[Total cost]]</f>
        <v>-5864.4940494055918</v>
      </c>
      <c r="J24" s="28">
        <f>Profitability_Sample[[#This Row],[profit]]/Profitability_Sample[[#This Row],[payout]]</f>
        <v>-9.2572913171358989E-2</v>
      </c>
      <c r="K24" s="27">
        <f>Profitability_Sample[[#This Row],[Total cost]]/Profitability_Sample[[#This Row],[kg delivered]]</f>
        <v>4.3702916526854363</v>
      </c>
      <c r="L24" s="26" t="str">
        <f>IF(Profitability_Sample[[#This Row],[difference %]]&gt; 0, "Overpaid", "Under Budget")</f>
        <v>Overpaid</v>
      </c>
      <c r="M24" s="26" t="str">
        <f>IF(Profitability_Sample[[#This Row],[profit margin]]&lt;0,"In Loss", "Profitable")</f>
        <v>In Loss</v>
      </c>
    </row>
    <row r="25" spans="1:22" x14ac:dyDescent="0.3">
      <c r="A25" s="26" t="s">
        <v>46</v>
      </c>
      <c r="B25" s="31">
        <v>158482.11879816838</v>
      </c>
      <c r="C25" s="27">
        <f>VLOOKUP(Profitability_Sample[[#This Row],[BP name]],payouts_table_AMD!$B$1:$E$52,3,)</f>
        <v>5</v>
      </c>
      <c r="D25" s="30">
        <f>VLOOKUP(Profitability_Sample[[#This Row],[BP name]],payouts_table_AMD!$B$1:$E$52,4,)</f>
        <v>15057.4</v>
      </c>
      <c r="E25" s="29">
        <f>Profitability_Sample[[#This Row],[per kg rate]]*Profitability_Sample[[#This Row],[kg delivered]]</f>
        <v>75287</v>
      </c>
      <c r="F25" s="29">
        <f>VLOOKUP(Profitability_Sample[[#This Row],[BP name]],Payout!$B$1:$F$510,5,FALSE)</f>
        <v>32247.584676247403</v>
      </c>
      <c r="G25" s="29">
        <f>Profitability_Sample[[#This Row],[payout]]-Profitability_Sample[[#This Row],[budget]]</f>
        <v>43039.415323752597</v>
      </c>
      <c r="H25" s="28">
        <f>Profitability_Sample[[#This Row],[difference]]/Profitability_Sample[[#This Row],[budget]]</f>
        <v>1.3346554712810517</v>
      </c>
      <c r="I25" s="29">
        <f>Profitability_Sample[[#This Row],[payout]]-Profitability_Sample[[#This Row],[Total cost]]</f>
        <v>-83195.118798168376</v>
      </c>
      <c r="J25" s="28">
        <f>Profitability_Sample[[#This Row],[profit]]/Profitability_Sample[[#This Row],[payout]]</f>
        <v>-1.1050396323159162</v>
      </c>
      <c r="K25" s="27">
        <f>Profitability_Sample[[#This Row],[Total cost]]/Profitability_Sample[[#This Row],[kg delivered]]</f>
        <v>10.525198161579581</v>
      </c>
      <c r="L25" s="26" t="str">
        <f>IF(Profitability_Sample[[#This Row],[difference %]]&gt; 0, "Overpaid", "Under Budget")</f>
        <v>Overpaid</v>
      </c>
      <c r="M25" s="26" t="str">
        <f>IF(Profitability_Sample[[#This Row],[profit margin]]&lt;0,"In Loss", "Profitable")</f>
        <v>In Loss</v>
      </c>
      <c r="S25" s="32"/>
    </row>
    <row r="26" spans="1:22" x14ac:dyDescent="0.3">
      <c r="A26" s="26" t="s">
        <v>48</v>
      </c>
      <c r="B26" s="31">
        <v>68356.054875376125</v>
      </c>
      <c r="C26" s="27">
        <f>VLOOKUP(Profitability_Sample[[#This Row],[BP name]],payouts_table_AMD!$B$1:$E$52,3,)</f>
        <v>5</v>
      </c>
      <c r="D26" s="30">
        <f>VLOOKUP(Profitability_Sample[[#This Row],[BP name]],payouts_table_AMD!$B$1:$E$52,4,)</f>
        <v>5699.6</v>
      </c>
      <c r="E26" s="29">
        <f>Profitability_Sample[[#This Row],[per kg rate]]*Profitability_Sample[[#This Row],[kg delivered]]</f>
        <v>28498</v>
      </c>
      <c r="F26" s="29">
        <f>VLOOKUP(Profitability_Sample[[#This Row],[BP name]],Payout!$B$1:$F$510,5,FALSE)</f>
        <v>26302.187589666148</v>
      </c>
      <c r="G26" s="29">
        <f>Profitability_Sample[[#This Row],[payout]]-Profitability_Sample[[#This Row],[budget]]</f>
        <v>2195.8124103338523</v>
      </c>
      <c r="H26" s="28">
        <f>Profitability_Sample[[#This Row],[difference]]/Profitability_Sample[[#This Row],[budget]]</f>
        <v>8.348402211215937E-2</v>
      </c>
      <c r="I26" s="29">
        <f>Profitability_Sample[[#This Row],[payout]]-Profitability_Sample[[#This Row],[Total cost]]</f>
        <v>-39858.054875376125</v>
      </c>
      <c r="J26" s="28">
        <f>Profitability_Sample[[#This Row],[profit]]/Profitability_Sample[[#This Row],[payout]]</f>
        <v>-1.3986263904616507</v>
      </c>
      <c r="K26" s="27">
        <f>Profitability_Sample[[#This Row],[Total cost]]/Profitability_Sample[[#This Row],[kg delivered]]</f>
        <v>11.993131952308254</v>
      </c>
      <c r="L26" s="26" t="str">
        <f>IF(Profitability_Sample[[#This Row],[difference %]]&gt; 0, "Overpaid", "Under Budget")</f>
        <v>Overpaid</v>
      </c>
      <c r="M26" s="26" t="str">
        <f>IF(Profitability_Sample[[#This Row],[profit margin]]&lt;0,"In Loss", "Profitable")</f>
        <v>In Loss</v>
      </c>
      <c r="S26" s="32"/>
    </row>
    <row r="27" spans="1:22" x14ac:dyDescent="0.3">
      <c r="A27" s="26" t="s">
        <v>49</v>
      </c>
      <c r="B27" s="31">
        <v>99147.792084913439</v>
      </c>
      <c r="C27" s="27">
        <f>VLOOKUP(Profitability_Sample[[#This Row],[BP name]],payouts_table_AMD!$B$1:$E$52,3,)</f>
        <v>5</v>
      </c>
      <c r="D27" s="30">
        <f>VLOOKUP(Profitability_Sample[[#This Row],[BP name]],payouts_table_AMD!$B$1:$E$52,4,)</f>
        <v>4544.8</v>
      </c>
      <c r="E27" s="29">
        <f>Profitability_Sample[[#This Row],[per kg rate]]*Profitability_Sample[[#This Row],[kg delivered]]</f>
        <v>22724</v>
      </c>
      <c r="F27" s="29">
        <f>VLOOKUP(Profitability_Sample[[#This Row],[BP name]],Payout!$B$1:$F$510,5,FALSE)</f>
        <v>4466.0790200396841</v>
      </c>
      <c r="G27" s="29">
        <f>Profitability_Sample[[#This Row],[payout]]-Profitability_Sample[[#This Row],[budget]]</f>
        <v>18257.920979960316</v>
      </c>
      <c r="H27" s="28">
        <f>Profitability_Sample[[#This Row],[difference]]/Profitability_Sample[[#This Row],[budget]]</f>
        <v>4.088132094849966</v>
      </c>
      <c r="I27" s="29">
        <f>Profitability_Sample[[#This Row],[payout]]-Profitability_Sample[[#This Row],[Total cost]]</f>
        <v>-76423.792084913439</v>
      </c>
      <c r="J27" s="28">
        <f>Profitability_Sample[[#This Row],[profit]]/Profitability_Sample[[#This Row],[payout]]</f>
        <v>-3.3631311426207287</v>
      </c>
      <c r="K27" s="27">
        <f>Profitability_Sample[[#This Row],[Total cost]]/Profitability_Sample[[#This Row],[kg delivered]]</f>
        <v>21.815655713103641</v>
      </c>
      <c r="L27" s="26" t="str">
        <f>IF(Profitability_Sample[[#This Row],[difference %]]&gt; 0, "Overpaid", "Under Budget")</f>
        <v>Overpaid</v>
      </c>
      <c r="M27" s="26" t="str">
        <f>IF(Profitability_Sample[[#This Row],[profit margin]]&lt;0,"In Loss", "Profitable")</f>
        <v>In Loss</v>
      </c>
    </row>
    <row r="28" spans="1:22" x14ac:dyDescent="0.3">
      <c r="A28" s="26" t="s">
        <v>50</v>
      </c>
      <c r="B28" s="31">
        <v>82591.180462160468</v>
      </c>
      <c r="C28" s="27">
        <f>VLOOKUP(Profitability_Sample[[#This Row],[BP name]],payouts_table_AMD!$B$1:$E$52,3,)</f>
        <v>19</v>
      </c>
      <c r="D28" s="30">
        <f>VLOOKUP(Profitability_Sample[[#This Row],[BP name]],payouts_table_AMD!$B$1:$E$52,4,)</f>
        <v>1351.2631578947369</v>
      </c>
      <c r="E28" s="29">
        <f>Profitability_Sample[[#This Row],[per kg rate]]*Profitability_Sample[[#This Row],[kg delivered]]</f>
        <v>25674</v>
      </c>
      <c r="F28" s="29">
        <f>VLOOKUP(Profitability_Sample[[#This Row],[BP name]],Payout!$B$1:$F$510,5,FALSE)</f>
        <v>4075.4628127403316</v>
      </c>
      <c r="G28" s="29">
        <f>Profitability_Sample[[#This Row],[payout]]-Profitability_Sample[[#This Row],[budget]]</f>
        <v>21598.53718725967</v>
      </c>
      <c r="H28" s="28">
        <f>Profitability_Sample[[#This Row],[difference]]/Profitability_Sample[[#This Row],[budget]]</f>
        <v>5.2996526234371073</v>
      </c>
      <c r="I28" s="29">
        <f>Profitability_Sample[[#This Row],[payout]]-Profitability_Sample[[#This Row],[Total cost]]</f>
        <v>-56917.180462160468</v>
      </c>
      <c r="J28" s="28">
        <f>Profitability_Sample[[#This Row],[profit]]/Profitability_Sample[[#This Row],[payout]]</f>
        <v>-2.216919080087266</v>
      </c>
      <c r="K28" s="27">
        <f>Profitability_Sample[[#This Row],[Total cost]]/Profitability_Sample[[#This Row],[kg delivered]]</f>
        <v>61.121462521658053</v>
      </c>
      <c r="L28" s="26" t="str">
        <f>IF(Profitability_Sample[[#This Row],[difference %]]&gt; 0, "Overpaid", "Under Budget")</f>
        <v>Overpaid</v>
      </c>
      <c r="M28" s="26" t="str">
        <f>IF(Profitability_Sample[[#This Row],[profit margin]]&lt;0,"In Loss", "Profitable")</f>
        <v>In Loss</v>
      </c>
    </row>
    <row r="29" spans="1:22" x14ac:dyDescent="0.3">
      <c r="A29" s="26" t="s">
        <v>51</v>
      </c>
      <c r="B29" s="31">
        <v>77359.168054586597</v>
      </c>
      <c r="C29" s="27">
        <f>VLOOKUP(Profitability_Sample[[#This Row],[BP name]],payouts_table_AMD!$B$1:$E$52,3,)</f>
        <v>9</v>
      </c>
      <c r="D29" s="30">
        <f>VLOOKUP(Profitability_Sample[[#This Row],[BP name]],payouts_table_AMD!$B$1:$E$52,4,)</f>
        <v>9502.6666666666661</v>
      </c>
      <c r="E29" s="29">
        <f>Profitability_Sample[[#This Row],[per kg rate]]*Profitability_Sample[[#This Row],[kg delivered]]</f>
        <v>85524</v>
      </c>
      <c r="F29" s="29">
        <f>VLOOKUP(Profitability_Sample[[#This Row],[BP name]],Payout!$B$1:$F$510,5,FALSE)</f>
        <v>57868.480364122479</v>
      </c>
      <c r="G29" s="29">
        <f>Profitability_Sample[[#This Row],[payout]]-Profitability_Sample[[#This Row],[budget]]</f>
        <v>27655.519635877521</v>
      </c>
      <c r="H29" s="28">
        <f>Profitability_Sample[[#This Row],[difference]]/Profitability_Sample[[#This Row],[budget]]</f>
        <v>0.47790298728880215</v>
      </c>
      <c r="I29" s="29">
        <f>Profitability_Sample[[#This Row],[payout]]-Profitability_Sample[[#This Row],[Total cost]]</f>
        <v>8164.8319454134034</v>
      </c>
      <c r="J29" s="28">
        <f>Profitability_Sample[[#This Row],[profit]]/Profitability_Sample[[#This Row],[payout]]</f>
        <v>9.5468312349906506E-2</v>
      </c>
      <c r="K29" s="27">
        <f>Profitability_Sample[[#This Row],[Total cost]]/Profitability_Sample[[#This Row],[kg delivered]]</f>
        <v>8.1407851888508418</v>
      </c>
      <c r="L29" s="26" t="str">
        <f>IF(Profitability_Sample[[#This Row],[difference %]]&gt; 0, "Overpaid", "Under Budget")</f>
        <v>Overpaid</v>
      </c>
      <c r="M29" s="26" t="str">
        <f>IF(Profitability_Sample[[#This Row],[profit margin]]&lt;0,"In Loss", "Profitable")</f>
        <v>Profitable</v>
      </c>
    </row>
    <row r="30" spans="1:22" x14ac:dyDescent="0.3">
      <c r="A30" s="26" t="s">
        <v>52</v>
      </c>
      <c r="B30" s="31">
        <v>110486.0952449482</v>
      </c>
      <c r="C30" s="27">
        <f>VLOOKUP(Profitability_Sample[[#This Row],[BP name]],payouts_table_AMD!$B$1:$E$52,3,)</f>
        <v>5</v>
      </c>
      <c r="D30" s="30">
        <f>VLOOKUP(Profitability_Sample[[#This Row],[BP name]],payouts_table_AMD!$B$1:$E$52,4,)</f>
        <v>25992</v>
      </c>
      <c r="E30" s="29">
        <f>Profitability_Sample[[#This Row],[per kg rate]]*Profitability_Sample[[#This Row],[kg delivered]]</f>
        <v>129960</v>
      </c>
      <c r="F30" s="29">
        <f>VLOOKUP(Profitability_Sample[[#This Row],[BP name]],Payout!$B$1:$F$510,5,FALSE)</f>
        <v>75155.343453675232</v>
      </c>
      <c r="G30" s="29">
        <f>Profitability_Sample[[#This Row],[payout]]-Profitability_Sample[[#This Row],[budget]]</f>
        <v>54804.656546324768</v>
      </c>
      <c r="H30" s="28">
        <f>Profitability_Sample[[#This Row],[difference]]/Profitability_Sample[[#This Row],[budget]]</f>
        <v>0.72921836329715717</v>
      </c>
      <c r="I30" s="29">
        <f>Profitability_Sample[[#This Row],[payout]]-Profitability_Sample[[#This Row],[Total cost]]</f>
        <v>19473.904755051801</v>
      </c>
      <c r="J30" s="28">
        <f>Profitability_Sample[[#This Row],[profit]]/Profitability_Sample[[#This Row],[payout]]</f>
        <v>0.14984537361535705</v>
      </c>
      <c r="K30" s="27">
        <f>Profitability_Sample[[#This Row],[Total cost]]/Profitability_Sample[[#This Row],[kg delivered]]</f>
        <v>4.2507731319232152</v>
      </c>
      <c r="L30" s="26" t="str">
        <f>IF(Profitability_Sample[[#This Row],[difference %]]&gt; 0, "Overpaid", "Under Budget")</f>
        <v>Overpaid</v>
      </c>
      <c r="M30" s="26" t="str">
        <f>IF(Profitability_Sample[[#This Row],[profit margin]]&lt;0,"In Loss", "Profitable")</f>
        <v>Profitable</v>
      </c>
    </row>
    <row r="31" spans="1:22" x14ac:dyDescent="0.3">
      <c r="A31" s="26" t="s">
        <v>53</v>
      </c>
      <c r="B31" s="31">
        <v>68356.054875376125</v>
      </c>
      <c r="C31" s="27">
        <f>VLOOKUP(Profitability_Sample[[#This Row],[BP name]],payouts_table_AMD!$B$1:$E$52,3,)</f>
        <v>5</v>
      </c>
      <c r="D31" s="30">
        <f>VLOOKUP(Profitability_Sample[[#This Row],[BP name]],payouts_table_AMD!$B$1:$E$52,4,)</f>
        <v>4279.8</v>
      </c>
      <c r="E31" s="29">
        <f>Profitability_Sample[[#This Row],[per kg rate]]*Profitability_Sample[[#This Row],[kg delivered]]</f>
        <v>21399</v>
      </c>
      <c r="F31" s="29">
        <f>VLOOKUP(Profitability_Sample[[#This Row],[BP name]],Payout!$B$1:$F$510,5,FALSE)</f>
        <v>17570.84919894964</v>
      </c>
      <c r="G31" s="29">
        <f>Profitability_Sample[[#This Row],[payout]]-Profitability_Sample[[#This Row],[budget]]</f>
        <v>3828.1508010503603</v>
      </c>
      <c r="H31" s="28">
        <f>Profitability_Sample[[#This Row],[difference]]/Profitability_Sample[[#This Row],[budget]]</f>
        <v>0.21786942439180468</v>
      </c>
      <c r="I31" s="29">
        <f>Profitability_Sample[[#This Row],[payout]]-Profitability_Sample[[#This Row],[Total cost]]</f>
        <v>-46957.054875376125</v>
      </c>
      <c r="J31" s="28">
        <f>Profitability_Sample[[#This Row],[profit]]/Profitability_Sample[[#This Row],[payout]]</f>
        <v>-2.1943574407858368</v>
      </c>
      <c r="K31" s="27">
        <f>Profitability_Sample[[#This Row],[Total cost]]/Profitability_Sample[[#This Row],[kg delivered]]</f>
        <v>15.971787203929184</v>
      </c>
      <c r="L31" s="26" t="str">
        <f>IF(Profitability_Sample[[#This Row],[difference %]]&gt; 0, "Overpaid", "Under Budget")</f>
        <v>Overpaid</v>
      </c>
      <c r="M31" s="26" t="str">
        <f>IF(Profitability_Sample[[#This Row],[profit margin]]&lt;0,"In Loss", "Profitable")</f>
        <v>In Loss</v>
      </c>
    </row>
    <row r="32" spans="1:22" x14ac:dyDescent="0.3">
      <c r="A32" s="26" t="s">
        <v>54</v>
      </c>
      <c r="B32" s="31">
        <v>125986.91042105544</v>
      </c>
      <c r="C32" s="27">
        <f>VLOOKUP(Profitability_Sample[[#This Row],[BP name]],payouts_table_AMD!$B$1:$E$52,3,)</f>
        <v>7</v>
      </c>
      <c r="D32" s="30">
        <f>VLOOKUP(Profitability_Sample[[#This Row],[BP name]],payouts_table_AMD!$B$1:$E$52,4,)</f>
        <v>3512.4285714285716</v>
      </c>
      <c r="E32" s="29">
        <f>Profitability_Sample[[#This Row],[per kg rate]]*Profitability_Sample[[#This Row],[kg delivered]]</f>
        <v>24587</v>
      </c>
      <c r="F32" s="29">
        <f>VLOOKUP(Profitability_Sample[[#This Row],[BP name]],Payout!$B$1:$F$510,5,FALSE)</f>
        <v>6656.7476169818319</v>
      </c>
      <c r="G32" s="29">
        <f>Profitability_Sample[[#This Row],[payout]]-Profitability_Sample[[#This Row],[budget]]</f>
        <v>17930.252383018167</v>
      </c>
      <c r="H32" s="28">
        <f>Profitability_Sample[[#This Row],[difference]]/Profitability_Sample[[#This Row],[budget]]</f>
        <v>2.6935454691532588</v>
      </c>
      <c r="I32" s="29">
        <f>Profitability_Sample[[#This Row],[payout]]-Profitability_Sample[[#This Row],[Total cost]]</f>
        <v>-101399.91042105544</v>
      </c>
      <c r="J32" s="28">
        <f>Profitability_Sample[[#This Row],[profit]]/Profitability_Sample[[#This Row],[payout]]</f>
        <v>-4.1241269947962511</v>
      </c>
      <c r="K32" s="27">
        <f>Profitability_Sample[[#This Row],[Total cost]]/Profitability_Sample[[#This Row],[kg delivered]]</f>
        <v>35.86888896357376</v>
      </c>
      <c r="L32" s="26" t="str">
        <f>IF(Profitability_Sample[[#This Row],[difference %]]&gt; 0, "Overpaid", "Under Budget")</f>
        <v>Overpaid</v>
      </c>
      <c r="M32" s="26" t="str">
        <f>IF(Profitability_Sample[[#This Row],[profit margin]]&lt;0,"In Loss", "Profitable")</f>
        <v>In Loss</v>
      </c>
    </row>
    <row r="33" spans="1:13" x14ac:dyDescent="0.3">
      <c r="A33" s="26" t="s">
        <v>57</v>
      </c>
      <c r="B33" s="31">
        <v>70706.369224623049</v>
      </c>
      <c r="C33" s="27">
        <f>VLOOKUP(Profitability_Sample[[#This Row],[BP name]],payouts_table_AMD!$B$1:$E$52,3,)</f>
        <v>9</v>
      </c>
      <c r="D33" s="30">
        <f>VLOOKUP(Profitability_Sample[[#This Row],[BP name]],payouts_table_AMD!$B$1:$E$52,4,)</f>
        <v>7681.4444444444443</v>
      </c>
      <c r="E33" s="29">
        <f>Profitability_Sample[[#This Row],[per kg rate]]*Profitability_Sample[[#This Row],[kg delivered]]</f>
        <v>69133</v>
      </c>
      <c r="F33" s="29">
        <f>VLOOKUP(Profitability_Sample[[#This Row],[BP name]],Payout!$B$1:$F$510,5,FALSE)</f>
        <v>52203.104997488474</v>
      </c>
      <c r="G33" s="29">
        <f>Profitability_Sample[[#This Row],[payout]]-Profitability_Sample[[#This Row],[budget]]</f>
        <v>16929.895002511526</v>
      </c>
      <c r="H33" s="28">
        <f>Profitability_Sample[[#This Row],[difference]]/Profitability_Sample[[#This Row],[budget]]</f>
        <v>0.32430819973880931</v>
      </c>
      <c r="I33" s="29">
        <f>Profitability_Sample[[#This Row],[payout]]-Profitability_Sample[[#This Row],[Total cost]]</f>
        <v>-1573.3692246230494</v>
      </c>
      <c r="J33" s="28">
        <f>Profitability_Sample[[#This Row],[profit]]/Profitability_Sample[[#This Row],[payout]]</f>
        <v>-2.2758584534492202E-2</v>
      </c>
      <c r="K33" s="27">
        <f>Profitability_Sample[[#This Row],[Total cost]]/Profitability_Sample[[#This Row],[kg delivered]]</f>
        <v>9.2048272608104291</v>
      </c>
      <c r="L33" s="26" t="str">
        <f>IF(Profitability_Sample[[#This Row],[difference %]]&gt; 0, "Overpaid", "Under Budget")</f>
        <v>Overpaid</v>
      </c>
      <c r="M33" s="26" t="str">
        <f>IF(Profitability_Sample[[#This Row],[profit margin]]&lt;0,"In Loss", "Profitable")</f>
        <v>In Loss</v>
      </c>
    </row>
    <row r="34" spans="1:13" x14ac:dyDescent="0.3">
      <c r="A34" s="26" t="s">
        <v>58</v>
      </c>
      <c r="B34" s="31">
        <v>70260.734628566177</v>
      </c>
      <c r="C34" s="27">
        <f>VLOOKUP(Profitability_Sample[[#This Row],[BP name]],payouts_table_AMD!$B$1:$E$52,3,)</f>
        <v>14</v>
      </c>
      <c r="D34" s="30">
        <f>VLOOKUP(Profitability_Sample[[#This Row],[BP name]],payouts_table_AMD!$B$1:$E$52,4,)</f>
        <v>17967.571428571428</v>
      </c>
      <c r="E34" s="29">
        <f>Profitability_Sample[[#This Row],[per kg rate]]*Profitability_Sample[[#This Row],[kg delivered]]</f>
        <v>251546</v>
      </c>
      <c r="F34" s="29">
        <f>VLOOKUP(Profitability_Sample[[#This Row],[BP name]],Payout!$B$1:$F$510,5,FALSE)</f>
        <v>19214.75062867544</v>
      </c>
      <c r="G34" s="29">
        <f>Profitability_Sample[[#This Row],[payout]]-Profitability_Sample[[#This Row],[budget]]</f>
        <v>232331.24937132455</v>
      </c>
      <c r="H34" s="28">
        <f>Profitability_Sample[[#This Row],[difference]]/Profitability_Sample[[#This Row],[budget]]</f>
        <v>12.091296622117037</v>
      </c>
      <c r="I34" s="29">
        <f>Profitability_Sample[[#This Row],[payout]]-Profitability_Sample[[#This Row],[Total cost]]</f>
        <v>181285.26537143381</v>
      </c>
      <c r="J34" s="28">
        <f>Profitability_Sample[[#This Row],[profit]]/Profitability_Sample[[#This Row],[payout]]</f>
        <v>0.72068434946862125</v>
      </c>
      <c r="K34" s="27">
        <f>Profitability_Sample[[#This Row],[Total cost]]/Profitability_Sample[[#This Row],[kg delivered]]</f>
        <v>3.9104191074393015</v>
      </c>
      <c r="L34" s="26" t="str">
        <f>IF(Profitability_Sample[[#This Row],[difference %]]&gt; 0, "Overpaid", "Under Budget")</f>
        <v>Overpaid</v>
      </c>
      <c r="M34" s="26" t="str">
        <f>IF(Profitability_Sample[[#This Row],[profit margin]]&lt;0,"In Loss", "Profitable")</f>
        <v>Profitable</v>
      </c>
    </row>
    <row r="35" spans="1:13" x14ac:dyDescent="0.3">
      <c r="A35" s="26" t="s">
        <v>59</v>
      </c>
      <c r="B35" s="31">
        <v>110486.0952449482</v>
      </c>
      <c r="C35" s="27">
        <f>VLOOKUP(Profitability_Sample[[#This Row],[BP name]],payouts_table_AMD!$B$1:$E$52,3,)</f>
        <v>5</v>
      </c>
      <c r="D35" s="30">
        <f>VLOOKUP(Profitability_Sample[[#This Row],[BP name]],payouts_table_AMD!$B$1:$E$52,4,)</f>
        <v>5234.2</v>
      </c>
      <c r="E35" s="29">
        <f>Profitability_Sample[[#This Row],[per kg rate]]*Profitability_Sample[[#This Row],[kg delivered]]</f>
        <v>26171</v>
      </c>
      <c r="F35" s="29">
        <f>VLOOKUP(Profitability_Sample[[#This Row],[BP name]],Payout!$B$1:$F$510,5,FALSE)</f>
        <v>13791.290165725788</v>
      </c>
      <c r="G35" s="29">
        <f>Profitability_Sample[[#This Row],[payout]]-Profitability_Sample[[#This Row],[budget]]</f>
        <v>12379.709834274212</v>
      </c>
      <c r="H35" s="28">
        <f>Profitability_Sample[[#This Row],[difference]]/Profitability_Sample[[#This Row],[budget]]</f>
        <v>0.89764697033496943</v>
      </c>
      <c r="I35" s="29">
        <f>Profitability_Sample[[#This Row],[payout]]-Profitability_Sample[[#This Row],[Total cost]]</f>
        <v>-84315.095244948199</v>
      </c>
      <c r="J35" s="28">
        <f>Profitability_Sample[[#This Row],[profit]]/Profitability_Sample[[#This Row],[payout]]</f>
        <v>-3.2216994094588745</v>
      </c>
      <c r="K35" s="27">
        <f>Profitability_Sample[[#This Row],[Total cost]]/Profitability_Sample[[#This Row],[kg delivered]]</f>
        <v>21.108497047294371</v>
      </c>
      <c r="L35" s="26" t="str">
        <f>IF(Profitability_Sample[[#This Row],[difference %]]&gt; 0, "Overpaid", "Under Budget")</f>
        <v>Overpaid</v>
      </c>
      <c r="M35" s="26" t="str">
        <f>IF(Profitability_Sample[[#This Row],[profit margin]]&lt;0,"In Loss", "Profitable")</f>
        <v>In Loss</v>
      </c>
    </row>
    <row r="36" spans="1:13" x14ac:dyDescent="0.3">
      <c r="A36" s="26" t="s">
        <v>60</v>
      </c>
      <c r="B36" s="31">
        <v>82591.180462160468</v>
      </c>
      <c r="C36" s="27">
        <f>VLOOKUP(Profitability_Sample[[#This Row],[BP name]],payouts_table_AMD!$B$1:$E$52,3,)</f>
        <v>19</v>
      </c>
      <c r="D36" s="30">
        <f>VLOOKUP(Profitability_Sample[[#This Row],[BP name]],payouts_table_AMD!$B$1:$E$52,4,)</f>
        <v>1308.8421052631579</v>
      </c>
      <c r="E36" s="29">
        <f>Profitability_Sample[[#This Row],[per kg rate]]*Profitability_Sample[[#This Row],[kg delivered]]</f>
        <v>24868</v>
      </c>
      <c r="F36" s="29">
        <f>VLOOKUP(Profitability_Sample[[#This Row],[BP name]],Payout!$B$1:$F$510,5,FALSE)</f>
        <v>12643.490413589292</v>
      </c>
      <c r="G36" s="29">
        <f>Profitability_Sample[[#This Row],[payout]]-Profitability_Sample[[#This Row],[budget]]</f>
        <v>12224.509586410708</v>
      </c>
      <c r="H36" s="28">
        <f>Profitability_Sample[[#This Row],[difference]]/Profitability_Sample[[#This Row],[budget]]</f>
        <v>0.96686193341608728</v>
      </c>
      <c r="I36" s="29">
        <f>Profitability_Sample[[#This Row],[payout]]-Profitability_Sample[[#This Row],[Total cost]]</f>
        <v>-57723.180462160468</v>
      </c>
      <c r="J36" s="28">
        <f>Profitability_Sample[[#This Row],[profit]]/Profitability_Sample[[#This Row],[payout]]</f>
        <v>-2.3211830650699881</v>
      </c>
      <c r="K36" s="27">
        <f>Profitability_Sample[[#This Row],[Total cost]]/Profitability_Sample[[#This Row],[kg delivered]]</f>
        <v>63.102478236329773</v>
      </c>
      <c r="L36" s="26" t="str">
        <f>IF(Profitability_Sample[[#This Row],[difference %]]&gt; 0, "Overpaid", "Under Budget")</f>
        <v>Overpaid</v>
      </c>
      <c r="M36" s="26" t="str">
        <f>IF(Profitability_Sample[[#This Row],[profit margin]]&lt;0,"In Loss", "Profitable")</f>
        <v>In Loss</v>
      </c>
    </row>
    <row r="37" spans="1:13" x14ac:dyDescent="0.3">
      <c r="A37" s="26" t="s">
        <v>61</v>
      </c>
      <c r="B37" s="31">
        <v>146983.61801476817</v>
      </c>
      <c r="C37" s="27">
        <f>VLOOKUP(Profitability_Sample[[#This Row],[BP name]],payouts_table_AMD!$B$1:$E$52,3,)</f>
        <v>8</v>
      </c>
      <c r="D37" s="30">
        <f>VLOOKUP(Profitability_Sample[[#This Row],[BP name]],payouts_table_AMD!$B$1:$E$52,4,)</f>
        <v>19592.125</v>
      </c>
      <c r="E37" s="29">
        <f>Profitability_Sample[[#This Row],[per kg rate]]*Profitability_Sample[[#This Row],[kg delivered]]</f>
        <v>156737</v>
      </c>
      <c r="F37" s="29">
        <f>VLOOKUP(Profitability_Sample[[#This Row],[BP name]],Payout!$B$1:$F$510,5,FALSE)</f>
        <v>123213.64071313376</v>
      </c>
      <c r="G37" s="29">
        <f>Profitability_Sample[[#This Row],[payout]]-Profitability_Sample[[#This Row],[budget]]</f>
        <v>33523.359286866238</v>
      </c>
      <c r="H37" s="28">
        <f>Profitability_Sample[[#This Row],[difference]]/Profitability_Sample[[#This Row],[budget]]</f>
        <v>0.27207506484542071</v>
      </c>
      <c r="I37" s="29">
        <f>Profitability_Sample[[#This Row],[payout]]-Profitability_Sample[[#This Row],[Total cost]]</f>
        <v>9753.3819852318265</v>
      </c>
      <c r="J37" s="28">
        <f>Profitability_Sample[[#This Row],[profit]]/Profitability_Sample[[#This Row],[payout]]</f>
        <v>6.2227693430599196E-2</v>
      </c>
      <c r="K37" s="27">
        <f>Profitability_Sample[[#This Row],[Total cost]]/Profitability_Sample[[#This Row],[kg delivered]]</f>
        <v>7.5021784525552064</v>
      </c>
      <c r="L37" s="26" t="str">
        <f>IF(Profitability_Sample[[#This Row],[difference %]]&gt; 0, "Overpaid", "Under Budget")</f>
        <v>Overpaid</v>
      </c>
      <c r="M37" s="26" t="str">
        <f>IF(Profitability_Sample[[#This Row],[profit margin]]&lt;0,"In Loss", "Profitable")</f>
        <v>Profitable</v>
      </c>
    </row>
    <row r="38" spans="1:13" x14ac:dyDescent="0.3">
      <c r="A38" s="26" t="s">
        <v>64</v>
      </c>
      <c r="B38" s="31">
        <v>66286.415973155439</v>
      </c>
      <c r="C38" s="27">
        <f>VLOOKUP(Profitability_Sample[[#This Row],[BP name]],payouts_table_AMD!$B$1:$E$52,3,)</f>
        <v>6</v>
      </c>
      <c r="D38" s="30">
        <f>VLOOKUP(Profitability_Sample[[#This Row],[BP name]],payouts_table_AMD!$B$1:$E$52,4,)</f>
        <v>3031.3333333333335</v>
      </c>
      <c r="E38" s="29">
        <f>Profitability_Sample[[#This Row],[per kg rate]]*Profitability_Sample[[#This Row],[kg delivered]]</f>
        <v>18188</v>
      </c>
      <c r="F38" s="29">
        <f>VLOOKUP(Profitability_Sample[[#This Row],[BP name]],Payout!$B$1:$F$510,5,FALSE)</f>
        <v>5989.241978045161</v>
      </c>
      <c r="G38" s="29">
        <f>Profitability_Sample[[#This Row],[payout]]-Profitability_Sample[[#This Row],[budget]]</f>
        <v>12198.75802195484</v>
      </c>
      <c r="H38" s="28">
        <f>Profitability_Sample[[#This Row],[difference]]/Profitability_Sample[[#This Row],[budget]]</f>
        <v>2.0367782879155625</v>
      </c>
      <c r="I38" s="29">
        <f>Profitability_Sample[[#This Row],[payout]]-Profitability_Sample[[#This Row],[Total cost]]</f>
        <v>-48098.415973155439</v>
      </c>
      <c r="J38" s="28">
        <f>Profitability_Sample[[#This Row],[profit]]/Profitability_Sample[[#This Row],[payout]]</f>
        <v>-2.6445137438506401</v>
      </c>
      <c r="K38" s="27">
        <f>Profitability_Sample[[#This Row],[Total cost]]/Profitability_Sample[[#This Row],[kg delivered]]</f>
        <v>21.867082463103838</v>
      </c>
      <c r="L38" s="26" t="str">
        <f>IF(Profitability_Sample[[#This Row],[difference %]]&gt; 0, "Overpaid", "Under Budget")</f>
        <v>Overpaid</v>
      </c>
      <c r="M38" s="26" t="str">
        <f>IF(Profitability_Sample[[#This Row],[profit margin]]&lt;0,"In Loss", "Profitable")</f>
        <v>In Loss</v>
      </c>
    </row>
    <row r="39" spans="1:13" x14ac:dyDescent="0.3">
      <c r="A39" s="26" t="s">
        <v>65</v>
      </c>
      <c r="B39" s="31">
        <v>161346.15764781405</v>
      </c>
      <c r="C39" s="27">
        <f>VLOOKUP(Profitability_Sample[[#This Row],[BP name]],payouts_table_AMD!$B$1:$E$52,3,)</f>
        <v>7</v>
      </c>
      <c r="D39" s="30">
        <f>VLOOKUP(Profitability_Sample[[#This Row],[BP name]],payouts_table_AMD!$B$1:$E$52,4,)</f>
        <v>1583.1428571428571</v>
      </c>
      <c r="E39" s="29">
        <f>Profitability_Sample[[#This Row],[per kg rate]]*Profitability_Sample[[#This Row],[kg delivered]]</f>
        <v>11082</v>
      </c>
      <c r="F39" s="29">
        <f>VLOOKUP(Profitability_Sample[[#This Row],[BP name]],Payout!$B$1:$F$510,5,FALSE)</f>
        <v>1041.6164535348087</v>
      </c>
      <c r="G39" s="29">
        <f>Profitability_Sample[[#This Row],[payout]]-Profitability_Sample[[#This Row],[budget]]</f>
        <v>10040.383546465191</v>
      </c>
      <c r="H39" s="28">
        <f>Profitability_Sample[[#This Row],[difference]]/Profitability_Sample[[#This Row],[budget]]</f>
        <v>9.6392328600343706</v>
      </c>
      <c r="I39" s="29">
        <f>Profitability_Sample[[#This Row],[payout]]-Profitability_Sample[[#This Row],[Total cost]]</f>
        <v>-150264.15764781405</v>
      </c>
      <c r="J39" s="28">
        <f>Profitability_Sample[[#This Row],[profit]]/Profitability_Sample[[#This Row],[payout]]</f>
        <v>-13.559299553132471</v>
      </c>
      <c r="K39" s="27">
        <f>Profitability_Sample[[#This Row],[Total cost]]/Profitability_Sample[[#This Row],[kg delivered]]</f>
        <v>101.9150968719273</v>
      </c>
      <c r="L39" s="26" t="str">
        <f>IF(Profitability_Sample[[#This Row],[difference %]]&gt; 0, "Overpaid", "Under Budget")</f>
        <v>Overpaid</v>
      </c>
      <c r="M39" s="26" t="str">
        <f>IF(Profitability_Sample[[#This Row],[profit margin]]&lt;0,"In Loss", "Profitable")</f>
        <v>In Loss</v>
      </c>
    </row>
    <row r="40" spans="1:13" x14ac:dyDescent="0.3">
      <c r="A40" s="26" t="s">
        <v>68</v>
      </c>
      <c r="B40" s="31">
        <v>110486.0952449482</v>
      </c>
      <c r="C40" s="27">
        <f>VLOOKUP(Profitability_Sample[[#This Row],[BP name]],payouts_table_AMD!$B$1:$E$52,3,)</f>
        <v>5</v>
      </c>
      <c r="D40" s="30">
        <f>VLOOKUP(Profitability_Sample[[#This Row],[BP name]],payouts_table_AMD!$B$1:$E$52,4,)</f>
        <v>12357.2</v>
      </c>
      <c r="E40" s="29">
        <f>Profitability_Sample[[#This Row],[per kg rate]]*Profitability_Sample[[#This Row],[kg delivered]]</f>
        <v>61786</v>
      </c>
      <c r="F40" s="29">
        <f>VLOOKUP(Profitability_Sample[[#This Row],[BP name]],Payout!$B$1:$F$510,5,FALSE)</f>
        <v>39833.290219168477</v>
      </c>
      <c r="G40" s="29">
        <f>Profitability_Sample[[#This Row],[payout]]-Profitability_Sample[[#This Row],[budget]]</f>
        <v>21952.709780831523</v>
      </c>
      <c r="H40" s="28">
        <f>Profitability_Sample[[#This Row],[difference]]/Profitability_Sample[[#This Row],[budget]]</f>
        <v>0.55111464958190914</v>
      </c>
      <c r="I40" s="29">
        <f>Profitability_Sample[[#This Row],[payout]]-Profitability_Sample[[#This Row],[Total cost]]</f>
        <v>-48700.095244948199</v>
      </c>
      <c r="J40" s="28">
        <f>Profitability_Sample[[#This Row],[profit]]/Profitability_Sample[[#This Row],[payout]]</f>
        <v>-0.78820598913909623</v>
      </c>
      <c r="K40" s="27">
        <f>Profitability_Sample[[#This Row],[Total cost]]/Profitability_Sample[[#This Row],[kg delivered]]</f>
        <v>8.9410299456954814</v>
      </c>
      <c r="L40" s="26" t="str">
        <f>IF(Profitability_Sample[[#This Row],[difference %]]&gt; 0, "Overpaid", "Under Budget")</f>
        <v>Overpaid</v>
      </c>
      <c r="M40" s="26" t="str">
        <f>IF(Profitability_Sample[[#This Row],[profit margin]]&lt;0,"In Loss", "Profitable")</f>
        <v>In Loss</v>
      </c>
    </row>
    <row r="41" spans="1:13" x14ac:dyDescent="0.3">
      <c r="A41" s="26" t="s">
        <v>69</v>
      </c>
      <c r="B41" s="31">
        <v>77359.168054586597</v>
      </c>
      <c r="C41" s="27">
        <f>VLOOKUP(Profitability_Sample[[#This Row],[BP name]],payouts_table_AMD!$B$1:$E$52,3,)</f>
        <v>9</v>
      </c>
      <c r="D41" s="30">
        <f>VLOOKUP(Profitability_Sample[[#This Row],[BP name]],payouts_table_AMD!$B$1:$E$52,4,)</f>
        <v>4789</v>
      </c>
      <c r="E41" s="29">
        <f>Profitability_Sample[[#This Row],[per kg rate]]*Profitability_Sample[[#This Row],[kg delivered]]</f>
        <v>43101</v>
      </c>
      <c r="F41" s="29">
        <f>VLOOKUP(Profitability_Sample[[#This Row],[BP name]],Payout!$B$1:$F$510,5,FALSE)</f>
        <v>14793.643655087924</v>
      </c>
      <c r="G41" s="29">
        <f>Profitability_Sample[[#This Row],[payout]]-Profitability_Sample[[#This Row],[budget]]</f>
        <v>28307.356344912077</v>
      </c>
      <c r="H41" s="28">
        <f>Profitability_Sample[[#This Row],[difference]]/Profitability_Sample[[#This Row],[budget]]</f>
        <v>1.9134810196118541</v>
      </c>
      <c r="I41" s="29">
        <f>Profitability_Sample[[#This Row],[payout]]-Profitability_Sample[[#This Row],[Total cost]]</f>
        <v>-34258.168054586597</v>
      </c>
      <c r="J41" s="28">
        <f>Profitability_Sample[[#This Row],[profit]]/Profitability_Sample[[#This Row],[payout]]</f>
        <v>-0.79483464547427196</v>
      </c>
      <c r="K41" s="27">
        <f>Profitability_Sample[[#This Row],[Total cost]]/Profitability_Sample[[#This Row],[kg delivered]]</f>
        <v>16.153511809268448</v>
      </c>
      <c r="L41" s="26" t="str">
        <f>IF(Profitability_Sample[[#This Row],[difference %]]&gt; 0, "Overpaid", "Under Budget")</f>
        <v>Overpaid</v>
      </c>
      <c r="M41" s="26" t="str">
        <f>IF(Profitability_Sample[[#This Row],[profit margin]]&lt;0,"In Loss", "Profitable")</f>
        <v>In Loss</v>
      </c>
    </row>
    <row r="42" spans="1:13" x14ac:dyDescent="0.3">
      <c r="A42" s="26" t="s">
        <v>70</v>
      </c>
      <c r="B42" s="31">
        <v>68356.054875376125</v>
      </c>
      <c r="C42" s="27">
        <f>VLOOKUP(Profitability_Sample[[#This Row],[BP name]],payouts_table_AMD!$B$1:$E$52,3,)</f>
        <v>5</v>
      </c>
      <c r="D42" s="30">
        <f>VLOOKUP(Profitability_Sample[[#This Row],[BP name]],payouts_table_AMD!$B$1:$E$52,4,)</f>
        <v>8847.4</v>
      </c>
      <c r="E42" s="29">
        <f>Profitability_Sample[[#This Row],[per kg rate]]*Profitability_Sample[[#This Row],[kg delivered]]</f>
        <v>44237</v>
      </c>
      <c r="F42" s="29">
        <f>VLOOKUP(Profitability_Sample[[#This Row],[BP name]],Payout!$B$1:$F$510,5,FALSE)</f>
        <v>31992.051864244233</v>
      </c>
      <c r="G42" s="29">
        <f>Profitability_Sample[[#This Row],[payout]]-Profitability_Sample[[#This Row],[budget]]</f>
        <v>12244.948135755767</v>
      </c>
      <c r="H42" s="28">
        <f>Profitability_Sample[[#This Row],[difference]]/Profitability_Sample[[#This Row],[budget]]</f>
        <v>0.38274969632195666</v>
      </c>
      <c r="I42" s="29">
        <f>Profitability_Sample[[#This Row],[payout]]-Profitability_Sample[[#This Row],[Total cost]]</f>
        <v>-24119.054875376125</v>
      </c>
      <c r="J42" s="28">
        <f>Profitability_Sample[[#This Row],[profit]]/Profitability_Sample[[#This Row],[payout]]</f>
        <v>-0.54522356568881536</v>
      </c>
      <c r="K42" s="27">
        <f>Profitability_Sample[[#This Row],[Total cost]]/Profitability_Sample[[#This Row],[kg delivered]]</f>
        <v>7.7261178284440772</v>
      </c>
      <c r="L42" s="26" t="str">
        <f>IF(Profitability_Sample[[#This Row],[difference %]]&gt; 0, "Overpaid", "Under Budget")</f>
        <v>Overpaid</v>
      </c>
      <c r="M42" s="26" t="str">
        <f>IF(Profitability_Sample[[#This Row],[profit margin]]&lt;0,"In Loss", "Profitable")</f>
        <v>In Loss</v>
      </c>
    </row>
    <row r="43" spans="1:13" x14ac:dyDescent="0.3">
      <c r="A43" s="26" t="s">
        <v>71</v>
      </c>
      <c r="B43" s="31">
        <v>70260.734628566177</v>
      </c>
      <c r="C43" s="27">
        <f>VLOOKUP(Profitability_Sample[[#This Row],[BP name]],payouts_table_AMD!$B$1:$E$52,3,)</f>
        <v>5</v>
      </c>
      <c r="D43" s="30">
        <f>VLOOKUP(Profitability_Sample[[#This Row],[BP name]],payouts_table_AMD!$B$1:$E$52,4,)</f>
        <v>9403.6</v>
      </c>
      <c r="E43" s="29">
        <f>Profitability_Sample[[#This Row],[per kg rate]]*Profitability_Sample[[#This Row],[kg delivered]]</f>
        <v>47018</v>
      </c>
      <c r="F43" s="29">
        <f>VLOOKUP(Profitability_Sample[[#This Row],[BP name]],Payout!$B$1:$F$510,5,FALSE)</f>
        <v>36462.95362853499</v>
      </c>
      <c r="G43" s="29">
        <f>Profitability_Sample[[#This Row],[payout]]-Profitability_Sample[[#This Row],[budget]]</f>
        <v>10555.04637146501</v>
      </c>
      <c r="H43" s="28">
        <f>Profitability_Sample[[#This Row],[difference]]/Profitability_Sample[[#This Row],[budget]]</f>
        <v>0.28947315894905717</v>
      </c>
      <c r="I43" s="29">
        <f>Profitability_Sample[[#This Row],[payout]]-Profitability_Sample[[#This Row],[Total cost]]</f>
        <v>-23242.734628566177</v>
      </c>
      <c r="J43" s="28">
        <f>Profitability_Sample[[#This Row],[profit]]/Profitability_Sample[[#This Row],[payout]]</f>
        <v>-0.4943369481595597</v>
      </c>
      <c r="K43" s="27">
        <f>Profitability_Sample[[#This Row],[Total cost]]/Profitability_Sample[[#This Row],[kg delivered]]</f>
        <v>7.471684740797798</v>
      </c>
      <c r="L43" s="26" t="str">
        <f>IF(Profitability_Sample[[#This Row],[difference %]]&gt; 0, "Overpaid", "Under Budget")</f>
        <v>Overpaid</v>
      </c>
      <c r="M43" s="26" t="str">
        <f>IF(Profitability_Sample[[#This Row],[profit margin]]&lt;0,"In Loss", "Profitable")</f>
        <v>In Loss</v>
      </c>
    </row>
    <row r="44" spans="1:13" x14ac:dyDescent="0.3">
      <c r="A44" s="26" t="s">
        <v>72</v>
      </c>
      <c r="B44" s="31">
        <v>344478.12695248611</v>
      </c>
      <c r="C44" s="27">
        <f>VLOOKUP(Profitability_Sample[[#This Row],[BP name]],payouts_table_AMD!$B$1:$E$52,3,)</f>
        <v>9</v>
      </c>
      <c r="D44" s="30">
        <f>VLOOKUP(Profitability_Sample[[#This Row],[BP name]],payouts_table_AMD!$B$1:$E$52,4,)</f>
        <v>11325</v>
      </c>
      <c r="E44" s="29">
        <f>Profitability_Sample[[#This Row],[per kg rate]]*Profitability_Sample[[#This Row],[kg delivered]]</f>
        <v>101925</v>
      </c>
      <c r="F44" s="29">
        <f>VLOOKUP(Profitability_Sample[[#This Row],[BP name]],Payout!$B$1:$F$510,5,FALSE)</f>
        <v>68251.613256207391</v>
      </c>
      <c r="G44" s="29">
        <f>Profitability_Sample[[#This Row],[payout]]-Profitability_Sample[[#This Row],[budget]]</f>
        <v>33673.386743792609</v>
      </c>
      <c r="H44" s="28">
        <f>Profitability_Sample[[#This Row],[difference]]/Profitability_Sample[[#This Row],[budget]]</f>
        <v>0.49337129391194368</v>
      </c>
      <c r="I44" s="29">
        <f>Profitability_Sample[[#This Row],[payout]]-Profitability_Sample[[#This Row],[Total cost]]</f>
        <v>-242553.12695248611</v>
      </c>
      <c r="J44" s="28">
        <f>Profitability_Sample[[#This Row],[profit]]/Profitability_Sample[[#This Row],[payout]]</f>
        <v>-2.379721628182351</v>
      </c>
      <c r="K44" s="27">
        <f>Profitability_Sample[[#This Row],[Total cost]]/Profitability_Sample[[#This Row],[kg delivered]]</f>
        <v>30.417494653641157</v>
      </c>
      <c r="L44" s="26" t="str">
        <f>IF(Profitability_Sample[[#This Row],[difference %]]&gt; 0, "Overpaid", "Under Budget")</f>
        <v>Overpaid</v>
      </c>
      <c r="M44" s="26" t="str">
        <f>IF(Profitability_Sample[[#This Row],[profit margin]]&lt;0,"In Loss", "Profitable")</f>
        <v>In Loss</v>
      </c>
    </row>
    <row r="45" spans="1:13" x14ac:dyDescent="0.3">
      <c r="A45" s="26" t="s">
        <v>74</v>
      </c>
      <c r="B45" s="31">
        <v>72667.720972774769</v>
      </c>
      <c r="C45" s="27">
        <f>VLOOKUP(Profitability_Sample[[#This Row],[BP name]],payouts_table_AMD!$B$1:$E$52,3,)</f>
        <v>3</v>
      </c>
      <c r="D45" s="30">
        <f>VLOOKUP(Profitability_Sample[[#This Row],[BP name]],payouts_table_AMD!$B$1:$E$52,4,)</f>
        <v>20175</v>
      </c>
      <c r="E45" s="29">
        <f>Profitability_Sample[[#This Row],[per kg rate]]*Profitability_Sample[[#This Row],[kg delivered]]</f>
        <v>60525</v>
      </c>
      <c r="F45" s="29">
        <f>VLOOKUP(Profitability_Sample[[#This Row],[BP name]],Payout!$B$1:$F$510,5,FALSE)</f>
        <v>5138.849705816694</v>
      </c>
      <c r="G45" s="29">
        <f>Profitability_Sample[[#This Row],[payout]]-Profitability_Sample[[#This Row],[budget]]</f>
        <v>55386.150294183302</v>
      </c>
      <c r="H45" s="28">
        <f>Profitability_Sample[[#This Row],[difference]]/Profitability_Sample[[#This Row],[budget]]</f>
        <v>10.77792764234599</v>
      </c>
      <c r="I45" s="29">
        <f>Profitability_Sample[[#This Row],[payout]]-Profitability_Sample[[#This Row],[Total cost]]</f>
        <v>-12142.720972774769</v>
      </c>
      <c r="J45" s="28">
        <f>Profitability_Sample[[#This Row],[profit]]/Profitability_Sample[[#This Row],[payout]]</f>
        <v>-0.20062322962040097</v>
      </c>
      <c r="K45" s="27">
        <f>Profitability_Sample[[#This Row],[Total cost]]/Profitability_Sample[[#This Row],[kg delivered]]</f>
        <v>3.601869688861203</v>
      </c>
      <c r="L45" s="26" t="str">
        <f>IF(Profitability_Sample[[#This Row],[difference %]]&gt; 0, "Overpaid", "Under Budget")</f>
        <v>Overpaid</v>
      </c>
      <c r="M45" s="26" t="str">
        <f>IF(Profitability_Sample[[#This Row],[profit margin]]&lt;0,"In Loss", "Profitable")</f>
        <v>In Loss</v>
      </c>
    </row>
    <row r="46" spans="1:13" x14ac:dyDescent="0.3">
      <c r="A46" s="26" t="s">
        <v>75</v>
      </c>
      <c r="B46" s="31">
        <v>87211.221857848665</v>
      </c>
      <c r="C46" s="27">
        <f>VLOOKUP(Profitability_Sample[[#This Row],[BP name]],payouts_table_AMD!$B$1:$E$52,3,)</f>
        <v>5</v>
      </c>
      <c r="D46" s="30">
        <f>VLOOKUP(Profitability_Sample[[#This Row],[BP name]],payouts_table_AMD!$B$1:$E$52,4,)</f>
        <v>12176.6</v>
      </c>
      <c r="E46" s="29">
        <f>Profitability_Sample[[#This Row],[per kg rate]]*Profitability_Sample[[#This Row],[kg delivered]]</f>
        <v>60883</v>
      </c>
      <c r="F46" s="29">
        <f>VLOOKUP(Profitability_Sample[[#This Row],[BP name]],Payout!$B$1:$F$510,5,FALSE)</f>
        <v>60573.277525875877</v>
      </c>
      <c r="G46" s="29">
        <f>Profitability_Sample[[#This Row],[payout]]-Profitability_Sample[[#This Row],[budget]]</f>
        <v>309.72247412412253</v>
      </c>
      <c r="H46" s="28">
        <f>Profitability_Sample[[#This Row],[difference]]/Profitability_Sample[[#This Row],[budget]]</f>
        <v>5.1131866521803172E-3</v>
      </c>
      <c r="I46" s="29">
        <f>Profitability_Sample[[#This Row],[payout]]-Profitability_Sample[[#This Row],[Total cost]]</f>
        <v>-26328.221857848665</v>
      </c>
      <c r="J46" s="28">
        <f>Profitability_Sample[[#This Row],[profit]]/Profitability_Sample[[#This Row],[payout]]</f>
        <v>-0.43243962777538336</v>
      </c>
      <c r="K46" s="27">
        <f>Profitability_Sample[[#This Row],[Total cost]]/Profitability_Sample[[#This Row],[kg delivered]]</f>
        <v>7.1621981388769163</v>
      </c>
      <c r="L46" s="26" t="str">
        <f>IF(Profitability_Sample[[#This Row],[difference %]]&gt; 0, "Overpaid", "Under Budget")</f>
        <v>Overpaid</v>
      </c>
      <c r="M46" s="26" t="str">
        <f>IF(Profitability_Sample[[#This Row],[profit margin]]&lt;0,"In Loss", "Profitable")</f>
        <v>In Loss</v>
      </c>
    </row>
    <row r="47" spans="1:13" x14ac:dyDescent="0.3">
      <c r="A47" s="26" t="s">
        <v>77</v>
      </c>
      <c r="B47" s="31">
        <v>72877.954733737948</v>
      </c>
      <c r="C47" s="27">
        <f>VLOOKUP(Profitability_Sample[[#This Row],[BP name]],payouts_table_AMD!$B$1:$E$52,3,)</f>
        <v>5</v>
      </c>
      <c r="D47" s="30">
        <f>VLOOKUP(Profitability_Sample[[#This Row],[BP name]],payouts_table_AMD!$B$1:$E$52,4,)</f>
        <v>5479.6</v>
      </c>
      <c r="E47" s="29">
        <f>Profitability_Sample[[#This Row],[per kg rate]]*Profitability_Sample[[#This Row],[kg delivered]]</f>
        <v>27398</v>
      </c>
      <c r="F47" s="29">
        <f>VLOOKUP(Profitability_Sample[[#This Row],[BP name]],Payout!$B$1:$F$510,5,FALSE)</f>
        <v>9412.3100994900014</v>
      </c>
      <c r="G47" s="29">
        <f>Profitability_Sample[[#This Row],[payout]]-Profitability_Sample[[#This Row],[budget]]</f>
        <v>17985.689900509999</v>
      </c>
      <c r="H47" s="28">
        <f>Profitability_Sample[[#This Row],[difference]]/Profitability_Sample[[#This Row],[budget]]</f>
        <v>1.9108688207674478</v>
      </c>
      <c r="I47" s="29">
        <f>Profitability_Sample[[#This Row],[payout]]-Profitability_Sample[[#This Row],[Total cost]]</f>
        <v>-45479.954733737948</v>
      </c>
      <c r="J47" s="28">
        <f>Profitability_Sample[[#This Row],[profit]]/Profitability_Sample[[#This Row],[payout]]</f>
        <v>-1.6599735284961656</v>
      </c>
      <c r="K47" s="27">
        <f>Profitability_Sample[[#This Row],[Total cost]]/Profitability_Sample[[#This Row],[kg delivered]]</f>
        <v>13.299867642480828</v>
      </c>
      <c r="L47" s="26" t="str">
        <f>IF(Profitability_Sample[[#This Row],[difference %]]&gt; 0, "Overpaid", "Under Budget")</f>
        <v>Overpaid</v>
      </c>
      <c r="M47" s="26" t="str">
        <f>IF(Profitability_Sample[[#This Row],[profit margin]]&lt;0,"In Loss", "Profitable")</f>
        <v>In Loss</v>
      </c>
    </row>
    <row r="48" spans="1:13" x14ac:dyDescent="0.3">
      <c r="A48" s="26" t="s">
        <v>78</v>
      </c>
      <c r="B48" s="31">
        <v>72152.681035118585</v>
      </c>
      <c r="C48" s="27">
        <f>VLOOKUP(Profitability_Sample[[#This Row],[BP name]],payouts_table_AMD!$B$1:$E$52,3,)</f>
        <v>5</v>
      </c>
      <c r="D48" s="30">
        <f>VLOOKUP(Profitability_Sample[[#This Row],[BP name]],payouts_table_AMD!$B$1:$E$52,4,)</f>
        <v>5290.4</v>
      </c>
      <c r="E48" s="29">
        <f>Profitability_Sample[[#This Row],[per kg rate]]*Profitability_Sample[[#This Row],[kg delivered]]</f>
        <v>26452</v>
      </c>
      <c r="F48" s="29">
        <f>VLOOKUP(Profitability_Sample[[#This Row],[BP name]],Payout!$B$1:$F$510,5,FALSE)</f>
        <v>10107.177123675472</v>
      </c>
      <c r="G48" s="29">
        <f>Profitability_Sample[[#This Row],[payout]]-Profitability_Sample[[#This Row],[budget]]</f>
        <v>16344.822876324528</v>
      </c>
      <c r="H48" s="28">
        <f>Profitability_Sample[[#This Row],[difference]]/Profitability_Sample[[#This Row],[budget]]</f>
        <v>1.6171501376024899</v>
      </c>
      <c r="I48" s="29">
        <f>Profitability_Sample[[#This Row],[payout]]-Profitability_Sample[[#This Row],[Total cost]]</f>
        <v>-45700.681035118585</v>
      </c>
      <c r="J48" s="28">
        <f>Profitability_Sample[[#This Row],[profit]]/Profitability_Sample[[#This Row],[payout]]</f>
        <v>-1.7276833901073108</v>
      </c>
      <c r="K48" s="27">
        <f>Profitability_Sample[[#This Row],[Total cost]]/Profitability_Sample[[#This Row],[kg delivered]]</f>
        <v>13.638416950536556</v>
      </c>
      <c r="L48" s="26" t="str">
        <f>IF(Profitability_Sample[[#This Row],[difference %]]&gt; 0, "Overpaid", "Under Budget")</f>
        <v>Overpaid</v>
      </c>
      <c r="M48" s="26" t="str">
        <f>IF(Profitability_Sample[[#This Row],[profit margin]]&lt;0,"In Loss", "Profitable")</f>
        <v>In Loss</v>
      </c>
    </row>
    <row r="49" spans="1:13" x14ac:dyDescent="0.3">
      <c r="A49" s="26" t="s">
        <v>79</v>
      </c>
      <c r="B49" s="31">
        <v>81229.022922361488</v>
      </c>
      <c r="C49" s="27">
        <f>VLOOKUP(Profitability_Sample[[#This Row],[BP name]],payouts_table_AMD!$B$1:$E$52,3,)</f>
        <v>5</v>
      </c>
      <c r="D49" s="30">
        <f>VLOOKUP(Profitability_Sample[[#This Row],[BP name]],payouts_table_AMD!$B$1:$E$52,4,)</f>
        <v>7018.8</v>
      </c>
      <c r="E49" s="29">
        <f>Profitability_Sample[[#This Row],[per kg rate]]*Profitability_Sample[[#This Row],[kg delivered]]</f>
        <v>35094</v>
      </c>
      <c r="F49" s="29">
        <f>VLOOKUP(Profitability_Sample[[#This Row],[BP name]],Payout!$B$1:$F$510,5,FALSE)</f>
        <v>5041.5172774335551</v>
      </c>
      <c r="G49" s="29">
        <f>Profitability_Sample[[#This Row],[payout]]-Profitability_Sample[[#This Row],[budget]]</f>
        <v>30052.482722566445</v>
      </c>
      <c r="H49" s="28">
        <f>Profitability_Sample[[#This Row],[difference]]/Profitability_Sample[[#This Row],[budget]]</f>
        <v>5.9609996492692812</v>
      </c>
      <c r="I49" s="29">
        <f>Profitability_Sample[[#This Row],[payout]]-Profitability_Sample[[#This Row],[Total cost]]</f>
        <v>-46135.022922361488</v>
      </c>
      <c r="J49" s="28">
        <f>Profitability_Sample[[#This Row],[profit]]/Profitability_Sample[[#This Row],[payout]]</f>
        <v>-1.314612837589374</v>
      </c>
      <c r="K49" s="27">
        <f>Profitability_Sample[[#This Row],[Total cost]]/Profitability_Sample[[#This Row],[kg delivered]]</f>
        <v>11.573064187946869</v>
      </c>
      <c r="L49" s="26" t="str">
        <f>IF(Profitability_Sample[[#This Row],[difference %]]&gt; 0, "Overpaid", "Under Budget")</f>
        <v>Overpaid</v>
      </c>
      <c r="M49" s="26" t="str">
        <f>IF(Profitability_Sample[[#This Row],[profit margin]]&lt;0,"In Loss", "Profitable")</f>
        <v>In Loss</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5902-4B0D-4F12-885B-45DEB5A61181}">
  <dimension ref="A1"/>
  <sheetViews>
    <sheetView showGridLines="0" topLeftCell="A19" workbookViewId="0">
      <selection activeCell="S2" sqref="S2"/>
    </sheetView>
  </sheetViews>
  <sheetFormatPr defaultRowHeight="13.8" x14ac:dyDescent="0.3"/>
  <cols>
    <col min="3" max="3" width="28.77734375" bestFit="1" customWidth="1"/>
    <col min="4" max="4" width="12.5546875" bestFit="1" customWidth="1"/>
    <col min="5" max="5" width="10.77734375" bestFit="1" customWidth="1"/>
    <col min="6" max="6" width="10.6640625" bestFit="1" customWidth="1"/>
    <col min="13" max="13" width="12.109375" bestFit="1" customWidth="1"/>
    <col min="14" max="14" width="17.44140625" bestFit="1" customWidth="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59383-7276-460F-A073-5B03B55EC10D}">
  <dimension ref="A6:Q69"/>
  <sheetViews>
    <sheetView showGridLines="0" topLeftCell="B1" workbookViewId="0">
      <selection activeCell="F9" sqref="F9"/>
    </sheetView>
  </sheetViews>
  <sheetFormatPr defaultRowHeight="13.8" x14ac:dyDescent="0.3"/>
  <cols>
    <col min="1" max="1" width="7.6640625" bestFit="1" customWidth="1"/>
    <col min="2" max="2" width="16.21875" bestFit="1" customWidth="1"/>
    <col min="3" max="3" width="10.21875" bestFit="1" customWidth="1"/>
    <col min="4" max="4" width="26.44140625" bestFit="1" customWidth="1"/>
    <col min="5" max="5" width="9" bestFit="1" customWidth="1"/>
    <col min="6" max="6" width="11.88671875" bestFit="1" customWidth="1"/>
    <col min="7" max="7" width="14.33203125" style="3" bestFit="1" customWidth="1"/>
    <col min="8" max="8" width="14.109375" bestFit="1" customWidth="1"/>
    <col min="9" max="9" width="9.5546875" bestFit="1" customWidth="1"/>
    <col min="10" max="10" width="16.109375" bestFit="1" customWidth="1"/>
    <col min="11" max="11" width="13.5546875" bestFit="1" customWidth="1"/>
    <col min="12" max="12" width="10.44140625" bestFit="1" customWidth="1"/>
    <col min="13" max="13" width="7.88671875" bestFit="1" customWidth="1"/>
    <col min="14" max="14" width="13.5546875" bestFit="1" customWidth="1"/>
    <col min="15" max="15" width="12.88671875" bestFit="1" customWidth="1"/>
    <col min="16" max="16" width="11.44140625" bestFit="1" customWidth="1"/>
    <col min="17" max="17" width="11" bestFit="1" customWidth="1"/>
  </cols>
  <sheetData>
    <row r="6" spans="1:17" x14ac:dyDescent="0.3">
      <c r="A6" t="s">
        <v>156</v>
      </c>
      <c r="B6" t="s">
        <v>95</v>
      </c>
      <c r="C6" t="s">
        <v>154</v>
      </c>
      <c r="D6" t="s">
        <v>157</v>
      </c>
      <c r="E6" t="s">
        <v>1</v>
      </c>
      <c r="F6" t="s">
        <v>158</v>
      </c>
      <c r="G6" s="3"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VLOOKUP(Cost_Structure16[[#This Row],[Index]],Vehicle[#All],2,)</f>
        <v>Vapi</v>
      </c>
      <c r="C7" t="str">
        <f>VLOOKUP(Cost_Structure16[[#This Row],[BP Name]],OU_Map[#All],3,)</f>
        <v>VAPT1</v>
      </c>
      <c r="D7" t="str">
        <f>VLOOKUP(Cost_Structure16[[#This Row],[Index]],Vehicle[#All],3,)</f>
        <v>Agarwal Sugandha Amit</v>
      </c>
      <c r="E7" t="str">
        <f>VLOOKUP(Cost_Structure16[[#This Row],[Index]],Vehicle[#All],4,)</f>
        <v>14 ft</v>
      </c>
      <c r="F7" t="str">
        <f>VLOOKUP(Cost_Structure16[[#This Row],[Index]],Vehicle_Ownership[#All],4,)</f>
        <v>EMI</v>
      </c>
      <c r="G7" s="3">
        <f>VLOOKUP(Cost_Structure16[[#This Row],[Index]],Year_of_Purchase[#All],4,)</f>
        <v>2018</v>
      </c>
      <c r="H7" t="str">
        <f>VLOOKUP(Cost_Structure16[[#This Row],[Vehicle]],Vehicle_Map[#All],2,)</f>
        <v>Eicher 14</v>
      </c>
      <c r="I7" s="19">
        <f>INDEX(Mileage[#Data],MATCH(Cost_Structure16[[#This Row],[OU Code]],Mileage[OU Code],0),MATCH(Cost_Structure16[[#This Row],[Vehicle]],Mileage[#Headers],0))</f>
        <v>9</v>
      </c>
      <c r="J7" s="19">
        <f>INDEX(Capacity[#Data],MATCH(Cost_Structure16[[#This Row],[OU Code]],Capacity[OU Code],0),MATCH(Cost_Structure16[[#This Row],[Vehicle]],Capacity[#Headers],0))</f>
        <v>2.5</v>
      </c>
      <c r="K7">
        <f>VLOOKUP(Cost_Structure16[[#This Row],[OU Code]],KM_and_FuelCost[#All],2,)</f>
        <v>1600</v>
      </c>
      <c r="L7" s="20">
        <f>IF(Cost_Structure16[[#This Row],[Ownership]]="Market",0,(Cost_Structure16[[#This Row],[KM Travelled]]/Cost_Structure16[[#This Row],[Mileage]])*VLOOKUP(Cost_Structure16[[#This Row],[OU Code]],KM_and_FuelCost[#All],3,))</f>
        <v>16408.888888888887</v>
      </c>
      <c r="M7" s="20">
        <f>IF(AND( Cost_Structure16[[#This Row],[Purchase Year]] &gt;= 2016,Cost_Structure16[[#This Row],[Ownership]]="EMI"), VLOOKUP(Cost_Structure16[[#This Row],[Vehicle Name]],EMI[#All],5,FALSE), 0)</f>
        <v>11420.447400423482</v>
      </c>
      <c r="N7" s="20">
        <f>INDEX(Maintenance[#Data],MATCH(Cost_Structure16[[#This Row],[OU Code]],Maintenance[OU Code],0),MATCH(Cost_Structure16[[#This Row],[Vehicle]],Maintenance[#Headers],0))</f>
        <v>9580</v>
      </c>
      <c r="O7" s="20">
        <f>IF(Cost_Structure16[[#This Row],[Ownership]]="Market",IF(Cost_Structure16[[#This Row],[Vehicle Capacity]]&gt;3,80000,40000),Cost_Structure16[[#This Row],[Fuel Cost]]+Cost_Structure16[[#This Row],[Maintenance]]+Cost_Structure16[[#This Row],[EMI ]])</f>
        <v>37409.33628931237</v>
      </c>
      <c r="P7" s="20" cm="1">
        <f t="array" ref="P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7" s="20">
        <f>Cost_Structure16[[#This Row],[Vehicle Cost]]+Cost_Structure16[[#This Row],[Team Cost]]</f>
        <v>65409.33628931237</v>
      </c>
    </row>
    <row r="8" spans="1:17" x14ac:dyDescent="0.3">
      <c r="A8">
        <v>2</v>
      </c>
      <c r="B8" t="str">
        <f>VLOOKUP(Cost_Structure16[[#This Row],[Index]],Vehicle[#All],2,)</f>
        <v>Vapi</v>
      </c>
      <c r="C8" t="str">
        <f>VLOOKUP(Cost_Structure16[[#This Row],[BP Name]],OU_Map[#All],3,)</f>
        <v>VAPT1</v>
      </c>
      <c r="D8" t="str">
        <f>VLOOKUP(Cost_Structure16[[#This Row],[Index]],Vehicle[#All],3,)</f>
        <v>Agarwal Sugandha Amit</v>
      </c>
      <c r="E8" t="str">
        <f>VLOOKUP(Cost_Structure16[[#This Row],[Index]],Vehicle[#All],4,)</f>
        <v>Tata Ace</v>
      </c>
      <c r="F8" t="str">
        <f>VLOOKUP(Cost_Structure16[[#This Row],[Index]],Vehicle_Ownership[#All],4,)</f>
        <v>EMI</v>
      </c>
      <c r="G8" s="3">
        <f>VLOOKUP(Cost_Structure16[[#This Row],[Index]],Year_of_Purchase[#All],4,)</f>
        <v>2017</v>
      </c>
      <c r="H8" t="str">
        <f>VLOOKUP(Cost_Structure16[[#This Row],[Vehicle]],Vehicle_Map[#All],2,)</f>
        <v>Tata Ace</v>
      </c>
      <c r="I8" s="19">
        <f>INDEX(Mileage[#Data],MATCH(Cost_Structure16[[#This Row],[OU Code]],Mileage[OU Code],0),MATCH(Cost_Structure16[[#This Row],[Vehicle]],Mileage[#Headers],0))</f>
        <v>14</v>
      </c>
      <c r="J8" s="19">
        <f>INDEX(Capacity[#Data],MATCH(Cost_Structure16[[#This Row],[OU Code]],Capacity[OU Code],0),MATCH(Cost_Structure16[[#This Row],[Vehicle]],Capacity[#Headers],0))</f>
        <v>0.75</v>
      </c>
      <c r="K8">
        <f>VLOOKUP(Cost_Structure16[[#This Row],[OU Code]],KM_and_FuelCost[#All],2,)</f>
        <v>1600</v>
      </c>
      <c r="L8" s="20">
        <f>IF(Cost_Structure16[[#This Row],[Ownership]]="Market",0,(Cost_Structure16[[#This Row],[KM Travelled]]/Cost_Structure16[[#This Row],[Mileage]])*VLOOKUP(Cost_Structure16[[#This Row],[OU Code]],KM_and_FuelCost[#All],3,))</f>
        <v>10548.571428571429</v>
      </c>
      <c r="M8" s="20">
        <f>IF(AND( Cost_Structure16[[#This Row],[Purchase Year]] &gt;= 2016,Cost_Structure16[[#This Row],[Ownership]]="EMI"), VLOOKUP(Cost_Structure16[[#This Row],[Vehicle Name]],EMI[#All],5,FALSE), 0)</f>
        <v>6090.9052802258566</v>
      </c>
      <c r="N8" s="20">
        <f>INDEX(Maintenance[#Data],MATCH(Cost_Structure16[[#This Row],[OU Code]],Maintenance[OU Code],0),MATCH(Cost_Structure16[[#This Row],[Vehicle]],Maintenance[#Headers],0))</f>
        <v>5880</v>
      </c>
      <c r="O8" s="20">
        <f>IF(Cost_Structure16[[#This Row],[Ownership]]="Market",IF(Cost_Structure16[[#This Row],[Vehicle Capacity]]&gt;3,80000,40000),Cost_Structure16[[#This Row],[Fuel Cost]]+Cost_Structure16[[#This Row],[Maintenance]]+Cost_Structure16[[#This Row],[EMI ]])</f>
        <v>22519.476708797283</v>
      </c>
      <c r="P8" s="20" cm="1">
        <f t="array" ref="P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8" s="20">
        <f>Cost_Structure16[[#This Row],[Vehicle Cost]]+Cost_Structure16[[#This Row],[Team Cost]]</f>
        <v>50519.476708797287</v>
      </c>
    </row>
    <row r="9" spans="1:17" x14ac:dyDescent="0.3">
      <c r="A9">
        <v>3</v>
      </c>
      <c r="B9" t="str">
        <f>VLOOKUP(Cost_Structure16[[#This Row],[Index]],Vehicle[#All],2,)</f>
        <v>Vapi</v>
      </c>
      <c r="C9" t="str">
        <f>VLOOKUP(Cost_Structure16[[#This Row],[BP Name]],OU_Map[#All],3,)</f>
        <v>VAPT1</v>
      </c>
      <c r="D9" t="str">
        <f>VLOOKUP(Cost_Structure16[[#This Row],[Index]],Vehicle[#All],3,)</f>
        <v>Amit Ramesh Agarwal</v>
      </c>
      <c r="E9" t="str">
        <f>VLOOKUP(Cost_Structure16[[#This Row],[Index]],Vehicle[#All],4,)</f>
        <v>14 ft</v>
      </c>
      <c r="F9" t="str">
        <f>VLOOKUP(Cost_Structure16[[#This Row],[Index]],Vehicle_Ownership[#All],4,)</f>
        <v>Market</v>
      </c>
      <c r="G9" s="3">
        <f>VLOOKUP(Cost_Structure16[[#This Row],[Index]],Year_of_Purchase[#All],4,)</f>
        <v>0</v>
      </c>
      <c r="H9" t="str">
        <f>VLOOKUP(Cost_Structure16[[#This Row],[Vehicle]],Vehicle_Map[#All],2,)</f>
        <v>Eicher 14</v>
      </c>
      <c r="I9" s="19">
        <f>INDEX(Mileage[#Data],MATCH(Cost_Structure16[[#This Row],[OU Code]],Mileage[OU Code],0),MATCH(Cost_Structure16[[#This Row],[Vehicle]],Mileage[#Headers],0))</f>
        <v>9</v>
      </c>
      <c r="J9" s="19">
        <f>INDEX(Capacity[#Data],MATCH(Cost_Structure16[[#This Row],[OU Code]],Capacity[OU Code],0),MATCH(Cost_Structure16[[#This Row],[Vehicle]],Capacity[#Headers],0))</f>
        <v>2.5</v>
      </c>
      <c r="K9">
        <f>VLOOKUP(Cost_Structure16[[#This Row],[OU Code]],KM_and_FuelCost[#All],2,)</f>
        <v>1600</v>
      </c>
      <c r="L9" s="20">
        <f>IF(Cost_Structure16[[#This Row],[Ownership]]="Market",0,(Cost_Structure16[[#This Row],[KM Travelled]]/Cost_Structure16[[#This Row],[Mileage]])*VLOOKUP(Cost_Structure16[[#This Row],[OU Code]],KM_and_FuelCost[#All],3,))</f>
        <v>0</v>
      </c>
      <c r="M9" s="20">
        <f>IF(AND( Cost_Structure16[[#This Row],[Purchase Year]] &gt;= 2016,Cost_Structure16[[#This Row],[Ownership]]="EMI"), VLOOKUP(Cost_Structure16[[#This Row],[Vehicle Name]],EMI[#All],5,FALSE), 0)</f>
        <v>0</v>
      </c>
      <c r="N9" s="20">
        <f>INDEX(Maintenance[#Data],MATCH(Cost_Structure16[[#This Row],[OU Code]],Maintenance[OU Code],0),MATCH(Cost_Structure16[[#This Row],[Vehicle]],Maintenance[#Headers],0))</f>
        <v>9580</v>
      </c>
      <c r="O9" s="20">
        <f>IF(Cost_Structure16[[#This Row],[Ownership]]="Market",IF(Cost_Structure16[[#This Row],[Vehicle Capacity]]&gt;3,80000,40000),Cost_Structure16[[#This Row],[Fuel Cost]]+Cost_Structure16[[#This Row],[Maintenance]]+Cost_Structure16[[#This Row],[EMI ]])</f>
        <v>40000</v>
      </c>
      <c r="P9" s="20" cm="1">
        <f t="array" ref="P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9" s="20">
        <f>Cost_Structure16[[#This Row],[Vehicle Cost]]+Cost_Structure16[[#This Row],[Team Cost]]</f>
        <v>48000</v>
      </c>
    </row>
    <row r="10" spans="1:17" x14ac:dyDescent="0.3">
      <c r="A10">
        <v>4</v>
      </c>
      <c r="B10" t="str">
        <f>VLOOKUP(Cost_Structure16[[#This Row],[Index]],Vehicle[#All],2,)</f>
        <v>Ahmedabad Branch</v>
      </c>
      <c r="C10" t="str">
        <f>VLOOKUP(Cost_Structure16[[#This Row],[BP Name]],OU_Map[#All],3,)</f>
        <v>AMDT1</v>
      </c>
      <c r="D10" t="str">
        <f>VLOOKUP(Cost_Structure16[[#This Row],[Index]],Vehicle[#All],3,)</f>
        <v>Ashish Saxena</v>
      </c>
      <c r="E10" t="str">
        <f>VLOOKUP(Cost_Structure16[[#This Row],[Index]],Vehicle[#All],4,)</f>
        <v>17 ft</v>
      </c>
      <c r="F10" t="str">
        <f>VLOOKUP(Cost_Structure16[[#This Row],[Index]],Vehicle_Ownership[#All],4,)</f>
        <v>EMI</v>
      </c>
      <c r="G10" s="3">
        <f>VLOOKUP(Cost_Structure16[[#This Row],[Index]],Year_of_Purchase[#All],4,)</f>
        <v>2014</v>
      </c>
      <c r="H10" t="str">
        <f>VLOOKUP(Cost_Structure16[[#This Row],[Vehicle]],Vehicle_Map[#All],2,)</f>
        <v>Eicher 17</v>
      </c>
      <c r="I10" s="19">
        <f>INDEX(Mileage[#Data],MATCH(Cost_Structure16[[#This Row],[OU Code]],Mileage[OU Code],0),MATCH(Cost_Structure16[[#This Row],[Vehicle]],Mileage[#Headers],0))</f>
        <v>6.5525461364709248</v>
      </c>
      <c r="J10" s="19">
        <f>INDEX(Capacity[#Data],MATCH(Cost_Structure16[[#This Row],[OU Code]],Capacity[OU Code],0),MATCH(Cost_Structure16[[#This Row],[Vehicle]],Capacity[#Headers],0))</f>
        <v>6.5900268382448797</v>
      </c>
      <c r="K10">
        <f>VLOOKUP(Cost_Structure16[[#This Row],[OU Code]],KM_and_FuelCost[#All],2,)</f>
        <v>2900</v>
      </c>
      <c r="L10" s="20">
        <f>IF(Cost_Structure16[[#This Row],[Ownership]]="Market",0,(Cost_Structure16[[#This Row],[KM Travelled]]/Cost_Structure16[[#This Row],[Mileage]])*VLOOKUP(Cost_Structure16[[#This Row],[OU Code]],KM_and_FuelCost[#All],3,))</f>
        <v>44474.742564298867</v>
      </c>
      <c r="M10" s="20">
        <f>IF(AND( Cost_Structure16[[#This Row],[Purchase Year]] &gt;= 2016,Cost_Structure16[[#This Row],[Ownership]]="EMI"), VLOOKUP(Cost_Structure16[[#This Row],[Vehicle Name]],EMI[#All],5,FALSE), 0)</f>
        <v>0</v>
      </c>
      <c r="N10" s="20">
        <f>INDEX(Maintenance[#Data],MATCH(Cost_Structure16[[#This Row],[OU Code]],Maintenance[OU Code],0),MATCH(Cost_Structure16[[#This Row],[Vehicle]],Maintenance[#Headers],0))</f>
        <v>12500</v>
      </c>
      <c r="O10" s="20">
        <f>IF(Cost_Structure16[[#This Row],[Ownership]]="Market",IF(Cost_Structure16[[#This Row],[Vehicle Capacity]]&gt;3,80000,40000),Cost_Structure16[[#This Row],[Fuel Cost]]+Cost_Structure16[[#This Row],[Maintenance]]+Cost_Structure16[[#This Row],[EMI ]])</f>
        <v>56974.742564298867</v>
      </c>
      <c r="P10" s="20" cm="1">
        <f t="array" ref="P1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0" s="20">
        <f>Cost_Structure16[[#This Row],[Vehicle Cost]]+Cost_Structure16[[#This Row],[Team Cost]]</f>
        <v>92974.742564298867</v>
      </c>
    </row>
    <row r="11" spans="1:17" x14ac:dyDescent="0.3">
      <c r="A11">
        <v>5</v>
      </c>
      <c r="B11" t="str">
        <f>VLOOKUP(Cost_Structure16[[#This Row],[Index]],Vehicle[#All],2,)</f>
        <v>Gandhi Nager</v>
      </c>
      <c r="C11" t="str">
        <f>VLOOKUP(Cost_Structure16[[#This Row],[BP Name]],OU_Map[#All],3,)</f>
        <v>GNCB1</v>
      </c>
      <c r="D11" t="str">
        <f>VLOOKUP(Cost_Structure16[[#This Row],[Index]],Vehicle[#All],3,)</f>
        <v>Ashok Kumar_Gncb1</v>
      </c>
      <c r="E11" t="str">
        <f>VLOOKUP(Cost_Structure16[[#This Row],[Index]],Vehicle[#All],4,)</f>
        <v>Mahindra</v>
      </c>
      <c r="F11" t="str">
        <f>VLOOKUP(Cost_Structure16[[#This Row],[Index]],Vehicle_Ownership[#All],4,)</f>
        <v>EMI</v>
      </c>
      <c r="G11" s="3">
        <f>VLOOKUP(Cost_Structure16[[#This Row],[Index]],Year_of_Purchase[#All],4,)</f>
        <v>2019</v>
      </c>
      <c r="H11" t="str">
        <f>VLOOKUP(Cost_Structure16[[#This Row],[Vehicle]],Vehicle_Map[#All],2,)</f>
        <v>Mahindra</v>
      </c>
      <c r="I11" s="19">
        <f>INDEX(Mileage[#Data],MATCH(Cost_Structure16[[#This Row],[OU Code]],Mileage[OU Code],0),MATCH(Cost_Structure16[[#This Row],[Vehicle]],Mileage[#Headers],0))</f>
        <v>16.829787347508621</v>
      </c>
      <c r="J11" s="19">
        <f>INDEX(Capacity[#Data],MATCH(Cost_Structure16[[#This Row],[OU Code]],Capacity[OU Code],0),MATCH(Cost_Structure16[[#This Row],[Vehicle]],Capacity[#Headers],0))</f>
        <v>1.3894248629666022</v>
      </c>
      <c r="K11">
        <f>VLOOKUP(Cost_Structure16[[#This Row],[OU Code]],KM_and_FuelCost[#All],2,)</f>
        <v>2700</v>
      </c>
      <c r="L11" s="20">
        <f>IF(Cost_Structure16[[#This Row],[Ownership]]="Market",0,(Cost_Structure16[[#This Row],[KM Travelled]]/Cost_Structure16[[#This Row],[Mileage]])*VLOOKUP(Cost_Structure16[[#This Row],[OU Code]],KM_and_FuelCost[#All],3,))</f>
        <v>18194.528820724201</v>
      </c>
      <c r="M11" s="20">
        <f>IF(AND( Cost_Structure16[[#This Row],[Purchase Year]] &gt;= 2016,Cost_Structure16[[#This Row],[Ownership]]="EMI"), VLOOKUP(Cost_Structure16[[#This Row],[Vehicle Name]],EMI[#All],5,FALSE), 0)</f>
        <v>11420.447400423482</v>
      </c>
      <c r="N11" s="20">
        <f>INDEX(Maintenance[#Data],MATCH(Cost_Structure16[[#This Row],[OU Code]],Maintenance[OU Code],0),MATCH(Cost_Structure16[[#This Row],[Vehicle]],Maintenance[#Headers],0))</f>
        <v>8200</v>
      </c>
      <c r="O11" s="20">
        <f>IF(Cost_Structure16[[#This Row],[Ownership]]="Market",IF(Cost_Structure16[[#This Row],[Vehicle Capacity]]&gt;3,80000,40000),Cost_Structure16[[#This Row],[Fuel Cost]]+Cost_Structure16[[#This Row],[Maintenance]]+Cost_Structure16[[#This Row],[EMI ]])</f>
        <v>37814.976221147685</v>
      </c>
      <c r="P11" s="20" cm="1">
        <f t="array" ref="P1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1" s="20">
        <f>Cost_Structure16[[#This Row],[Vehicle Cost]]+Cost_Structure16[[#This Row],[Team Cost]]</f>
        <v>65814.976221147692</v>
      </c>
    </row>
    <row r="12" spans="1:17" x14ac:dyDescent="0.3">
      <c r="A12">
        <v>6</v>
      </c>
      <c r="B12" t="str">
        <f>VLOOKUP(Cost_Structure16[[#This Row],[Index]],Vehicle[#All],2,)</f>
        <v>Rampura Branch</v>
      </c>
      <c r="C12" t="str">
        <f>VLOOKUP(Cost_Structure16[[#This Row],[BP Name]],OU_Map[#All],3,)</f>
        <v>AMDBP</v>
      </c>
      <c r="D12" t="str">
        <f>VLOOKUP(Cost_Structure16[[#This Row],[Index]],Vehicle[#All],3,)</f>
        <v>Belim Riyazuddin Mehboobbhai</v>
      </c>
      <c r="E12" t="str">
        <f>VLOOKUP(Cost_Structure16[[#This Row],[Index]],Vehicle[#All],4,)</f>
        <v>AL Dost</v>
      </c>
      <c r="F12" t="str">
        <f>VLOOKUP(Cost_Structure16[[#This Row],[Index]],Vehicle_Ownership[#All],4,)</f>
        <v>EMI</v>
      </c>
      <c r="G12" s="3">
        <f>VLOOKUP(Cost_Structure16[[#This Row],[Index]],Year_of_Purchase[#All],4,)</f>
        <v>2016</v>
      </c>
      <c r="H12" t="str">
        <f>VLOOKUP(Cost_Structure16[[#This Row],[Vehicle]],Vehicle_Map[#All],2,)</f>
        <v>AL Dost</v>
      </c>
      <c r="I12" s="19">
        <f>INDEX(Mileage[#Data],MATCH(Cost_Structure16[[#This Row],[OU Code]],Mileage[OU Code],0),MATCH(Cost_Structure16[[#This Row],[Vehicle]],Mileage[#Headers],0))</f>
        <v>15.340744990271009</v>
      </c>
      <c r="J12" s="19">
        <f>INDEX(Capacity[#Data],MATCH(Cost_Structure16[[#This Row],[OU Code]],Capacity[OU Code],0),MATCH(Cost_Structure16[[#This Row],[Vehicle]],Capacity[#Headers],0))</f>
        <v>1.5806763812306639</v>
      </c>
      <c r="K12">
        <f>VLOOKUP(Cost_Structure16[[#This Row],[OU Code]],KM_and_FuelCost[#All],2,)</f>
        <v>2600</v>
      </c>
      <c r="L12" s="20">
        <f>IF(Cost_Structure16[[#This Row],[Ownership]]="Market",0,(Cost_Structure16[[#This Row],[KM Travelled]]/Cost_Structure16[[#This Row],[Mileage]])*VLOOKUP(Cost_Structure16[[#This Row],[OU Code]],KM_and_FuelCost[#All],3,))</f>
        <v>13701.339883206299</v>
      </c>
      <c r="M12" s="20">
        <f>IF(AND( Cost_Structure16[[#This Row],[Purchase Year]] &gt;= 2016,Cost_Structure16[[#This Row],[Ownership]]="EMI"), VLOOKUP(Cost_Structure16[[#This Row],[Vehicle Name]],EMI[#All],5,FALSE), 0)</f>
        <v>7613.6316002823205</v>
      </c>
      <c r="N12" s="20">
        <f>INDEX(Maintenance[#Data],MATCH(Cost_Structure16[[#This Row],[OU Code]],Maintenance[OU Code],0),MATCH(Cost_Structure16[[#This Row],[Vehicle]],Maintenance[#Headers],0))</f>
        <v>11400</v>
      </c>
      <c r="O12" s="20">
        <f>IF(Cost_Structure16[[#This Row],[Ownership]]="Market",IF(Cost_Structure16[[#This Row],[Vehicle Capacity]]&gt;3,80000,40000),Cost_Structure16[[#This Row],[Fuel Cost]]+Cost_Structure16[[#This Row],[Maintenance]]+Cost_Structure16[[#This Row],[EMI ]])</f>
        <v>32714.971483488618</v>
      </c>
      <c r="P12" s="20" cm="1">
        <f t="array" ref="P1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2" s="20">
        <f>Cost_Structure16[[#This Row],[Vehicle Cost]]+Cost_Structure16[[#This Row],[Team Cost]]</f>
        <v>60714.971483488618</v>
      </c>
    </row>
    <row r="13" spans="1:17" x14ac:dyDescent="0.3">
      <c r="A13">
        <v>7</v>
      </c>
      <c r="B13" t="str">
        <f>VLOOKUP(Cost_Structure16[[#This Row],[Index]],Vehicle[#All],2,)</f>
        <v>Rampura Branch</v>
      </c>
      <c r="C13" t="str">
        <f>VLOOKUP(Cost_Structure16[[#This Row],[BP Name]],OU_Map[#All],3,)</f>
        <v>AMDBP</v>
      </c>
      <c r="D13" t="str">
        <f>VLOOKUP(Cost_Structure16[[#This Row],[Index]],Vehicle[#All],3,)</f>
        <v>Bharat Madhusing Lodha</v>
      </c>
      <c r="E13" t="str">
        <f>VLOOKUP(Cost_Structure16[[#This Row],[Index]],Vehicle[#All],4,)</f>
        <v>Tata Ace</v>
      </c>
      <c r="F13" t="str">
        <f>VLOOKUP(Cost_Structure16[[#This Row],[Index]],Vehicle_Ownership[#All],4,)</f>
        <v>EMI</v>
      </c>
      <c r="G13" s="3">
        <f>VLOOKUP(Cost_Structure16[[#This Row],[Index]],Year_of_Purchase[#All],4,)</f>
        <v>2012</v>
      </c>
      <c r="H13" t="str">
        <f>VLOOKUP(Cost_Structure16[[#This Row],[Vehicle]],Vehicle_Map[#All],2,)</f>
        <v>Tata Ace</v>
      </c>
      <c r="I13" s="19">
        <f>INDEX(Mileage[#Data],MATCH(Cost_Structure16[[#This Row],[OU Code]],Mileage[OU Code],0),MATCH(Cost_Structure16[[#This Row],[Vehicle]],Mileage[#Headers],0))</f>
        <v>7.7853868200690899</v>
      </c>
      <c r="J13" s="19">
        <f>INDEX(Capacity[#Data],MATCH(Cost_Structure16[[#This Row],[OU Code]],Capacity[OU Code],0),MATCH(Cost_Structure16[[#This Row],[Vehicle]],Capacity[#Headers],0))</f>
        <v>0.75264980525332092</v>
      </c>
      <c r="K13">
        <f>VLOOKUP(Cost_Structure16[[#This Row],[OU Code]],KM_and_FuelCost[#All],2,)</f>
        <v>2600</v>
      </c>
      <c r="L13" s="20">
        <f>IF(Cost_Structure16[[#This Row],[Ownership]]="Market",0,(Cost_Structure16[[#This Row],[KM Travelled]]/Cost_Structure16[[#This Row],[Mileage]])*VLOOKUP(Cost_Structure16[[#This Row],[OU Code]],KM_and_FuelCost[#All],3,))</f>
        <v>26997.857143266792</v>
      </c>
      <c r="M13" s="20">
        <f>IF(AND( Cost_Structure16[[#This Row],[Purchase Year]] &gt;= 2016,Cost_Structure16[[#This Row],[Ownership]]="EMI"), VLOOKUP(Cost_Structure16[[#This Row],[Vehicle Name]],EMI[#All],5,FALSE), 0)</f>
        <v>0</v>
      </c>
      <c r="N13" s="20">
        <f>INDEX(Maintenance[#Data],MATCH(Cost_Structure16[[#This Row],[OU Code]],Maintenance[OU Code],0),MATCH(Cost_Structure16[[#This Row],[Vehicle]],Maintenance[#Headers],0))</f>
        <v>6900</v>
      </c>
      <c r="O13" s="20">
        <f>IF(Cost_Structure16[[#This Row],[Ownership]]="Market",IF(Cost_Structure16[[#This Row],[Vehicle Capacity]]&gt;3,80000,40000),Cost_Structure16[[#This Row],[Fuel Cost]]+Cost_Structure16[[#This Row],[Maintenance]]+Cost_Structure16[[#This Row],[EMI ]])</f>
        <v>33897.857143266796</v>
      </c>
      <c r="P13" s="20" cm="1">
        <f t="array" ref="P1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3" s="20">
        <f>Cost_Structure16[[#This Row],[Vehicle Cost]]+Cost_Structure16[[#This Row],[Team Cost]]</f>
        <v>61897.857143266796</v>
      </c>
    </row>
    <row r="14" spans="1:17" x14ac:dyDescent="0.3">
      <c r="A14">
        <v>8</v>
      </c>
      <c r="B14" t="str">
        <f>VLOOKUP(Cost_Structure16[[#This Row],[Index]],Vehicle[#All],2,)</f>
        <v>Jamnager</v>
      </c>
      <c r="C14" t="str">
        <f>VLOOKUP(Cost_Structure16[[#This Row],[BP Name]],OU_Map[#All],3,)</f>
        <v>JGAB1</v>
      </c>
      <c r="D14" t="str">
        <f>VLOOKUP(Cost_Structure16[[#This Row],[Index]],Vehicle[#All],3,)</f>
        <v>Denish B. Bavariya</v>
      </c>
      <c r="E14" t="str">
        <f>VLOOKUP(Cost_Structure16[[#This Row],[Index]],Vehicle[#All],4,)</f>
        <v>Tata Ace</v>
      </c>
      <c r="F14" t="str">
        <f>VLOOKUP(Cost_Structure16[[#This Row],[Index]],Vehicle_Ownership[#All],4,)</f>
        <v>EMI</v>
      </c>
      <c r="G14" s="3">
        <f>VLOOKUP(Cost_Structure16[[#This Row],[Index]],Year_of_Purchase[#All],4,)</f>
        <v>2019</v>
      </c>
      <c r="H14" t="str">
        <f>VLOOKUP(Cost_Structure16[[#This Row],[Vehicle]],Vehicle_Map[#All],2,)</f>
        <v>Tata Ace</v>
      </c>
      <c r="I14" s="19">
        <f>INDEX(Mileage[#Data],MATCH(Cost_Structure16[[#This Row],[OU Code]],Mileage[OU Code],0),MATCH(Cost_Structure16[[#This Row],[Vehicle]],Mileage[#Headers],0))</f>
        <v>17.527489465012966</v>
      </c>
      <c r="J14" s="19">
        <f>INDEX(Capacity[#Data],MATCH(Cost_Structure16[[#This Row],[OU Code]],Capacity[OU Code],0),MATCH(Cost_Structure16[[#This Row],[Vehicle]],Capacity[#Headers],0))</f>
        <v>0.78423707313208679</v>
      </c>
      <c r="K14">
        <f>VLOOKUP(Cost_Structure16[[#This Row],[OU Code]],KM_and_FuelCost[#All],2,)</f>
        <v>1900</v>
      </c>
      <c r="L14" s="20">
        <f>IF(Cost_Structure16[[#This Row],[Ownership]]="Market",0,(Cost_Structure16[[#This Row],[KM Travelled]]/Cost_Structure16[[#This Row],[Mileage]])*VLOOKUP(Cost_Structure16[[#This Row],[OU Code]],KM_and_FuelCost[#All],3,))</f>
        <v>10865.739812694012</v>
      </c>
      <c r="M14" s="20">
        <f>IF(AND( Cost_Structure16[[#This Row],[Purchase Year]] &gt;= 2016,Cost_Structure16[[#This Row],[Ownership]]="EMI"), VLOOKUP(Cost_Structure16[[#This Row],[Vehicle Name]],EMI[#All],5,FALSE), 0)</f>
        <v>6090.9052802258566</v>
      </c>
      <c r="N14" s="20">
        <f>INDEX(Maintenance[#Data],MATCH(Cost_Structure16[[#This Row],[OU Code]],Maintenance[OU Code],0),MATCH(Cost_Structure16[[#This Row],[Vehicle]],Maintenance[#Headers],0))</f>
        <v>10700</v>
      </c>
      <c r="O14" s="20">
        <f>IF(Cost_Structure16[[#This Row],[Ownership]]="Market",IF(Cost_Structure16[[#This Row],[Vehicle Capacity]]&gt;3,80000,40000),Cost_Structure16[[#This Row],[Fuel Cost]]+Cost_Structure16[[#This Row],[Maintenance]]+Cost_Structure16[[#This Row],[EMI ]])</f>
        <v>27656.645092919865</v>
      </c>
      <c r="P14" s="20" cm="1">
        <f t="array" ref="P1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4" s="20">
        <f>Cost_Structure16[[#This Row],[Vehicle Cost]]+Cost_Structure16[[#This Row],[Team Cost]]</f>
        <v>55656.645092919862</v>
      </c>
    </row>
    <row r="15" spans="1:17" x14ac:dyDescent="0.3">
      <c r="A15">
        <v>9</v>
      </c>
      <c r="B15" t="str">
        <f>VLOOKUP(Cost_Structure16[[#This Row],[Index]],Vehicle[#All],2,)</f>
        <v>Surat</v>
      </c>
      <c r="C15" t="str">
        <f>VLOOKUP(Cost_Structure16[[#This Row],[BP Name]],OU_Map[#All],3,)</f>
        <v>STVT1</v>
      </c>
      <c r="D15" t="str">
        <f>VLOOKUP(Cost_Structure16[[#This Row],[Index]],Vehicle[#All],3,)</f>
        <v>Devendar Vanga</v>
      </c>
      <c r="E15" t="str">
        <f>VLOOKUP(Cost_Structure16[[#This Row],[Index]],Vehicle[#All],4,)</f>
        <v>14 ft</v>
      </c>
      <c r="F15" t="str">
        <f>VLOOKUP(Cost_Structure16[[#This Row],[Index]],Vehicle_Ownership[#All],4,)</f>
        <v>EMI</v>
      </c>
      <c r="G15" s="3">
        <f>VLOOKUP(Cost_Structure16[[#This Row],[Index]],Year_of_Purchase[#All],4,)</f>
        <v>2016</v>
      </c>
      <c r="H15" t="str">
        <f>VLOOKUP(Cost_Structure16[[#This Row],[Vehicle]],Vehicle_Map[#All],2,)</f>
        <v>Eicher 14</v>
      </c>
      <c r="I15" s="19">
        <f>INDEX(Mileage[#Data],MATCH(Cost_Structure16[[#This Row],[OU Code]],Mileage[OU Code],0),MATCH(Cost_Structure16[[#This Row],[Vehicle]],Mileage[#Headers],0))</f>
        <v>13.044642984582476</v>
      </c>
      <c r="J15" s="19">
        <f>INDEX(Capacity[#Data],MATCH(Cost_Structure16[[#This Row],[OU Code]],Capacity[OU Code],0),MATCH(Cost_Structure16[[#This Row],[Vehicle]],Capacity[#Headers],0))</f>
        <v>2.042136553081618</v>
      </c>
      <c r="K15">
        <f>VLOOKUP(Cost_Structure16[[#This Row],[OU Code]],KM_and_FuelCost[#All],2,)</f>
        <v>2900</v>
      </c>
      <c r="L15" s="20">
        <f>IF(Cost_Structure16[[#This Row],[Ownership]]="Market",0,(Cost_Structure16[[#This Row],[KM Travelled]]/Cost_Structure16[[#This Row],[Mileage]])*VLOOKUP(Cost_Structure16[[#This Row],[OU Code]],KM_and_FuelCost[#All],3,))</f>
        <v>22100.936769178697</v>
      </c>
      <c r="M15" s="20">
        <f>IF(AND( Cost_Structure16[[#This Row],[Purchase Year]] &gt;= 2016,Cost_Structure16[[#This Row],[Ownership]]="EMI"), VLOOKUP(Cost_Structure16[[#This Row],[Vehicle Name]],EMI[#All],5,FALSE), 0)</f>
        <v>11420.447400423482</v>
      </c>
      <c r="N15" s="20">
        <f>INDEX(Maintenance[#Data],MATCH(Cost_Structure16[[#This Row],[OU Code]],Maintenance[OU Code],0),MATCH(Cost_Structure16[[#This Row],[Vehicle]],Maintenance[#Headers],0))</f>
        <v>18700</v>
      </c>
      <c r="O15" s="20">
        <f>IF(Cost_Structure16[[#This Row],[Ownership]]="Market",IF(Cost_Structure16[[#This Row],[Vehicle Capacity]]&gt;3,80000,40000),Cost_Structure16[[#This Row],[Fuel Cost]]+Cost_Structure16[[#This Row],[Maintenance]]+Cost_Structure16[[#This Row],[EMI ]])</f>
        <v>52221.384169602177</v>
      </c>
      <c r="P15" s="20" cm="1">
        <f t="array" ref="P1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5" s="20">
        <f>Cost_Structure16[[#This Row],[Vehicle Cost]]+Cost_Structure16[[#This Row],[Team Cost]]</f>
        <v>80221.384169602185</v>
      </c>
    </row>
    <row r="16" spans="1:17" x14ac:dyDescent="0.3">
      <c r="A16">
        <v>10</v>
      </c>
      <c r="B16" t="str">
        <f>VLOOKUP(Cost_Structure16[[#This Row],[Index]],Vehicle[#All],2,)</f>
        <v>Surat</v>
      </c>
      <c r="C16" t="str">
        <f>VLOOKUP(Cost_Structure16[[#This Row],[BP Name]],OU_Map[#All],3,)</f>
        <v>STVT1</v>
      </c>
      <c r="D16" t="str">
        <f>VLOOKUP(Cost_Structure16[[#This Row],[Index]],Vehicle[#All],3,)</f>
        <v>Devendar Vanga</v>
      </c>
      <c r="E16" t="str">
        <f>VLOOKUP(Cost_Structure16[[#This Row],[Index]],Vehicle[#All],4,)</f>
        <v>17 ft</v>
      </c>
      <c r="F16" t="str">
        <f>VLOOKUP(Cost_Structure16[[#This Row],[Index]],Vehicle_Ownership[#All],4,)</f>
        <v>EMI</v>
      </c>
      <c r="G16" s="3">
        <f>VLOOKUP(Cost_Structure16[[#This Row],[Index]],Year_of_Purchase[#All],4,)</f>
        <v>2017</v>
      </c>
      <c r="H16" t="str">
        <f>VLOOKUP(Cost_Structure16[[#This Row],[Vehicle]],Vehicle_Map[#All],2,)</f>
        <v>Eicher 17</v>
      </c>
      <c r="I16" s="19">
        <f>INDEX(Mileage[#Data],MATCH(Cost_Structure16[[#This Row],[OU Code]],Mileage[OU Code],0),MATCH(Cost_Structure16[[#This Row],[Vehicle]],Mileage[#Headers],0))</f>
        <v>7.7766332599738792</v>
      </c>
      <c r="J16" s="19">
        <f>INDEX(Capacity[#Data],MATCH(Cost_Structure16[[#This Row],[OU Code]],Capacity[OU Code],0),MATCH(Cost_Structure16[[#This Row],[Vehicle]],Capacity[#Headers],0))</f>
        <v>5.1635046388777424</v>
      </c>
      <c r="K16">
        <f>VLOOKUP(Cost_Structure16[[#This Row],[OU Code]],KM_and_FuelCost[#All],2,)</f>
        <v>2900</v>
      </c>
      <c r="L16" s="20">
        <f>IF(Cost_Structure16[[#This Row],[Ownership]]="Market",0,(Cost_Structure16[[#This Row],[KM Travelled]]/Cost_Structure16[[#This Row],[Mileage]])*VLOOKUP(Cost_Structure16[[#This Row],[OU Code]],KM_and_FuelCost[#All],3,))</f>
        <v>37072.44769566723</v>
      </c>
      <c r="M16" s="20">
        <f>IF(AND( Cost_Structure16[[#This Row],[Purchase Year]] &gt;= 2016,Cost_Structure16[[#This Row],[Ownership]]="EMI"), VLOOKUP(Cost_Structure16[[#This Row],[Vehicle Name]],EMI[#All],5,FALSE), 0)</f>
        <v>17511.352680649339</v>
      </c>
      <c r="N16" s="20">
        <f>INDEX(Maintenance[#Data],MATCH(Cost_Structure16[[#This Row],[OU Code]],Maintenance[OU Code],0),MATCH(Cost_Structure16[[#This Row],[Vehicle]],Maintenance[#Headers],0))</f>
        <v>15600</v>
      </c>
      <c r="O16" s="20">
        <f>IF(Cost_Structure16[[#This Row],[Ownership]]="Market",IF(Cost_Structure16[[#This Row],[Vehicle Capacity]]&gt;3,80000,40000),Cost_Structure16[[#This Row],[Fuel Cost]]+Cost_Structure16[[#This Row],[Maintenance]]+Cost_Structure16[[#This Row],[EMI ]])</f>
        <v>70183.800376316562</v>
      </c>
      <c r="P16" s="20" cm="1">
        <f t="array" ref="P1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6" s="20">
        <f>Cost_Structure16[[#This Row],[Vehicle Cost]]+Cost_Structure16[[#This Row],[Team Cost]]</f>
        <v>106183.80037631656</v>
      </c>
    </row>
    <row r="17" spans="1:17" x14ac:dyDescent="0.3">
      <c r="A17">
        <v>11</v>
      </c>
      <c r="B17" t="str">
        <f>VLOOKUP(Cost_Structure16[[#This Row],[Index]],Vehicle[#All],2,)</f>
        <v>Surat</v>
      </c>
      <c r="C17" t="str">
        <f>VLOOKUP(Cost_Structure16[[#This Row],[BP Name]],OU_Map[#All],3,)</f>
        <v>STVT1</v>
      </c>
      <c r="D17" t="str">
        <f>VLOOKUP(Cost_Structure16[[#This Row],[Index]],Vehicle[#All],3,)</f>
        <v>Devendar Vanga</v>
      </c>
      <c r="E17" t="str">
        <f>VLOOKUP(Cost_Structure16[[#This Row],[Index]],Vehicle[#All],4,)</f>
        <v>22 ft</v>
      </c>
      <c r="F17" t="str">
        <f>VLOOKUP(Cost_Structure16[[#This Row],[Index]],Vehicle_Ownership[#All],4,)</f>
        <v>Market</v>
      </c>
      <c r="G17" s="3">
        <f>VLOOKUP(Cost_Structure16[[#This Row],[Index]],Year_of_Purchase[#All],4,)</f>
        <v>0</v>
      </c>
      <c r="H17" t="str">
        <f>VLOOKUP(Cost_Structure16[[#This Row],[Vehicle]],Vehicle_Map[#All],2,)</f>
        <v>22 ft</v>
      </c>
      <c r="I17" s="19">
        <f>INDEX(Mileage[#Data],MATCH(Cost_Structure16[[#This Row],[OU Code]],Mileage[OU Code],0),MATCH(Cost_Structure16[[#This Row],[Vehicle]],Mileage[#Headers],0))</f>
        <v>6.653749290515103</v>
      </c>
      <c r="J17" s="19">
        <f>INDEX(Capacity[#Data],MATCH(Cost_Structure16[[#This Row],[OU Code]],Capacity[OU Code],0),MATCH(Cost_Structure16[[#This Row],[Vehicle]],Capacity[#Headers],0))</f>
        <v>8.2407106661901022</v>
      </c>
      <c r="K17">
        <f>VLOOKUP(Cost_Structure16[[#This Row],[OU Code]],KM_and_FuelCost[#All],2,)</f>
        <v>2900</v>
      </c>
      <c r="L17" s="20">
        <f>IF(Cost_Structure16[[#This Row],[Ownership]]="Market",0,(Cost_Structure16[[#This Row],[KM Travelled]]/Cost_Structure16[[#This Row],[Mileage]])*VLOOKUP(Cost_Structure16[[#This Row],[OU Code]],KM_and_FuelCost[#All],3,))</f>
        <v>0</v>
      </c>
      <c r="M17" s="20">
        <f>IF(AND( Cost_Structure16[[#This Row],[Purchase Year]] &gt;= 2016,Cost_Structure16[[#This Row],[Ownership]]="EMI"), VLOOKUP(Cost_Structure16[[#This Row],[Vehicle Name]],EMI[#All],5,FALSE), 0)</f>
        <v>0</v>
      </c>
      <c r="N17" s="20">
        <f>INDEX(Maintenance[#Data],MATCH(Cost_Structure16[[#This Row],[OU Code]],Maintenance[OU Code],0),MATCH(Cost_Structure16[[#This Row],[Vehicle]],Maintenance[#Headers],0))</f>
        <v>22100</v>
      </c>
      <c r="O17" s="20">
        <f>IF(Cost_Structure16[[#This Row],[Ownership]]="Market",IF(Cost_Structure16[[#This Row],[Vehicle Capacity]]&gt;3,80000,40000),Cost_Structure16[[#This Row],[Fuel Cost]]+Cost_Structure16[[#This Row],[Maintenance]]+Cost_Structure16[[#This Row],[EMI ]])</f>
        <v>80000</v>
      </c>
      <c r="P17" s="20" cm="1">
        <f t="array" ref="P1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17" s="20">
        <f>Cost_Structure16[[#This Row],[Vehicle Cost]]+Cost_Structure16[[#This Row],[Team Cost]]</f>
        <v>96000</v>
      </c>
    </row>
    <row r="18" spans="1:17" x14ac:dyDescent="0.3">
      <c r="A18">
        <v>12</v>
      </c>
      <c r="B18" t="str">
        <f>VLOOKUP(Cost_Structure16[[#This Row],[Index]],Vehicle[#All],2,)</f>
        <v>Vadodara</v>
      </c>
      <c r="C18" t="str">
        <f>VLOOKUP(Cost_Structure16[[#This Row],[BP Name]],OU_Map[#All],3,)</f>
        <v>BDQT1</v>
      </c>
      <c r="D18" t="str">
        <f>VLOOKUP(Cost_Structure16[[#This Row],[Index]],Vehicle[#All],3,)</f>
        <v>Devendra R. Mistry</v>
      </c>
      <c r="E18" t="str">
        <f>VLOOKUP(Cost_Structure16[[#This Row],[Index]],Vehicle[#All],4,)</f>
        <v>Tata Ace</v>
      </c>
      <c r="F18" t="str">
        <f>VLOOKUP(Cost_Structure16[[#This Row],[Index]],Vehicle_Ownership[#All],4,)</f>
        <v>Owned</v>
      </c>
      <c r="G18" s="3">
        <f>VLOOKUP(Cost_Structure16[[#This Row],[Index]],Year_of_Purchase[#All],4,)</f>
        <v>2016</v>
      </c>
      <c r="H18" t="str">
        <f>VLOOKUP(Cost_Structure16[[#This Row],[Vehicle]],Vehicle_Map[#All],2,)</f>
        <v>Tata Ace</v>
      </c>
      <c r="I18" s="19">
        <f>INDEX(Mileage[#Data],MATCH(Cost_Structure16[[#This Row],[OU Code]],Mileage[OU Code],0),MATCH(Cost_Structure16[[#This Row],[Vehicle]],Mileage[#Headers],0))</f>
        <v>18.889971546597494</v>
      </c>
      <c r="J18" s="19">
        <f>INDEX(Capacity[#Data],MATCH(Cost_Structure16[[#This Row],[OU Code]],Capacity[OU Code],0),MATCH(Cost_Structure16[[#This Row],[Vehicle]],Capacity[#Headers],0))</f>
        <v>0.79022382032227789</v>
      </c>
      <c r="K18">
        <f>VLOOKUP(Cost_Structure16[[#This Row],[OU Code]],KM_and_FuelCost[#All],2,)</f>
        <v>3000</v>
      </c>
      <c r="L18" s="20">
        <f>IF(Cost_Structure16[[#This Row],[Ownership]]="Market",0,(Cost_Structure16[[#This Row],[KM Travelled]]/Cost_Structure16[[#This Row],[Mileage]])*VLOOKUP(Cost_Structure16[[#This Row],[OU Code]],KM_and_FuelCost[#All],3,))</f>
        <v>12476.910857713416</v>
      </c>
      <c r="M18" s="20">
        <f>IF(AND( Cost_Structure16[[#This Row],[Purchase Year]] &gt;= 2016,Cost_Structure16[[#This Row],[Ownership]]="EMI"), VLOOKUP(Cost_Structure16[[#This Row],[Vehicle Name]],EMI[#All],5,FALSE), 0)</f>
        <v>0</v>
      </c>
      <c r="N18" s="20">
        <f>INDEX(Maintenance[#Data],MATCH(Cost_Structure16[[#This Row],[OU Code]],Maintenance[OU Code],0),MATCH(Cost_Structure16[[#This Row],[Vehicle]],Maintenance[#Headers],0))</f>
        <v>10700</v>
      </c>
      <c r="O18" s="20">
        <f>IF(Cost_Structure16[[#This Row],[Ownership]]="Market",IF(Cost_Structure16[[#This Row],[Vehicle Capacity]]&gt;3,80000,40000),Cost_Structure16[[#This Row],[Fuel Cost]]+Cost_Structure16[[#This Row],[Maintenance]]+Cost_Structure16[[#This Row],[EMI ]])</f>
        <v>23176.910857713417</v>
      </c>
      <c r="P18" s="20" cm="1">
        <f t="array" ref="P1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8" s="20">
        <f>Cost_Structure16[[#This Row],[Vehicle Cost]]+Cost_Structure16[[#This Row],[Team Cost]]</f>
        <v>51176.910857713417</v>
      </c>
    </row>
    <row r="19" spans="1:17" x14ac:dyDescent="0.3">
      <c r="A19">
        <v>13</v>
      </c>
      <c r="B19" t="str">
        <f>VLOOKUP(Cost_Structure16[[#This Row],[Index]],Vehicle[#All],2,)</f>
        <v>Ahmmedabad City</v>
      </c>
      <c r="C19" t="str">
        <f>VLOOKUP(Cost_Structure16[[#This Row],[BP Name]],OU_Map[#All],3,)</f>
        <v>AMDBL</v>
      </c>
      <c r="D19" t="str">
        <f>VLOOKUP(Cost_Structure16[[#This Row],[Index]],Vehicle[#All],3,)</f>
        <v>Dharmendra Sharma</v>
      </c>
      <c r="E19" t="str">
        <f>VLOOKUP(Cost_Structure16[[#This Row],[Index]],Vehicle[#All],4,)</f>
        <v>14 ft</v>
      </c>
      <c r="F19" t="str">
        <f>VLOOKUP(Cost_Structure16[[#This Row],[Index]],Vehicle_Ownership[#All],4,)</f>
        <v>EMI</v>
      </c>
      <c r="G19" s="3">
        <f>VLOOKUP(Cost_Structure16[[#This Row],[Index]],Year_of_Purchase[#All],4,)</f>
        <v>2013</v>
      </c>
      <c r="H19" t="str">
        <f>VLOOKUP(Cost_Structure16[[#This Row],[Vehicle]],Vehicle_Map[#All],2,)</f>
        <v>Eicher 14</v>
      </c>
      <c r="I19" s="19">
        <f>INDEX(Mileage[#Data],MATCH(Cost_Structure16[[#This Row],[OU Code]],Mileage[OU Code],0),MATCH(Cost_Structure16[[#This Row],[Vehicle]],Mileage[#Headers],0))</f>
        <v>9.095012736983012</v>
      </c>
      <c r="J19" s="19">
        <f>INDEX(Capacity[#Data],MATCH(Cost_Structure16[[#This Row],[OU Code]],Capacity[OU Code],0),MATCH(Cost_Structure16[[#This Row],[Vehicle]],Capacity[#Headers],0))</f>
        <v>2.4855141620694923</v>
      </c>
      <c r="K19">
        <f>VLOOKUP(Cost_Structure16[[#This Row],[OU Code]],KM_and_FuelCost[#All],2,)</f>
        <v>1800</v>
      </c>
      <c r="L19" s="20">
        <f>IF(Cost_Structure16[[#This Row],[Ownership]]="Market",0,(Cost_Structure16[[#This Row],[KM Travelled]]/Cost_Structure16[[#This Row],[Mileage]])*VLOOKUP(Cost_Structure16[[#This Row],[OU Code]],KM_and_FuelCost[#All],3,))</f>
        <v>18718.663328438746</v>
      </c>
      <c r="M19" s="20">
        <f>IF(AND( Cost_Structure16[[#This Row],[Purchase Year]] &gt;= 2016,Cost_Structure16[[#This Row],[Ownership]]="EMI"), VLOOKUP(Cost_Structure16[[#This Row],[Vehicle Name]],EMI[#All],5,FALSE), 0)</f>
        <v>0</v>
      </c>
      <c r="N19" s="20">
        <f>INDEX(Maintenance[#Data],MATCH(Cost_Structure16[[#This Row],[OU Code]],Maintenance[OU Code],0),MATCH(Cost_Structure16[[#This Row],[Vehicle]],Maintenance[#Headers],0))</f>
        <v>12000</v>
      </c>
      <c r="O19" s="20">
        <f>IF(Cost_Structure16[[#This Row],[Ownership]]="Market",IF(Cost_Structure16[[#This Row],[Vehicle Capacity]]&gt;3,80000,40000),Cost_Structure16[[#This Row],[Fuel Cost]]+Cost_Structure16[[#This Row],[Maintenance]]+Cost_Structure16[[#This Row],[EMI ]])</f>
        <v>30718.663328438746</v>
      </c>
      <c r="P19" s="20" cm="1">
        <f t="array" ref="P1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9" s="20">
        <f>Cost_Structure16[[#This Row],[Vehicle Cost]]+Cost_Structure16[[#This Row],[Team Cost]]</f>
        <v>58718.66332843875</v>
      </c>
    </row>
    <row r="20" spans="1:17" x14ac:dyDescent="0.3">
      <c r="A20">
        <v>14</v>
      </c>
      <c r="B20" t="str">
        <f>VLOOKUP(Cost_Structure16[[#This Row],[Index]],Vehicle[#All],2,)</f>
        <v>Ahmmedabad City</v>
      </c>
      <c r="C20" t="str">
        <f>VLOOKUP(Cost_Structure16[[#This Row],[BP Name]],OU_Map[#All],3,)</f>
        <v>AMDBL</v>
      </c>
      <c r="D20" t="str">
        <f>VLOOKUP(Cost_Structure16[[#This Row],[Index]],Vehicle[#All],3,)</f>
        <v>Dharmendra Sharma</v>
      </c>
      <c r="E20" t="str">
        <f>VLOOKUP(Cost_Structure16[[#This Row],[Index]],Vehicle[#All],4,)</f>
        <v>19 ft</v>
      </c>
      <c r="F20" t="str">
        <f>VLOOKUP(Cost_Structure16[[#This Row],[Index]],Vehicle_Ownership[#All],4,)</f>
        <v>Market</v>
      </c>
      <c r="G20" s="3">
        <f>VLOOKUP(Cost_Structure16[[#This Row],[Index]],Year_of_Purchase[#All],4,)</f>
        <v>0</v>
      </c>
      <c r="H20" t="str">
        <f>VLOOKUP(Cost_Structure16[[#This Row],[Vehicle]],Vehicle_Map[#All],2,)</f>
        <v>Eicher 19</v>
      </c>
      <c r="I20" s="19">
        <f>INDEX(Mileage[#Data],MATCH(Cost_Structure16[[#This Row],[OU Code]],Mileage[OU Code],0),MATCH(Cost_Structure16[[#This Row],[Vehicle]],Mileage[#Headers],0))</f>
        <v>3.5462174548919334</v>
      </c>
      <c r="J20" s="19">
        <f>INDEX(Capacity[#Data],MATCH(Cost_Structure16[[#This Row],[OU Code]],Capacity[OU Code],0),MATCH(Cost_Structure16[[#This Row],[Vehicle]],Capacity[#Headers],0))</f>
        <v>8.6536756158497194</v>
      </c>
      <c r="K20">
        <f>VLOOKUP(Cost_Structure16[[#This Row],[OU Code]],KM_and_FuelCost[#All],2,)</f>
        <v>1800</v>
      </c>
      <c r="L20" s="20">
        <f>IF(Cost_Structure16[[#This Row],[Ownership]]="Market",0,(Cost_Structure16[[#This Row],[KM Travelled]]/Cost_Structure16[[#This Row],[Mileage]])*VLOOKUP(Cost_Structure16[[#This Row],[OU Code]],KM_and_FuelCost[#All],3,))</f>
        <v>0</v>
      </c>
      <c r="M20" s="20">
        <f>IF(AND( Cost_Structure16[[#This Row],[Purchase Year]] &gt;= 2016,Cost_Structure16[[#This Row],[Ownership]]="EMI"), VLOOKUP(Cost_Structure16[[#This Row],[Vehicle Name]],EMI[#All],5,FALSE), 0)</f>
        <v>0</v>
      </c>
      <c r="N20" s="20">
        <f>INDEX(Maintenance[#Data],MATCH(Cost_Structure16[[#This Row],[OU Code]],Maintenance[OU Code],0),MATCH(Cost_Structure16[[#This Row],[Vehicle]],Maintenance[#Headers],0))</f>
        <v>19000</v>
      </c>
      <c r="O20" s="20">
        <f>IF(Cost_Structure16[[#This Row],[Ownership]]="Market",IF(Cost_Structure16[[#This Row],[Vehicle Capacity]]&gt;3,80000,40000),Cost_Structure16[[#This Row],[Fuel Cost]]+Cost_Structure16[[#This Row],[Maintenance]]+Cost_Structure16[[#This Row],[EMI ]])</f>
        <v>80000</v>
      </c>
      <c r="P20" s="20" cm="1">
        <f t="array" ref="P2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0" s="20">
        <f>Cost_Structure16[[#This Row],[Vehicle Cost]]+Cost_Structure16[[#This Row],[Team Cost]]</f>
        <v>96000</v>
      </c>
    </row>
    <row r="21" spans="1:17" x14ac:dyDescent="0.3">
      <c r="A21">
        <v>15</v>
      </c>
      <c r="B21" t="str">
        <f>VLOOKUP(Cost_Structure16[[#This Row],[Index]],Vehicle[#All],2,)</f>
        <v>Sanand</v>
      </c>
      <c r="C21" t="str">
        <f>VLOOKUP(Cost_Structure16[[#This Row],[BP Name]],OU_Map[#All],3,)</f>
        <v>AMDBC</v>
      </c>
      <c r="D21" t="str">
        <f>VLOOKUP(Cost_Structure16[[#This Row],[Index]],Vehicle[#All],3,)</f>
        <v>Dineshbhai Mohanbhai Solanki</v>
      </c>
      <c r="E21" t="str">
        <f>VLOOKUP(Cost_Structure16[[#This Row],[Index]],Vehicle[#All],4,)</f>
        <v>Tata Ace</v>
      </c>
      <c r="F21" t="str">
        <f>VLOOKUP(Cost_Structure16[[#This Row],[Index]],Vehicle_Ownership[#All],4,)</f>
        <v>EMI</v>
      </c>
      <c r="G21" s="3">
        <f>VLOOKUP(Cost_Structure16[[#This Row],[Index]],Year_of_Purchase[#All],4,)</f>
        <v>2020</v>
      </c>
      <c r="H21" t="str">
        <f>VLOOKUP(Cost_Structure16[[#This Row],[Vehicle]],Vehicle_Map[#All],2,)</f>
        <v>Tata Ace</v>
      </c>
      <c r="I21" s="19">
        <f>INDEX(Mileage[#Data],MATCH(Cost_Structure16[[#This Row],[OU Code]],Mileage[OU Code],0),MATCH(Cost_Structure16[[#This Row],[Vehicle]],Mileage[#Headers],0))</f>
        <v>17.157710528177709</v>
      </c>
      <c r="J21" s="19">
        <f>INDEX(Capacity[#Data],MATCH(Cost_Structure16[[#This Row],[OU Code]],Capacity[OU Code],0),MATCH(Cost_Structure16[[#This Row],[Vehicle]],Capacity[#Headers],0))</f>
        <v>1.0426350561035722</v>
      </c>
      <c r="K21">
        <f>VLOOKUP(Cost_Structure16[[#This Row],[OU Code]],KM_and_FuelCost[#All],2,)</f>
        <v>3100</v>
      </c>
      <c r="L21" s="20">
        <f>IF(Cost_Structure16[[#This Row],[Ownership]]="Market",0,(Cost_Structure16[[#This Row],[KM Travelled]]/Cost_Structure16[[#This Row],[Mileage]])*VLOOKUP(Cost_Structure16[[#This Row],[OU Code]],KM_and_FuelCost[#All],3,))</f>
        <v>16815.46394439719</v>
      </c>
      <c r="M21" s="20">
        <f>IF(AND( Cost_Structure16[[#This Row],[Purchase Year]] &gt;= 2016,Cost_Structure16[[#This Row],[Ownership]]="EMI"), VLOOKUP(Cost_Structure16[[#This Row],[Vehicle Name]],EMI[#All],5,FALSE), 0)</f>
        <v>6090.9052802258566</v>
      </c>
      <c r="N21" s="20">
        <f>INDEX(Maintenance[#Data],MATCH(Cost_Structure16[[#This Row],[OU Code]],Maintenance[OU Code],0),MATCH(Cost_Structure16[[#This Row],[Vehicle]],Maintenance[#Headers],0))</f>
        <v>11800</v>
      </c>
      <c r="O21" s="20">
        <f>IF(Cost_Structure16[[#This Row],[Ownership]]="Market",IF(Cost_Structure16[[#This Row],[Vehicle Capacity]]&gt;3,80000,40000),Cost_Structure16[[#This Row],[Fuel Cost]]+Cost_Structure16[[#This Row],[Maintenance]]+Cost_Structure16[[#This Row],[EMI ]])</f>
        <v>34706.369224623049</v>
      </c>
      <c r="P21" s="20" cm="1">
        <f t="array" ref="P2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1" s="20">
        <f>Cost_Structure16[[#This Row],[Vehicle Cost]]+Cost_Structure16[[#This Row],[Team Cost]]</f>
        <v>62706.369224623049</v>
      </c>
    </row>
    <row r="22" spans="1:17" x14ac:dyDescent="0.3">
      <c r="A22">
        <v>16</v>
      </c>
      <c r="B22" t="str">
        <f>VLOOKUP(Cost_Structure16[[#This Row],[Index]],Vehicle[#All],2,)</f>
        <v>Vapi</v>
      </c>
      <c r="C22" t="str">
        <f>VLOOKUP(Cost_Structure16[[#This Row],[BP Name]],OU_Map[#All],3,)</f>
        <v>VAPT1</v>
      </c>
      <c r="D22" t="str">
        <f>VLOOKUP(Cost_Structure16[[#This Row],[Index]],Vehicle[#All],3,)</f>
        <v>Ekta Agarwal</v>
      </c>
      <c r="E22" t="str">
        <f>VLOOKUP(Cost_Structure16[[#This Row],[Index]],Vehicle[#All],4,)</f>
        <v>Tata Ace</v>
      </c>
      <c r="F22" t="str">
        <f>VLOOKUP(Cost_Structure16[[#This Row],[Index]],Vehicle_Ownership[#All],4,)</f>
        <v>EMI</v>
      </c>
      <c r="G22" s="3">
        <f>VLOOKUP(Cost_Structure16[[#This Row],[Index]],Year_of_Purchase[#All],4,)</f>
        <v>2010</v>
      </c>
      <c r="H22" t="str">
        <f>VLOOKUP(Cost_Structure16[[#This Row],[Vehicle]],Vehicle_Map[#All],2,)</f>
        <v>Tata Ace</v>
      </c>
      <c r="I22" s="19">
        <f>INDEX(Mileage[#Data],MATCH(Cost_Structure16[[#This Row],[OU Code]],Mileage[OU Code],0),MATCH(Cost_Structure16[[#This Row],[Vehicle]],Mileage[#Headers],0))</f>
        <v>14</v>
      </c>
      <c r="J22" s="19">
        <f>INDEX(Capacity[#Data],MATCH(Cost_Structure16[[#This Row],[OU Code]],Capacity[OU Code],0),MATCH(Cost_Structure16[[#This Row],[Vehicle]],Capacity[#Headers],0))</f>
        <v>0.75</v>
      </c>
      <c r="K22">
        <f>VLOOKUP(Cost_Structure16[[#This Row],[OU Code]],KM_and_FuelCost[#All],2,)</f>
        <v>1600</v>
      </c>
      <c r="L22" s="20">
        <f>IF(Cost_Structure16[[#This Row],[Ownership]]="Market",0,(Cost_Structure16[[#This Row],[KM Travelled]]/Cost_Structure16[[#This Row],[Mileage]])*VLOOKUP(Cost_Structure16[[#This Row],[OU Code]],KM_and_FuelCost[#All],3,))</f>
        <v>10548.571428571429</v>
      </c>
      <c r="M22" s="20">
        <f>IF(AND( Cost_Structure16[[#This Row],[Purchase Year]] &gt;= 2016,Cost_Structure16[[#This Row],[Ownership]]="EMI"), VLOOKUP(Cost_Structure16[[#This Row],[Vehicle Name]],EMI[#All],5,FALSE), 0)</f>
        <v>0</v>
      </c>
      <c r="N22" s="20">
        <f>INDEX(Maintenance[#Data],MATCH(Cost_Structure16[[#This Row],[OU Code]],Maintenance[OU Code],0),MATCH(Cost_Structure16[[#This Row],[Vehicle]],Maintenance[#Headers],0))</f>
        <v>5880</v>
      </c>
      <c r="O22" s="20">
        <f>IF(Cost_Structure16[[#This Row],[Ownership]]="Market",IF(Cost_Structure16[[#This Row],[Vehicle Capacity]]&gt;3,80000,40000),Cost_Structure16[[#This Row],[Fuel Cost]]+Cost_Structure16[[#This Row],[Maintenance]]+Cost_Structure16[[#This Row],[EMI ]])</f>
        <v>16428.571428571428</v>
      </c>
      <c r="P22" s="20" cm="1">
        <f t="array" ref="P2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2" s="20">
        <f>Cost_Structure16[[#This Row],[Vehicle Cost]]+Cost_Structure16[[#This Row],[Team Cost]]</f>
        <v>44428.571428571428</v>
      </c>
    </row>
    <row r="23" spans="1:17" x14ac:dyDescent="0.3">
      <c r="A23">
        <v>17</v>
      </c>
      <c r="B23" t="str">
        <f>VLOOKUP(Cost_Structure16[[#This Row],[Index]],Vehicle[#All],2,)</f>
        <v>Rajkot</v>
      </c>
      <c r="C23" t="str">
        <f>VLOOKUP(Cost_Structure16[[#This Row],[BP Name]],OU_Map[#All],3,)</f>
        <v>RAJB1</v>
      </c>
      <c r="D23" t="str">
        <f>VLOOKUP(Cost_Structure16[[#This Row],[Index]],Vehicle[#All],3,)</f>
        <v>Faizila Theba</v>
      </c>
      <c r="E23" t="str">
        <f>VLOOKUP(Cost_Structure16[[#This Row],[Index]],Vehicle[#All],4,)</f>
        <v>Super ace</v>
      </c>
      <c r="F23" t="str">
        <f>VLOOKUP(Cost_Structure16[[#This Row],[Index]],Vehicle_Ownership[#All],4,)</f>
        <v>Owned</v>
      </c>
      <c r="G23" s="3">
        <f>VLOOKUP(Cost_Structure16[[#This Row],[Index]],Year_of_Purchase[#All],4,)</f>
        <v>2019</v>
      </c>
      <c r="H23" t="str">
        <f>VLOOKUP(Cost_Structure16[[#This Row],[Vehicle]],Vehicle_Map[#All],2,)</f>
        <v>Super ace</v>
      </c>
      <c r="I23" s="19">
        <f>INDEX(Mileage[#Data],MATCH(Cost_Structure16[[#This Row],[OU Code]],Mileage[OU Code],0),MATCH(Cost_Structure16[[#This Row],[Vehicle]],Mileage[#Headers],0))</f>
        <v>17.582051377297987</v>
      </c>
      <c r="J23" s="19">
        <f>INDEX(Capacity[#Data],MATCH(Cost_Structure16[[#This Row],[OU Code]],Capacity[OU Code],0),MATCH(Cost_Structure16[[#This Row],[Vehicle]],Capacity[#Headers],0))</f>
        <v>1.1466290648202664</v>
      </c>
      <c r="K23">
        <f>VLOOKUP(Cost_Structure16[[#This Row],[OU Code]],KM_and_FuelCost[#All],2,)</f>
        <v>1800</v>
      </c>
      <c r="L23" s="20">
        <f>IF(Cost_Structure16[[#This Row],[Ownership]]="Market",0,(Cost_Structure16[[#This Row],[KM Travelled]]/Cost_Structure16[[#This Row],[Mileage]])*VLOOKUP(Cost_Structure16[[#This Row],[OU Code]],KM_and_FuelCost[#All],3,))</f>
        <v>9285.0019192570508</v>
      </c>
      <c r="M23" s="20">
        <f>IF(AND( Cost_Structure16[[#This Row],[Purchase Year]] &gt;= 2016,Cost_Structure16[[#This Row],[Ownership]]="EMI"), VLOOKUP(Cost_Structure16[[#This Row],[Vehicle Name]],EMI[#All],5,FALSE), 0)</f>
        <v>0</v>
      </c>
      <c r="N23" s="20">
        <f>INDEX(Maintenance[#Data],MATCH(Cost_Structure16[[#This Row],[OU Code]],Maintenance[OU Code],0),MATCH(Cost_Structure16[[#This Row],[Vehicle]],Maintenance[#Headers],0))</f>
        <v>9900</v>
      </c>
      <c r="O23" s="20">
        <f>IF(Cost_Structure16[[#This Row],[Ownership]]="Market",IF(Cost_Structure16[[#This Row],[Vehicle Capacity]]&gt;3,80000,40000),Cost_Structure16[[#This Row],[Fuel Cost]]+Cost_Structure16[[#This Row],[Maintenance]]+Cost_Structure16[[#This Row],[EMI ]])</f>
        <v>19185.001919257051</v>
      </c>
      <c r="P23" s="20" cm="1">
        <f t="array" ref="P2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3" s="20">
        <f>Cost_Structure16[[#This Row],[Vehicle Cost]]+Cost_Structure16[[#This Row],[Team Cost]]</f>
        <v>47185.001919257047</v>
      </c>
    </row>
    <row r="24" spans="1:17" x14ac:dyDescent="0.3">
      <c r="A24">
        <v>18</v>
      </c>
      <c r="B24" t="str">
        <f>VLOOKUP(Cost_Structure16[[#This Row],[Index]],Vehicle[#All],2,)</f>
        <v>Gandhi Nager</v>
      </c>
      <c r="C24" t="str">
        <f>VLOOKUP(Cost_Structure16[[#This Row],[BP Name]],OU_Map[#All],3,)</f>
        <v>GNCB1</v>
      </c>
      <c r="D24" t="str">
        <f>VLOOKUP(Cost_Structure16[[#This Row],[Index]],Vehicle[#All],3,)</f>
        <v>Gajrajsingh B Rathod</v>
      </c>
      <c r="E24" t="str">
        <f>VLOOKUP(Cost_Structure16[[#This Row],[Index]],Vehicle[#All],4,)</f>
        <v>Mahindra</v>
      </c>
      <c r="F24" t="str">
        <f>VLOOKUP(Cost_Structure16[[#This Row],[Index]],Vehicle_Ownership[#All],4,)</f>
        <v>EMI</v>
      </c>
      <c r="G24" s="3">
        <f>VLOOKUP(Cost_Structure16[[#This Row],[Index]],Year_of_Purchase[#All],4,)</f>
        <v>2019</v>
      </c>
      <c r="H24" t="str">
        <f>VLOOKUP(Cost_Structure16[[#This Row],[Vehicle]],Vehicle_Map[#All],2,)</f>
        <v>Mahindra</v>
      </c>
      <c r="I24" s="19">
        <f>INDEX(Mileage[#Data],MATCH(Cost_Structure16[[#This Row],[OU Code]],Mileage[OU Code],0),MATCH(Cost_Structure16[[#This Row],[Vehicle]],Mileage[#Headers],0))</f>
        <v>16.829787347508621</v>
      </c>
      <c r="J24" s="19">
        <f>INDEX(Capacity[#Data],MATCH(Cost_Structure16[[#This Row],[OU Code]],Capacity[OU Code],0),MATCH(Cost_Structure16[[#This Row],[Vehicle]],Capacity[#Headers],0))</f>
        <v>1.3894248629666022</v>
      </c>
      <c r="K24">
        <f>VLOOKUP(Cost_Structure16[[#This Row],[OU Code]],KM_and_FuelCost[#All],2,)</f>
        <v>2700</v>
      </c>
      <c r="L24" s="20">
        <f>IF(Cost_Structure16[[#This Row],[Ownership]]="Market",0,(Cost_Structure16[[#This Row],[KM Travelled]]/Cost_Structure16[[#This Row],[Mileage]])*VLOOKUP(Cost_Structure16[[#This Row],[OU Code]],KM_and_FuelCost[#All],3,))</f>
        <v>18194.528820724201</v>
      </c>
      <c r="M24" s="20">
        <f>IF(AND( Cost_Structure16[[#This Row],[Purchase Year]] &gt;= 2016,Cost_Structure16[[#This Row],[Ownership]]="EMI"), VLOOKUP(Cost_Structure16[[#This Row],[Vehicle Name]],EMI[#All],5,FALSE), 0)</f>
        <v>11420.447400423482</v>
      </c>
      <c r="N24" s="20">
        <f>INDEX(Maintenance[#Data],MATCH(Cost_Structure16[[#This Row],[OU Code]],Maintenance[OU Code],0),MATCH(Cost_Structure16[[#This Row],[Vehicle]],Maintenance[#Headers],0))</f>
        <v>8200</v>
      </c>
      <c r="O24" s="20">
        <f>IF(Cost_Structure16[[#This Row],[Ownership]]="Market",IF(Cost_Structure16[[#This Row],[Vehicle Capacity]]&gt;3,80000,40000),Cost_Structure16[[#This Row],[Fuel Cost]]+Cost_Structure16[[#This Row],[Maintenance]]+Cost_Structure16[[#This Row],[EMI ]])</f>
        <v>37814.976221147685</v>
      </c>
      <c r="P24" s="20" cm="1">
        <f t="array" ref="P2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4" s="20">
        <f>Cost_Structure16[[#This Row],[Vehicle Cost]]+Cost_Structure16[[#This Row],[Team Cost]]</f>
        <v>65814.976221147692</v>
      </c>
    </row>
    <row r="25" spans="1:17" x14ac:dyDescent="0.3">
      <c r="A25">
        <v>19</v>
      </c>
      <c r="B25" t="str">
        <f>VLOOKUP(Cost_Structure16[[#This Row],[Index]],Vehicle[#All],2,)</f>
        <v>Bhavnager</v>
      </c>
      <c r="C25" t="str">
        <f>VLOOKUP(Cost_Structure16[[#This Row],[BP Name]],OU_Map[#All],3,)</f>
        <v>BVCB1</v>
      </c>
      <c r="D25" t="str">
        <f>VLOOKUP(Cost_Structure16[[#This Row],[Index]],Vehicle[#All],3,)</f>
        <v>Gohil Raghuvirsinh R</v>
      </c>
      <c r="E25" t="str">
        <f>VLOOKUP(Cost_Structure16[[#This Row],[Index]],Vehicle[#All],4,)</f>
        <v>Mahindra</v>
      </c>
      <c r="F25" t="str">
        <f>VLOOKUP(Cost_Structure16[[#This Row],[Index]],Vehicle_Ownership[#All],4,)</f>
        <v>Owned</v>
      </c>
      <c r="G25" s="3">
        <f>VLOOKUP(Cost_Structure16[[#This Row],[Index]],Year_of_Purchase[#All],4,)</f>
        <v>2020</v>
      </c>
      <c r="H25" t="str">
        <f>VLOOKUP(Cost_Structure16[[#This Row],[Vehicle]],Vehicle_Map[#All],2,)</f>
        <v>Mahindra</v>
      </c>
      <c r="I25" s="19">
        <f>INDEX(Mileage[#Data],MATCH(Cost_Structure16[[#This Row],[OU Code]],Mileage[OU Code],0),MATCH(Cost_Structure16[[#This Row],[Vehicle]],Mileage[#Headers],0))</f>
        <v>9.8332980589745791</v>
      </c>
      <c r="J25" s="19">
        <f>INDEX(Capacity[#Data],MATCH(Cost_Structure16[[#This Row],[OU Code]],Capacity[OU Code],0),MATCH(Cost_Structure16[[#This Row],[Vehicle]],Capacity[#Headers],0))</f>
        <v>2.1170956821339351</v>
      </c>
      <c r="K25">
        <f>VLOOKUP(Cost_Structure16[[#This Row],[OU Code]],KM_and_FuelCost[#All],2,)</f>
        <v>2500</v>
      </c>
      <c r="L25" s="20">
        <f>IF(Cost_Structure16[[#This Row],[Ownership]]="Market",0,(Cost_Structure16[[#This Row],[KM Travelled]]/Cost_Structure16[[#This Row],[Mileage]])*VLOOKUP(Cost_Structure16[[#This Row],[OU Code]],KM_and_FuelCost[#All],3,))</f>
        <v>24433.001229891568</v>
      </c>
      <c r="M25" s="20">
        <f>IF(AND( Cost_Structure16[[#This Row],[Purchase Year]] &gt;= 2016,Cost_Structure16[[#This Row],[Ownership]]="EMI"), VLOOKUP(Cost_Structure16[[#This Row],[Vehicle Name]],EMI[#All],5,FALSE), 0)</f>
        <v>0</v>
      </c>
      <c r="N25" s="20">
        <f>INDEX(Maintenance[#Data],MATCH(Cost_Structure16[[#This Row],[OU Code]],Maintenance[OU Code],0),MATCH(Cost_Structure16[[#This Row],[Vehicle]],Maintenance[#Headers],0))</f>
        <v>10200</v>
      </c>
      <c r="O25" s="20">
        <f>IF(Cost_Structure16[[#This Row],[Ownership]]="Market",IF(Cost_Structure16[[#This Row],[Vehicle Capacity]]&gt;3,80000,40000),Cost_Structure16[[#This Row],[Fuel Cost]]+Cost_Structure16[[#This Row],[Maintenance]]+Cost_Structure16[[#This Row],[EMI ]])</f>
        <v>34633.001229891568</v>
      </c>
      <c r="P25" s="20" cm="1">
        <f t="array" ref="P2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5" s="20">
        <f>Cost_Structure16[[#This Row],[Vehicle Cost]]+Cost_Structure16[[#This Row],[Team Cost]]</f>
        <v>62633.001229891568</v>
      </c>
    </row>
    <row r="26" spans="1:17" x14ac:dyDescent="0.3">
      <c r="A26">
        <v>20</v>
      </c>
      <c r="B26" t="str">
        <f>VLOOKUP(Cost_Structure16[[#This Row],[Index]],Vehicle[#All],2,)</f>
        <v>Ahmedabad Branch</v>
      </c>
      <c r="C26" t="str">
        <f>VLOOKUP(Cost_Structure16[[#This Row],[BP Name]],OU_Map[#All],3,)</f>
        <v>AMDT1</v>
      </c>
      <c r="D26" t="str">
        <f>VLOOKUP(Cost_Structure16[[#This Row],[Index]],Vehicle[#All],3,)</f>
        <v>Gulamhusen Mohamad Ghanchi</v>
      </c>
      <c r="E26" t="str">
        <f>VLOOKUP(Cost_Structure16[[#This Row],[Index]],Vehicle[#All],4,)</f>
        <v>17 ft</v>
      </c>
      <c r="F26" t="str">
        <f>VLOOKUP(Cost_Structure16[[#This Row],[Index]],Vehicle_Ownership[#All],4,)</f>
        <v>Owned</v>
      </c>
      <c r="G26" s="3">
        <f>VLOOKUP(Cost_Structure16[[#This Row],[Index]],Year_of_Purchase[#All],4,)</f>
        <v>2012</v>
      </c>
      <c r="H26" t="str">
        <f>VLOOKUP(Cost_Structure16[[#This Row],[Vehicle]],Vehicle_Map[#All],2,)</f>
        <v>Eicher 17</v>
      </c>
      <c r="I26" s="19">
        <f>INDEX(Mileage[#Data],MATCH(Cost_Structure16[[#This Row],[OU Code]],Mileage[OU Code],0),MATCH(Cost_Structure16[[#This Row],[Vehicle]],Mileage[#Headers],0))</f>
        <v>6.5525461364709248</v>
      </c>
      <c r="J26" s="19">
        <f>INDEX(Capacity[#Data],MATCH(Cost_Structure16[[#This Row],[OU Code]],Capacity[OU Code],0),MATCH(Cost_Structure16[[#This Row],[Vehicle]],Capacity[#Headers],0))</f>
        <v>6.5900268382448797</v>
      </c>
      <c r="K26">
        <f>VLOOKUP(Cost_Structure16[[#This Row],[OU Code]],KM_and_FuelCost[#All],2,)</f>
        <v>2900</v>
      </c>
      <c r="L26" s="20">
        <f>IF(Cost_Structure16[[#This Row],[Ownership]]="Market",0,(Cost_Structure16[[#This Row],[KM Travelled]]/Cost_Structure16[[#This Row],[Mileage]])*VLOOKUP(Cost_Structure16[[#This Row],[OU Code]],KM_and_FuelCost[#All],3,))</f>
        <v>44474.742564298867</v>
      </c>
      <c r="M26" s="20">
        <f>IF(AND( Cost_Structure16[[#This Row],[Purchase Year]] &gt;= 2016,Cost_Structure16[[#This Row],[Ownership]]="EMI"), VLOOKUP(Cost_Structure16[[#This Row],[Vehicle Name]],EMI[#All],5,FALSE), 0)</f>
        <v>0</v>
      </c>
      <c r="N26" s="20">
        <f>INDEX(Maintenance[#Data],MATCH(Cost_Structure16[[#This Row],[OU Code]],Maintenance[OU Code],0),MATCH(Cost_Structure16[[#This Row],[Vehicle]],Maintenance[#Headers],0))</f>
        <v>12500</v>
      </c>
      <c r="O26" s="20">
        <f>IF(Cost_Structure16[[#This Row],[Ownership]]="Market",IF(Cost_Structure16[[#This Row],[Vehicle Capacity]]&gt;3,80000,40000),Cost_Structure16[[#This Row],[Fuel Cost]]+Cost_Structure16[[#This Row],[Maintenance]]+Cost_Structure16[[#This Row],[EMI ]])</f>
        <v>56974.742564298867</v>
      </c>
      <c r="P26" s="20" cm="1">
        <f t="array" ref="P2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6" s="20">
        <f>Cost_Structure16[[#This Row],[Vehicle Cost]]+Cost_Structure16[[#This Row],[Team Cost]]</f>
        <v>92974.742564298867</v>
      </c>
    </row>
    <row r="27" spans="1:17" x14ac:dyDescent="0.3">
      <c r="A27">
        <v>21</v>
      </c>
      <c r="B27" t="str">
        <f>VLOOKUP(Cost_Structure16[[#This Row],[Index]],Vehicle[#All],2,)</f>
        <v>Ahmedabad Branch</v>
      </c>
      <c r="C27" t="str">
        <f>VLOOKUP(Cost_Structure16[[#This Row],[BP Name]],OU_Map[#All],3,)</f>
        <v>AMDT1</v>
      </c>
      <c r="D27" t="str">
        <f>VLOOKUP(Cost_Structure16[[#This Row],[Index]],Vehicle[#All],3,)</f>
        <v>Gulzar F Memon</v>
      </c>
      <c r="E27" t="str">
        <f>VLOOKUP(Cost_Structure16[[#This Row],[Index]],Vehicle[#All],4,)</f>
        <v>19 ft</v>
      </c>
      <c r="F27" t="str">
        <f>VLOOKUP(Cost_Structure16[[#This Row],[Index]],Vehicle_Ownership[#All],4,)</f>
        <v>Market</v>
      </c>
      <c r="G27" s="3">
        <f>VLOOKUP(Cost_Structure16[[#This Row],[Index]],Year_of_Purchase[#All],4,)</f>
        <v>0</v>
      </c>
      <c r="H27" t="str">
        <f>VLOOKUP(Cost_Structure16[[#This Row],[Vehicle]],Vehicle_Map[#All],2,)</f>
        <v>Eicher 19</v>
      </c>
      <c r="I27" s="19">
        <f>INDEX(Mileage[#Data],MATCH(Cost_Structure16[[#This Row],[OU Code]],Mileage[OU Code],0),MATCH(Cost_Structure16[[#This Row],[Vehicle]],Mileage[#Headers],0))</f>
        <v>6.9433969910850388</v>
      </c>
      <c r="J27" s="19">
        <f>INDEX(Capacity[#Data],MATCH(Cost_Structure16[[#This Row],[OU Code]],Capacity[OU Code],0),MATCH(Cost_Structure16[[#This Row],[Vehicle]],Capacity[#Headers],0))</f>
        <v>6.3444422201305457</v>
      </c>
      <c r="K27">
        <f>VLOOKUP(Cost_Structure16[[#This Row],[OU Code]],KM_and_FuelCost[#All],2,)</f>
        <v>2900</v>
      </c>
      <c r="L27" s="20">
        <f>IF(Cost_Structure16[[#This Row],[Ownership]]="Market",0,(Cost_Structure16[[#This Row],[KM Travelled]]/Cost_Structure16[[#This Row],[Mileage]])*VLOOKUP(Cost_Structure16[[#This Row],[OU Code]],KM_and_FuelCost[#All],3,))</f>
        <v>0</v>
      </c>
      <c r="M27" s="20">
        <f>IF(AND( Cost_Structure16[[#This Row],[Purchase Year]] &gt;= 2016,Cost_Structure16[[#This Row],[Ownership]]="EMI"), VLOOKUP(Cost_Structure16[[#This Row],[Vehicle Name]],EMI[#All],5,FALSE), 0)</f>
        <v>0</v>
      </c>
      <c r="N27" s="20">
        <f>INDEX(Maintenance[#Data],MATCH(Cost_Structure16[[#This Row],[OU Code]],Maintenance[OU Code],0),MATCH(Cost_Structure16[[#This Row],[Vehicle]],Maintenance[#Headers],0))</f>
        <v>11400</v>
      </c>
      <c r="O27" s="20">
        <f>IF(Cost_Structure16[[#This Row],[Ownership]]="Market",IF(Cost_Structure16[[#This Row],[Vehicle Capacity]]&gt;3,80000,40000),Cost_Structure16[[#This Row],[Fuel Cost]]+Cost_Structure16[[#This Row],[Maintenance]]+Cost_Structure16[[#This Row],[EMI ]])</f>
        <v>80000</v>
      </c>
      <c r="P27" s="20" cm="1">
        <f t="array" ref="P2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7" s="20">
        <f>Cost_Structure16[[#This Row],[Vehicle Cost]]+Cost_Structure16[[#This Row],[Team Cost]]</f>
        <v>96000</v>
      </c>
    </row>
    <row r="28" spans="1:17" x14ac:dyDescent="0.3">
      <c r="A28">
        <v>22</v>
      </c>
      <c r="B28" t="str">
        <f>VLOOKUP(Cost_Structure16[[#This Row],[Index]],Vehicle[#All],2,)</f>
        <v>Jamnager</v>
      </c>
      <c r="C28" t="str">
        <f>VLOOKUP(Cost_Structure16[[#This Row],[BP Name]],OU_Map[#All],3,)</f>
        <v>JGAB1</v>
      </c>
      <c r="D28" t="str">
        <f>VLOOKUP(Cost_Structure16[[#This Row],[Index]],Vehicle[#All],3,)</f>
        <v>Hardik Patel</v>
      </c>
      <c r="E28" t="str">
        <f>VLOOKUP(Cost_Structure16[[#This Row],[Index]],Vehicle[#All],4,)</f>
        <v>14 ft</v>
      </c>
      <c r="F28" t="str">
        <f>VLOOKUP(Cost_Structure16[[#This Row],[Index]],Vehicle_Ownership[#All],4,)</f>
        <v>EMI</v>
      </c>
      <c r="G28" s="3">
        <f>VLOOKUP(Cost_Structure16[[#This Row],[Index]],Year_of_Purchase[#All],4,)</f>
        <v>2020</v>
      </c>
      <c r="H28" t="str">
        <f>VLOOKUP(Cost_Structure16[[#This Row],[Vehicle]],Vehicle_Map[#All],2,)</f>
        <v>Eicher 14</v>
      </c>
      <c r="I28" s="19">
        <f>INDEX(Mileage[#Data],MATCH(Cost_Structure16[[#This Row],[OU Code]],Mileage[OU Code],0),MATCH(Cost_Structure16[[#This Row],[Vehicle]],Mileage[#Headers],0))</f>
        <v>8.5572888357740542</v>
      </c>
      <c r="J28" s="19">
        <f>INDEX(Capacity[#Data],MATCH(Cost_Structure16[[#This Row],[OU Code]],Capacity[OU Code],0),MATCH(Cost_Structure16[[#This Row],[Vehicle]],Capacity[#Headers],0))</f>
        <v>3.0291773948414247</v>
      </c>
      <c r="K28">
        <f>VLOOKUP(Cost_Structure16[[#This Row],[OU Code]],KM_and_FuelCost[#All],2,)</f>
        <v>1900</v>
      </c>
      <c r="L28" s="20">
        <f>IF(Cost_Structure16[[#This Row],[Ownership]]="Market",0,(Cost_Structure16[[#This Row],[KM Travelled]]/Cost_Structure16[[#This Row],[Mileage]])*VLOOKUP(Cost_Structure16[[#This Row],[OU Code]],KM_and_FuelCost[#All],3,))</f>
        <v>22255.780277088084</v>
      </c>
      <c r="M28" s="20">
        <f>IF(AND( Cost_Structure16[[#This Row],[Purchase Year]] &gt;= 2016,Cost_Structure16[[#This Row],[Ownership]]="EMI"), VLOOKUP(Cost_Structure16[[#This Row],[Vehicle Name]],EMI[#All],5,FALSE), 0)</f>
        <v>11420.447400423482</v>
      </c>
      <c r="N28" s="20">
        <f>INDEX(Maintenance[#Data],MATCH(Cost_Structure16[[#This Row],[OU Code]],Maintenance[OU Code],0),MATCH(Cost_Structure16[[#This Row],[Vehicle]],Maintenance[#Headers],0))</f>
        <v>11900</v>
      </c>
      <c r="O28" s="20">
        <f>IF(Cost_Structure16[[#This Row],[Ownership]]="Market",IF(Cost_Structure16[[#This Row],[Vehicle Capacity]]&gt;3,80000,40000),Cost_Structure16[[#This Row],[Fuel Cost]]+Cost_Structure16[[#This Row],[Maintenance]]+Cost_Structure16[[#This Row],[EMI ]])</f>
        <v>45576.227677511561</v>
      </c>
      <c r="P28" s="20" cm="1">
        <f t="array" ref="P2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8" s="20">
        <f>Cost_Structure16[[#This Row],[Vehicle Cost]]+Cost_Structure16[[#This Row],[Team Cost]]</f>
        <v>81576.227677511561</v>
      </c>
    </row>
    <row r="29" spans="1:17" x14ac:dyDescent="0.3">
      <c r="A29">
        <v>23</v>
      </c>
      <c r="B29" t="str">
        <f>VLOOKUP(Cost_Structure16[[#This Row],[Index]],Vehicle[#All],2,)</f>
        <v>Jamnager</v>
      </c>
      <c r="C29" t="str">
        <f>VLOOKUP(Cost_Structure16[[#This Row],[BP Name]],OU_Map[#All],3,)</f>
        <v>JGAB1</v>
      </c>
      <c r="D29" t="str">
        <f>VLOOKUP(Cost_Structure16[[#This Row],[Index]],Vehicle[#All],3,)</f>
        <v>Hardik Patel</v>
      </c>
      <c r="E29" t="str">
        <f>VLOOKUP(Cost_Structure16[[#This Row],[Index]],Vehicle[#All],4,)</f>
        <v>Tata Ace</v>
      </c>
      <c r="F29" t="str">
        <f>VLOOKUP(Cost_Structure16[[#This Row],[Index]],Vehicle_Ownership[#All],4,)</f>
        <v>Owned</v>
      </c>
      <c r="G29" s="3">
        <f>VLOOKUP(Cost_Structure16[[#This Row],[Index]],Year_of_Purchase[#All],4,)</f>
        <v>2018</v>
      </c>
      <c r="H29" t="str">
        <f>VLOOKUP(Cost_Structure16[[#This Row],[Vehicle]],Vehicle_Map[#All],2,)</f>
        <v>Tata Ace</v>
      </c>
      <c r="I29" s="19">
        <f>INDEX(Mileage[#Data],MATCH(Cost_Structure16[[#This Row],[OU Code]],Mileage[OU Code],0),MATCH(Cost_Structure16[[#This Row],[Vehicle]],Mileage[#Headers],0))</f>
        <v>17.527489465012966</v>
      </c>
      <c r="J29" s="19">
        <f>INDEX(Capacity[#Data],MATCH(Cost_Structure16[[#This Row],[OU Code]],Capacity[OU Code],0),MATCH(Cost_Structure16[[#This Row],[Vehicle]],Capacity[#Headers],0))</f>
        <v>0.78423707313208679</v>
      </c>
      <c r="K29">
        <f>VLOOKUP(Cost_Structure16[[#This Row],[OU Code]],KM_and_FuelCost[#All],2,)</f>
        <v>1900</v>
      </c>
      <c r="L29" s="20">
        <f>IF(Cost_Structure16[[#This Row],[Ownership]]="Market",0,(Cost_Structure16[[#This Row],[KM Travelled]]/Cost_Structure16[[#This Row],[Mileage]])*VLOOKUP(Cost_Structure16[[#This Row],[OU Code]],KM_and_FuelCost[#All],3,))</f>
        <v>10865.739812694012</v>
      </c>
      <c r="M29" s="20">
        <f>IF(AND( Cost_Structure16[[#This Row],[Purchase Year]] &gt;= 2016,Cost_Structure16[[#This Row],[Ownership]]="EMI"), VLOOKUP(Cost_Structure16[[#This Row],[Vehicle Name]],EMI[#All],5,FALSE), 0)</f>
        <v>0</v>
      </c>
      <c r="N29" s="20">
        <f>INDEX(Maintenance[#Data],MATCH(Cost_Structure16[[#This Row],[OU Code]],Maintenance[OU Code],0),MATCH(Cost_Structure16[[#This Row],[Vehicle]],Maintenance[#Headers],0))</f>
        <v>10700</v>
      </c>
      <c r="O29" s="20">
        <f>IF(Cost_Structure16[[#This Row],[Ownership]]="Market",IF(Cost_Structure16[[#This Row],[Vehicle Capacity]]&gt;3,80000,40000),Cost_Structure16[[#This Row],[Fuel Cost]]+Cost_Structure16[[#This Row],[Maintenance]]+Cost_Structure16[[#This Row],[EMI ]])</f>
        <v>21565.73981269401</v>
      </c>
      <c r="P29" s="20" cm="1">
        <f t="array" ref="P2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9" s="20">
        <f>Cost_Structure16[[#This Row],[Vehicle Cost]]+Cost_Structure16[[#This Row],[Team Cost]]</f>
        <v>49565.73981269401</v>
      </c>
    </row>
    <row r="30" spans="1:17" x14ac:dyDescent="0.3">
      <c r="A30">
        <v>24</v>
      </c>
      <c r="B30" t="str">
        <f>VLOOKUP(Cost_Structure16[[#This Row],[Index]],Vehicle[#All],2,)</f>
        <v>Rajkot</v>
      </c>
      <c r="C30" t="str">
        <f>VLOOKUP(Cost_Structure16[[#This Row],[BP Name]],OU_Map[#All],3,)</f>
        <v>RAJB1</v>
      </c>
      <c r="D30" t="str">
        <f>VLOOKUP(Cost_Structure16[[#This Row],[Index]],Vehicle[#All],3,)</f>
        <v>Harun Abdul Bhai Theba</v>
      </c>
      <c r="E30" t="str">
        <f>VLOOKUP(Cost_Structure16[[#This Row],[Index]],Vehicle[#All],4,)</f>
        <v>Mahindra</v>
      </c>
      <c r="F30" t="str">
        <f>VLOOKUP(Cost_Structure16[[#This Row],[Index]],Vehicle_Ownership[#All],4,)</f>
        <v>Owned</v>
      </c>
      <c r="G30" s="3">
        <f>VLOOKUP(Cost_Structure16[[#This Row],[Index]],Year_of_Purchase[#All],4,)</f>
        <v>2013</v>
      </c>
      <c r="H30" t="str">
        <f>VLOOKUP(Cost_Structure16[[#This Row],[Vehicle]],Vehicle_Map[#All],2,)</f>
        <v>Mahindra</v>
      </c>
      <c r="I30" s="19">
        <f>INDEX(Mileage[#Data],MATCH(Cost_Structure16[[#This Row],[OU Code]],Mileage[OU Code],0),MATCH(Cost_Structure16[[#This Row],[Vehicle]],Mileage[#Headers],0))</f>
        <v>9.8850325042295175</v>
      </c>
      <c r="J30" s="19">
        <f>INDEX(Capacity[#Data],MATCH(Cost_Structure16[[#This Row],[OU Code]],Capacity[OU Code],0),MATCH(Cost_Structure16[[#This Row],[Vehicle]],Capacity[#Headers],0))</f>
        <v>1.3434882381767432</v>
      </c>
      <c r="K30">
        <f>VLOOKUP(Cost_Structure16[[#This Row],[OU Code]],KM_and_FuelCost[#All],2,)</f>
        <v>1800</v>
      </c>
      <c r="L30" s="20">
        <f>IF(Cost_Structure16[[#This Row],[Ownership]]="Market",0,(Cost_Structure16[[#This Row],[KM Travelled]]/Cost_Structure16[[#This Row],[Mileage]])*VLOOKUP(Cost_Structure16[[#This Row],[OU Code]],KM_and_FuelCost[#All],3,))</f>
        <v>16514.804651662827</v>
      </c>
      <c r="M30" s="20">
        <f>IF(AND( Cost_Structure16[[#This Row],[Purchase Year]] &gt;= 2016,Cost_Structure16[[#This Row],[Ownership]]="EMI"), VLOOKUP(Cost_Structure16[[#This Row],[Vehicle Name]],EMI[#All],5,FALSE), 0)</f>
        <v>0</v>
      </c>
      <c r="N30" s="20">
        <f>INDEX(Maintenance[#Data],MATCH(Cost_Structure16[[#This Row],[OU Code]],Maintenance[OU Code],0),MATCH(Cost_Structure16[[#This Row],[Vehicle]],Maintenance[#Headers],0))</f>
        <v>8600</v>
      </c>
      <c r="O30" s="20">
        <f>IF(Cost_Structure16[[#This Row],[Ownership]]="Market",IF(Cost_Structure16[[#This Row],[Vehicle Capacity]]&gt;3,80000,40000),Cost_Structure16[[#This Row],[Fuel Cost]]+Cost_Structure16[[#This Row],[Maintenance]]+Cost_Structure16[[#This Row],[EMI ]])</f>
        <v>25114.804651662827</v>
      </c>
      <c r="P30" s="20" cm="1">
        <f t="array" ref="P3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0" s="20">
        <f>Cost_Structure16[[#This Row],[Vehicle Cost]]+Cost_Structure16[[#This Row],[Team Cost]]</f>
        <v>53114.804651662824</v>
      </c>
    </row>
    <row r="31" spans="1:17" x14ac:dyDescent="0.3">
      <c r="A31">
        <v>25</v>
      </c>
      <c r="B31" t="str">
        <f>VLOOKUP(Cost_Structure16[[#This Row],[Index]],Vehicle[#All],2,)</f>
        <v>Vadodara</v>
      </c>
      <c r="C31" t="str">
        <f>VLOOKUP(Cost_Structure16[[#This Row],[BP Name]],OU_Map[#All],3,)</f>
        <v>BDQT1</v>
      </c>
      <c r="D31" t="str">
        <f>VLOOKUP(Cost_Structure16[[#This Row],[Index]],Vehicle[#All],3,)</f>
        <v>Inderkumar Moolchand Gupta</v>
      </c>
      <c r="E31" t="str">
        <f>VLOOKUP(Cost_Structure16[[#This Row],[Index]],Vehicle[#All],4,)</f>
        <v>14 ft</v>
      </c>
      <c r="F31" t="str">
        <f>VLOOKUP(Cost_Structure16[[#This Row],[Index]],Vehicle_Ownership[#All],4,)</f>
        <v>Market</v>
      </c>
      <c r="G31" s="3">
        <f>VLOOKUP(Cost_Structure16[[#This Row],[Index]],Year_of_Purchase[#All],4,)</f>
        <v>0</v>
      </c>
      <c r="H31" t="str">
        <f>VLOOKUP(Cost_Structure16[[#This Row],[Vehicle]],Vehicle_Map[#All],2,)</f>
        <v>Eicher 14</v>
      </c>
      <c r="I31" s="19">
        <f>INDEX(Mileage[#Data],MATCH(Cost_Structure16[[#This Row],[OU Code]],Mileage[OU Code],0),MATCH(Cost_Structure16[[#This Row],[Vehicle]],Mileage[#Headers],0))</f>
        <v>12.597885435760045</v>
      </c>
      <c r="J31" s="19">
        <f>INDEX(Capacity[#Data],MATCH(Cost_Structure16[[#This Row],[OU Code]],Capacity[OU Code],0),MATCH(Cost_Structure16[[#This Row],[Vehicle]],Capacity[#Headers],0))</f>
        <v>2.7317924077831095</v>
      </c>
      <c r="K31">
        <f>VLOOKUP(Cost_Structure16[[#This Row],[OU Code]],KM_and_FuelCost[#All],2,)</f>
        <v>3000</v>
      </c>
      <c r="L31" s="20">
        <f>IF(Cost_Structure16[[#This Row],[Ownership]]="Market",0,(Cost_Structure16[[#This Row],[KM Travelled]]/Cost_Structure16[[#This Row],[Mileage]])*VLOOKUP(Cost_Structure16[[#This Row],[OU Code]],KM_and_FuelCost[#All],3,))</f>
        <v>0</v>
      </c>
      <c r="M31" s="20">
        <f>IF(AND( Cost_Structure16[[#This Row],[Purchase Year]] &gt;= 2016,Cost_Structure16[[#This Row],[Ownership]]="EMI"), VLOOKUP(Cost_Structure16[[#This Row],[Vehicle Name]],EMI[#All],5,FALSE), 0)</f>
        <v>0</v>
      </c>
      <c r="N31" s="20">
        <f>INDEX(Maintenance[#Data],MATCH(Cost_Structure16[[#This Row],[OU Code]],Maintenance[OU Code],0),MATCH(Cost_Structure16[[#This Row],[Vehicle]],Maintenance[#Headers],0))</f>
        <v>15100</v>
      </c>
      <c r="O31" s="20">
        <f>IF(Cost_Structure16[[#This Row],[Ownership]]="Market",IF(Cost_Structure16[[#This Row],[Vehicle Capacity]]&gt;3,80000,40000),Cost_Structure16[[#This Row],[Fuel Cost]]+Cost_Structure16[[#This Row],[Maintenance]]+Cost_Structure16[[#This Row],[EMI ]])</f>
        <v>40000</v>
      </c>
      <c r="P31" s="20" cm="1">
        <f t="array" ref="P3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1" s="20">
        <f>Cost_Structure16[[#This Row],[Vehicle Cost]]+Cost_Structure16[[#This Row],[Team Cost]]</f>
        <v>48000</v>
      </c>
    </row>
    <row r="32" spans="1:17" x14ac:dyDescent="0.3">
      <c r="A32">
        <v>26</v>
      </c>
      <c r="B32" t="str">
        <f>VLOOKUP(Cost_Structure16[[#This Row],[Index]],Vehicle[#All],2,)</f>
        <v>Vadodara</v>
      </c>
      <c r="C32" t="str">
        <f>VLOOKUP(Cost_Structure16[[#This Row],[BP Name]],OU_Map[#All],3,)</f>
        <v>BDQT1</v>
      </c>
      <c r="D32" t="str">
        <f>VLOOKUP(Cost_Structure16[[#This Row],[Index]],Vehicle[#All],3,)</f>
        <v>Inderkumar Moolchand Gupta</v>
      </c>
      <c r="E32" t="str">
        <f>VLOOKUP(Cost_Structure16[[#This Row],[Index]],Vehicle[#All],4,)</f>
        <v>AL Dost</v>
      </c>
      <c r="F32" t="str">
        <f>VLOOKUP(Cost_Structure16[[#This Row],[Index]],Vehicle_Ownership[#All],4,)</f>
        <v>EMI</v>
      </c>
      <c r="G32" s="3">
        <f>VLOOKUP(Cost_Structure16[[#This Row],[Index]],Year_of_Purchase[#All],4,)</f>
        <v>2019</v>
      </c>
      <c r="H32" t="str">
        <f>VLOOKUP(Cost_Structure16[[#This Row],[Vehicle]],Vehicle_Map[#All],2,)</f>
        <v>AL Dost</v>
      </c>
      <c r="I32" s="19">
        <f>INDEX(Mileage[#Data],MATCH(Cost_Structure16[[#This Row],[OU Code]],Mileage[OU Code],0),MATCH(Cost_Structure16[[#This Row],[Vehicle]],Mileage[#Headers],0))</f>
        <v>16.206961290646341</v>
      </c>
      <c r="J32" s="19">
        <f>INDEX(Capacity[#Data],MATCH(Cost_Structure16[[#This Row],[OU Code]],Capacity[OU Code],0),MATCH(Cost_Structure16[[#This Row],[Vehicle]],Capacity[#Headers],0))</f>
        <v>0.97146367060579686</v>
      </c>
      <c r="K32">
        <f>VLOOKUP(Cost_Structure16[[#This Row],[OU Code]],KM_and_FuelCost[#All],2,)</f>
        <v>3000</v>
      </c>
      <c r="L32" s="20">
        <f>IF(Cost_Structure16[[#This Row],[Ownership]]="Market",0,(Cost_Structure16[[#This Row],[KM Travelled]]/Cost_Structure16[[#This Row],[Mileage]])*VLOOKUP(Cost_Structure16[[#This Row],[OU Code]],KM_and_FuelCost[#All],3,))</f>
        <v>14542.423275093808</v>
      </c>
      <c r="M32" s="20">
        <f>IF(AND( Cost_Structure16[[#This Row],[Purchase Year]] &gt;= 2016,Cost_Structure16[[#This Row],[Ownership]]="EMI"), VLOOKUP(Cost_Structure16[[#This Row],[Vehicle Name]],EMI[#All],5,FALSE), 0)</f>
        <v>7613.6316002823205</v>
      </c>
      <c r="N32" s="20">
        <f>INDEX(Maintenance[#Data],MATCH(Cost_Structure16[[#This Row],[OU Code]],Maintenance[OU Code],0),MATCH(Cost_Structure16[[#This Row],[Vehicle]],Maintenance[#Headers],0))</f>
        <v>10200</v>
      </c>
      <c r="O32" s="20">
        <f>IF(Cost_Structure16[[#This Row],[Ownership]]="Market",IF(Cost_Structure16[[#This Row],[Vehicle Capacity]]&gt;3,80000,40000),Cost_Structure16[[#This Row],[Fuel Cost]]+Cost_Structure16[[#This Row],[Maintenance]]+Cost_Structure16[[#This Row],[EMI ]])</f>
        <v>32356.054875376132</v>
      </c>
      <c r="P32" s="20" cm="1">
        <f t="array" ref="P3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2" s="20">
        <f>Cost_Structure16[[#This Row],[Vehicle Cost]]+Cost_Structure16[[#This Row],[Team Cost]]</f>
        <v>60356.054875376132</v>
      </c>
    </row>
    <row r="33" spans="1:17" x14ac:dyDescent="0.3">
      <c r="A33">
        <v>27</v>
      </c>
      <c r="B33" t="str">
        <f>VLOOKUP(Cost_Structure16[[#This Row],[Index]],Vehicle[#All],2,)</f>
        <v>Vadodara</v>
      </c>
      <c r="C33" t="str">
        <f>VLOOKUP(Cost_Structure16[[#This Row],[BP Name]],OU_Map[#All],3,)</f>
        <v>BDQT1</v>
      </c>
      <c r="D33" t="str">
        <f>VLOOKUP(Cost_Structure16[[#This Row],[Index]],Vehicle[#All],3,)</f>
        <v>Inderkumar Moolchand Gupta</v>
      </c>
      <c r="E33" t="str">
        <f>VLOOKUP(Cost_Structure16[[#This Row],[Index]],Vehicle[#All],4,)</f>
        <v>Super ace</v>
      </c>
      <c r="F33" t="str">
        <f>VLOOKUP(Cost_Structure16[[#This Row],[Index]],Vehicle_Ownership[#All],4,)</f>
        <v>EMI</v>
      </c>
      <c r="G33" s="3">
        <f>VLOOKUP(Cost_Structure16[[#This Row],[Index]],Year_of_Purchase[#All],4,)</f>
        <v>2018</v>
      </c>
      <c r="H33" t="str">
        <f>VLOOKUP(Cost_Structure16[[#This Row],[Vehicle]],Vehicle_Map[#All],2,)</f>
        <v>Super ace</v>
      </c>
      <c r="I33" s="19">
        <f>INDEX(Mileage[#Data],MATCH(Cost_Structure16[[#This Row],[OU Code]],Mileage[OU Code],0),MATCH(Cost_Structure16[[#This Row],[Vehicle]],Mileage[#Headers],0))</f>
        <v>9.9226528824228826</v>
      </c>
      <c r="J33" s="19">
        <f>INDEX(Capacity[#Data],MATCH(Cost_Structure16[[#This Row],[OU Code]],Capacity[OU Code],0),MATCH(Cost_Structure16[[#This Row],[Vehicle]],Capacity[#Headers],0))</f>
        <v>1.6651510049498304</v>
      </c>
      <c r="K33">
        <f>VLOOKUP(Cost_Structure16[[#This Row],[OU Code]],KM_and_FuelCost[#All],2,)</f>
        <v>3000</v>
      </c>
      <c r="L33" s="20">
        <f>IF(Cost_Structure16[[#This Row],[Ownership]]="Market",0,(Cost_Structure16[[#This Row],[KM Travelled]]/Cost_Structure16[[#This Row],[Mileage]])*VLOOKUP(Cost_Structure16[[#This Row],[OU Code]],KM_and_FuelCost[#All],3,))</f>
        <v>23752.568379081509</v>
      </c>
      <c r="M33" s="20">
        <f>IF(AND( Cost_Structure16[[#This Row],[Purchase Year]] &gt;= 2016,Cost_Structure16[[#This Row],[Ownership]]="EMI"), VLOOKUP(Cost_Structure16[[#This Row],[Vehicle Name]],EMI[#All],5,FALSE), 0)</f>
        <v>8374.9947603105538</v>
      </c>
      <c r="N33" s="20">
        <f>INDEX(Maintenance[#Data],MATCH(Cost_Structure16[[#This Row],[OU Code]],Maintenance[OU Code],0),MATCH(Cost_Structure16[[#This Row],[Vehicle]],Maintenance[#Headers],0))</f>
        <v>10500</v>
      </c>
      <c r="O33" s="20">
        <f>IF(Cost_Structure16[[#This Row],[Ownership]]="Market",IF(Cost_Structure16[[#This Row],[Vehicle Capacity]]&gt;3,80000,40000),Cost_Structure16[[#This Row],[Fuel Cost]]+Cost_Structure16[[#This Row],[Maintenance]]+Cost_Structure16[[#This Row],[EMI ]])</f>
        <v>42627.563139392063</v>
      </c>
      <c r="P33" s="20" cm="1">
        <f t="array" ref="P3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3" s="20">
        <f>Cost_Structure16[[#This Row],[Vehicle Cost]]+Cost_Structure16[[#This Row],[Team Cost]]</f>
        <v>70627.563139392063</v>
      </c>
    </row>
    <row r="34" spans="1:17" x14ac:dyDescent="0.3">
      <c r="A34">
        <v>28</v>
      </c>
      <c r="B34" t="str">
        <f>VLOOKUP(Cost_Structure16[[#This Row],[Index]],Vehicle[#All],2,)</f>
        <v>Vadodara</v>
      </c>
      <c r="C34" t="str">
        <f>VLOOKUP(Cost_Structure16[[#This Row],[BP Name]],OU_Map[#All],3,)</f>
        <v>BDQT1</v>
      </c>
      <c r="D34" t="str">
        <f>VLOOKUP(Cost_Structure16[[#This Row],[Index]],Vehicle[#All],3,)</f>
        <v>Karan Mistry_Delivery</v>
      </c>
      <c r="E34" t="str">
        <f>VLOOKUP(Cost_Structure16[[#This Row],[Index]],Vehicle[#All],4,)</f>
        <v>Tata Ace</v>
      </c>
      <c r="F34" t="str">
        <f>VLOOKUP(Cost_Structure16[[#This Row],[Index]],Vehicle_Ownership[#All],4,)</f>
        <v>EMI</v>
      </c>
      <c r="G34" s="3">
        <f>VLOOKUP(Cost_Structure16[[#This Row],[Index]],Year_of_Purchase[#All],4,)</f>
        <v>2013</v>
      </c>
      <c r="H34" t="str">
        <f>VLOOKUP(Cost_Structure16[[#This Row],[Vehicle]],Vehicle_Map[#All],2,)</f>
        <v>Tata Ace</v>
      </c>
      <c r="I34" s="19">
        <f>INDEX(Mileage[#Data],MATCH(Cost_Structure16[[#This Row],[OU Code]],Mileage[OU Code],0),MATCH(Cost_Structure16[[#This Row],[Vehicle]],Mileage[#Headers],0))</f>
        <v>18.889971546597494</v>
      </c>
      <c r="J34" s="19">
        <f>INDEX(Capacity[#Data],MATCH(Cost_Structure16[[#This Row],[OU Code]],Capacity[OU Code],0),MATCH(Cost_Structure16[[#This Row],[Vehicle]],Capacity[#Headers],0))</f>
        <v>0.79022382032227789</v>
      </c>
      <c r="K34">
        <f>VLOOKUP(Cost_Structure16[[#This Row],[OU Code]],KM_and_FuelCost[#All],2,)</f>
        <v>3000</v>
      </c>
      <c r="L34" s="20">
        <f>IF(Cost_Structure16[[#This Row],[Ownership]]="Market",0,(Cost_Structure16[[#This Row],[KM Travelled]]/Cost_Structure16[[#This Row],[Mileage]])*VLOOKUP(Cost_Structure16[[#This Row],[OU Code]],KM_and_FuelCost[#All],3,))</f>
        <v>12476.910857713416</v>
      </c>
      <c r="M34" s="20">
        <f>IF(AND( Cost_Structure16[[#This Row],[Purchase Year]] &gt;= 2016,Cost_Structure16[[#This Row],[Ownership]]="EMI"), VLOOKUP(Cost_Structure16[[#This Row],[Vehicle Name]],EMI[#All],5,FALSE), 0)</f>
        <v>0</v>
      </c>
      <c r="N34" s="20">
        <f>INDEX(Maintenance[#Data],MATCH(Cost_Structure16[[#This Row],[OU Code]],Maintenance[OU Code],0),MATCH(Cost_Structure16[[#This Row],[Vehicle]],Maintenance[#Headers],0))</f>
        <v>10700</v>
      </c>
      <c r="O34" s="20">
        <f>IF(Cost_Structure16[[#This Row],[Ownership]]="Market",IF(Cost_Structure16[[#This Row],[Vehicle Capacity]]&gt;3,80000,40000),Cost_Structure16[[#This Row],[Fuel Cost]]+Cost_Structure16[[#This Row],[Maintenance]]+Cost_Structure16[[#This Row],[EMI ]])</f>
        <v>23176.910857713417</v>
      </c>
      <c r="P34" s="20" cm="1">
        <f t="array" ref="P3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4" s="20">
        <f>Cost_Structure16[[#This Row],[Vehicle Cost]]+Cost_Structure16[[#This Row],[Team Cost]]</f>
        <v>51176.910857713417</v>
      </c>
    </row>
    <row r="35" spans="1:17" x14ac:dyDescent="0.3">
      <c r="A35">
        <v>29</v>
      </c>
      <c r="B35" t="str">
        <f>VLOOKUP(Cost_Structure16[[#This Row],[Index]],Vehicle[#All],2,)</f>
        <v>Vadodara</v>
      </c>
      <c r="C35" t="str">
        <f>VLOOKUP(Cost_Structure16[[#This Row],[BP Name]],OU_Map[#All],3,)</f>
        <v>BDQT1</v>
      </c>
      <c r="D35" t="str">
        <f>VLOOKUP(Cost_Structure16[[#This Row],[Index]],Vehicle[#All],3,)</f>
        <v>Karan Mistry_Delivery</v>
      </c>
      <c r="E35" t="str">
        <f>VLOOKUP(Cost_Structure16[[#This Row],[Index]],Vehicle[#All],4,)</f>
        <v>Super ace</v>
      </c>
      <c r="F35" t="str">
        <f>VLOOKUP(Cost_Structure16[[#This Row],[Index]],Vehicle_Ownership[#All],4,)</f>
        <v>Owned</v>
      </c>
      <c r="G35" s="3">
        <f>VLOOKUP(Cost_Structure16[[#This Row],[Index]],Year_of_Purchase[#All],4,)</f>
        <v>2015</v>
      </c>
      <c r="H35" t="str">
        <f>VLOOKUP(Cost_Structure16[[#This Row],[Vehicle]],Vehicle_Map[#All],2,)</f>
        <v>Super ace</v>
      </c>
      <c r="I35" s="19">
        <f>INDEX(Mileage[#Data],MATCH(Cost_Structure16[[#This Row],[OU Code]],Mileage[OU Code],0),MATCH(Cost_Structure16[[#This Row],[Vehicle]],Mileage[#Headers],0))</f>
        <v>9.9226528824228826</v>
      </c>
      <c r="J35" s="19">
        <f>INDEX(Capacity[#Data],MATCH(Cost_Structure16[[#This Row],[OU Code]],Capacity[OU Code],0),MATCH(Cost_Structure16[[#This Row],[Vehicle]],Capacity[#Headers],0))</f>
        <v>1.6651510049498304</v>
      </c>
      <c r="K35">
        <f>VLOOKUP(Cost_Structure16[[#This Row],[OU Code]],KM_and_FuelCost[#All],2,)</f>
        <v>3000</v>
      </c>
      <c r="L35" s="20">
        <f>IF(Cost_Structure16[[#This Row],[Ownership]]="Market",0,(Cost_Structure16[[#This Row],[KM Travelled]]/Cost_Structure16[[#This Row],[Mileage]])*VLOOKUP(Cost_Structure16[[#This Row],[OU Code]],KM_and_FuelCost[#All],3,))</f>
        <v>23752.568379081509</v>
      </c>
      <c r="M35" s="20">
        <f>IF(AND( Cost_Structure16[[#This Row],[Purchase Year]] &gt;= 2016,Cost_Structure16[[#This Row],[Ownership]]="EMI"), VLOOKUP(Cost_Structure16[[#This Row],[Vehicle Name]],EMI[#All],5,FALSE), 0)</f>
        <v>0</v>
      </c>
      <c r="N35" s="20">
        <f>INDEX(Maintenance[#Data],MATCH(Cost_Structure16[[#This Row],[OU Code]],Maintenance[OU Code],0),MATCH(Cost_Structure16[[#This Row],[Vehicle]],Maintenance[#Headers],0))</f>
        <v>10500</v>
      </c>
      <c r="O35" s="20">
        <f>IF(Cost_Structure16[[#This Row],[Ownership]]="Market",IF(Cost_Structure16[[#This Row],[Vehicle Capacity]]&gt;3,80000,40000),Cost_Structure16[[#This Row],[Fuel Cost]]+Cost_Structure16[[#This Row],[Maintenance]]+Cost_Structure16[[#This Row],[EMI ]])</f>
        <v>34252.568379081509</v>
      </c>
      <c r="P35" s="20" cm="1">
        <f t="array" ref="P3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5" s="20">
        <f>Cost_Structure16[[#This Row],[Vehicle Cost]]+Cost_Structure16[[#This Row],[Team Cost]]</f>
        <v>62252.568379081509</v>
      </c>
    </row>
    <row r="36" spans="1:17" x14ac:dyDescent="0.3">
      <c r="A36">
        <v>30</v>
      </c>
      <c r="B36" t="str">
        <f>VLOOKUP(Cost_Structure16[[#This Row],[Index]],Vehicle[#All],2,)</f>
        <v>Ahmedabad Branch</v>
      </c>
      <c r="C36" t="str">
        <f>VLOOKUP(Cost_Structure16[[#This Row],[BP Name]],OU_Map[#All],3,)</f>
        <v>AMDT1</v>
      </c>
      <c r="D36" t="str">
        <f>VLOOKUP(Cost_Structure16[[#This Row],[Index]],Vehicle[#All],3,)</f>
        <v>Lalaji Bhai Thakor</v>
      </c>
      <c r="E36" t="str">
        <f>VLOOKUP(Cost_Structure16[[#This Row],[Index]],Vehicle[#All],4,)</f>
        <v>AL Dost</v>
      </c>
      <c r="F36" t="str">
        <f>VLOOKUP(Cost_Structure16[[#This Row],[Index]],Vehicle_Ownership[#All],4,)</f>
        <v>EMI</v>
      </c>
      <c r="G36" s="3">
        <f>VLOOKUP(Cost_Structure16[[#This Row],[Index]],Year_of_Purchase[#All],4,)</f>
        <v>2013</v>
      </c>
      <c r="H36" t="str">
        <f>VLOOKUP(Cost_Structure16[[#This Row],[Vehicle]],Vehicle_Map[#All],2,)</f>
        <v>AL Dost</v>
      </c>
      <c r="I36" s="19">
        <f>INDEX(Mileage[#Data],MATCH(Cost_Structure16[[#This Row],[OU Code]],Mileage[OU Code],0),MATCH(Cost_Structure16[[#This Row],[Vehicle]],Mileage[#Headers],0))</f>
        <v>13.451738176402987</v>
      </c>
      <c r="J36" s="19">
        <f>INDEX(Capacity[#Data],MATCH(Cost_Structure16[[#This Row],[OU Code]],Capacity[OU Code],0),MATCH(Cost_Structure16[[#This Row],[Vehicle]],Capacity[#Headers],0))</f>
        <v>1.4794834103460122</v>
      </c>
      <c r="K36">
        <f>VLOOKUP(Cost_Structure16[[#This Row],[OU Code]],KM_and_FuelCost[#All],2,)</f>
        <v>2900</v>
      </c>
      <c r="L36" s="20">
        <f>IF(Cost_Structure16[[#This Row],[Ownership]]="Market",0,(Cost_Structure16[[#This Row],[KM Travelled]]/Cost_Structure16[[#This Row],[Mileage]])*VLOOKUP(Cost_Structure16[[#This Row],[OU Code]],KM_and_FuelCost[#All],3,))</f>
        <v>21664.323133455633</v>
      </c>
      <c r="M36" s="20">
        <f>IF(AND( Cost_Structure16[[#This Row],[Purchase Year]] &gt;= 2016,Cost_Structure16[[#This Row],[Ownership]]="EMI"), VLOOKUP(Cost_Structure16[[#This Row],[Vehicle Name]],EMI[#All],5,FALSE), 0)</f>
        <v>0</v>
      </c>
      <c r="N36" s="20">
        <f>INDEX(Maintenance[#Data],MATCH(Cost_Structure16[[#This Row],[OU Code]],Maintenance[OU Code],0),MATCH(Cost_Structure16[[#This Row],[Vehicle]],Maintenance[#Headers],0))</f>
        <v>7600</v>
      </c>
      <c r="O36" s="20">
        <f>IF(Cost_Structure16[[#This Row],[Ownership]]="Market",IF(Cost_Structure16[[#This Row],[Vehicle Capacity]]&gt;3,80000,40000),Cost_Structure16[[#This Row],[Fuel Cost]]+Cost_Structure16[[#This Row],[Maintenance]]+Cost_Structure16[[#This Row],[EMI ]])</f>
        <v>29264.323133455633</v>
      </c>
      <c r="P36" s="20" cm="1">
        <f t="array" ref="P3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6" s="20">
        <f>Cost_Structure16[[#This Row],[Vehicle Cost]]+Cost_Structure16[[#This Row],[Team Cost]]</f>
        <v>57264.323133455633</v>
      </c>
    </row>
    <row r="37" spans="1:17" x14ac:dyDescent="0.3">
      <c r="A37">
        <v>31</v>
      </c>
      <c r="B37" t="str">
        <f>VLOOKUP(Cost_Structure16[[#This Row],[Index]],Vehicle[#All],2,)</f>
        <v>Amreli</v>
      </c>
      <c r="C37" t="str">
        <f>VLOOKUP(Cost_Structure16[[#This Row],[BP Name]],OU_Map[#All],3,)</f>
        <v>AKVB1</v>
      </c>
      <c r="D37" t="str">
        <f>VLOOKUP(Cost_Structure16[[#This Row],[Index]],Vehicle[#All],3,)</f>
        <v>Mamata Pal</v>
      </c>
      <c r="E37" t="str">
        <f>VLOOKUP(Cost_Structure16[[#This Row],[Index]],Vehicle[#All],4,)</f>
        <v>AL Dost</v>
      </c>
      <c r="F37" t="str">
        <f>VLOOKUP(Cost_Structure16[[#This Row],[Index]],Vehicle_Ownership[#All],4,)</f>
        <v>Owned</v>
      </c>
      <c r="G37" s="3">
        <f>VLOOKUP(Cost_Structure16[[#This Row],[Index]],Year_of_Purchase[#All],4,)</f>
        <v>2011</v>
      </c>
      <c r="H37" t="str">
        <f>VLOOKUP(Cost_Structure16[[#This Row],[Vehicle]],Vehicle_Map[#All],2,)</f>
        <v>AL Dost</v>
      </c>
      <c r="I37" s="19">
        <f>INDEX(Mileage[#Data],MATCH(Cost_Structure16[[#This Row],[OU Code]],Mileage[OU Code],0),MATCH(Cost_Structure16[[#This Row],[Vehicle]],Mileage[#Headers],0))</f>
        <v>12.342261159350826</v>
      </c>
      <c r="J37" s="19">
        <f>INDEX(Capacity[#Data],MATCH(Cost_Structure16[[#This Row],[OU Code]],Capacity[OU Code],0),MATCH(Cost_Structure16[[#This Row],[Vehicle]],Capacity[#Headers],0))</f>
        <v>1.4205369964896497</v>
      </c>
      <c r="K37">
        <f>VLOOKUP(Cost_Structure16[[#This Row],[OU Code]],KM_and_FuelCost[#All],2,)</f>
        <v>2400</v>
      </c>
      <c r="L37" s="20">
        <f>IF(Cost_Structure16[[#This Row],[Ownership]]="Market",0,(Cost_Structure16[[#This Row],[KM Travelled]]/Cost_Structure16[[#This Row],[Mileage]])*VLOOKUP(Cost_Structure16[[#This Row],[OU Code]],KM_and_FuelCost[#All],3,))</f>
        <v>19100.862449123269</v>
      </c>
      <c r="M37" s="20">
        <f>IF(AND( Cost_Structure16[[#This Row],[Purchase Year]] &gt;= 2016,Cost_Structure16[[#This Row],[Ownership]]="EMI"), VLOOKUP(Cost_Structure16[[#This Row],[Vehicle Name]],EMI[#All],5,FALSE), 0)</f>
        <v>0</v>
      </c>
      <c r="N37" s="20">
        <f>INDEX(Maintenance[#Data],MATCH(Cost_Structure16[[#This Row],[OU Code]],Maintenance[OU Code],0),MATCH(Cost_Structure16[[#This Row],[Vehicle]],Maintenance[#Headers],0))</f>
        <v>6500</v>
      </c>
      <c r="O37" s="20">
        <f>IF(Cost_Structure16[[#This Row],[Ownership]]="Market",IF(Cost_Structure16[[#This Row],[Vehicle Capacity]]&gt;3,80000,40000),Cost_Structure16[[#This Row],[Fuel Cost]]+Cost_Structure16[[#This Row],[Maintenance]]+Cost_Structure16[[#This Row],[EMI ]])</f>
        <v>25600.862449123269</v>
      </c>
      <c r="P37" s="20" cm="1">
        <f t="array" ref="P3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7" s="20">
        <f>Cost_Structure16[[#This Row],[Vehicle Cost]]+Cost_Structure16[[#This Row],[Team Cost]]</f>
        <v>53600.862449123269</v>
      </c>
    </row>
    <row r="38" spans="1:17" x14ac:dyDescent="0.3">
      <c r="A38">
        <v>32</v>
      </c>
      <c r="B38" t="str">
        <f>VLOOKUP(Cost_Structure16[[#This Row],[Index]],Vehicle[#All],2,)</f>
        <v>Surat</v>
      </c>
      <c r="C38" t="str">
        <f>VLOOKUP(Cost_Structure16[[#This Row],[BP Name]],OU_Map[#All],3,)</f>
        <v>STVT1</v>
      </c>
      <c r="D38" t="str">
        <f>VLOOKUP(Cost_Structure16[[#This Row],[Index]],Vehicle[#All],3,)</f>
        <v>Manisha Pravin Patil</v>
      </c>
      <c r="E38" t="str">
        <f>VLOOKUP(Cost_Structure16[[#This Row],[Index]],Vehicle[#All],4,)</f>
        <v>14 ft</v>
      </c>
      <c r="F38" t="str">
        <f>VLOOKUP(Cost_Structure16[[#This Row],[Index]],Vehicle_Ownership[#All],4,)</f>
        <v>Market</v>
      </c>
      <c r="G38" s="3">
        <f>VLOOKUP(Cost_Structure16[[#This Row],[Index]],Year_of_Purchase[#All],4,)</f>
        <v>0</v>
      </c>
      <c r="H38" t="str">
        <f>VLOOKUP(Cost_Structure16[[#This Row],[Vehicle]],Vehicle_Map[#All],2,)</f>
        <v>Eicher 14</v>
      </c>
      <c r="I38" s="19">
        <f>INDEX(Mileage[#Data],MATCH(Cost_Structure16[[#This Row],[OU Code]],Mileage[OU Code],0),MATCH(Cost_Structure16[[#This Row],[Vehicle]],Mileage[#Headers],0))</f>
        <v>13.044642984582476</v>
      </c>
      <c r="J38" s="19">
        <f>INDEX(Capacity[#Data],MATCH(Cost_Structure16[[#This Row],[OU Code]],Capacity[OU Code],0),MATCH(Cost_Structure16[[#This Row],[Vehicle]],Capacity[#Headers],0))</f>
        <v>2.042136553081618</v>
      </c>
      <c r="K38">
        <f>VLOOKUP(Cost_Structure16[[#This Row],[OU Code]],KM_and_FuelCost[#All],2,)</f>
        <v>2900</v>
      </c>
      <c r="L38" s="20">
        <f>IF(Cost_Structure16[[#This Row],[Ownership]]="Market",0,(Cost_Structure16[[#This Row],[KM Travelled]]/Cost_Structure16[[#This Row],[Mileage]])*VLOOKUP(Cost_Structure16[[#This Row],[OU Code]],KM_and_FuelCost[#All],3,))</f>
        <v>0</v>
      </c>
      <c r="M38" s="20">
        <f>IF(AND( Cost_Structure16[[#This Row],[Purchase Year]] &gt;= 2016,Cost_Structure16[[#This Row],[Ownership]]="EMI"), VLOOKUP(Cost_Structure16[[#This Row],[Vehicle Name]],EMI[#All],5,FALSE), 0)</f>
        <v>0</v>
      </c>
      <c r="N38" s="20">
        <f>INDEX(Maintenance[#Data],MATCH(Cost_Structure16[[#This Row],[OU Code]],Maintenance[OU Code],0),MATCH(Cost_Structure16[[#This Row],[Vehicle]],Maintenance[#Headers],0))</f>
        <v>18700</v>
      </c>
      <c r="O38" s="20">
        <f>IF(Cost_Structure16[[#This Row],[Ownership]]="Market",IF(Cost_Structure16[[#This Row],[Vehicle Capacity]]&gt;3,80000,40000),Cost_Structure16[[#This Row],[Fuel Cost]]+Cost_Structure16[[#This Row],[Maintenance]]+Cost_Structure16[[#This Row],[EMI ]])</f>
        <v>40000</v>
      </c>
      <c r="P38" s="20" cm="1">
        <f t="array" ref="P3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8" s="20">
        <f>Cost_Structure16[[#This Row],[Vehicle Cost]]+Cost_Structure16[[#This Row],[Team Cost]]</f>
        <v>48000</v>
      </c>
    </row>
    <row r="39" spans="1:17" x14ac:dyDescent="0.3">
      <c r="A39">
        <v>33</v>
      </c>
      <c r="B39" t="str">
        <f>VLOOKUP(Cost_Structure16[[#This Row],[Index]],Vehicle[#All],2,)</f>
        <v>Surat</v>
      </c>
      <c r="C39" t="str">
        <f>VLOOKUP(Cost_Structure16[[#This Row],[BP Name]],OU_Map[#All],3,)</f>
        <v>STVT1</v>
      </c>
      <c r="D39" t="str">
        <f>VLOOKUP(Cost_Structure16[[#This Row],[Index]],Vehicle[#All],3,)</f>
        <v>Manisha Pravin Patil</v>
      </c>
      <c r="E39" t="str">
        <f>VLOOKUP(Cost_Structure16[[#This Row],[Index]],Vehicle[#All],4,)</f>
        <v>Tata Ace</v>
      </c>
      <c r="F39" t="str">
        <f>VLOOKUP(Cost_Structure16[[#This Row],[Index]],Vehicle_Ownership[#All],4,)</f>
        <v>Owned</v>
      </c>
      <c r="G39" s="3">
        <f>VLOOKUP(Cost_Structure16[[#This Row],[Index]],Year_of_Purchase[#All],4,)</f>
        <v>2013</v>
      </c>
      <c r="H39" t="str">
        <f>VLOOKUP(Cost_Structure16[[#This Row],[Vehicle]],Vehicle_Map[#All],2,)</f>
        <v>Tata Ace</v>
      </c>
      <c r="I39" s="19">
        <f>INDEX(Mileage[#Data],MATCH(Cost_Structure16[[#This Row],[OU Code]],Mileage[OU Code],0),MATCH(Cost_Structure16[[#This Row],[Vehicle]],Mileage[#Headers],0))</f>
        <v>17.294647938760768</v>
      </c>
      <c r="J39" s="19">
        <f>INDEX(Capacity[#Data],MATCH(Cost_Structure16[[#This Row],[OU Code]],Capacity[OU Code],0),MATCH(Cost_Structure16[[#This Row],[Vehicle]],Capacity[#Headers],0))</f>
        <v>1.0764283836997799</v>
      </c>
      <c r="K39">
        <f>VLOOKUP(Cost_Structure16[[#This Row],[OU Code]],KM_and_FuelCost[#All],2,)</f>
        <v>2900</v>
      </c>
      <c r="L39" s="20">
        <f>IF(Cost_Structure16[[#This Row],[Ownership]]="Market",0,(Cost_Structure16[[#This Row],[KM Travelled]]/Cost_Structure16[[#This Row],[Mileage]])*VLOOKUP(Cost_Structure16[[#This Row],[OU Code]],KM_and_FuelCost[#All],3,))</f>
        <v>16669.829348340325</v>
      </c>
      <c r="M39" s="20">
        <f>IF(AND( Cost_Structure16[[#This Row],[Purchase Year]] &gt;= 2016,Cost_Structure16[[#This Row],[Ownership]]="EMI"), VLOOKUP(Cost_Structure16[[#This Row],[Vehicle Name]],EMI[#All],5,FALSE), 0)</f>
        <v>0</v>
      </c>
      <c r="N39" s="20">
        <f>INDEX(Maintenance[#Data],MATCH(Cost_Structure16[[#This Row],[OU Code]],Maintenance[OU Code],0),MATCH(Cost_Structure16[[#This Row],[Vehicle]],Maintenance[#Headers],0))</f>
        <v>11500</v>
      </c>
      <c r="O39" s="20">
        <f>IF(Cost_Structure16[[#This Row],[Ownership]]="Market",IF(Cost_Structure16[[#This Row],[Vehicle Capacity]]&gt;3,80000,40000),Cost_Structure16[[#This Row],[Fuel Cost]]+Cost_Structure16[[#This Row],[Maintenance]]+Cost_Structure16[[#This Row],[EMI ]])</f>
        <v>28169.829348340325</v>
      </c>
      <c r="P39" s="20" cm="1">
        <f t="array" ref="P3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9" s="20">
        <f>Cost_Structure16[[#This Row],[Vehicle Cost]]+Cost_Structure16[[#This Row],[Team Cost]]</f>
        <v>56169.829348340325</v>
      </c>
    </row>
    <row r="40" spans="1:17" x14ac:dyDescent="0.3">
      <c r="A40">
        <v>34</v>
      </c>
      <c r="B40" t="str">
        <f>VLOOKUP(Cost_Structure16[[#This Row],[Index]],Vehicle[#All],2,)</f>
        <v>Vadodara</v>
      </c>
      <c r="C40" t="str">
        <f>VLOOKUP(Cost_Structure16[[#This Row],[BP Name]],OU_Map[#All],3,)</f>
        <v>BDQT1</v>
      </c>
      <c r="D40" t="str">
        <f>VLOOKUP(Cost_Structure16[[#This Row],[Index]],Vehicle[#All],3,)</f>
        <v>Meenakshi Gupta</v>
      </c>
      <c r="E40" t="str">
        <f>VLOOKUP(Cost_Structure16[[#This Row],[Index]],Vehicle[#All],4,)</f>
        <v>AL Dost</v>
      </c>
      <c r="F40" t="str">
        <f>VLOOKUP(Cost_Structure16[[#This Row],[Index]],Vehicle_Ownership[#All],4,)</f>
        <v>Owned</v>
      </c>
      <c r="G40" s="3">
        <f>VLOOKUP(Cost_Structure16[[#This Row],[Index]],Year_of_Purchase[#All],4,)</f>
        <v>2015</v>
      </c>
      <c r="H40" t="str">
        <f>VLOOKUP(Cost_Structure16[[#This Row],[Vehicle]],Vehicle_Map[#All],2,)</f>
        <v>AL Dost</v>
      </c>
      <c r="I40" s="19">
        <f>INDEX(Mileage[#Data],MATCH(Cost_Structure16[[#This Row],[OU Code]],Mileage[OU Code],0),MATCH(Cost_Structure16[[#This Row],[Vehicle]],Mileage[#Headers],0))</f>
        <v>16.206961290646341</v>
      </c>
      <c r="J40" s="19">
        <f>INDEX(Capacity[#Data],MATCH(Cost_Structure16[[#This Row],[OU Code]],Capacity[OU Code],0),MATCH(Cost_Structure16[[#This Row],[Vehicle]],Capacity[#Headers],0))</f>
        <v>0.97146367060579686</v>
      </c>
      <c r="K40">
        <f>VLOOKUP(Cost_Structure16[[#This Row],[OU Code]],KM_and_FuelCost[#All],2,)</f>
        <v>3000</v>
      </c>
      <c r="L40" s="20">
        <f>IF(Cost_Structure16[[#This Row],[Ownership]]="Market",0,(Cost_Structure16[[#This Row],[KM Travelled]]/Cost_Structure16[[#This Row],[Mileage]])*VLOOKUP(Cost_Structure16[[#This Row],[OU Code]],KM_and_FuelCost[#All],3,))</f>
        <v>14542.423275093808</v>
      </c>
      <c r="M40" s="20">
        <f>IF(AND( Cost_Structure16[[#This Row],[Purchase Year]] &gt;= 2016,Cost_Structure16[[#This Row],[Ownership]]="EMI"), VLOOKUP(Cost_Structure16[[#This Row],[Vehicle Name]],EMI[#All],5,FALSE), 0)</f>
        <v>0</v>
      </c>
      <c r="N40" s="20">
        <f>INDEX(Maintenance[#Data],MATCH(Cost_Structure16[[#This Row],[OU Code]],Maintenance[OU Code],0),MATCH(Cost_Structure16[[#This Row],[Vehicle]],Maintenance[#Headers],0))</f>
        <v>10200</v>
      </c>
      <c r="O40" s="20">
        <f>IF(Cost_Structure16[[#This Row],[Ownership]]="Market",IF(Cost_Structure16[[#This Row],[Vehicle Capacity]]&gt;3,80000,40000),Cost_Structure16[[#This Row],[Fuel Cost]]+Cost_Structure16[[#This Row],[Maintenance]]+Cost_Structure16[[#This Row],[EMI ]])</f>
        <v>24742.42327509381</v>
      </c>
      <c r="P40" s="20" cm="1">
        <f t="array" ref="P4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0" s="20">
        <f>Cost_Structure16[[#This Row],[Vehicle Cost]]+Cost_Structure16[[#This Row],[Team Cost]]</f>
        <v>52742.42327509381</v>
      </c>
    </row>
    <row r="41" spans="1:17" x14ac:dyDescent="0.3">
      <c r="A41">
        <v>35</v>
      </c>
      <c r="B41" t="str">
        <f>VLOOKUP(Cost_Structure16[[#This Row],[Index]],Vehicle[#All],2,)</f>
        <v>Surat</v>
      </c>
      <c r="C41" t="str">
        <f>VLOOKUP(Cost_Structure16[[#This Row],[BP Name]],OU_Map[#All],3,)</f>
        <v>STVT1</v>
      </c>
      <c r="D41" t="str">
        <f>VLOOKUP(Cost_Structure16[[#This Row],[Index]],Vehicle[#All],3,)</f>
        <v>Mo. Farukh</v>
      </c>
      <c r="E41" t="str">
        <f>VLOOKUP(Cost_Structure16[[#This Row],[Index]],Vehicle[#All],4,)</f>
        <v>AL Dost</v>
      </c>
      <c r="F41" t="str">
        <f>VLOOKUP(Cost_Structure16[[#This Row],[Index]],Vehicle_Ownership[#All],4,)</f>
        <v>Owned</v>
      </c>
      <c r="G41" s="3">
        <f>VLOOKUP(Cost_Structure16[[#This Row],[Index]],Year_of_Purchase[#All],4,)</f>
        <v>2014</v>
      </c>
      <c r="H41" t="str">
        <f>VLOOKUP(Cost_Structure16[[#This Row],[Vehicle]],Vehicle_Map[#All],2,)</f>
        <v>AL Dost</v>
      </c>
      <c r="I41" s="19">
        <f>INDEX(Mileage[#Data],MATCH(Cost_Structure16[[#This Row],[OU Code]],Mileage[OU Code],0),MATCH(Cost_Structure16[[#This Row],[Vehicle]],Mileage[#Headers],0))</f>
        <v>6.5028597954101208</v>
      </c>
      <c r="J41" s="19">
        <f>INDEX(Capacity[#Data],MATCH(Cost_Structure16[[#This Row],[OU Code]],Capacity[OU Code],0),MATCH(Cost_Structure16[[#This Row],[Vehicle]],Capacity[#Headers],0))</f>
        <v>1.2307641755925045</v>
      </c>
      <c r="K41">
        <f>VLOOKUP(Cost_Structure16[[#This Row],[OU Code]],KM_and_FuelCost[#All],2,)</f>
        <v>2900</v>
      </c>
      <c r="L41" s="20">
        <f>IF(Cost_Structure16[[#This Row],[Ownership]]="Market",0,(Cost_Structure16[[#This Row],[KM Travelled]]/Cost_Structure16[[#This Row],[Mileage]])*VLOOKUP(Cost_Structure16[[#This Row],[OU Code]],KM_and_FuelCost[#All],3,))</f>
        <v>44334.160484631124</v>
      </c>
      <c r="M41" s="20">
        <f>IF(AND( Cost_Structure16[[#This Row],[Purchase Year]] &gt;= 2016,Cost_Structure16[[#This Row],[Ownership]]="EMI"), VLOOKUP(Cost_Structure16[[#This Row],[Vehicle Name]],EMI[#All],5,FALSE), 0)</f>
        <v>0</v>
      </c>
      <c r="N41" s="20">
        <f>INDEX(Maintenance[#Data],MATCH(Cost_Structure16[[#This Row],[OU Code]],Maintenance[OU Code],0),MATCH(Cost_Structure16[[#This Row],[Vehicle]],Maintenance[#Headers],0))</f>
        <v>11200</v>
      </c>
      <c r="O41" s="20">
        <f>IF(Cost_Structure16[[#This Row],[Ownership]]="Market",IF(Cost_Structure16[[#This Row],[Vehicle Capacity]]&gt;3,80000,40000),Cost_Structure16[[#This Row],[Fuel Cost]]+Cost_Structure16[[#This Row],[Maintenance]]+Cost_Structure16[[#This Row],[EMI ]])</f>
        <v>55534.160484631124</v>
      </c>
      <c r="P41" s="20" cm="1">
        <f t="array" ref="P4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1" s="20">
        <f>Cost_Structure16[[#This Row],[Vehicle Cost]]+Cost_Structure16[[#This Row],[Team Cost]]</f>
        <v>83534.160484631124</v>
      </c>
    </row>
    <row r="42" spans="1:17" x14ac:dyDescent="0.3">
      <c r="A42">
        <v>36</v>
      </c>
      <c r="B42" t="str">
        <f>VLOOKUP(Cost_Structure16[[#This Row],[Index]],Vehicle[#All],2,)</f>
        <v>Gandhi Nager</v>
      </c>
      <c r="C42" t="str">
        <f>VLOOKUP(Cost_Structure16[[#This Row],[BP Name]],OU_Map[#All],3,)</f>
        <v>GNCB1</v>
      </c>
      <c r="D42" t="str">
        <f>VLOOKUP(Cost_Structure16[[#This Row],[Index]],Vehicle[#All],3,)</f>
        <v>Moinuddin R Shaikh</v>
      </c>
      <c r="E42" t="str">
        <f>VLOOKUP(Cost_Structure16[[#This Row],[Index]],Vehicle[#All],4,)</f>
        <v>Tata Ace</v>
      </c>
      <c r="F42" t="str">
        <f>VLOOKUP(Cost_Structure16[[#This Row],[Index]],Vehicle_Ownership[#All],4,)</f>
        <v>EMI</v>
      </c>
      <c r="G42" s="3">
        <f>VLOOKUP(Cost_Structure16[[#This Row],[Index]],Year_of_Purchase[#All],4,)</f>
        <v>2012</v>
      </c>
      <c r="H42" t="str">
        <f>VLOOKUP(Cost_Structure16[[#This Row],[Vehicle]],Vehicle_Map[#All],2,)</f>
        <v>Tata Ace</v>
      </c>
      <c r="I42" s="19">
        <f>INDEX(Mileage[#Data],MATCH(Cost_Structure16[[#This Row],[OU Code]],Mileage[OU Code],0),MATCH(Cost_Structure16[[#This Row],[Vehicle]],Mileage[#Headers],0))</f>
        <v>9.3641429387747763</v>
      </c>
      <c r="J42" s="19">
        <f>INDEX(Capacity[#Data],MATCH(Cost_Structure16[[#This Row],[OU Code]],Capacity[OU Code],0),MATCH(Cost_Structure16[[#This Row],[Vehicle]],Capacity[#Headers],0))</f>
        <v>0.9429848152367003</v>
      </c>
      <c r="K42">
        <f>VLOOKUP(Cost_Structure16[[#This Row],[OU Code]],KM_and_FuelCost[#All],2,)</f>
        <v>2700</v>
      </c>
      <c r="L42" s="20">
        <f>IF(Cost_Structure16[[#This Row],[Ownership]]="Market",0,(Cost_Structure16[[#This Row],[KM Travelled]]/Cost_Structure16[[#This Row],[Mileage]])*VLOOKUP(Cost_Structure16[[#This Row],[OU Code]],KM_and_FuelCost[#All],3,))</f>
        <v>32700.275181934616</v>
      </c>
      <c r="M42" s="20">
        <f>IF(AND( Cost_Structure16[[#This Row],[Purchase Year]] &gt;= 2016,Cost_Structure16[[#This Row],[Ownership]]="EMI"), VLOOKUP(Cost_Structure16[[#This Row],[Vehicle Name]],EMI[#All],5,FALSE), 0)</f>
        <v>0</v>
      </c>
      <c r="N42" s="20">
        <f>INDEX(Maintenance[#Data],MATCH(Cost_Structure16[[#This Row],[OU Code]],Maintenance[OU Code],0),MATCH(Cost_Structure16[[#This Row],[Vehicle]],Maintenance[#Headers],0))</f>
        <v>7800</v>
      </c>
      <c r="O42" s="20">
        <f>IF(Cost_Structure16[[#This Row],[Ownership]]="Market",IF(Cost_Structure16[[#This Row],[Vehicle Capacity]]&gt;3,80000,40000),Cost_Structure16[[#This Row],[Fuel Cost]]+Cost_Structure16[[#This Row],[Maintenance]]+Cost_Structure16[[#This Row],[EMI ]])</f>
        <v>40500.275181934616</v>
      </c>
      <c r="P42" s="20" cm="1">
        <f t="array" ref="P4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2" s="20">
        <f>Cost_Structure16[[#This Row],[Vehicle Cost]]+Cost_Structure16[[#This Row],[Team Cost]]</f>
        <v>68500.275181934616</v>
      </c>
    </row>
    <row r="43" spans="1:17" x14ac:dyDescent="0.3">
      <c r="A43">
        <v>37</v>
      </c>
      <c r="B43" t="str">
        <f>VLOOKUP(Cost_Structure16[[#This Row],[Index]],Vehicle[#All],2,)</f>
        <v>Rampura Branch</v>
      </c>
      <c r="C43" t="str">
        <f>VLOOKUP(Cost_Structure16[[#This Row],[BP Name]],OU_Map[#All],3,)</f>
        <v>AMDBP</v>
      </c>
      <c r="D43" t="str">
        <f>VLOOKUP(Cost_Structure16[[#This Row],[Index]],Vehicle[#All],3,)</f>
        <v>Mukeshbhai Rajabhai Bharwad</v>
      </c>
      <c r="E43" t="str">
        <f>VLOOKUP(Cost_Structure16[[#This Row],[Index]],Vehicle[#All],4,)</f>
        <v>Mahindra</v>
      </c>
      <c r="F43" t="str">
        <f>VLOOKUP(Cost_Structure16[[#This Row],[Index]],Vehicle_Ownership[#All],4,)</f>
        <v>EMI</v>
      </c>
      <c r="G43" s="3">
        <f>VLOOKUP(Cost_Structure16[[#This Row],[Index]],Year_of_Purchase[#All],4,)</f>
        <v>2015</v>
      </c>
      <c r="H43" t="str">
        <f>VLOOKUP(Cost_Structure16[[#This Row],[Vehicle]],Vehicle_Map[#All],2,)</f>
        <v>Mahindra</v>
      </c>
      <c r="I43" s="19">
        <f>INDEX(Mileage[#Data],MATCH(Cost_Structure16[[#This Row],[OU Code]],Mileage[OU Code],0),MATCH(Cost_Structure16[[#This Row],[Vehicle]],Mileage[#Headers],0))</f>
        <v>11.216814907083885</v>
      </c>
      <c r="J43" s="19">
        <f>INDEX(Capacity[#Data],MATCH(Cost_Structure16[[#This Row],[OU Code]],Capacity[OU Code],0),MATCH(Cost_Structure16[[#This Row],[Vehicle]],Capacity[#Headers],0))</f>
        <v>1.4849540362195355</v>
      </c>
      <c r="K43">
        <f>VLOOKUP(Cost_Structure16[[#This Row],[OU Code]],KM_and_FuelCost[#All],2,)</f>
        <v>2600</v>
      </c>
      <c r="L43" s="20">
        <f>IF(Cost_Structure16[[#This Row],[Ownership]]="Market",0,(Cost_Structure16[[#This Row],[KM Travelled]]/Cost_Structure16[[#This Row],[Mileage]])*VLOOKUP(Cost_Structure16[[#This Row],[OU Code]],KM_and_FuelCost[#All],3,))</f>
        <v>18738.720654163106</v>
      </c>
      <c r="M43" s="20">
        <f>IF(AND( Cost_Structure16[[#This Row],[Purchase Year]] &gt;= 2016,Cost_Structure16[[#This Row],[Ownership]]="EMI"), VLOOKUP(Cost_Structure16[[#This Row],[Vehicle Name]],EMI[#All],5,FALSE), 0)</f>
        <v>0</v>
      </c>
      <c r="N43" s="20">
        <f>INDEX(Maintenance[#Data],MATCH(Cost_Structure16[[#This Row],[OU Code]],Maintenance[OU Code],0),MATCH(Cost_Structure16[[#This Row],[Vehicle]],Maintenance[#Headers],0))</f>
        <v>11200</v>
      </c>
      <c r="O43" s="20">
        <f>IF(Cost_Structure16[[#This Row],[Ownership]]="Market",IF(Cost_Structure16[[#This Row],[Vehicle Capacity]]&gt;3,80000,40000),Cost_Structure16[[#This Row],[Fuel Cost]]+Cost_Structure16[[#This Row],[Maintenance]]+Cost_Structure16[[#This Row],[EMI ]])</f>
        <v>29938.720654163106</v>
      </c>
      <c r="P43" s="20" cm="1">
        <f t="array" ref="P4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3" s="20">
        <f>Cost_Structure16[[#This Row],[Vehicle Cost]]+Cost_Structure16[[#This Row],[Team Cost]]</f>
        <v>57938.720654163102</v>
      </c>
    </row>
    <row r="44" spans="1:17" x14ac:dyDescent="0.3">
      <c r="A44">
        <v>38</v>
      </c>
      <c r="B44" t="str">
        <f>VLOOKUP(Cost_Structure16[[#This Row],[Index]],Vehicle[#All],2,)</f>
        <v>Ahmedabad Branch</v>
      </c>
      <c r="C44" t="str">
        <f>VLOOKUP(Cost_Structure16[[#This Row],[BP Name]],OU_Map[#All],3,)</f>
        <v>AMDT1</v>
      </c>
      <c r="D44" t="str">
        <f>VLOOKUP(Cost_Structure16[[#This Row],[Index]],Vehicle[#All],3,)</f>
        <v>Muliya Tofikhusen Habibbhai</v>
      </c>
      <c r="E44" t="str">
        <f>VLOOKUP(Cost_Structure16[[#This Row],[Index]],Vehicle[#All],4,)</f>
        <v>17 ft</v>
      </c>
      <c r="F44" t="str">
        <f>VLOOKUP(Cost_Structure16[[#This Row],[Index]],Vehicle_Ownership[#All],4,)</f>
        <v>Market</v>
      </c>
      <c r="G44" s="3">
        <f>VLOOKUP(Cost_Structure16[[#This Row],[Index]],Year_of_Purchase[#All],4,)</f>
        <v>0</v>
      </c>
      <c r="H44" t="str">
        <f>VLOOKUP(Cost_Structure16[[#This Row],[Vehicle]],Vehicle_Map[#All],2,)</f>
        <v>Eicher 17</v>
      </c>
      <c r="I44" s="19">
        <f>INDEX(Mileage[#Data],MATCH(Cost_Structure16[[#This Row],[OU Code]],Mileage[OU Code],0),MATCH(Cost_Structure16[[#This Row],[Vehicle]],Mileage[#Headers],0))</f>
        <v>6.5525461364709248</v>
      </c>
      <c r="J44" s="19">
        <f>INDEX(Capacity[#Data],MATCH(Cost_Structure16[[#This Row],[OU Code]],Capacity[OU Code],0),MATCH(Cost_Structure16[[#This Row],[Vehicle]],Capacity[#Headers],0))</f>
        <v>6.5900268382448797</v>
      </c>
      <c r="K44">
        <f>VLOOKUP(Cost_Structure16[[#This Row],[OU Code]],KM_and_FuelCost[#All],2,)</f>
        <v>2900</v>
      </c>
      <c r="L44" s="20">
        <f>IF(Cost_Structure16[[#This Row],[Ownership]]="Market",0,(Cost_Structure16[[#This Row],[KM Travelled]]/Cost_Structure16[[#This Row],[Mileage]])*VLOOKUP(Cost_Structure16[[#This Row],[OU Code]],KM_and_FuelCost[#All],3,))</f>
        <v>0</v>
      </c>
      <c r="M44" s="20">
        <f>IF(AND( Cost_Structure16[[#This Row],[Purchase Year]] &gt;= 2016,Cost_Structure16[[#This Row],[Ownership]]="EMI"), VLOOKUP(Cost_Structure16[[#This Row],[Vehicle Name]],EMI[#All],5,FALSE), 0)</f>
        <v>0</v>
      </c>
      <c r="N44" s="20">
        <f>INDEX(Maintenance[#Data],MATCH(Cost_Structure16[[#This Row],[OU Code]],Maintenance[OU Code],0),MATCH(Cost_Structure16[[#This Row],[Vehicle]],Maintenance[#Headers],0))</f>
        <v>12500</v>
      </c>
      <c r="O44" s="20">
        <f>IF(Cost_Structure16[[#This Row],[Ownership]]="Market",IF(Cost_Structure16[[#This Row],[Vehicle Capacity]]&gt;3,80000,40000),Cost_Structure16[[#This Row],[Fuel Cost]]+Cost_Structure16[[#This Row],[Maintenance]]+Cost_Structure16[[#This Row],[EMI ]])</f>
        <v>80000</v>
      </c>
      <c r="P44" s="20" cm="1">
        <f t="array" ref="P4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44" s="20">
        <f>Cost_Structure16[[#This Row],[Vehicle Cost]]+Cost_Structure16[[#This Row],[Team Cost]]</f>
        <v>96000</v>
      </c>
    </row>
    <row r="45" spans="1:17" x14ac:dyDescent="0.3">
      <c r="A45">
        <v>39</v>
      </c>
      <c r="B45" t="str">
        <f>VLOOKUP(Cost_Structure16[[#This Row],[Index]],Vehicle[#All],2,)</f>
        <v>Vadodara</v>
      </c>
      <c r="C45" t="str">
        <f>VLOOKUP(Cost_Structure16[[#This Row],[BP Name]],OU_Map[#All],3,)</f>
        <v>BDQT1</v>
      </c>
      <c r="D45" t="str">
        <f>VLOOKUP(Cost_Structure16[[#This Row],[Index]],Vehicle[#All],3,)</f>
        <v>Od Maheshbhai Bhikhabhai</v>
      </c>
      <c r="E45" t="str">
        <f>VLOOKUP(Cost_Structure16[[#This Row],[Index]],Vehicle[#All],4,)</f>
        <v>AL Dost</v>
      </c>
      <c r="F45" t="str">
        <f>VLOOKUP(Cost_Structure16[[#This Row],[Index]],Vehicle_Ownership[#All],4,)</f>
        <v>Owned</v>
      </c>
      <c r="G45" s="3">
        <f>VLOOKUP(Cost_Structure16[[#This Row],[Index]],Year_of_Purchase[#All],4,)</f>
        <v>2014</v>
      </c>
      <c r="H45" t="str">
        <f>VLOOKUP(Cost_Structure16[[#This Row],[Vehicle]],Vehicle_Map[#All],2,)</f>
        <v>AL Dost</v>
      </c>
      <c r="I45" s="19">
        <f>INDEX(Mileage[#Data],MATCH(Cost_Structure16[[#This Row],[OU Code]],Mileage[OU Code],0),MATCH(Cost_Structure16[[#This Row],[Vehicle]],Mileage[#Headers],0))</f>
        <v>16.206961290646341</v>
      </c>
      <c r="J45" s="19">
        <f>INDEX(Capacity[#Data],MATCH(Cost_Structure16[[#This Row],[OU Code]],Capacity[OU Code],0),MATCH(Cost_Structure16[[#This Row],[Vehicle]],Capacity[#Headers],0))</f>
        <v>0.97146367060579686</v>
      </c>
      <c r="K45">
        <f>VLOOKUP(Cost_Structure16[[#This Row],[OU Code]],KM_and_FuelCost[#All],2,)</f>
        <v>3000</v>
      </c>
      <c r="L45" s="20">
        <f>IF(Cost_Structure16[[#This Row],[Ownership]]="Market",0,(Cost_Structure16[[#This Row],[KM Travelled]]/Cost_Structure16[[#This Row],[Mileage]])*VLOOKUP(Cost_Structure16[[#This Row],[OU Code]],KM_and_FuelCost[#All],3,))</f>
        <v>14542.423275093808</v>
      </c>
      <c r="M45" s="20">
        <f>IF(AND( Cost_Structure16[[#This Row],[Purchase Year]] &gt;= 2016,Cost_Structure16[[#This Row],[Ownership]]="EMI"), VLOOKUP(Cost_Structure16[[#This Row],[Vehicle Name]],EMI[#All],5,FALSE), 0)</f>
        <v>0</v>
      </c>
      <c r="N45" s="20">
        <f>INDEX(Maintenance[#Data],MATCH(Cost_Structure16[[#This Row],[OU Code]],Maintenance[OU Code],0),MATCH(Cost_Structure16[[#This Row],[Vehicle]],Maintenance[#Headers],0))</f>
        <v>10200</v>
      </c>
      <c r="O45" s="20">
        <f>IF(Cost_Structure16[[#This Row],[Ownership]]="Market",IF(Cost_Structure16[[#This Row],[Vehicle Capacity]]&gt;3,80000,40000),Cost_Structure16[[#This Row],[Fuel Cost]]+Cost_Structure16[[#This Row],[Maintenance]]+Cost_Structure16[[#This Row],[EMI ]])</f>
        <v>24742.42327509381</v>
      </c>
      <c r="P45" s="20" cm="1">
        <f t="array" ref="P4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5" s="20">
        <f>Cost_Structure16[[#This Row],[Vehicle Cost]]+Cost_Structure16[[#This Row],[Team Cost]]</f>
        <v>52742.42327509381</v>
      </c>
    </row>
    <row r="46" spans="1:17" x14ac:dyDescent="0.3">
      <c r="A46">
        <v>40</v>
      </c>
      <c r="B46" t="str">
        <f>VLOOKUP(Cost_Structure16[[#This Row],[Index]],Vehicle[#All],2,)</f>
        <v>Rajkot</v>
      </c>
      <c r="C46" t="str">
        <f>VLOOKUP(Cost_Structure16[[#This Row],[BP Name]],OU_Map[#All],3,)</f>
        <v>RAJB1</v>
      </c>
      <c r="D46" t="str">
        <f>VLOOKUP(Cost_Structure16[[#This Row],[Index]],Vehicle[#All],3,)</f>
        <v>Patani Salim Gafarbhai</v>
      </c>
      <c r="E46" t="str">
        <f>VLOOKUP(Cost_Structure16[[#This Row],[Index]],Vehicle[#All],4,)</f>
        <v>Pickup</v>
      </c>
      <c r="F46" t="str">
        <f>VLOOKUP(Cost_Structure16[[#This Row],[Index]],Vehicle_Ownership[#All],4,)</f>
        <v>Owned</v>
      </c>
      <c r="G46" s="3">
        <f>VLOOKUP(Cost_Structure16[[#This Row],[Index]],Year_of_Purchase[#All],4,)</f>
        <v>2014</v>
      </c>
      <c r="H46" t="str">
        <f>VLOOKUP(Cost_Structure16[[#This Row],[Vehicle]],Vehicle_Map[#All],2,)</f>
        <v>Pickup</v>
      </c>
      <c r="I46" s="19">
        <f>INDEX(Mileage[#Data],MATCH(Cost_Structure16[[#This Row],[OU Code]],Mileage[OU Code],0),MATCH(Cost_Structure16[[#This Row],[Vehicle]],Mileage[#Headers],0))</f>
        <v>13.840671454814565</v>
      </c>
      <c r="J46" s="19">
        <f>INDEX(Capacity[#Data],MATCH(Cost_Structure16[[#This Row],[OU Code]],Capacity[OU Code],0),MATCH(Cost_Structure16[[#This Row],[Vehicle]],Capacity[#Headers],0))</f>
        <v>1.6537934308679081</v>
      </c>
      <c r="K46">
        <f>VLOOKUP(Cost_Structure16[[#This Row],[OU Code]],KM_and_FuelCost[#All],2,)</f>
        <v>1800</v>
      </c>
      <c r="L46" s="20">
        <f>IF(Cost_Structure16[[#This Row],[Ownership]]="Market",0,(Cost_Structure16[[#This Row],[KM Travelled]]/Cost_Structure16[[#This Row],[Mileage]])*VLOOKUP(Cost_Structure16[[#This Row],[OU Code]],KM_and_FuelCost[#All],3,))</f>
        <v>11794.903254198736</v>
      </c>
      <c r="M46" s="20">
        <f>IF(AND( Cost_Structure16[[#This Row],[Purchase Year]] &gt;= 2016,Cost_Structure16[[#This Row],[Ownership]]="EMI"), VLOOKUP(Cost_Structure16[[#This Row],[Vehicle Name]],EMI[#All],5,FALSE), 0)</f>
        <v>0</v>
      </c>
      <c r="N46" s="20">
        <f>INDEX(Maintenance[#Data],MATCH(Cost_Structure16[[#This Row],[OU Code]],Maintenance[OU Code],0),MATCH(Cost_Structure16[[#This Row],[Vehicle]],Maintenance[#Headers],0))</f>
        <v>9300</v>
      </c>
      <c r="O46" s="20">
        <f>IF(Cost_Structure16[[#This Row],[Ownership]]="Market",IF(Cost_Structure16[[#This Row],[Vehicle Capacity]]&gt;3,80000,40000),Cost_Structure16[[#This Row],[Fuel Cost]]+Cost_Structure16[[#This Row],[Maintenance]]+Cost_Structure16[[#This Row],[EMI ]])</f>
        <v>21094.903254198736</v>
      </c>
      <c r="P46" s="20" cm="1">
        <f t="array" ref="P4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6" s="20">
        <f>Cost_Structure16[[#This Row],[Vehicle Cost]]+Cost_Structure16[[#This Row],[Team Cost]]</f>
        <v>49094.90325419874</v>
      </c>
    </row>
    <row r="47" spans="1:17" x14ac:dyDescent="0.3">
      <c r="A47">
        <v>41</v>
      </c>
      <c r="B47" t="str">
        <f>VLOOKUP(Cost_Structure16[[#This Row],[Index]],Vehicle[#All],2,)</f>
        <v>Rajkot</v>
      </c>
      <c r="C47" t="str">
        <f>VLOOKUP(Cost_Structure16[[#This Row],[BP Name]],OU_Map[#All],3,)</f>
        <v>RAJB1</v>
      </c>
      <c r="D47" t="str">
        <f>VLOOKUP(Cost_Structure16[[#This Row],[Index]],Vehicle[#All],3,)</f>
        <v>Patani Salim Gafarbhai</v>
      </c>
      <c r="E47" t="str">
        <f>VLOOKUP(Cost_Structure16[[#This Row],[Index]],Vehicle[#All],4,)</f>
        <v>Tata Ace</v>
      </c>
      <c r="F47" t="str">
        <f>VLOOKUP(Cost_Structure16[[#This Row],[Index]],Vehicle_Ownership[#All],4,)</f>
        <v>Owned</v>
      </c>
      <c r="G47" s="3">
        <f>VLOOKUP(Cost_Structure16[[#This Row],[Index]],Year_of_Purchase[#All],4,)</f>
        <v>2020</v>
      </c>
      <c r="H47" t="str">
        <f>VLOOKUP(Cost_Structure16[[#This Row],[Vehicle]],Vehicle_Map[#All],2,)</f>
        <v>Tata Ace</v>
      </c>
      <c r="I47" s="19">
        <f>INDEX(Mileage[#Data],MATCH(Cost_Structure16[[#This Row],[OU Code]],Mileage[OU Code],0),MATCH(Cost_Structure16[[#This Row],[Vehicle]],Mileage[#Headers],0))</f>
        <v>15.252132362435546</v>
      </c>
      <c r="J47" s="19">
        <f>INDEX(Capacity[#Data],MATCH(Cost_Structure16[[#This Row],[OU Code]],Capacity[OU Code],0),MATCH(Cost_Structure16[[#This Row],[Vehicle]],Capacity[#Headers],0))</f>
        <v>0.44282249549748876</v>
      </c>
      <c r="K47">
        <f>VLOOKUP(Cost_Structure16[[#This Row],[OU Code]],KM_and_FuelCost[#All],2,)</f>
        <v>1800</v>
      </c>
      <c r="L47" s="20">
        <f>IF(Cost_Structure16[[#This Row],[Ownership]]="Market",0,(Cost_Structure16[[#This Row],[KM Travelled]]/Cost_Structure16[[#This Row],[Mileage]])*VLOOKUP(Cost_Structure16[[#This Row],[OU Code]],KM_and_FuelCost[#All],3,))</f>
        <v>10703.38080626382</v>
      </c>
      <c r="M47" s="20">
        <f>IF(AND( Cost_Structure16[[#This Row],[Purchase Year]] &gt;= 2016,Cost_Structure16[[#This Row],[Ownership]]="EMI"), VLOOKUP(Cost_Structure16[[#This Row],[Vehicle Name]],EMI[#All],5,FALSE), 0)</f>
        <v>0</v>
      </c>
      <c r="N47" s="20">
        <f>INDEX(Maintenance[#Data],MATCH(Cost_Structure16[[#This Row],[OU Code]],Maintenance[OU Code],0),MATCH(Cost_Structure16[[#This Row],[Vehicle]],Maintenance[#Headers],0))</f>
        <v>6200</v>
      </c>
      <c r="O47" s="20">
        <f>IF(Cost_Structure16[[#This Row],[Ownership]]="Market",IF(Cost_Structure16[[#This Row],[Vehicle Capacity]]&gt;3,80000,40000),Cost_Structure16[[#This Row],[Fuel Cost]]+Cost_Structure16[[#This Row],[Maintenance]]+Cost_Structure16[[#This Row],[EMI ]])</f>
        <v>16903.38080626382</v>
      </c>
      <c r="P47" s="20" cm="1">
        <f t="array" ref="P4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7" s="20">
        <f>Cost_Structure16[[#This Row],[Vehicle Cost]]+Cost_Structure16[[#This Row],[Team Cost]]</f>
        <v>44903.38080626382</v>
      </c>
    </row>
    <row r="48" spans="1:17" x14ac:dyDescent="0.3">
      <c r="A48">
        <v>42</v>
      </c>
      <c r="B48" t="str">
        <f>VLOOKUP(Cost_Structure16[[#This Row],[Index]],Vehicle[#All],2,)</f>
        <v>Rampura Branch</v>
      </c>
      <c r="C48" t="str">
        <f>VLOOKUP(Cost_Structure16[[#This Row],[BP Name]],OU_Map[#All],3,)</f>
        <v>AMDBC</v>
      </c>
      <c r="D48" t="str">
        <f>VLOOKUP(Cost_Structure16[[#This Row],[Index]],Vehicle[#All],3,)</f>
        <v>Pathan Parvezbhai</v>
      </c>
      <c r="E48" t="str">
        <f>VLOOKUP(Cost_Structure16[[#This Row],[Index]],Vehicle[#All],4,)</f>
        <v>Tata Ace</v>
      </c>
      <c r="F48" t="str">
        <f>VLOOKUP(Cost_Structure16[[#This Row],[Index]],Vehicle_Ownership[#All],4,)</f>
        <v>EMI</v>
      </c>
      <c r="G48" s="3">
        <f>VLOOKUP(Cost_Structure16[[#This Row],[Index]],Year_of_Purchase[#All],4,)</f>
        <v>2012</v>
      </c>
      <c r="H48" t="str">
        <f>VLOOKUP(Cost_Structure16[[#This Row],[Vehicle]],Vehicle_Map[#All],2,)</f>
        <v>Tata Ace</v>
      </c>
      <c r="I48" s="19">
        <f>INDEX(Mileage[#Data],MATCH(Cost_Structure16[[#This Row],[OU Code]],Mileage[OU Code],0),MATCH(Cost_Structure16[[#This Row],[Vehicle]],Mileage[#Headers],0))</f>
        <v>17.157710528177709</v>
      </c>
      <c r="J48" s="19">
        <f>INDEX(Capacity[#Data],MATCH(Cost_Structure16[[#This Row],[OU Code]],Capacity[OU Code],0),MATCH(Cost_Structure16[[#This Row],[Vehicle]],Capacity[#Headers],0))</f>
        <v>1.0426350561035722</v>
      </c>
      <c r="K48">
        <f>VLOOKUP(Cost_Structure16[[#This Row],[OU Code]],KM_and_FuelCost[#All],2,)</f>
        <v>3100</v>
      </c>
      <c r="L48" s="20">
        <f>IF(Cost_Structure16[[#This Row],[Ownership]]="Market",0,(Cost_Structure16[[#This Row],[KM Travelled]]/Cost_Structure16[[#This Row],[Mileage]])*VLOOKUP(Cost_Structure16[[#This Row],[OU Code]],KM_and_FuelCost[#All],3,))</f>
        <v>16815.46394439719</v>
      </c>
      <c r="M48" s="20">
        <f>IF(AND( Cost_Structure16[[#This Row],[Purchase Year]] &gt;= 2016,Cost_Structure16[[#This Row],[Ownership]]="EMI"), VLOOKUP(Cost_Structure16[[#This Row],[Vehicle Name]],EMI[#All],5,FALSE), 0)</f>
        <v>0</v>
      </c>
      <c r="N48" s="20">
        <f>INDEX(Maintenance[#Data],MATCH(Cost_Structure16[[#This Row],[OU Code]],Maintenance[OU Code],0),MATCH(Cost_Structure16[[#This Row],[Vehicle]],Maintenance[#Headers],0))</f>
        <v>11800</v>
      </c>
      <c r="O48" s="20">
        <f>IF(Cost_Structure16[[#This Row],[Ownership]]="Market",IF(Cost_Structure16[[#This Row],[Vehicle Capacity]]&gt;3,80000,40000),Cost_Structure16[[#This Row],[Fuel Cost]]+Cost_Structure16[[#This Row],[Maintenance]]+Cost_Structure16[[#This Row],[EMI ]])</f>
        <v>28615.46394439719</v>
      </c>
      <c r="P48" s="20" cm="1">
        <f t="array" ref="P4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8" s="20">
        <f>Cost_Structure16[[#This Row],[Vehicle Cost]]+Cost_Structure16[[#This Row],[Team Cost]]</f>
        <v>56615.46394439719</v>
      </c>
    </row>
    <row r="49" spans="1:17" x14ac:dyDescent="0.3">
      <c r="A49">
        <v>43</v>
      </c>
      <c r="B49" t="str">
        <f>VLOOKUP(Cost_Structure16[[#This Row],[Index]],Vehicle[#All],2,)</f>
        <v>Surat</v>
      </c>
      <c r="C49" t="str">
        <f>VLOOKUP(Cost_Structure16[[#This Row],[BP Name]],OU_Map[#All],3,)</f>
        <v>STVT1</v>
      </c>
      <c r="D49" t="str">
        <f>VLOOKUP(Cost_Structure16[[#This Row],[Index]],Vehicle[#All],3,)</f>
        <v>Pravin Patil</v>
      </c>
      <c r="E49" t="str">
        <f>VLOOKUP(Cost_Structure16[[#This Row],[Index]],Vehicle[#All],4,)</f>
        <v>Tata Ace</v>
      </c>
      <c r="F49" t="str">
        <f>VLOOKUP(Cost_Structure16[[#This Row],[Index]],Vehicle_Ownership[#All],4,)</f>
        <v>Owned</v>
      </c>
      <c r="G49" s="3">
        <f>VLOOKUP(Cost_Structure16[[#This Row],[Index]],Year_of_Purchase[#All],4,)</f>
        <v>2019</v>
      </c>
      <c r="H49" t="str">
        <f>VLOOKUP(Cost_Structure16[[#This Row],[Vehicle]],Vehicle_Map[#All],2,)</f>
        <v>Tata Ace</v>
      </c>
      <c r="I49" s="19">
        <f>INDEX(Mileage[#Data],MATCH(Cost_Structure16[[#This Row],[OU Code]],Mileage[OU Code],0),MATCH(Cost_Structure16[[#This Row],[Vehicle]],Mileage[#Headers],0))</f>
        <v>17.294647938760768</v>
      </c>
      <c r="J49" s="19">
        <f>INDEX(Capacity[#Data],MATCH(Cost_Structure16[[#This Row],[OU Code]],Capacity[OU Code],0),MATCH(Cost_Structure16[[#This Row],[Vehicle]],Capacity[#Headers],0))</f>
        <v>1.0764283836997799</v>
      </c>
      <c r="K49">
        <f>VLOOKUP(Cost_Structure16[[#This Row],[OU Code]],KM_and_FuelCost[#All],2,)</f>
        <v>2900</v>
      </c>
      <c r="L49" s="20">
        <f>IF(Cost_Structure16[[#This Row],[Ownership]]="Market",0,(Cost_Structure16[[#This Row],[KM Travelled]]/Cost_Structure16[[#This Row],[Mileage]])*VLOOKUP(Cost_Structure16[[#This Row],[OU Code]],KM_and_FuelCost[#All],3,))</f>
        <v>16669.829348340325</v>
      </c>
      <c r="M49" s="20">
        <f>IF(AND( Cost_Structure16[[#This Row],[Purchase Year]] &gt;= 2016,Cost_Structure16[[#This Row],[Ownership]]="EMI"), VLOOKUP(Cost_Structure16[[#This Row],[Vehicle Name]],EMI[#All],5,FALSE), 0)</f>
        <v>0</v>
      </c>
      <c r="N49" s="20">
        <f>INDEX(Maintenance[#Data],MATCH(Cost_Structure16[[#This Row],[OU Code]],Maintenance[OU Code],0),MATCH(Cost_Structure16[[#This Row],[Vehicle]],Maintenance[#Headers],0))</f>
        <v>11500</v>
      </c>
      <c r="O49" s="20">
        <f>IF(Cost_Structure16[[#This Row],[Ownership]]="Market",IF(Cost_Structure16[[#This Row],[Vehicle Capacity]]&gt;3,80000,40000),Cost_Structure16[[#This Row],[Fuel Cost]]+Cost_Structure16[[#This Row],[Maintenance]]+Cost_Structure16[[#This Row],[EMI ]])</f>
        <v>28169.829348340325</v>
      </c>
      <c r="P49" s="20" cm="1">
        <f t="array" ref="P4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9" s="20">
        <f>Cost_Structure16[[#This Row],[Vehicle Cost]]+Cost_Structure16[[#This Row],[Team Cost]]</f>
        <v>56169.829348340325</v>
      </c>
    </row>
    <row r="50" spans="1:17" x14ac:dyDescent="0.3">
      <c r="A50">
        <v>44</v>
      </c>
      <c r="B50" t="str">
        <f>VLOOKUP(Cost_Structure16[[#This Row],[Index]],Vehicle[#All],2,)</f>
        <v>Ahmedabad Branch</v>
      </c>
      <c r="C50" t="str">
        <f>VLOOKUP(Cost_Structure16[[#This Row],[BP Name]],OU_Map[#All],3,)</f>
        <v>AMDT1</v>
      </c>
      <c r="D50" t="str">
        <f>VLOOKUP(Cost_Structure16[[#This Row],[Index]],Vehicle[#All],3,)</f>
        <v>Pravin Thakor</v>
      </c>
      <c r="E50" t="str">
        <f>VLOOKUP(Cost_Structure16[[#This Row],[Index]],Vehicle[#All],4,)</f>
        <v>17 ft</v>
      </c>
      <c r="F50" t="str">
        <f>VLOOKUP(Cost_Structure16[[#This Row],[Index]],Vehicle_Ownership[#All],4,)</f>
        <v>Market</v>
      </c>
      <c r="G50" s="3">
        <f>VLOOKUP(Cost_Structure16[[#This Row],[Index]],Year_of_Purchase[#All],4,)</f>
        <v>0</v>
      </c>
      <c r="H50" t="str">
        <f>VLOOKUP(Cost_Structure16[[#This Row],[Vehicle]],Vehicle_Map[#All],2,)</f>
        <v>Eicher 17</v>
      </c>
      <c r="I50" s="19">
        <f>INDEX(Mileage[#Data],MATCH(Cost_Structure16[[#This Row],[OU Code]],Mileage[OU Code],0),MATCH(Cost_Structure16[[#This Row],[Vehicle]],Mileage[#Headers],0))</f>
        <v>6.5525461364709248</v>
      </c>
      <c r="J50" s="19">
        <f>INDEX(Capacity[#Data],MATCH(Cost_Structure16[[#This Row],[OU Code]],Capacity[OU Code],0),MATCH(Cost_Structure16[[#This Row],[Vehicle]],Capacity[#Headers],0))</f>
        <v>6.5900268382448797</v>
      </c>
      <c r="K50">
        <f>VLOOKUP(Cost_Structure16[[#This Row],[OU Code]],KM_and_FuelCost[#All],2,)</f>
        <v>2900</v>
      </c>
      <c r="L50" s="20">
        <f>IF(Cost_Structure16[[#This Row],[Ownership]]="Market",0,(Cost_Structure16[[#This Row],[KM Travelled]]/Cost_Structure16[[#This Row],[Mileage]])*VLOOKUP(Cost_Structure16[[#This Row],[OU Code]],KM_and_FuelCost[#All],3,))</f>
        <v>0</v>
      </c>
      <c r="M50" s="20">
        <f>IF(AND( Cost_Structure16[[#This Row],[Purchase Year]] &gt;= 2016,Cost_Structure16[[#This Row],[Ownership]]="EMI"), VLOOKUP(Cost_Structure16[[#This Row],[Vehicle Name]],EMI[#All],5,FALSE), 0)</f>
        <v>0</v>
      </c>
      <c r="N50" s="20">
        <f>INDEX(Maintenance[#Data],MATCH(Cost_Structure16[[#This Row],[OU Code]],Maintenance[OU Code],0),MATCH(Cost_Structure16[[#This Row],[Vehicle]],Maintenance[#Headers],0))</f>
        <v>12500</v>
      </c>
      <c r="O50" s="20">
        <f>IF(Cost_Structure16[[#This Row],[Ownership]]="Market",IF(Cost_Structure16[[#This Row],[Vehicle Capacity]]&gt;3,80000,40000),Cost_Structure16[[#This Row],[Fuel Cost]]+Cost_Structure16[[#This Row],[Maintenance]]+Cost_Structure16[[#This Row],[EMI ]])</f>
        <v>80000</v>
      </c>
      <c r="P50" s="20" cm="1">
        <f t="array" ref="P5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0" s="20">
        <f>Cost_Structure16[[#This Row],[Vehicle Cost]]+Cost_Structure16[[#This Row],[Team Cost]]</f>
        <v>96000</v>
      </c>
    </row>
    <row r="51" spans="1:17" x14ac:dyDescent="0.3">
      <c r="A51">
        <v>45</v>
      </c>
      <c r="B51" t="str">
        <f>VLOOKUP(Cost_Structure16[[#This Row],[Index]],Vehicle[#All],2,)</f>
        <v>Gandhi Nager</v>
      </c>
      <c r="C51" t="str">
        <f>VLOOKUP(Cost_Structure16[[#This Row],[BP Name]],OU_Map[#All],3,)</f>
        <v>GNCB1</v>
      </c>
      <c r="D51" t="str">
        <f>VLOOKUP(Cost_Structure16[[#This Row],[Index]],Vehicle[#All],3,)</f>
        <v>Rajendrasinh L Chavda</v>
      </c>
      <c r="E51" t="str">
        <f>VLOOKUP(Cost_Structure16[[#This Row],[Index]],Vehicle[#All],4,)</f>
        <v>Tata Ace</v>
      </c>
      <c r="F51" t="str">
        <f>VLOOKUP(Cost_Structure16[[#This Row],[Index]],Vehicle_Ownership[#All],4,)</f>
        <v>Owned</v>
      </c>
      <c r="G51" s="3">
        <f>VLOOKUP(Cost_Structure16[[#This Row],[Index]],Year_of_Purchase[#All],4,)</f>
        <v>2020</v>
      </c>
      <c r="H51" t="str">
        <f>VLOOKUP(Cost_Structure16[[#This Row],[Vehicle]],Vehicle_Map[#All],2,)</f>
        <v>Tata Ace</v>
      </c>
      <c r="I51" s="19">
        <f>INDEX(Mileage[#Data],MATCH(Cost_Structure16[[#This Row],[OU Code]],Mileage[OU Code],0),MATCH(Cost_Structure16[[#This Row],[Vehicle]],Mileage[#Headers],0))</f>
        <v>9.3641429387747763</v>
      </c>
      <c r="J51" s="19">
        <f>INDEX(Capacity[#Data],MATCH(Cost_Structure16[[#This Row],[OU Code]],Capacity[OU Code],0),MATCH(Cost_Structure16[[#This Row],[Vehicle]],Capacity[#Headers],0))</f>
        <v>0.9429848152367003</v>
      </c>
      <c r="K51">
        <f>VLOOKUP(Cost_Structure16[[#This Row],[OU Code]],KM_and_FuelCost[#All],2,)</f>
        <v>2700</v>
      </c>
      <c r="L51" s="20">
        <f>IF(Cost_Structure16[[#This Row],[Ownership]]="Market",0,(Cost_Structure16[[#This Row],[KM Travelled]]/Cost_Structure16[[#This Row],[Mileage]])*VLOOKUP(Cost_Structure16[[#This Row],[OU Code]],KM_and_FuelCost[#All],3,))</f>
        <v>32700.275181934616</v>
      </c>
      <c r="M51" s="20">
        <f>IF(AND( Cost_Structure16[[#This Row],[Purchase Year]] &gt;= 2016,Cost_Structure16[[#This Row],[Ownership]]="EMI"), VLOOKUP(Cost_Structure16[[#This Row],[Vehicle Name]],EMI[#All],5,FALSE), 0)</f>
        <v>0</v>
      </c>
      <c r="N51" s="20">
        <f>INDEX(Maintenance[#Data],MATCH(Cost_Structure16[[#This Row],[OU Code]],Maintenance[OU Code],0),MATCH(Cost_Structure16[[#This Row],[Vehicle]],Maintenance[#Headers],0))</f>
        <v>7800</v>
      </c>
      <c r="O51" s="20">
        <f>IF(Cost_Structure16[[#This Row],[Ownership]]="Market",IF(Cost_Structure16[[#This Row],[Vehicle Capacity]]&gt;3,80000,40000),Cost_Structure16[[#This Row],[Fuel Cost]]+Cost_Structure16[[#This Row],[Maintenance]]+Cost_Structure16[[#This Row],[EMI ]])</f>
        <v>40500.275181934616</v>
      </c>
      <c r="P51" s="20" cm="1">
        <f t="array" ref="P5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1" s="20">
        <f>Cost_Structure16[[#This Row],[Vehicle Cost]]+Cost_Structure16[[#This Row],[Team Cost]]</f>
        <v>68500.275181934616</v>
      </c>
    </row>
    <row r="52" spans="1:17" x14ac:dyDescent="0.3">
      <c r="A52">
        <v>46</v>
      </c>
      <c r="B52" t="str">
        <f>VLOOKUP(Cost_Structure16[[#This Row],[Index]],Vehicle[#All],2,)</f>
        <v>Vadodara</v>
      </c>
      <c r="C52" t="str">
        <f>VLOOKUP(Cost_Structure16[[#This Row],[BP Name]],OU_Map[#All],3,)</f>
        <v>BDQT1</v>
      </c>
      <c r="D52" t="str">
        <f>VLOOKUP(Cost_Structure16[[#This Row],[Index]],Vehicle[#All],3,)</f>
        <v>Rajesh Kumar Misra_Delivery</v>
      </c>
      <c r="E52" t="str">
        <f>VLOOKUP(Cost_Structure16[[#This Row],[Index]],Vehicle[#All],4,)</f>
        <v>Super ace</v>
      </c>
      <c r="F52" t="str">
        <f>VLOOKUP(Cost_Structure16[[#This Row],[Index]],Vehicle_Ownership[#All],4,)</f>
        <v>Owned</v>
      </c>
      <c r="G52" s="3">
        <f>VLOOKUP(Cost_Structure16[[#This Row],[Index]],Year_of_Purchase[#All],4,)</f>
        <v>2014</v>
      </c>
      <c r="H52" t="str">
        <f>VLOOKUP(Cost_Structure16[[#This Row],[Vehicle]],Vehicle_Map[#All],2,)</f>
        <v>Super ace</v>
      </c>
      <c r="I52" s="19">
        <f>INDEX(Mileage[#Data],MATCH(Cost_Structure16[[#This Row],[OU Code]],Mileage[OU Code],0),MATCH(Cost_Structure16[[#This Row],[Vehicle]],Mileage[#Headers],0))</f>
        <v>9.9226528824228826</v>
      </c>
      <c r="J52" s="19">
        <f>INDEX(Capacity[#Data],MATCH(Cost_Structure16[[#This Row],[OU Code]],Capacity[OU Code],0),MATCH(Cost_Structure16[[#This Row],[Vehicle]],Capacity[#Headers],0))</f>
        <v>1.6651510049498304</v>
      </c>
      <c r="K52">
        <f>VLOOKUP(Cost_Structure16[[#This Row],[OU Code]],KM_and_FuelCost[#All],2,)</f>
        <v>3000</v>
      </c>
      <c r="L52" s="20">
        <f>IF(Cost_Structure16[[#This Row],[Ownership]]="Market",0,(Cost_Structure16[[#This Row],[KM Travelled]]/Cost_Structure16[[#This Row],[Mileage]])*VLOOKUP(Cost_Structure16[[#This Row],[OU Code]],KM_and_FuelCost[#All],3,))</f>
        <v>23752.568379081509</v>
      </c>
      <c r="M52" s="20">
        <f>IF(AND( Cost_Structure16[[#This Row],[Purchase Year]] &gt;= 2016,Cost_Structure16[[#This Row],[Ownership]]="EMI"), VLOOKUP(Cost_Structure16[[#This Row],[Vehicle Name]],EMI[#All],5,FALSE), 0)</f>
        <v>0</v>
      </c>
      <c r="N52" s="20">
        <f>INDEX(Maintenance[#Data],MATCH(Cost_Structure16[[#This Row],[OU Code]],Maintenance[OU Code],0),MATCH(Cost_Structure16[[#This Row],[Vehicle]],Maintenance[#Headers],0))</f>
        <v>10500</v>
      </c>
      <c r="O52" s="20">
        <f>IF(Cost_Structure16[[#This Row],[Ownership]]="Market",IF(Cost_Structure16[[#This Row],[Vehicle Capacity]]&gt;3,80000,40000),Cost_Structure16[[#This Row],[Fuel Cost]]+Cost_Structure16[[#This Row],[Maintenance]]+Cost_Structure16[[#This Row],[EMI ]])</f>
        <v>34252.568379081509</v>
      </c>
      <c r="P52" s="20" cm="1">
        <f t="array" ref="P5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2" s="20">
        <f>Cost_Structure16[[#This Row],[Vehicle Cost]]+Cost_Structure16[[#This Row],[Team Cost]]</f>
        <v>62252.568379081509</v>
      </c>
    </row>
    <row r="53" spans="1:17" x14ac:dyDescent="0.3">
      <c r="A53">
        <v>47</v>
      </c>
      <c r="B53" t="str">
        <f>VLOOKUP(Cost_Structure16[[#This Row],[Index]],Vehicle[#All],2,)</f>
        <v>Vadodara</v>
      </c>
      <c r="C53" t="str">
        <f>VLOOKUP(Cost_Structure16[[#This Row],[BP Name]],OU_Map[#All],3,)</f>
        <v>BDQT1</v>
      </c>
      <c r="D53" t="str">
        <f>VLOOKUP(Cost_Structure16[[#This Row],[Index]],Vehicle[#All],3,)</f>
        <v>Rajesh Kumar Misra_Delivery</v>
      </c>
      <c r="E53" t="str">
        <f>VLOOKUP(Cost_Structure16[[#This Row],[Index]],Vehicle[#All],4,)</f>
        <v>AL Dost</v>
      </c>
      <c r="F53" t="str">
        <f>VLOOKUP(Cost_Structure16[[#This Row],[Index]],Vehicle_Ownership[#All],4,)</f>
        <v>Owned</v>
      </c>
      <c r="G53" s="3">
        <f>VLOOKUP(Cost_Structure16[[#This Row],[Index]],Year_of_Purchase[#All],4,)</f>
        <v>2018</v>
      </c>
      <c r="H53" t="str">
        <f>VLOOKUP(Cost_Structure16[[#This Row],[Vehicle]],Vehicle_Map[#All],2,)</f>
        <v>AL Dost</v>
      </c>
      <c r="I53" s="19">
        <f>INDEX(Mileage[#Data],MATCH(Cost_Structure16[[#This Row],[OU Code]],Mileage[OU Code],0),MATCH(Cost_Structure16[[#This Row],[Vehicle]],Mileage[#Headers],0))</f>
        <v>16.206961290646341</v>
      </c>
      <c r="J53" s="19">
        <f>INDEX(Capacity[#Data],MATCH(Cost_Structure16[[#This Row],[OU Code]],Capacity[OU Code],0),MATCH(Cost_Structure16[[#This Row],[Vehicle]],Capacity[#Headers],0))</f>
        <v>0.97146367060579686</v>
      </c>
      <c r="K53">
        <f>VLOOKUP(Cost_Structure16[[#This Row],[OU Code]],KM_and_FuelCost[#All],2,)</f>
        <v>3000</v>
      </c>
      <c r="L53" s="20">
        <f>IF(Cost_Structure16[[#This Row],[Ownership]]="Market",0,(Cost_Structure16[[#This Row],[KM Travelled]]/Cost_Structure16[[#This Row],[Mileage]])*VLOOKUP(Cost_Structure16[[#This Row],[OU Code]],KM_and_FuelCost[#All],3,))</f>
        <v>14542.423275093808</v>
      </c>
      <c r="M53" s="20">
        <f>IF(AND( Cost_Structure16[[#This Row],[Purchase Year]] &gt;= 2016,Cost_Structure16[[#This Row],[Ownership]]="EMI"), VLOOKUP(Cost_Structure16[[#This Row],[Vehicle Name]],EMI[#All],5,FALSE), 0)</f>
        <v>0</v>
      </c>
      <c r="N53" s="20">
        <f>INDEX(Maintenance[#Data],MATCH(Cost_Structure16[[#This Row],[OU Code]],Maintenance[OU Code],0),MATCH(Cost_Structure16[[#This Row],[Vehicle]],Maintenance[#Headers],0))</f>
        <v>10200</v>
      </c>
      <c r="O53" s="20">
        <f>IF(Cost_Structure16[[#This Row],[Ownership]]="Market",IF(Cost_Structure16[[#This Row],[Vehicle Capacity]]&gt;3,80000,40000),Cost_Structure16[[#This Row],[Fuel Cost]]+Cost_Structure16[[#This Row],[Maintenance]]+Cost_Structure16[[#This Row],[EMI ]])</f>
        <v>24742.42327509381</v>
      </c>
      <c r="P53" s="20" cm="1">
        <f t="array" ref="P5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3" s="20">
        <f>Cost_Structure16[[#This Row],[Vehicle Cost]]+Cost_Structure16[[#This Row],[Team Cost]]</f>
        <v>52742.42327509381</v>
      </c>
    </row>
    <row r="54" spans="1:17" x14ac:dyDescent="0.3">
      <c r="A54">
        <v>48</v>
      </c>
      <c r="B54" t="str">
        <f>VLOOKUP(Cost_Structure16[[#This Row],[Index]],Vehicle[#All],2,)</f>
        <v>Junagarh</v>
      </c>
      <c r="C54" t="str">
        <f>VLOOKUP(Cost_Structure16[[#This Row],[BP Name]],OU_Map[#All],3,)</f>
        <v>JNDB1</v>
      </c>
      <c r="D54" t="str">
        <f>VLOOKUP(Cost_Structure16[[#This Row],[Index]],Vehicle[#All],3,)</f>
        <v>Rakib Gulamkadar Bloch</v>
      </c>
      <c r="E54" t="str">
        <f>VLOOKUP(Cost_Structure16[[#This Row],[Index]],Vehicle[#All],4,)</f>
        <v>Tata Ace</v>
      </c>
      <c r="F54" t="str">
        <f>VLOOKUP(Cost_Structure16[[#This Row],[Index]],Vehicle_Ownership[#All],4,)</f>
        <v>Owned</v>
      </c>
      <c r="G54" s="3">
        <f>VLOOKUP(Cost_Structure16[[#This Row],[Index]],Year_of_Purchase[#All],4,)</f>
        <v>2015</v>
      </c>
      <c r="H54" t="str">
        <f>VLOOKUP(Cost_Structure16[[#This Row],[Vehicle]],Vehicle_Map[#All],2,)</f>
        <v>Tata Ace</v>
      </c>
      <c r="I54" s="19">
        <f>INDEX(Mileage[#Data],MATCH(Cost_Structure16[[#This Row],[OU Code]],Mileage[OU Code],0),MATCH(Cost_Structure16[[#This Row],[Vehicle]],Mileage[#Headers],0))</f>
        <v>10.173410042173559</v>
      </c>
      <c r="J54" s="19">
        <f>INDEX(Capacity[#Data],MATCH(Cost_Structure16[[#This Row],[OU Code]],Capacity[OU Code],0),MATCH(Cost_Structure16[[#This Row],[Vehicle]],Capacity[#Headers],0))</f>
        <v>1.020976097530419</v>
      </c>
      <c r="K54">
        <f>VLOOKUP(Cost_Structure16[[#This Row],[OU Code]],KM_and_FuelCost[#All],2,)</f>
        <v>1800</v>
      </c>
      <c r="L54" s="20">
        <f>IF(Cost_Structure16[[#This Row],[Ownership]]="Market",0,(Cost_Structure16[[#This Row],[KM Travelled]]/Cost_Structure16[[#This Row],[Mileage]])*VLOOKUP(Cost_Structure16[[#This Row],[OU Code]],KM_and_FuelCost[#All],3,))</f>
        <v>14495.51069292958</v>
      </c>
      <c r="M54" s="20">
        <f>IF(AND( Cost_Structure16[[#This Row],[Purchase Year]] &gt;= 2016,Cost_Structure16[[#This Row],[Ownership]]="EMI"), VLOOKUP(Cost_Structure16[[#This Row],[Vehicle Name]],EMI[#All],5,FALSE), 0)</f>
        <v>0</v>
      </c>
      <c r="N54" s="20">
        <f>INDEX(Maintenance[#Data],MATCH(Cost_Structure16[[#This Row],[OU Code]],Maintenance[OU Code],0),MATCH(Cost_Structure16[[#This Row],[Vehicle]],Maintenance[#Headers],0))</f>
        <v>9700</v>
      </c>
      <c r="O54" s="20">
        <f>IF(Cost_Structure16[[#This Row],[Ownership]]="Market",IF(Cost_Structure16[[#This Row],[Vehicle Capacity]]&gt;3,80000,40000),Cost_Structure16[[#This Row],[Fuel Cost]]+Cost_Structure16[[#This Row],[Maintenance]]+Cost_Structure16[[#This Row],[EMI ]])</f>
        <v>24195.51069292958</v>
      </c>
      <c r="P54" s="20" cm="1">
        <f t="array" ref="P5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4" s="20">
        <f>Cost_Structure16[[#This Row],[Vehicle Cost]]+Cost_Structure16[[#This Row],[Team Cost]]</f>
        <v>52195.51069292958</v>
      </c>
    </row>
    <row r="55" spans="1:17" x14ac:dyDescent="0.3">
      <c r="A55">
        <v>49</v>
      </c>
      <c r="B55" t="str">
        <f>VLOOKUP(Cost_Structure16[[#This Row],[Index]],Vehicle[#All],2,)</f>
        <v>Mehsana</v>
      </c>
      <c r="C55" t="str">
        <f>VLOOKUP(Cost_Structure16[[#This Row],[BP Name]],OU_Map[#All],3,)</f>
        <v>MSHB1</v>
      </c>
      <c r="D55" t="str">
        <f>VLOOKUP(Cost_Structure16[[#This Row],[Index]],Vehicle[#All],3,)</f>
        <v>Sadhu Ram Kargwal</v>
      </c>
      <c r="E55" t="str">
        <f>VLOOKUP(Cost_Structure16[[#This Row],[Index]],Vehicle[#All],4,)</f>
        <v>Mahindra</v>
      </c>
      <c r="F55" t="str">
        <f>VLOOKUP(Cost_Structure16[[#This Row],[Index]],Vehicle_Ownership[#All],4,)</f>
        <v>EMI</v>
      </c>
      <c r="G55" s="3">
        <f>VLOOKUP(Cost_Structure16[[#This Row],[Index]],Year_of_Purchase[#All],4,)</f>
        <v>2019</v>
      </c>
      <c r="H55" t="str">
        <f>VLOOKUP(Cost_Structure16[[#This Row],[Vehicle]],Vehicle_Map[#All],2,)</f>
        <v>Mahindra</v>
      </c>
      <c r="I55" s="19">
        <f>INDEX(Mileage[#Data],MATCH(Cost_Structure16[[#This Row],[OU Code]],Mileage[OU Code],0),MATCH(Cost_Structure16[[#This Row],[Vehicle]],Mileage[#Headers],0))</f>
        <v>8.6217992604575731</v>
      </c>
      <c r="J55" s="19">
        <f>INDEX(Capacity[#Data],MATCH(Cost_Structure16[[#This Row],[OU Code]],Capacity[OU Code],0),MATCH(Cost_Structure16[[#This Row],[Vehicle]],Capacity[#Headers],0))</f>
        <v>1.7903212444492185</v>
      </c>
      <c r="K55">
        <f>VLOOKUP(Cost_Structure16[[#This Row],[OU Code]],KM_and_FuelCost[#All],2,)</f>
        <v>2000</v>
      </c>
      <c r="L55" s="20">
        <f>IF(Cost_Structure16[[#This Row],[Ownership]]="Market",0,(Cost_Structure16[[#This Row],[KM Travelled]]/Cost_Structure16[[#This Row],[Mileage]])*VLOOKUP(Cost_Structure16[[#This Row],[OU Code]],KM_and_FuelCost[#All],3,))</f>
        <v>23052.631423483541</v>
      </c>
      <c r="M55" s="20">
        <f>IF(AND( Cost_Structure16[[#This Row],[Purchase Year]] &gt;= 2016,Cost_Structure16[[#This Row],[Ownership]]="EMI"), VLOOKUP(Cost_Structure16[[#This Row],[Vehicle Name]],EMI[#All],5,FALSE), 0)</f>
        <v>11420.447400423482</v>
      </c>
      <c r="N55" s="20">
        <f>INDEX(Maintenance[#Data],MATCH(Cost_Structure16[[#This Row],[OU Code]],Maintenance[OU Code],0),MATCH(Cost_Structure16[[#This Row],[Vehicle]],Maintenance[#Headers],0))</f>
        <v>10200</v>
      </c>
      <c r="O55" s="20">
        <f>IF(Cost_Structure16[[#This Row],[Ownership]]="Market",IF(Cost_Structure16[[#This Row],[Vehicle Capacity]]&gt;3,80000,40000),Cost_Structure16[[#This Row],[Fuel Cost]]+Cost_Structure16[[#This Row],[Maintenance]]+Cost_Structure16[[#This Row],[EMI ]])</f>
        <v>44673.078823907024</v>
      </c>
      <c r="P55" s="20" cm="1">
        <f t="array" ref="P5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5" s="20">
        <f>Cost_Structure16[[#This Row],[Vehicle Cost]]+Cost_Structure16[[#This Row],[Team Cost]]</f>
        <v>72673.078823907024</v>
      </c>
    </row>
    <row r="56" spans="1:17" x14ac:dyDescent="0.3">
      <c r="A56">
        <v>50</v>
      </c>
      <c r="B56" t="str">
        <f>VLOOKUP(Cost_Structure16[[#This Row],[Index]],Vehicle[#All],2,)</f>
        <v>Mehsana</v>
      </c>
      <c r="C56" t="str">
        <f>VLOOKUP(Cost_Structure16[[#This Row],[BP Name]],OU_Map[#All],3,)</f>
        <v>MSHB1</v>
      </c>
      <c r="D56" t="str">
        <f>VLOOKUP(Cost_Structure16[[#This Row],[Index]],Vehicle[#All],3,)</f>
        <v>Sadhu Ram Kargwal</v>
      </c>
      <c r="E56" t="str">
        <f>VLOOKUP(Cost_Structure16[[#This Row],[Index]],Vehicle[#All],4,)</f>
        <v>Mahindra</v>
      </c>
      <c r="F56" t="str">
        <f>VLOOKUP(Cost_Structure16[[#This Row],[Index]],Vehicle_Ownership[#All],4,)</f>
        <v>Owned</v>
      </c>
      <c r="G56" s="3">
        <f>VLOOKUP(Cost_Structure16[[#This Row],[Index]],Year_of_Purchase[#All],4,)</f>
        <v>2018</v>
      </c>
      <c r="H56" t="str">
        <f>VLOOKUP(Cost_Structure16[[#This Row],[Vehicle]],Vehicle_Map[#All],2,)</f>
        <v>Mahindra</v>
      </c>
      <c r="I56" s="19">
        <f>INDEX(Mileage[#Data],MATCH(Cost_Structure16[[#This Row],[OU Code]],Mileage[OU Code],0),MATCH(Cost_Structure16[[#This Row],[Vehicle]],Mileage[#Headers],0))</f>
        <v>8.6217992604575731</v>
      </c>
      <c r="J56" s="19">
        <f>INDEX(Capacity[#Data],MATCH(Cost_Structure16[[#This Row],[OU Code]],Capacity[OU Code],0),MATCH(Cost_Structure16[[#This Row],[Vehicle]],Capacity[#Headers],0))</f>
        <v>1.7903212444492185</v>
      </c>
      <c r="K56">
        <f>VLOOKUP(Cost_Structure16[[#This Row],[OU Code]],KM_and_FuelCost[#All],2,)</f>
        <v>2000</v>
      </c>
      <c r="L56" s="20">
        <f>IF(Cost_Structure16[[#This Row],[Ownership]]="Market",0,(Cost_Structure16[[#This Row],[KM Travelled]]/Cost_Structure16[[#This Row],[Mileage]])*VLOOKUP(Cost_Structure16[[#This Row],[OU Code]],KM_and_FuelCost[#All],3,))</f>
        <v>23052.631423483541</v>
      </c>
      <c r="M56" s="20">
        <f>IF(AND( Cost_Structure16[[#This Row],[Purchase Year]] &gt;= 2016,Cost_Structure16[[#This Row],[Ownership]]="EMI"), VLOOKUP(Cost_Structure16[[#This Row],[Vehicle Name]],EMI[#All],5,FALSE), 0)</f>
        <v>0</v>
      </c>
      <c r="N56" s="20">
        <f>INDEX(Maintenance[#Data],MATCH(Cost_Structure16[[#This Row],[OU Code]],Maintenance[OU Code],0),MATCH(Cost_Structure16[[#This Row],[Vehicle]],Maintenance[#Headers],0))</f>
        <v>10200</v>
      </c>
      <c r="O56" s="20">
        <f>IF(Cost_Structure16[[#This Row],[Ownership]]="Market",IF(Cost_Structure16[[#This Row],[Vehicle Capacity]]&gt;3,80000,40000),Cost_Structure16[[#This Row],[Fuel Cost]]+Cost_Structure16[[#This Row],[Maintenance]]+Cost_Structure16[[#This Row],[EMI ]])</f>
        <v>33252.631423483544</v>
      </c>
      <c r="P56" s="20" cm="1">
        <f t="array" ref="P5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6" s="20">
        <f>Cost_Structure16[[#This Row],[Vehicle Cost]]+Cost_Structure16[[#This Row],[Team Cost]]</f>
        <v>61252.631423483544</v>
      </c>
    </row>
    <row r="57" spans="1:17" x14ac:dyDescent="0.3">
      <c r="A57">
        <v>51</v>
      </c>
      <c r="B57" t="str">
        <f>VLOOKUP(Cost_Structure16[[#This Row],[Index]],Vehicle[#All],2,)</f>
        <v>Ahmedabad Branch</v>
      </c>
      <c r="C57" t="str">
        <f>VLOOKUP(Cost_Structure16[[#This Row],[BP Name]],OU_Map[#All],3,)</f>
        <v>AMDT1</v>
      </c>
      <c r="D57" t="str">
        <f>VLOOKUP(Cost_Structure16[[#This Row],[Index]],Vehicle[#All],3,)</f>
        <v>Sandeep Kumar</v>
      </c>
      <c r="E57" t="str">
        <f>VLOOKUP(Cost_Structure16[[#This Row],[Index]],Vehicle[#All],4,)</f>
        <v>17 ft</v>
      </c>
      <c r="F57" t="str">
        <f>VLOOKUP(Cost_Structure16[[#This Row],[Index]],Vehicle_Ownership[#All],4,)</f>
        <v>Market</v>
      </c>
      <c r="G57" s="3">
        <f>VLOOKUP(Cost_Structure16[[#This Row],[Index]],Year_of_Purchase[#All],4,)</f>
        <v>0</v>
      </c>
      <c r="H57" t="str">
        <f>VLOOKUP(Cost_Structure16[[#This Row],[Vehicle]],Vehicle_Map[#All],2,)</f>
        <v>Eicher 17</v>
      </c>
      <c r="I57" s="19">
        <f>INDEX(Mileage[#Data],MATCH(Cost_Structure16[[#This Row],[OU Code]],Mileage[OU Code],0),MATCH(Cost_Structure16[[#This Row],[Vehicle]],Mileage[#Headers],0))</f>
        <v>6.5525461364709248</v>
      </c>
      <c r="J57" s="19">
        <f>INDEX(Capacity[#Data],MATCH(Cost_Structure16[[#This Row],[OU Code]],Capacity[OU Code],0),MATCH(Cost_Structure16[[#This Row],[Vehicle]],Capacity[#Headers],0))</f>
        <v>6.5900268382448797</v>
      </c>
      <c r="K57">
        <f>VLOOKUP(Cost_Structure16[[#This Row],[OU Code]],KM_and_FuelCost[#All],2,)</f>
        <v>2900</v>
      </c>
      <c r="L57" s="20">
        <f>IF(Cost_Structure16[[#This Row],[Ownership]]="Market",0,(Cost_Structure16[[#This Row],[KM Travelled]]/Cost_Structure16[[#This Row],[Mileage]])*VLOOKUP(Cost_Structure16[[#This Row],[OU Code]],KM_and_FuelCost[#All],3,))</f>
        <v>0</v>
      </c>
      <c r="M57" s="20">
        <f>IF(AND( Cost_Structure16[[#This Row],[Purchase Year]] &gt;= 2016,Cost_Structure16[[#This Row],[Ownership]]="EMI"), VLOOKUP(Cost_Structure16[[#This Row],[Vehicle Name]],EMI[#All],5,FALSE), 0)</f>
        <v>0</v>
      </c>
      <c r="N57" s="20">
        <f>INDEX(Maintenance[#Data],MATCH(Cost_Structure16[[#This Row],[OU Code]],Maintenance[OU Code],0),MATCH(Cost_Structure16[[#This Row],[Vehicle]],Maintenance[#Headers],0))</f>
        <v>12500</v>
      </c>
      <c r="O57" s="20">
        <f>IF(Cost_Structure16[[#This Row],[Ownership]]="Market",IF(Cost_Structure16[[#This Row],[Vehicle Capacity]]&gt;3,80000,40000),Cost_Structure16[[#This Row],[Fuel Cost]]+Cost_Structure16[[#This Row],[Maintenance]]+Cost_Structure16[[#This Row],[EMI ]])</f>
        <v>80000</v>
      </c>
      <c r="P57" s="20" cm="1">
        <f t="array" ref="P5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7" s="20">
        <f>Cost_Structure16[[#This Row],[Vehicle Cost]]+Cost_Structure16[[#This Row],[Team Cost]]</f>
        <v>96000</v>
      </c>
    </row>
    <row r="58" spans="1:17" x14ac:dyDescent="0.3">
      <c r="A58">
        <v>52</v>
      </c>
      <c r="B58" t="str">
        <f>VLOOKUP(Cost_Structure16[[#This Row],[Index]],Vehicle[#All],2,)</f>
        <v>Rampura Branch</v>
      </c>
      <c r="C58" t="str">
        <f>VLOOKUP(Cost_Structure16[[#This Row],[BP Name]],OU_Map[#All],3,)</f>
        <v>AMDBP</v>
      </c>
      <c r="D58" t="str">
        <f>VLOOKUP(Cost_Structure16[[#This Row],[Index]],Vehicle[#All],3,)</f>
        <v>Shekh Jenulabedeen Badrudin</v>
      </c>
      <c r="E58" t="str">
        <f>VLOOKUP(Cost_Structure16[[#This Row],[Index]],Vehicle[#All],4,)</f>
        <v>Mahindra</v>
      </c>
      <c r="F58" t="str">
        <f>VLOOKUP(Cost_Structure16[[#This Row],[Index]],Vehicle_Ownership[#All],4,)</f>
        <v>EMI</v>
      </c>
      <c r="G58" s="3">
        <f>VLOOKUP(Cost_Structure16[[#This Row],[Index]],Year_of_Purchase[#All],4,)</f>
        <v>2011</v>
      </c>
      <c r="H58" t="str">
        <f>VLOOKUP(Cost_Structure16[[#This Row],[Vehicle]],Vehicle_Map[#All],2,)</f>
        <v>Mahindra</v>
      </c>
      <c r="I58" s="19">
        <f>INDEX(Mileage[#Data],MATCH(Cost_Structure16[[#This Row],[OU Code]],Mileage[OU Code],0),MATCH(Cost_Structure16[[#This Row],[Vehicle]],Mileage[#Headers],0))</f>
        <v>11.216814907083885</v>
      </c>
      <c r="J58" s="19">
        <f>INDEX(Capacity[#Data],MATCH(Cost_Structure16[[#This Row],[OU Code]],Capacity[OU Code],0),MATCH(Cost_Structure16[[#This Row],[Vehicle]],Capacity[#Headers],0))</f>
        <v>1.4849540362195355</v>
      </c>
      <c r="K58">
        <f>VLOOKUP(Cost_Structure16[[#This Row],[OU Code]],KM_and_FuelCost[#All],2,)</f>
        <v>2600</v>
      </c>
      <c r="L58" s="20">
        <f>IF(Cost_Structure16[[#This Row],[Ownership]]="Market",0,(Cost_Structure16[[#This Row],[KM Travelled]]/Cost_Structure16[[#This Row],[Mileage]])*VLOOKUP(Cost_Structure16[[#This Row],[OU Code]],KM_and_FuelCost[#All],3,))</f>
        <v>18738.720654163106</v>
      </c>
      <c r="M58" s="20">
        <f>IF(AND( Cost_Structure16[[#This Row],[Purchase Year]] &gt;= 2016,Cost_Structure16[[#This Row],[Ownership]]="EMI"), VLOOKUP(Cost_Structure16[[#This Row],[Vehicle Name]],EMI[#All],5,FALSE), 0)</f>
        <v>0</v>
      </c>
      <c r="N58" s="20">
        <f>INDEX(Maintenance[#Data],MATCH(Cost_Structure16[[#This Row],[OU Code]],Maintenance[OU Code],0),MATCH(Cost_Structure16[[#This Row],[Vehicle]],Maintenance[#Headers],0))</f>
        <v>11200</v>
      </c>
      <c r="O58" s="20">
        <f>IF(Cost_Structure16[[#This Row],[Ownership]]="Market",IF(Cost_Structure16[[#This Row],[Vehicle Capacity]]&gt;3,80000,40000),Cost_Structure16[[#This Row],[Fuel Cost]]+Cost_Structure16[[#This Row],[Maintenance]]+Cost_Structure16[[#This Row],[EMI ]])</f>
        <v>29938.720654163106</v>
      </c>
      <c r="P58" s="20" cm="1">
        <f t="array" ref="P5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8" s="20">
        <f>Cost_Structure16[[#This Row],[Vehicle Cost]]+Cost_Structure16[[#This Row],[Team Cost]]</f>
        <v>57938.720654163102</v>
      </c>
    </row>
    <row r="59" spans="1:17" x14ac:dyDescent="0.3">
      <c r="A59">
        <v>53</v>
      </c>
      <c r="B59" t="str">
        <f>VLOOKUP(Cost_Structure16[[#This Row],[Index]],Vehicle[#All],2,)</f>
        <v>Vadodara</v>
      </c>
      <c r="C59" t="str">
        <f>VLOOKUP(Cost_Structure16[[#This Row],[BP Name]],OU_Map[#All],3,)</f>
        <v>BDQT1</v>
      </c>
      <c r="D59" t="str">
        <f>VLOOKUP(Cost_Structure16[[#This Row],[Index]],Vehicle[#All],3,)</f>
        <v>Shekh Seemabanu Mohammad</v>
      </c>
      <c r="E59" t="str">
        <f>VLOOKUP(Cost_Structure16[[#This Row],[Index]],Vehicle[#All],4,)</f>
        <v>AL Dost</v>
      </c>
      <c r="F59" t="str">
        <f>VLOOKUP(Cost_Structure16[[#This Row],[Index]],Vehicle_Ownership[#All],4,)</f>
        <v>Owned</v>
      </c>
      <c r="G59" s="3">
        <f>VLOOKUP(Cost_Structure16[[#This Row],[Index]],Year_of_Purchase[#All],4,)</f>
        <v>2015</v>
      </c>
      <c r="H59" t="str">
        <f>VLOOKUP(Cost_Structure16[[#This Row],[Vehicle]],Vehicle_Map[#All],2,)</f>
        <v>AL Dost</v>
      </c>
      <c r="I59" s="19">
        <f>INDEX(Mileage[#Data],MATCH(Cost_Structure16[[#This Row],[OU Code]],Mileage[OU Code],0),MATCH(Cost_Structure16[[#This Row],[Vehicle]],Mileage[#Headers],0))</f>
        <v>16.206961290646341</v>
      </c>
      <c r="J59" s="19">
        <f>INDEX(Capacity[#Data],MATCH(Cost_Structure16[[#This Row],[OU Code]],Capacity[OU Code],0),MATCH(Cost_Structure16[[#This Row],[Vehicle]],Capacity[#Headers],0))</f>
        <v>0.97146367060579686</v>
      </c>
      <c r="K59">
        <f>VLOOKUP(Cost_Structure16[[#This Row],[OU Code]],KM_and_FuelCost[#All],2,)</f>
        <v>3000</v>
      </c>
      <c r="L59" s="20">
        <f>IF(Cost_Structure16[[#This Row],[Ownership]]="Market",0,(Cost_Structure16[[#This Row],[KM Travelled]]/Cost_Structure16[[#This Row],[Mileage]])*VLOOKUP(Cost_Structure16[[#This Row],[OU Code]],KM_and_FuelCost[#All],3,))</f>
        <v>14542.423275093808</v>
      </c>
      <c r="M59" s="20">
        <f>IF(AND( Cost_Structure16[[#This Row],[Purchase Year]] &gt;= 2016,Cost_Structure16[[#This Row],[Ownership]]="EMI"), VLOOKUP(Cost_Structure16[[#This Row],[Vehicle Name]],EMI[#All],5,FALSE), 0)</f>
        <v>0</v>
      </c>
      <c r="N59" s="20">
        <f>INDEX(Maintenance[#Data],MATCH(Cost_Structure16[[#This Row],[OU Code]],Maintenance[OU Code],0),MATCH(Cost_Structure16[[#This Row],[Vehicle]],Maintenance[#Headers],0))</f>
        <v>10200</v>
      </c>
      <c r="O59" s="20">
        <f>IF(Cost_Structure16[[#This Row],[Ownership]]="Market",IF(Cost_Structure16[[#This Row],[Vehicle Capacity]]&gt;3,80000,40000),Cost_Structure16[[#This Row],[Fuel Cost]]+Cost_Structure16[[#This Row],[Maintenance]]+Cost_Structure16[[#This Row],[EMI ]])</f>
        <v>24742.42327509381</v>
      </c>
      <c r="P59" s="20" cm="1">
        <f t="array" ref="P5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9" s="20">
        <f>Cost_Structure16[[#This Row],[Vehicle Cost]]+Cost_Structure16[[#This Row],[Team Cost]]</f>
        <v>52742.42327509381</v>
      </c>
    </row>
    <row r="60" spans="1:17" x14ac:dyDescent="0.3">
      <c r="A60">
        <v>54</v>
      </c>
      <c r="B60" t="str">
        <f>VLOOKUP(Cost_Structure16[[#This Row],[Index]],Vehicle[#All],2,)</f>
        <v>Surat</v>
      </c>
      <c r="C60" t="str">
        <f>VLOOKUP(Cost_Structure16[[#This Row],[BP Name]],OU_Map[#All],3,)</f>
        <v>STVT1</v>
      </c>
      <c r="D60" t="str">
        <f>VLOOKUP(Cost_Structure16[[#This Row],[Index]],Vehicle[#All],3,)</f>
        <v>Siddhant Subhash Borse</v>
      </c>
      <c r="E60" t="str">
        <f>VLOOKUP(Cost_Structure16[[#This Row],[Index]],Vehicle[#All],4,)</f>
        <v>Tata Ace</v>
      </c>
      <c r="F60" t="str">
        <f>VLOOKUP(Cost_Structure16[[#This Row],[Index]],Vehicle_Ownership[#All],4,)</f>
        <v>Owned</v>
      </c>
      <c r="G60" s="3">
        <f>VLOOKUP(Cost_Structure16[[#This Row],[Index]],Year_of_Purchase[#All],4,)</f>
        <v>2019</v>
      </c>
      <c r="H60" t="str">
        <f>VLOOKUP(Cost_Structure16[[#This Row],[Vehicle]],Vehicle_Map[#All],2,)</f>
        <v>Tata Ace</v>
      </c>
      <c r="I60" s="19">
        <f>INDEX(Mileage[#Data],MATCH(Cost_Structure16[[#This Row],[OU Code]],Mileage[OU Code],0),MATCH(Cost_Structure16[[#This Row],[Vehicle]],Mileage[#Headers],0))</f>
        <v>17.294647938760768</v>
      </c>
      <c r="J60" s="19">
        <f>INDEX(Capacity[#Data],MATCH(Cost_Structure16[[#This Row],[OU Code]],Capacity[OU Code],0),MATCH(Cost_Structure16[[#This Row],[Vehicle]],Capacity[#Headers],0))</f>
        <v>1.0764283836997799</v>
      </c>
      <c r="K60">
        <f>VLOOKUP(Cost_Structure16[[#This Row],[OU Code]],KM_and_FuelCost[#All],2,)</f>
        <v>2900</v>
      </c>
      <c r="L60" s="20">
        <f>IF(Cost_Structure16[[#This Row],[Ownership]]="Market",0,(Cost_Structure16[[#This Row],[KM Travelled]]/Cost_Structure16[[#This Row],[Mileage]])*VLOOKUP(Cost_Structure16[[#This Row],[OU Code]],KM_and_FuelCost[#All],3,))</f>
        <v>16669.829348340325</v>
      </c>
      <c r="M60" s="20">
        <f>IF(AND( Cost_Structure16[[#This Row],[Purchase Year]] &gt;= 2016,Cost_Structure16[[#This Row],[Ownership]]="EMI"), VLOOKUP(Cost_Structure16[[#This Row],[Vehicle Name]],EMI[#All],5,FALSE), 0)</f>
        <v>0</v>
      </c>
      <c r="N60" s="20">
        <f>INDEX(Maintenance[#Data],MATCH(Cost_Structure16[[#This Row],[OU Code]],Maintenance[OU Code],0),MATCH(Cost_Structure16[[#This Row],[Vehicle]],Maintenance[#Headers],0))</f>
        <v>11500</v>
      </c>
      <c r="O60" s="20">
        <f>IF(Cost_Structure16[[#This Row],[Ownership]]="Market",IF(Cost_Structure16[[#This Row],[Vehicle Capacity]]&gt;3,80000,40000),Cost_Structure16[[#This Row],[Fuel Cost]]+Cost_Structure16[[#This Row],[Maintenance]]+Cost_Structure16[[#This Row],[EMI ]])</f>
        <v>28169.829348340325</v>
      </c>
      <c r="P60" s="20" cm="1">
        <f t="array" ref="P6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0" s="20">
        <f>Cost_Structure16[[#This Row],[Vehicle Cost]]+Cost_Structure16[[#This Row],[Team Cost]]</f>
        <v>56169.829348340325</v>
      </c>
    </row>
    <row r="61" spans="1:17" x14ac:dyDescent="0.3">
      <c r="A61">
        <v>55</v>
      </c>
      <c r="B61" t="str">
        <f>VLOOKUP(Cost_Structure16[[#This Row],[Index]],Vehicle[#All],2,)</f>
        <v>Rampura Branch</v>
      </c>
      <c r="C61" t="str">
        <f>VLOOKUP(Cost_Structure16[[#This Row],[BP Name]],OU_Map[#All],3,)</f>
        <v>AMDBP</v>
      </c>
      <c r="D61" t="str">
        <f>VLOOKUP(Cost_Structure16[[#This Row],[Index]],Vehicle[#All],3,)</f>
        <v>Sureshbhai Rajabhai Bharwad</v>
      </c>
      <c r="E61" t="str">
        <f>VLOOKUP(Cost_Structure16[[#This Row],[Index]],Vehicle[#All],4,)</f>
        <v>17 ft</v>
      </c>
      <c r="F61" t="str">
        <f>VLOOKUP(Cost_Structure16[[#This Row],[Index]],Vehicle_Ownership[#All],4,)</f>
        <v>Market</v>
      </c>
      <c r="G61" s="3">
        <f>VLOOKUP(Cost_Structure16[[#This Row],[Index]],Year_of_Purchase[#All],4,)</f>
        <v>0</v>
      </c>
      <c r="H61" t="str">
        <f>VLOOKUP(Cost_Structure16[[#This Row],[Vehicle]],Vehicle_Map[#All],2,)</f>
        <v>Eicher 17</v>
      </c>
      <c r="I61" s="19">
        <f>INDEX(Mileage[#Data],MATCH(Cost_Structure16[[#This Row],[OU Code]],Mileage[OU Code],0),MATCH(Cost_Structure16[[#This Row],[Vehicle]],Mileage[#Headers],0))</f>
        <v>4.6995094079618678</v>
      </c>
      <c r="J61" s="19">
        <f>INDEX(Capacity[#Data],MATCH(Cost_Structure16[[#This Row],[OU Code]],Capacity[OU Code],0),MATCH(Cost_Structure16[[#This Row],[Vehicle]],Capacity[#Headers],0))</f>
        <v>2.6680743558814162</v>
      </c>
      <c r="K61">
        <f>VLOOKUP(Cost_Structure16[[#This Row],[OU Code]],KM_and_FuelCost[#All],2,)</f>
        <v>2600</v>
      </c>
      <c r="L61" s="20">
        <f>IF(Cost_Structure16[[#This Row],[Ownership]]="Market",0,(Cost_Structure16[[#This Row],[KM Travelled]]/Cost_Structure16[[#This Row],[Mileage]])*VLOOKUP(Cost_Structure16[[#This Row],[OU Code]],KM_and_FuelCost[#All],3,))</f>
        <v>0</v>
      </c>
      <c r="M61" s="20">
        <f>IF(AND( Cost_Structure16[[#This Row],[Purchase Year]] &gt;= 2016,Cost_Structure16[[#This Row],[Ownership]]="EMI"), VLOOKUP(Cost_Structure16[[#This Row],[Vehicle Name]],EMI[#All],5,FALSE), 0)</f>
        <v>0</v>
      </c>
      <c r="N61" s="20">
        <f>INDEX(Maintenance[#Data],MATCH(Cost_Structure16[[#This Row],[OU Code]],Maintenance[OU Code],0),MATCH(Cost_Structure16[[#This Row],[Vehicle]],Maintenance[#Headers],0))</f>
        <v>11200</v>
      </c>
      <c r="O61" s="20">
        <f>IF(Cost_Structure16[[#This Row],[Ownership]]="Market",IF(Cost_Structure16[[#This Row],[Vehicle Capacity]]&gt;3,80000,40000),Cost_Structure16[[#This Row],[Fuel Cost]]+Cost_Structure16[[#This Row],[Maintenance]]+Cost_Structure16[[#This Row],[EMI ]])</f>
        <v>40000</v>
      </c>
      <c r="P61" s="20" cm="1">
        <f t="array" ref="P6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61" s="20">
        <f>Cost_Structure16[[#This Row],[Vehicle Cost]]+Cost_Structure16[[#This Row],[Team Cost]]</f>
        <v>48000</v>
      </c>
    </row>
    <row r="62" spans="1:17" x14ac:dyDescent="0.3">
      <c r="A62">
        <v>56</v>
      </c>
      <c r="B62" t="str">
        <f>VLOOKUP(Cost_Structure16[[#This Row],[Index]],Vehicle[#All],2,)</f>
        <v>Rampura Branch</v>
      </c>
      <c r="C62" t="str">
        <f>VLOOKUP(Cost_Structure16[[#This Row],[BP Name]],OU_Map[#All],3,)</f>
        <v>AMDBP</v>
      </c>
      <c r="D62" t="str">
        <f>VLOOKUP(Cost_Structure16[[#This Row],[Index]],Vehicle[#All],3,)</f>
        <v>Sureshbhai Rajabhai Bharwad</v>
      </c>
      <c r="E62" t="str">
        <f>VLOOKUP(Cost_Structure16[[#This Row],[Index]],Vehicle[#All],4,)</f>
        <v>Mahindra</v>
      </c>
      <c r="F62" t="str">
        <f>VLOOKUP(Cost_Structure16[[#This Row],[Index]],Vehicle_Ownership[#All],4,)</f>
        <v>EMI</v>
      </c>
      <c r="G62" s="3">
        <f>VLOOKUP(Cost_Structure16[[#This Row],[Index]],Year_of_Purchase[#All],4,)</f>
        <v>2018</v>
      </c>
      <c r="H62" t="str">
        <f>VLOOKUP(Cost_Structure16[[#This Row],[Vehicle]],Vehicle_Map[#All],2,)</f>
        <v>Mahindra</v>
      </c>
      <c r="I62" s="19">
        <f>INDEX(Mileage[#Data],MATCH(Cost_Structure16[[#This Row],[OU Code]],Mileage[OU Code],0),MATCH(Cost_Structure16[[#This Row],[Vehicle]],Mileage[#Headers],0))</f>
        <v>11.216814907083885</v>
      </c>
      <c r="J62" s="19">
        <f>INDEX(Capacity[#Data],MATCH(Cost_Structure16[[#This Row],[OU Code]],Capacity[OU Code],0),MATCH(Cost_Structure16[[#This Row],[Vehicle]],Capacity[#Headers],0))</f>
        <v>1.4849540362195355</v>
      </c>
      <c r="K62">
        <f>VLOOKUP(Cost_Structure16[[#This Row],[OU Code]],KM_and_FuelCost[#All],2,)</f>
        <v>2600</v>
      </c>
      <c r="L62" s="20">
        <f>IF(Cost_Structure16[[#This Row],[Ownership]]="Market",0,(Cost_Structure16[[#This Row],[KM Travelled]]/Cost_Structure16[[#This Row],[Mileage]])*VLOOKUP(Cost_Structure16[[#This Row],[OU Code]],KM_and_FuelCost[#All],3,))</f>
        <v>18738.720654163106</v>
      </c>
      <c r="M62" s="20">
        <f>IF(AND( Cost_Structure16[[#This Row],[Purchase Year]] &gt;= 2016,Cost_Structure16[[#This Row],[Ownership]]="EMI"), VLOOKUP(Cost_Structure16[[#This Row],[Vehicle Name]],EMI[#All],5,FALSE), 0)</f>
        <v>11420.447400423482</v>
      </c>
      <c r="N62" s="20">
        <f>INDEX(Maintenance[#Data],MATCH(Cost_Structure16[[#This Row],[OU Code]],Maintenance[OU Code],0),MATCH(Cost_Structure16[[#This Row],[Vehicle]],Maintenance[#Headers],0))</f>
        <v>11200</v>
      </c>
      <c r="O62" s="20">
        <f>IF(Cost_Structure16[[#This Row],[Ownership]]="Market",IF(Cost_Structure16[[#This Row],[Vehicle Capacity]]&gt;3,80000,40000),Cost_Structure16[[#This Row],[Fuel Cost]]+Cost_Structure16[[#This Row],[Maintenance]]+Cost_Structure16[[#This Row],[EMI ]])</f>
        <v>41359.168054586589</v>
      </c>
      <c r="P62" s="20" cm="1">
        <f t="array" ref="P6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2" s="20">
        <f>Cost_Structure16[[#This Row],[Vehicle Cost]]+Cost_Structure16[[#This Row],[Team Cost]]</f>
        <v>69359.168054586597</v>
      </c>
    </row>
    <row r="63" spans="1:17" x14ac:dyDescent="0.3">
      <c r="A63">
        <v>57</v>
      </c>
      <c r="B63" t="str">
        <f>VLOOKUP(Cost_Structure16[[#This Row],[Index]],Vehicle[#All],2,)</f>
        <v>Rampura Branch</v>
      </c>
      <c r="C63" t="str">
        <f>VLOOKUP(Cost_Structure16[[#This Row],[BP Name]],OU_Map[#All],3,)</f>
        <v>AMDBP</v>
      </c>
      <c r="D63" t="str">
        <f>VLOOKUP(Cost_Structure16[[#This Row],[Index]],Vehicle[#All],3,)</f>
        <v>Sureshbhai Rajabhai Bharwad</v>
      </c>
      <c r="E63" t="str">
        <f>VLOOKUP(Cost_Structure16[[#This Row],[Index]],Vehicle[#All],4,)</f>
        <v>Pickup</v>
      </c>
      <c r="F63" t="str">
        <f>VLOOKUP(Cost_Structure16[[#This Row],[Index]],Vehicle_Ownership[#All],4,)</f>
        <v>EMI</v>
      </c>
      <c r="G63" s="3">
        <f>VLOOKUP(Cost_Structure16[[#This Row],[Index]],Year_of_Purchase[#All],4,)</f>
        <v>2018</v>
      </c>
      <c r="H63" t="str">
        <f>VLOOKUP(Cost_Structure16[[#This Row],[Vehicle]],Vehicle_Map[#All],2,)</f>
        <v>Pickup</v>
      </c>
      <c r="I63" s="19">
        <f>INDEX(Mileage[#Data],MATCH(Cost_Structure16[[#This Row],[OU Code]],Mileage[OU Code],0),MATCH(Cost_Structure16[[#This Row],[Vehicle]],Mileage[#Headers],0))</f>
        <v>8.0856008470429561</v>
      </c>
      <c r="J63" s="19">
        <f>INDEX(Capacity[#Data],MATCH(Cost_Structure16[[#This Row],[OU Code]],Capacity[OU Code],0),MATCH(Cost_Structure16[[#This Row],[Vehicle]],Capacity[#Headers],0))</f>
        <v>1.2007936330416782</v>
      </c>
      <c r="K63">
        <f>VLOOKUP(Cost_Structure16[[#This Row],[OU Code]],KM_and_FuelCost[#All],2,)</f>
        <v>2600</v>
      </c>
      <c r="L63" s="20">
        <f>IF(Cost_Structure16[[#This Row],[Ownership]]="Market",0,(Cost_Structure16[[#This Row],[KM Travelled]]/Cost_Structure16[[#This Row],[Mileage]])*VLOOKUP(Cost_Structure16[[#This Row],[OU Code]],KM_and_FuelCost[#All],3,))</f>
        <v>25995.441173696705</v>
      </c>
      <c r="M63" s="20">
        <f>IF(AND( Cost_Structure16[[#This Row],[Purchase Year]] &gt;= 2016,Cost_Structure16[[#This Row],[Ownership]]="EMI"), VLOOKUP(Cost_Structure16[[#This Row],[Vehicle Name]],EMI[#All],5,FALSE), 0)</f>
        <v>9897.7210803670168</v>
      </c>
      <c r="N63" s="20">
        <f>INDEX(Maintenance[#Data],MATCH(Cost_Structure16[[#This Row],[OU Code]],Maintenance[OU Code],0),MATCH(Cost_Structure16[[#This Row],[Vehicle]],Maintenance[#Headers],0))</f>
        <v>9800</v>
      </c>
      <c r="O63" s="20">
        <f>IF(Cost_Structure16[[#This Row],[Ownership]]="Market",IF(Cost_Structure16[[#This Row],[Vehicle Capacity]]&gt;3,80000,40000),Cost_Structure16[[#This Row],[Fuel Cost]]+Cost_Structure16[[#This Row],[Maintenance]]+Cost_Structure16[[#This Row],[EMI ]])</f>
        <v>45693.162254063718</v>
      </c>
      <c r="P63" s="20" cm="1">
        <f t="array" ref="P6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3" s="20">
        <f>Cost_Structure16[[#This Row],[Vehicle Cost]]+Cost_Structure16[[#This Row],[Team Cost]]</f>
        <v>73693.162254063718</v>
      </c>
    </row>
    <row r="64" spans="1:17" x14ac:dyDescent="0.3">
      <c r="A64">
        <v>58</v>
      </c>
      <c r="B64" t="str">
        <f>VLOOKUP(Cost_Structure16[[#This Row],[Index]],Vehicle[#All],2,)</f>
        <v>Rampura Branch</v>
      </c>
      <c r="C64" t="str">
        <f>VLOOKUP(Cost_Structure16[[#This Row],[BP Name]],OU_Map[#All],3,)</f>
        <v>AMDBP</v>
      </c>
      <c r="D64" t="str">
        <f>VLOOKUP(Cost_Structure16[[#This Row],[Index]],Vehicle[#All],3,)</f>
        <v>Sureshbhai Rajabhai Bharwad</v>
      </c>
      <c r="E64" t="str">
        <f>VLOOKUP(Cost_Structure16[[#This Row],[Index]],Vehicle[#All],4,)</f>
        <v>Tata Ace</v>
      </c>
      <c r="F64" t="str">
        <f>VLOOKUP(Cost_Structure16[[#This Row],[Index]],Vehicle_Ownership[#All],4,)</f>
        <v>EMI</v>
      </c>
      <c r="G64" s="3">
        <f>VLOOKUP(Cost_Structure16[[#This Row],[Index]],Year_of_Purchase[#All],4,)</f>
        <v>2014</v>
      </c>
      <c r="H64" t="str">
        <f>VLOOKUP(Cost_Structure16[[#This Row],[Vehicle]],Vehicle_Map[#All],2,)</f>
        <v>Tata Ace</v>
      </c>
      <c r="I64" s="19">
        <f>INDEX(Mileage[#Data],MATCH(Cost_Structure16[[#This Row],[OU Code]],Mileage[OU Code],0),MATCH(Cost_Structure16[[#This Row],[Vehicle]],Mileage[#Headers],0))</f>
        <v>7.7853868200690899</v>
      </c>
      <c r="J64" s="19">
        <f>INDEX(Capacity[#Data],MATCH(Cost_Structure16[[#This Row],[OU Code]],Capacity[OU Code],0),MATCH(Cost_Structure16[[#This Row],[Vehicle]],Capacity[#Headers],0))</f>
        <v>0.75264980525332092</v>
      </c>
      <c r="K64">
        <f>VLOOKUP(Cost_Structure16[[#This Row],[OU Code]],KM_and_FuelCost[#All],2,)</f>
        <v>2600</v>
      </c>
      <c r="L64" s="20">
        <f>IF(Cost_Structure16[[#This Row],[Ownership]]="Market",0,(Cost_Structure16[[#This Row],[KM Travelled]]/Cost_Structure16[[#This Row],[Mileage]])*VLOOKUP(Cost_Structure16[[#This Row],[OU Code]],KM_and_FuelCost[#All],3,))</f>
        <v>26997.857143266792</v>
      </c>
      <c r="M64" s="20">
        <f>IF(AND( Cost_Structure16[[#This Row],[Purchase Year]] &gt;= 2016,Cost_Structure16[[#This Row],[Ownership]]="EMI"), VLOOKUP(Cost_Structure16[[#This Row],[Vehicle Name]],EMI[#All],5,FALSE), 0)</f>
        <v>0</v>
      </c>
      <c r="N64" s="20">
        <f>INDEX(Maintenance[#Data],MATCH(Cost_Structure16[[#This Row],[OU Code]],Maintenance[OU Code],0),MATCH(Cost_Structure16[[#This Row],[Vehicle]],Maintenance[#Headers],0))</f>
        <v>6900</v>
      </c>
      <c r="O64" s="20">
        <f>IF(Cost_Structure16[[#This Row],[Ownership]]="Market",IF(Cost_Structure16[[#This Row],[Vehicle Capacity]]&gt;3,80000,40000),Cost_Structure16[[#This Row],[Fuel Cost]]+Cost_Structure16[[#This Row],[Maintenance]]+Cost_Structure16[[#This Row],[EMI ]])</f>
        <v>33897.857143266796</v>
      </c>
      <c r="P64" s="20" cm="1">
        <f t="array" ref="P6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4" s="20">
        <f>Cost_Structure16[[#This Row],[Vehicle Cost]]+Cost_Structure16[[#This Row],[Team Cost]]</f>
        <v>61897.857143266796</v>
      </c>
    </row>
    <row r="65" spans="1:17" x14ac:dyDescent="0.3">
      <c r="A65">
        <v>59</v>
      </c>
      <c r="B65" t="str">
        <f>VLOOKUP(Cost_Structure16[[#This Row],[Index]],Vehicle[#All],2,)</f>
        <v>Ahmmedabad City</v>
      </c>
      <c r="C65" t="str">
        <f>VLOOKUP(Cost_Structure16[[#This Row],[BP Name]],OU_Map[#All],3,)</f>
        <v>AMDBL</v>
      </c>
      <c r="D65" t="str">
        <f>VLOOKUP(Cost_Structure16[[#This Row],[Index]],Vehicle[#All],3,)</f>
        <v>Swapnil Pandey_Bp</v>
      </c>
      <c r="E65" t="str">
        <f>VLOOKUP(Cost_Structure16[[#This Row],[Index]],Vehicle[#All],4,)</f>
        <v>Mahindra</v>
      </c>
      <c r="F65" t="str">
        <f>VLOOKUP(Cost_Structure16[[#This Row],[Index]],Vehicle_Ownership[#All],4,)</f>
        <v>EMI</v>
      </c>
      <c r="G65" s="3">
        <f>VLOOKUP(Cost_Structure16[[#This Row],[Index]],Year_of_Purchase[#All],4,)</f>
        <v>2019</v>
      </c>
      <c r="H65" t="str">
        <f>VLOOKUP(Cost_Structure16[[#This Row],[Vehicle]],Vehicle_Map[#All],2,)</f>
        <v>Mahindra</v>
      </c>
      <c r="I65" s="19">
        <f>INDEX(Mileage[#Data],MATCH(Cost_Structure16[[#This Row],[OU Code]],Mileage[OU Code],0),MATCH(Cost_Structure16[[#This Row],[Vehicle]],Mileage[#Headers],0))</f>
        <v>12.660297306770655</v>
      </c>
      <c r="J65" s="19">
        <f>INDEX(Capacity[#Data],MATCH(Cost_Structure16[[#This Row],[OU Code]],Capacity[OU Code],0),MATCH(Cost_Structure16[[#This Row],[Vehicle]],Capacity[#Headers],0))</f>
        <v>0.76558845019723076</v>
      </c>
      <c r="K65">
        <f>VLOOKUP(Cost_Structure16[[#This Row],[OU Code]],KM_and_FuelCost[#All],2,)</f>
        <v>1800</v>
      </c>
      <c r="L65" s="20">
        <f>IF(Cost_Structure16[[#This Row],[Ownership]]="Market",0,(Cost_Structure16[[#This Row],[KM Travelled]]/Cost_Structure16[[#This Row],[Mileage]])*VLOOKUP(Cost_Structure16[[#This Row],[OU Code]],KM_and_FuelCost[#All],3,))</f>
        <v>13447.273572351289</v>
      </c>
      <c r="M65" s="20">
        <f>IF(AND( Cost_Structure16[[#This Row],[Purchase Year]] &gt;= 2016,Cost_Structure16[[#This Row],[Ownership]]="EMI"), VLOOKUP(Cost_Structure16[[#This Row],[Vehicle Name]],EMI[#All],5,FALSE), 0)</f>
        <v>11420.447400423482</v>
      </c>
      <c r="N65" s="20">
        <f>INDEX(Maintenance[#Data],MATCH(Cost_Structure16[[#This Row],[OU Code]],Maintenance[OU Code],0),MATCH(Cost_Structure16[[#This Row],[Vehicle]],Maintenance[#Headers],0))</f>
        <v>11800</v>
      </c>
      <c r="O65" s="20">
        <f>IF(Cost_Structure16[[#This Row],[Ownership]]="Market",IF(Cost_Structure16[[#This Row],[Vehicle Capacity]]&gt;3,80000,40000),Cost_Structure16[[#This Row],[Fuel Cost]]+Cost_Structure16[[#This Row],[Maintenance]]+Cost_Structure16[[#This Row],[EMI ]])</f>
        <v>36667.720972774769</v>
      </c>
      <c r="P65" s="20" cm="1">
        <f t="array" ref="P6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5" s="20">
        <f>Cost_Structure16[[#This Row],[Vehicle Cost]]+Cost_Structure16[[#This Row],[Team Cost]]</f>
        <v>64667.720972774769</v>
      </c>
    </row>
    <row r="66" spans="1:17" x14ac:dyDescent="0.3">
      <c r="A66">
        <v>60</v>
      </c>
      <c r="B66" t="str">
        <f>VLOOKUP(Cost_Structure16[[#This Row],[Index]],Vehicle[#All],2,)</f>
        <v>Vapi</v>
      </c>
      <c r="C66" t="str">
        <f>VLOOKUP(Cost_Structure16[[#This Row],[BP Name]],OU_Map[#All],3,)</f>
        <v>VAPT1</v>
      </c>
      <c r="D66" t="str">
        <f>VLOOKUP(Cost_Structure16[[#This Row],[Index]],Vehicle[#All],3,)</f>
        <v>Vikas Agarwal</v>
      </c>
      <c r="E66" t="str">
        <f>VLOOKUP(Cost_Structure16[[#This Row],[Index]],Vehicle[#All],4,)</f>
        <v>20 ft</v>
      </c>
      <c r="F66" t="str">
        <f>VLOOKUP(Cost_Structure16[[#This Row],[Index]],Vehicle_Ownership[#All],4,)</f>
        <v>Market</v>
      </c>
      <c r="G66" s="3">
        <f>VLOOKUP(Cost_Structure16[[#This Row],[Index]],Year_of_Purchase[#All],4,)</f>
        <v>0</v>
      </c>
      <c r="H66" t="str">
        <f>VLOOKUP(Cost_Structure16[[#This Row],[Vehicle]],Vehicle_Map[#All],2,)</f>
        <v>Eicher 20</v>
      </c>
      <c r="I66" s="19">
        <f>INDEX(Mileage[#Data],MATCH(Cost_Structure16[[#This Row],[OU Code]],Mileage[OU Code],0),MATCH(Cost_Structure16[[#This Row],[Vehicle]],Mileage[#Headers],0))</f>
        <v>7</v>
      </c>
      <c r="J66" s="19">
        <f>INDEX(Capacity[#Data],MATCH(Cost_Structure16[[#This Row],[OU Code]],Capacity[OU Code],0),MATCH(Cost_Structure16[[#This Row],[Vehicle]],Capacity[#Headers],0))</f>
        <v>6.5</v>
      </c>
      <c r="K66">
        <f>VLOOKUP(Cost_Structure16[[#This Row],[OU Code]],KM_and_FuelCost[#All],2,)</f>
        <v>1600</v>
      </c>
      <c r="L66" s="20">
        <f>IF(Cost_Structure16[[#This Row],[Ownership]]="Market",0,(Cost_Structure16[[#This Row],[KM Travelled]]/Cost_Structure16[[#This Row],[Mileage]])*VLOOKUP(Cost_Structure16[[#This Row],[OU Code]],KM_and_FuelCost[#All],3,))</f>
        <v>0</v>
      </c>
      <c r="M66" s="20">
        <f>IF(AND( Cost_Structure16[[#This Row],[Purchase Year]] &gt;= 2016,Cost_Structure16[[#This Row],[Ownership]]="EMI"), VLOOKUP(Cost_Structure16[[#This Row],[Vehicle Name]],EMI[#All],5,FALSE), 0)</f>
        <v>0</v>
      </c>
      <c r="N66" s="20">
        <f>INDEX(Maintenance[#Data],MATCH(Cost_Structure16[[#This Row],[OU Code]],Maintenance[OU Code],0),MATCH(Cost_Structure16[[#This Row],[Vehicle]],Maintenance[#Headers],0))</f>
        <v>11080</v>
      </c>
      <c r="O66" s="20">
        <f>IF(Cost_Structure16[[#This Row],[Ownership]]="Market",IF(Cost_Structure16[[#This Row],[Vehicle Capacity]]&gt;3,80000,40000),Cost_Structure16[[#This Row],[Fuel Cost]]+Cost_Structure16[[#This Row],[Maintenance]]+Cost_Structure16[[#This Row],[EMI ]])</f>
        <v>80000</v>
      </c>
      <c r="P66" s="20" cm="1">
        <f t="array" ref="P6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66" s="20">
        <f>Cost_Structure16[[#This Row],[Vehicle Cost]]+Cost_Structure16[[#This Row],[Team Cost]]</f>
        <v>96000</v>
      </c>
    </row>
    <row r="67" spans="1:17" x14ac:dyDescent="0.3">
      <c r="A67">
        <v>61</v>
      </c>
      <c r="B67" t="str">
        <f>VLOOKUP(Cost_Structure16[[#This Row],[Index]],Vehicle[#All],2,)</f>
        <v>Sanand</v>
      </c>
      <c r="C67" t="str">
        <f>VLOOKUP(Cost_Structure16[[#This Row],[BP Name]],OU_Map[#All],3,)</f>
        <v>AMDT1</v>
      </c>
      <c r="D67" t="str">
        <f>VLOOKUP(Cost_Structure16[[#This Row],[Index]],Vehicle[#All],3,)</f>
        <v>Virendra Solanki</v>
      </c>
      <c r="E67" t="str">
        <f>VLOOKUP(Cost_Structure16[[#This Row],[Index]],Vehicle[#All],4,)</f>
        <v>AL Dost</v>
      </c>
      <c r="F67" t="str">
        <f>VLOOKUP(Cost_Structure16[[#This Row],[Index]],Vehicle_Ownership[#All],4,)</f>
        <v>EMI</v>
      </c>
      <c r="G67" s="3">
        <f>VLOOKUP(Cost_Structure16[[#This Row],[Index]],Year_of_Purchase[#All],4,)</f>
        <v>2010</v>
      </c>
      <c r="H67" t="str">
        <f>VLOOKUP(Cost_Structure16[[#This Row],[Vehicle]],Vehicle_Map[#All],2,)</f>
        <v>AL Dost</v>
      </c>
      <c r="I67" s="19">
        <f>INDEX(Mileage[#Data],MATCH(Cost_Structure16[[#This Row],[OU Code]],Mileage[OU Code],0),MATCH(Cost_Structure16[[#This Row],[Vehicle]],Mileage[#Headers],0))</f>
        <v>13.451738176402987</v>
      </c>
      <c r="J67" s="19">
        <f>INDEX(Capacity[#Data],MATCH(Cost_Structure16[[#This Row],[OU Code]],Capacity[OU Code],0),MATCH(Cost_Structure16[[#This Row],[Vehicle]],Capacity[#Headers],0))</f>
        <v>1.4794834103460122</v>
      </c>
      <c r="K67">
        <f>VLOOKUP(Cost_Structure16[[#This Row],[OU Code]],KM_and_FuelCost[#All],2,)</f>
        <v>2900</v>
      </c>
      <c r="L67" s="20">
        <f>IF(Cost_Structure16[[#This Row],[Ownership]]="Market",0,(Cost_Structure16[[#This Row],[KM Travelled]]/Cost_Structure16[[#This Row],[Mileage]])*VLOOKUP(Cost_Structure16[[#This Row],[OU Code]],KM_and_FuelCost[#All],3,))</f>
        <v>21664.323133455633</v>
      </c>
      <c r="M67" s="20">
        <f>IF(AND( Cost_Structure16[[#This Row],[Purchase Year]] &gt;= 2016,Cost_Structure16[[#This Row],[Ownership]]="EMI"), VLOOKUP(Cost_Structure16[[#This Row],[Vehicle Name]],EMI[#All],5,FALSE), 0)</f>
        <v>0</v>
      </c>
      <c r="N67" s="20">
        <f>INDEX(Maintenance[#Data],MATCH(Cost_Structure16[[#This Row],[OU Code]],Maintenance[OU Code],0),MATCH(Cost_Structure16[[#This Row],[Vehicle]],Maintenance[#Headers],0))</f>
        <v>7600</v>
      </c>
      <c r="O67" s="20">
        <f>IF(Cost_Structure16[[#This Row],[Ownership]]="Market",IF(Cost_Structure16[[#This Row],[Vehicle Capacity]]&gt;3,80000,40000),Cost_Structure16[[#This Row],[Fuel Cost]]+Cost_Structure16[[#This Row],[Maintenance]]+Cost_Structure16[[#This Row],[EMI ]])</f>
        <v>29264.323133455633</v>
      </c>
      <c r="P67" s="20" cm="1">
        <f t="array" ref="P6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7" s="20">
        <f>Cost_Structure16[[#This Row],[Vehicle Cost]]+Cost_Structure16[[#This Row],[Team Cost]]</f>
        <v>57264.323133455633</v>
      </c>
    </row>
    <row r="68" spans="1:17" x14ac:dyDescent="0.3">
      <c r="A68">
        <v>62</v>
      </c>
      <c r="B68" t="str">
        <f>VLOOKUP(Cost_Structure16[[#This Row],[Index]],Vehicle[#All],2,)</f>
        <v>Sanand</v>
      </c>
      <c r="C68" t="str">
        <f>VLOOKUP(Cost_Structure16[[#This Row],[BP Name]],OU_Map[#All],3,)</f>
        <v>AMDBC</v>
      </c>
      <c r="D68" t="str">
        <f>VLOOKUP(Cost_Structure16[[#This Row],[Index]],Vehicle[#All],3,)</f>
        <v>Visharad Chauhan</v>
      </c>
      <c r="E68" t="str">
        <f>VLOOKUP(Cost_Structure16[[#This Row],[Index]],Vehicle[#All],4,)</f>
        <v>AL Dost</v>
      </c>
      <c r="F68" t="str">
        <f>VLOOKUP(Cost_Structure16[[#This Row],[Index]],Vehicle_Ownership[#All],4,)</f>
        <v>EMI</v>
      </c>
      <c r="G68" s="3">
        <f>VLOOKUP(Cost_Structure16[[#This Row],[Index]],Year_of_Purchase[#All],4,)</f>
        <v>2015</v>
      </c>
      <c r="H68" t="str">
        <f>VLOOKUP(Cost_Structure16[[#This Row],[Vehicle]],Vehicle_Map[#All],2,)</f>
        <v>AL Dost</v>
      </c>
      <c r="I68" s="19">
        <f>INDEX(Mileage[#Data],MATCH(Cost_Structure16[[#This Row],[OU Code]],Mileage[OU Code],0),MATCH(Cost_Structure16[[#This Row],[Vehicle]],Mileage[#Headers],0))</f>
        <v>17.133678707427691</v>
      </c>
      <c r="J68" s="19">
        <f>INDEX(Capacity[#Data],MATCH(Cost_Structure16[[#This Row],[OU Code]],Capacity[OU Code],0),MATCH(Cost_Structure16[[#This Row],[Vehicle]],Capacity[#Headers],0))</f>
        <v>1.8308787786446832</v>
      </c>
      <c r="K68">
        <f>VLOOKUP(Cost_Structure16[[#This Row],[OU Code]],KM_and_FuelCost[#All],2,)</f>
        <v>3100</v>
      </c>
      <c r="L68" s="20">
        <f>IF(Cost_Structure16[[#This Row],[Ownership]]="Market",0,(Cost_Structure16[[#This Row],[KM Travelled]]/Cost_Structure16[[#This Row],[Mileage]])*VLOOKUP(Cost_Structure16[[#This Row],[OU Code]],KM_and_FuelCost[#All],3,))</f>
        <v>16839.049434836263</v>
      </c>
      <c r="M68" s="20">
        <f>IF(AND( Cost_Structure16[[#This Row],[Purchase Year]] &gt;= 2016,Cost_Structure16[[#This Row],[Ownership]]="EMI"), VLOOKUP(Cost_Structure16[[#This Row],[Vehicle Name]],EMI[#All],5,FALSE), 0)</f>
        <v>0</v>
      </c>
      <c r="N68" s="20">
        <f>INDEX(Maintenance[#Data],MATCH(Cost_Structure16[[#This Row],[OU Code]],Maintenance[OU Code],0),MATCH(Cost_Structure16[[#This Row],[Vehicle]],Maintenance[#Headers],0))</f>
        <v>11700</v>
      </c>
      <c r="O68" s="20">
        <f>IF(Cost_Structure16[[#This Row],[Ownership]]="Market",IF(Cost_Structure16[[#This Row],[Vehicle Capacity]]&gt;3,80000,40000),Cost_Structure16[[#This Row],[Fuel Cost]]+Cost_Structure16[[#This Row],[Maintenance]]+Cost_Structure16[[#This Row],[EMI ]])</f>
        <v>28539.049434836263</v>
      </c>
      <c r="P68" s="20" cm="1">
        <f t="array" ref="P6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8" s="20">
        <f>Cost_Structure16[[#This Row],[Vehicle Cost]]+Cost_Structure16[[#This Row],[Team Cost]]</f>
        <v>56539.049434836263</v>
      </c>
    </row>
    <row r="69" spans="1:17" x14ac:dyDescent="0.3">
      <c r="A69">
        <v>63</v>
      </c>
      <c r="B69" t="str">
        <f>VLOOKUP(Cost_Structure16[[#This Row],[Index]],Vehicle[#All],2,)</f>
        <v>Vadodara</v>
      </c>
      <c r="C69" t="str">
        <f>VLOOKUP(Cost_Structure16[[#This Row],[BP Name]],OU_Map[#All],3,)</f>
        <v>BDQT1</v>
      </c>
      <c r="D69" t="str">
        <f>VLOOKUP(Cost_Structure16[[#This Row],[Index]],Vehicle[#All],3,)</f>
        <v>Zainulsha.M.Diwan</v>
      </c>
      <c r="E69" t="str">
        <f>VLOOKUP(Cost_Structure16[[#This Row],[Index]],Vehicle[#All],4,)</f>
        <v>14 ft</v>
      </c>
      <c r="F69" t="str">
        <f>VLOOKUP(Cost_Structure16[[#This Row],[Index]],Vehicle_Ownership[#All],4,)</f>
        <v>EMI</v>
      </c>
      <c r="G69" s="3">
        <f>VLOOKUP(Cost_Structure16[[#This Row],[Index]],Year_of_Purchase[#All],4,)</f>
        <v>2015</v>
      </c>
      <c r="H69" t="str">
        <f>VLOOKUP(Cost_Structure16[[#This Row],[Vehicle]],Vehicle_Map[#All],2,)</f>
        <v>Eicher 14</v>
      </c>
      <c r="I69" s="19">
        <f>INDEX(Mileage[#Data],MATCH(Cost_Structure16[[#This Row],[OU Code]],Mileage[OU Code],0),MATCH(Cost_Structure16[[#This Row],[Vehicle]],Mileage[#Headers],0))</f>
        <v>12.597885435760045</v>
      </c>
      <c r="J69" s="19">
        <f>INDEX(Capacity[#Data],MATCH(Cost_Structure16[[#This Row],[OU Code]],Capacity[OU Code],0),MATCH(Cost_Structure16[[#This Row],[Vehicle]],Capacity[#Headers],0))</f>
        <v>2.7317924077831095</v>
      </c>
      <c r="K69">
        <f>VLOOKUP(Cost_Structure16[[#This Row],[OU Code]],KM_and_FuelCost[#All],2,)</f>
        <v>3000</v>
      </c>
      <c r="L69" s="20">
        <f>IF(Cost_Structure16[[#This Row],[Ownership]]="Market",0,(Cost_Structure16[[#This Row],[KM Travelled]]/Cost_Structure16[[#This Row],[Mileage]])*VLOOKUP(Cost_Structure16[[#This Row],[OU Code]],KM_and_FuelCost[#All],3,))</f>
        <v>18708.575521938008</v>
      </c>
      <c r="M69" s="20">
        <f>IF(AND( Cost_Structure16[[#This Row],[Purchase Year]] &gt;= 2016,Cost_Structure16[[#This Row],[Ownership]]="EMI"), VLOOKUP(Cost_Structure16[[#This Row],[Vehicle Name]],EMI[#All],5,FALSE), 0)</f>
        <v>0</v>
      </c>
      <c r="N69" s="20">
        <f>INDEX(Maintenance[#Data],MATCH(Cost_Structure16[[#This Row],[OU Code]],Maintenance[OU Code],0),MATCH(Cost_Structure16[[#This Row],[Vehicle]],Maintenance[#Headers],0))</f>
        <v>15100</v>
      </c>
      <c r="O69" s="20">
        <f>IF(Cost_Structure16[[#This Row],[Ownership]]="Market",IF(Cost_Structure16[[#This Row],[Vehicle Capacity]]&gt;3,80000,40000),Cost_Structure16[[#This Row],[Fuel Cost]]+Cost_Structure16[[#This Row],[Maintenance]]+Cost_Structure16[[#This Row],[EMI ]])</f>
        <v>33808.575521938008</v>
      </c>
      <c r="P69" s="20" cm="1">
        <f t="array" ref="P6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9" s="20">
        <f>Cost_Structure16[[#This Row],[Vehicle Cost]]+Cost_Structure16[[#This Row],[Team Cost]]</f>
        <v>61808.575521938008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92A1-1B82-480D-B455-D8CE7ED35E31}">
  <dimension ref="A1:X49"/>
  <sheetViews>
    <sheetView tabSelected="1" topLeftCell="D1" zoomScaleNormal="100" workbookViewId="0">
      <selection activeCell="AB31" sqref="AB31"/>
    </sheetView>
  </sheetViews>
  <sheetFormatPr defaultColWidth="12.6640625" defaultRowHeight="14.4" x14ac:dyDescent="0.3"/>
  <cols>
    <col min="1" max="1" width="32.5546875" style="21" bestFit="1" customWidth="1"/>
    <col min="2" max="2" width="11.33203125" style="25" customWidth="1"/>
    <col min="3" max="3" width="11.886718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0.44140625" style="21" bestFit="1" customWidth="1"/>
    <col min="10" max="10" width="13.88671875" style="23" customWidth="1"/>
    <col min="11" max="11" width="12.33203125" style="22" customWidth="1"/>
    <col min="12" max="12" width="12.109375" style="21" customWidth="1"/>
    <col min="13" max="13" width="12.6640625" style="22" customWidth="1"/>
    <col min="14" max="14" width="18.44140625" style="22" customWidth="1"/>
    <col min="15" max="15" width="14.44140625" style="63" customWidth="1"/>
    <col min="16" max="16" width="13.44140625" style="21" bestFit="1" customWidth="1"/>
    <col min="17" max="17" width="18.77734375" style="21" customWidth="1"/>
    <col min="18" max="22" width="9.33203125" style="21" customWidth="1"/>
    <col min="23" max="23" width="13.6640625" style="21" customWidth="1"/>
    <col min="24" max="30" width="9.33203125" style="21" customWidth="1"/>
    <col min="31" max="16384" width="12.6640625" style="21"/>
  </cols>
  <sheetData>
    <row r="1" spans="1:24"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c r="N1" s="36" t="s">
        <v>1442</v>
      </c>
      <c r="O1" s="61" t="s">
        <v>1443</v>
      </c>
    </row>
    <row r="2" spans="1:24" x14ac:dyDescent="0.3">
      <c r="A2" s="26" t="s">
        <v>3</v>
      </c>
      <c r="B2">
        <v>115928.81299810966</v>
      </c>
      <c r="C2" s="27">
        <f>VLOOKUP(std_profitability[[#This Row],[BP name]],payouts_table_AMD!$B$1:$E$52,3,)</f>
        <v>5</v>
      </c>
      <c r="D2" s="30">
        <f>VLOOKUP(std_profitability[[#This Row],[BP name]],payouts_table_AMD!$B$1:$E$52,4,)</f>
        <v>16347.6</v>
      </c>
      <c r="E2" s="29">
        <f>std_profitability[[#This Row],[per kg rate]]*std_profitability[[#This Row],[kg delivered]]</f>
        <v>81738</v>
      </c>
      <c r="F2" s="60">
        <f>VLOOKUP(std_profitability[[#This Row],[BP name]],Payout!$B$1:$F$510,5,FALSE)</f>
        <v>67307.695444082405</v>
      </c>
      <c r="G2" s="29">
        <f>std_profitability[[#This Row],[payout]]-std_profitability[[#This Row],[budget]]</f>
        <v>14430.304555917595</v>
      </c>
      <c r="H2" s="28">
        <f>std_profitability[[#This Row],[difference]]/std_profitability[[#This Row],[budget]]</f>
        <v>0.21439308626910189</v>
      </c>
      <c r="I2" s="29">
        <f>std_profitability[[#This Row],[payout]]-std_profitability[[#This Row],[Total cost]]</f>
        <v>-34190.812998109657</v>
      </c>
      <c r="J2" s="28">
        <f>std_profitability[[#This Row],[profit]]/std_profitability[[#This Row],[payout]]</f>
        <v>-0.41829764611453252</v>
      </c>
      <c r="K2" s="27">
        <f>std_profitability[[#This Row],[Total cost]]/std_profitability[[#This Row],[kg delivered]]</f>
        <v>7.0914882305726623</v>
      </c>
      <c r="L2" s="26" t="str">
        <f>IF(std_profitability[[#This Row],[difference %]]&gt; 0, "Overpaid", "Under Budget")</f>
        <v>Overpaid</v>
      </c>
      <c r="M2" s="26" t="str">
        <f>IF(std_profitability[[#This Row],[profit margin]]&lt;0,"In Loss", "Profitable")</f>
        <v>In Loss</v>
      </c>
      <c r="N2" s="3">
        <f>Net_capacity[[#This Row],[Net Capacity]]*25*1000+ N("Total working days assumed in a month are 25 and capacity was given in tons, so converted to kg")</f>
        <v>81250</v>
      </c>
      <c r="O2" s="62">
        <f>std_profitability[[#This Row],[kg delivered]]/std_profitability[[#This Row],[Monthly Capacity]]</f>
        <v>0.20120123076923077</v>
      </c>
    </row>
    <row r="3" spans="1:24" ht="21" x14ac:dyDescent="0.4">
      <c r="A3" s="26" t="s">
        <v>7</v>
      </c>
      <c r="B3">
        <v>48000</v>
      </c>
      <c r="C3" s="27">
        <f>VLOOKUP(std_profitability[[#This Row],[BP name]],payouts_table_AMD!$B$1:$E$52,3,)</f>
        <v>5</v>
      </c>
      <c r="D3" s="30">
        <f>VLOOKUP(std_profitability[[#This Row],[BP name]],payouts_table_AMD!$B$1:$E$52,4,)</f>
        <v>36413.599999999999</v>
      </c>
      <c r="E3" s="29">
        <f>std_profitability[[#This Row],[per kg rate]]*std_profitability[[#This Row],[kg delivered]]</f>
        <v>182068</v>
      </c>
      <c r="F3" s="29">
        <f>VLOOKUP(std_profitability[[#This Row],[BP name]],Payout!$B$1:$F$510,5,FALSE)</f>
        <v>151594.20238356592</v>
      </c>
      <c r="G3" s="29">
        <f>std_profitability[[#This Row],[payout]]-std_profitability[[#This Row],[budget]]</f>
        <v>30473.79761643408</v>
      </c>
      <c r="H3" s="28">
        <f>std_profitability[[#This Row],[difference]]/std_profitability[[#This Row],[budget]]</f>
        <v>0.20102218381233883</v>
      </c>
      <c r="I3" s="29">
        <f>std_profitability[[#This Row],[payout]]-std_profitability[[#This Row],[Total cost]]</f>
        <v>134068</v>
      </c>
      <c r="J3" s="28">
        <f>std_profitability[[#This Row],[profit]]/std_profitability[[#This Row],[payout]]</f>
        <v>0.73636223828459701</v>
      </c>
      <c r="K3" s="27">
        <f>std_profitability[[#This Row],[Total cost]]/std_profitability[[#This Row],[kg delivered]]</f>
        <v>1.3181888085770153</v>
      </c>
      <c r="L3" s="26" t="str">
        <f>IF(std_profitability[[#This Row],[difference %]]&gt; 0, "Overpaid", "Under Budget")</f>
        <v>Overpaid</v>
      </c>
      <c r="M3" s="26" t="str">
        <f>IF(std_profitability[[#This Row],[profit margin]]&lt;0,"In Loss", "Profitable")</f>
        <v>Profitable</v>
      </c>
      <c r="N3" s="3">
        <f>Net_capacity[[#This Row],[Net Capacity]]*25*1000+ N("Total working days assumed in a month are 25 and capacity was given in tons, so converted to kg")</f>
        <v>62500</v>
      </c>
      <c r="O3" s="62">
        <f>std_profitability[[#This Row],[kg delivered]]/std_profitability[[#This Row],[Monthly Capacity]]</f>
        <v>0.58261759999999996</v>
      </c>
      <c r="Q3" s="67" t="s">
        <v>1445</v>
      </c>
      <c r="R3" s="68"/>
      <c r="S3" s="69"/>
      <c r="T3" s="69"/>
      <c r="U3" s="69"/>
      <c r="V3" s="70">
        <f>CORREL(std_profitability[per kg rate],std_profitability[cost per kg])</f>
        <v>3.11727921059483E-2</v>
      </c>
    </row>
    <row r="4" spans="1:24" x14ac:dyDescent="0.3">
      <c r="A4" s="26" t="s">
        <v>11</v>
      </c>
      <c r="B4">
        <v>92974.742564298867</v>
      </c>
      <c r="C4" s="27">
        <f>VLOOKUP(std_profitability[[#This Row],[BP name]],payouts_table_AMD!$B$1:$E$52,3,)</f>
        <v>5</v>
      </c>
      <c r="D4" s="30">
        <f>VLOOKUP(std_profitability[[#This Row],[BP name]],payouts_table_AMD!$B$1:$E$52,4,)</f>
        <v>29269</v>
      </c>
      <c r="E4" s="29">
        <f>std_profitability[[#This Row],[per kg rate]]*std_profitability[[#This Row],[kg delivered]]</f>
        <v>146345</v>
      </c>
      <c r="F4" s="29">
        <f>VLOOKUP(std_profitability[[#This Row],[BP name]],Payout!$B$1:$F$510,5,FALSE)</f>
        <v>27180.821150192936</v>
      </c>
      <c r="G4" s="29">
        <f>std_profitability[[#This Row],[payout]]-std_profitability[[#This Row],[budget]]</f>
        <v>119164.17884980707</v>
      </c>
      <c r="H4" s="28">
        <f>std_profitability[[#This Row],[difference]]/std_profitability[[#This Row],[budget]]</f>
        <v>4.3841272561760416</v>
      </c>
      <c r="I4" s="29">
        <f>std_profitability[[#This Row],[payout]]-std_profitability[[#This Row],[Total cost]]</f>
        <v>53370.257435701133</v>
      </c>
      <c r="J4" s="28">
        <f>std_profitability[[#This Row],[profit]]/std_profitability[[#This Row],[payout]]</f>
        <v>0.36468794585193298</v>
      </c>
      <c r="K4" s="27">
        <f>std_profitability[[#This Row],[Total cost]]/std_profitability[[#This Row],[kg delivered]]</f>
        <v>3.1765602707403349</v>
      </c>
      <c r="L4" s="26" t="str">
        <f>IF(std_profitability[[#This Row],[difference %]]&gt; 0, "Overpaid", "Under Budget")</f>
        <v>Overpaid</v>
      </c>
      <c r="M4" s="26" t="str">
        <f>IF(std_profitability[[#This Row],[profit margin]]&lt;0,"In Loss", "Profitable")</f>
        <v>Profitable</v>
      </c>
      <c r="N4" s="3">
        <f>Net_capacity[[#This Row],[Net Capacity]]*25*1000+ N("Total working days assumed in a month are 25 and capacity was given in tons, so converted to kg")</f>
        <v>164750.67095612199</v>
      </c>
      <c r="O4" s="62">
        <f>std_profitability[[#This Row],[kg delivered]]/std_profitability[[#This Row],[Monthly Capacity]]</f>
        <v>0.17765633262759339</v>
      </c>
      <c r="R4" s="26"/>
    </row>
    <row r="5" spans="1:24" ht="21" x14ac:dyDescent="0.4">
      <c r="A5" s="26" t="s">
        <v>141</v>
      </c>
      <c r="B5">
        <v>65814.976221147692</v>
      </c>
      <c r="C5" s="27">
        <f>VLOOKUP(std_profitability[[#This Row],[BP name]],payouts_table_AMD!$B$1:$E$52,3,)</f>
        <v>19</v>
      </c>
      <c r="D5" s="30">
        <f>VLOOKUP(std_profitability[[#This Row],[BP name]],payouts_table_AMD!$B$1:$E$52,4,)</f>
        <v>6740.5789473684208</v>
      </c>
      <c r="E5" s="29">
        <f>std_profitability[[#This Row],[per kg rate]]*std_profitability[[#This Row],[kg delivered]]</f>
        <v>128071</v>
      </c>
      <c r="F5" s="29">
        <f>VLOOKUP(std_profitability[[#This Row],[BP name]],Payout!$B$1:$F$510,5,FALSE)</f>
        <v>23560.66190357352</v>
      </c>
      <c r="G5" s="29">
        <f>std_profitability[[#This Row],[payout]]-std_profitability[[#This Row],[budget]]</f>
        <v>104510.33809642648</v>
      </c>
      <c r="H5" s="28">
        <f>std_profitability[[#This Row],[difference]]/std_profitability[[#This Row],[budget]]</f>
        <v>4.4357980486352577</v>
      </c>
      <c r="I5" s="29">
        <f>std_profitability[[#This Row],[payout]]-std_profitability[[#This Row],[Total cost]]</f>
        <v>62256.023778852308</v>
      </c>
      <c r="J5" s="28">
        <f>std_profitability[[#This Row],[profit]]/std_profitability[[#This Row],[payout]]</f>
        <v>0.48610554910051695</v>
      </c>
      <c r="K5" s="27">
        <f>std_profitability[[#This Row],[Total cost]]/std_profitability[[#This Row],[kg delivered]]</f>
        <v>9.7639945670901778</v>
      </c>
      <c r="L5" s="26" t="str">
        <f>IF(std_profitability[[#This Row],[difference %]]&gt; 0, "Overpaid", "Under Budget")</f>
        <v>Overpaid</v>
      </c>
      <c r="M5" s="26" t="str">
        <f>IF(std_profitability[[#This Row],[profit margin]]&lt;0,"In Loss", "Profitable")</f>
        <v>Profitable</v>
      </c>
      <c r="N5" s="3">
        <f>Net_capacity[[#This Row],[Net Capacity]]*25*1000+ N("Total working days assumed in a month are 25 and capacity was given in tons, so converted to kg")</f>
        <v>34735.621574165052</v>
      </c>
      <c r="O5" s="62">
        <f>std_profitability[[#This Row],[kg delivered]]/std_profitability[[#This Row],[Monthly Capacity]]</f>
        <v>0.19405378806814819</v>
      </c>
      <c r="Q5" s="71" t="s">
        <v>1446</v>
      </c>
      <c r="R5" s="71"/>
      <c r="S5" s="72"/>
      <c r="T5" s="74"/>
      <c r="U5" s="74"/>
      <c r="V5" s="74"/>
      <c r="W5" s="74"/>
      <c r="X5" s="74"/>
    </row>
    <row r="6" spans="1:24" x14ac:dyDescent="0.3">
      <c r="A6" s="26" t="s">
        <v>15</v>
      </c>
      <c r="B6">
        <v>60714.971483488618</v>
      </c>
      <c r="C6" s="27">
        <f>VLOOKUP(std_profitability[[#This Row],[BP name]],payouts_table_AMD!$B$1:$E$52,3,)</f>
        <v>9</v>
      </c>
      <c r="D6" s="30">
        <f>VLOOKUP(std_profitability[[#This Row],[BP name]],payouts_table_AMD!$B$1:$E$52,4,)</f>
        <v>2553.3333333333335</v>
      </c>
      <c r="E6" s="29">
        <f>std_profitability[[#This Row],[per kg rate]]*std_profitability[[#This Row],[kg delivered]]</f>
        <v>22980</v>
      </c>
      <c r="F6" s="29">
        <f>VLOOKUP(std_profitability[[#This Row],[BP name]],Payout!$B$1:$F$510,5,FALSE)</f>
        <v>14574.070793404973</v>
      </c>
      <c r="G6" s="29">
        <f>std_profitability[[#This Row],[payout]]-std_profitability[[#This Row],[budget]]</f>
        <v>8405.9292065950267</v>
      </c>
      <c r="H6" s="28">
        <f>std_profitability[[#This Row],[difference]]/std_profitability[[#This Row],[budget]]</f>
        <v>0.57677290893899458</v>
      </c>
      <c r="I6" s="29">
        <f>std_profitability[[#This Row],[payout]]-std_profitability[[#This Row],[Total cost]]</f>
        <v>-37734.971483488618</v>
      </c>
      <c r="J6" s="28">
        <f>std_profitability[[#This Row],[profit]]/std_profitability[[#This Row],[payout]]</f>
        <v>-1.6420788286983732</v>
      </c>
      <c r="K6" s="27">
        <f>std_profitability[[#This Row],[Total cost]]/std_profitability[[#This Row],[kg delivered]]</f>
        <v>23.778709458285359</v>
      </c>
      <c r="L6" s="26" t="str">
        <f>IF(std_profitability[[#This Row],[difference %]]&gt; 0, "Overpaid", "Under Budget")</f>
        <v>Overpaid</v>
      </c>
      <c r="M6" s="26" t="str">
        <f>IF(std_profitability[[#This Row],[profit margin]]&lt;0,"In Loss", "Profitable")</f>
        <v>In Loss</v>
      </c>
      <c r="N6" s="3">
        <f>Net_capacity[[#This Row],[Net Capacity]]*25*1000+ N("Total working days assumed in a month are 25 and capacity was given in tons, so converted to kg")</f>
        <v>39516.909530766599</v>
      </c>
      <c r="O6" s="62">
        <f>std_profitability[[#This Row],[kg delivered]]/std_profitability[[#This Row],[Monthly Capacity]]</f>
        <v>6.4613689776154934E-2</v>
      </c>
      <c r="Q6" s="26"/>
      <c r="R6" s="26"/>
    </row>
    <row r="7" spans="1:24" x14ac:dyDescent="0.3">
      <c r="A7" s="26" t="s">
        <v>17</v>
      </c>
      <c r="B7">
        <v>61897.857143266796</v>
      </c>
      <c r="C7" s="27">
        <f>VLOOKUP(std_profitability[[#This Row],[BP name]],payouts_table_AMD!$B$1:$E$52,3,)</f>
        <v>9</v>
      </c>
      <c r="D7" s="30">
        <f>VLOOKUP(std_profitability[[#This Row],[BP name]],payouts_table_AMD!$B$1:$E$52,4,)</f>
        <v>4069</v>
      </c>
      <c r="E7" s="29">
        <f>std_profitability[[#This Row],[per kg rate]]*std_profitability[[#This Row],[kg delivered]]</f>
        <v>36621</v>
      </c>
      <c r="F7" s="29">
        <f>VLOOKUP(std_profitability[[#This Row],[BP name]],Payout!$B$1:$F$510,5,FALSE)</f>
        <v>11610.612907422201</v>
      </c>
      <c r="G7" s="29">
        <f>std_profitability[[#This Row],[payout]]-std_profitability[[#This Row],[budget]]</f>
        <v>25010.387092577799</v>
      </c>
      <c r="H7" s="28">
        <f>std_profitability[[#This Row],[difference]]/std_profitability[[#This Row],[budget]]</f>
        <v>2.1540970568909121</v>
      </c>
      <c r="I7" s="29">
        <f>std_profitability[[#This Row],[payout]]-std_profitability[[#This Row],[Total cost]]</f>
        <v>-25276.857143266796</v>
      </c>
      <c r="J7" s="28">
        <f>std_profitability[[#This Row],[profit]]/std_profitability[[#This Row],[payout]]</f>
        <v>-0.6902284793770459</v>
      </c>
      <c r="K7" s="27">
        <f>std_profitability[[#This Row],[Total cost]]/std_profitability[[#This Row],[kg delivered]]</f>
        <v>15.212056314393413</v>
      </c>
      <c r="L7" s="26" t="str">
        <f>IF(std_profitability[[#This Row],[difference %]]&gt; 0, "Overpaid", "Under Budget")</f>
        <v>Overpaid</v>
      </c>
      <c r="M7" s="26" t="str">
        <f>IF(std_profitability[[#This Row],[profit margin]]&lt;0,"In Loss", "Profitable")</f>
        <v>In Loss</v>
      </c>
      <c r="N7" s="3">
        <f>Net_capacity[[#This Row],[Net Capacity]]*25*1000+ N("Total working days assumed in a month are 25 and capacity was given in tons, so converted to kg")</f>
        <v>18816.245131333024</v>
      </c>
      <c r="O7" s="62">
        <f>std_profitability[[#This Row],[kg delivered]]/std_profitability[[#This Row],[Monthly Capacity]]</f>
        <v>0.21624930859474484</v>
      </c>
      <c r="T7" s="33"/>
      <c r="U7" s="32"/>
      <c r="V7" s="33"/>
      <c r="W7" s="33"/>
      <c r="X7" s="32"/>
    </row>
    <row r="8" spans="1:24" x14ac:dyDescent="0.3">
      <c r="A8" s="26" t="s">
        <v>20</v>
      </c>
      <c r="B8">
        <v>55656.645092919862</v>
      </c>
      <c r="C8" s="27">
        <f>VLOOKUP(std_profitability[[#This Row],[BP name]],payouts_table_AMD!$B$1:$E$52,3,)</f>
        <v>8.5</v>
      </c>
      <c r="D8" s="30">
        <f>VLOOKUP(std_profitability[[#This Row],[BP name]],payouts_table_AMD!$B$1:$E$52,4,)</f>
        <v>14256.470588235294</v>
      </c>
      <c r="E8" s="29">
        <f>std_profitability[[#This Row],[per kg rate]]*std_profitability[[#This Row],[kg delivered]]</f>
        <v>121180</v>
      </c>
      <c r="F8" s="29">
        <f>VLOOKUP(std_profitability[[#This Row],[BP name]],Payout!$B$1:$F$510,5,FALSE)</f>
        <v>73367.308383054638</v>
      </c>
      <c r="G8" s="29">
        <f>std_profitability[[#This Row],[payout]]-std_profitability[[#This Row],[budget]]</f>
        <v>47812.691616945362</v>
      </c>
      <c r="H8" s="28">
        <f>std_profitability[[#This Row],[difference]]/std_profitability[[#This Row],[budget]]</f>
        <v>0.6516893241784576</v>
      </c>
      <c r="I8" s="29">
        <f>std_profitability[[#This Row],[payout]]-std_profitability[[#This Row],[Total cost]]</f>
        <v>65523.354907080138</v>
      </c>
      <c r="J8" s="28">
        <f>std_profitability[[#This Row],[profit]]/std_profitability[[#This Row],[payout]]</f>
        <v>0.54071096638950433</v>
      </c>
      <c r="K8" s="27">
        <f>std_profitability[[#This Row],[Total cost]]/std_profitability[[#This Row],[kg delivered]]</f>
        <v>3.9039567856892132</v>
      </c>
      <c r="L8" s="26" t="str">
        <f>IF(std_profitability[[#This Row],[difference %]]&gt; 0, "Overpaid", "Under Budget")</f>
        <v>Overpaid</v>
      </c>
      <c r="M8" s="26" t="str">
        <f>IF(std_profitability[[#This Row],[profit margin]]&lt;0,"In Loss", "Profitable")</f>
        <v>Profitable</v>
      </c>
      <c r="N8" s="3">
        <f>Net_capacity[[#This Row],[Net Capacity]]*25*1000+ N("Total working days assumed in a month are 25 and capacity was given in tons, so converted to kg")</f>
        <v>19605.92682830217</v>
      </c>
      <c r="O8" s="62">
        <f>std_profitability[[#This Row],[kg delivered]]/std_profitability[[#This Row],[Monthly Capacity]]</f>
        <v>0.72715106575096167</v>
      </c>
      <c r="T8" s="33"/>
      <c r="U8" s="34"/>
      <c r="V8" s="33"/>
      <c r="W8" s="33"/>
      <c r="X8" s="35"/>
    </row>
    <row r="9" spans="1:24" x14ac:dyDescent="0.3">
      <c r="A9" s="26" t="s">
        <v>21</v>
      </c>
      <c r="B9">
        <v>282405.18454591872</v>
      </c>
      <c r="C9" s="27">
        <f>VLOOKUP(std_profitability[[#This Row],[BP name]],payouts_table_AMD!$B$1:$E$52,3,)</f>
        <v>5</v>
      </c>
      <c r="D9" s="30">
        <f>VLOOKUP(std_profitability[[#This Row],[BP name]],payouts_table_AMD!$B$1:$E$52,4,)</f>
        <v>14851.2</v>
      </c>
      <c r="E9" s="29">
        <f>std_profitability[[#This Row],[per kg rate]]*std_profitability[[#This Row],[kg delivered]]</f>
        <v>74256</v>
      </c>
      <c r="F9" s="29">
        <f>VLOOKUP(std_profitability[[#This Row],[BP name]],Payout!$B$1:$F$510,5,FALSE)</f>
        <v>44310.062860390266</v>
      </c>
      <c r="G9" s="29">
        <f>std_profitability[[#This Row],[payout]]-std_profitability[[#This Row],[budget]]</f>
        <v>29945.937139609734</v>
      </c>
      <c r="H9" s="28">
        <f>std_profitability[[#This Row],[difference]]/std_profitability[[#This Row],[budget]]</f>
        <v>0.67582700647394167</v>
      </c>
      <c r="I9" s="29">
        <f>std_profitability[[#This Row],[payout]]-std_profitability[[#This Row],[Total cost]]</f>
        <v>-208149.18454591872</v>
      </c>
      <c r="J9" s="28">
        <f>std_profitability[[#This Row],[profit]]/std_profitability[[#This Row],[payout]]</f>
        <v>-2.8031295053048737</v>
      </c>
      <c r="K9" s="27">
        <f>std_profitability[[#This Row],[Total cost]]/std_profitability[[#This Row],[kg delivered]]</f>
        <v>19.015647526524369</v>
      </c>
      <c r="L9" s="26" t="str">
        <f>IF(std_profitability[[#This Row],[difference %]]&gt; 0, "Overpaid", "Under Budget")</f>
        <v>Overpaid</v>
      </c>
      <c r="M9" s="26" t="str">
        <f>IF(std_profitability[[#This Row],[profit margin]]&lt;0,"In Loss", "Profitable")</f>
        <v>In Loss</v>
      </c>
      <c r="N9" s="3">
        <f>Net_capacity[[#This Row],[Net Capacity]]*25*1000+ N("Total working days assumed in a month are 25 and capacity was given in tons, so converted to kg")</f>
        <v>386158.79645373655</v>
      </c>
      <c r="O9" s="62">
        <f>std_profitability[[#This Row],[kg delivered]]/std_profitability[[#This Row],[Monthly Capacity]]</f>
        <v>3.8458789846003774E-2</v>
      </c>
      <c r="T9" s="33"/>
      <c r="U9" s="34"/>
      <c r="V9" s="33"/>
      <c r="W9" s="33"/>
      <c r="X9" s="33"/>
    </row>
    <row r="10" spans="1:24" x14ac:dyDescent="0.3">
      <c r="A10" s="26" t="s">
        <v>23</v>
      </c>
      <c r="B10">
        <v>51176.910857713417</v>
      </c>
      <c r="C10" s="27">
        <f>VLOOKUP(std_profitability[[#This Row],[BP name]],payouts_table_AMD!$B$1:$E$52,3,)</f>
        <v>10</v>
      </c>
      <c r="D10" s="30">
        <f>VLOOKUP(std_profitability[[#This Row],[BP name]],payouts_table_AMD!$B$1:$E$52,4,)</f>
        <v>13628.4</v>
      </c>
      <c r="E10" s="29">
        <f>std_profitability[[#This Row],[per kg rate]]*std_profitability[[#This Row],[kg delivered]]</f>
        <v>136284</v>
      </c>
      <c r="F10" s="29">
        <f>VLOOKUP(std_profitability[[#This Row],[BP name]],Payout!$B$1:$F$510,5,FALSE)</f>
        <v>61680.103608114805</v>
      </c>
      <c r="G10" s="29">
        <f>std_profitability[[#This Row],[payout]]-std_profitability[[#This Row],[budget]]</f>
        <v>74603.896391885195</v>
      </c>
      <c r="H10" s="28">
        <f>std_profitability[[#This Row],[difference]]/std_profitability[[#This Row],[budget]]</f>
        <v>1.2095293624323631</v>
      </c>
      <c r="I10" s="29">
        <f>std_profitability[[#This Row],[payout]]-std_profitability[[#This Row],[Total cost]]</f>
        <v>85107.089142286583</v>
      </c>
      <c r="J10" s="28">
        <f>std_profitability[[#This Row],[profit]]/std_profitability[[#This Row],[payout]]</f>
        <v>0.62448335198766236</v>
      </c>
      <c r="K10" s="27">
        <f>std_profitability[[#This Row],[Total cost]]/std_profitability[[#This Row],[kg delivered]]</f>
        <v>3.7551664801233762</v>
      </c>
      <c r="L10" s="26" t="str">
        <f>IF(std_profitability[[#This Row],[difference %]]&gt; 0, "Overpaid", "Under Budget")</f>
        <v>Overpaid</v>
      </c>
      <c r="M10" s="26" t="str">
        <f>IF(std_profitability[[#This Row],[profit margin]]&lt;0,"In Loss", "Profitable")</f>
        <v>Profitable</v>
      </c>
      <c r="N10" s="3">
        <f>Net_capacity[[#This Row],[Net Capacity]]*25*1000+ N("Total working days assumed in a month are 25 and capacity was given in tons, so converted to kg")</f>
        <v>19755.595508056947</v>
      </c>
      <c r="O10" s="62">
        <f>std_profitability[[#This Row],[kg delivered]]/std_profitability[[#This Row],[Monthly Capacity]]</f>
        <v>0.68985012344689445</v>
      </c>
      <c r="T10" s="33"/>
      <c r="U10" s="33"/>
      <c r="V10" s="33"/>
      <c r="W10" s="33"/>
      <c r="X10" s="33"/>
    </row>
    <row r="11" spans="1:24" x14ac:dyDescent="0.3">
      <c r="A11" s="26" t="s">
        <v>24</v>
      </c>
      <c r="B11">
        <v>154718.66332843876</v>
      </c>
      <c r="C11" s="27">
        <f>VLOOKUP(std_profitability[[#This Row],[BP name]],payouts_table_AMD!$B$1:$E$52,3,)</f>
        <v>3</v>
      </c>
      <c r="D11" s="30">
        <f>VLOOKUP(std_profitability[[#This Row],[BP name]],payouts_table_AMD!$B$1:$E$52,4,)</f>
        <v>34688.666666666664</v>
      </c>
      <c r="E11" s="29">
        <f>std_profitability[[#This Row],[per kg rate]]*std_profitability[[#This Row],[kg delivered]]</f>
        <v>104066</v>
      </c>
      <c r="F11" s="29">
        <f>VLOOKUP(std_profitability[[#This Row],[BP name]],Payout!$B$1:$F$510,5,FALSE)</f>
        <v>91629.307316704435</v>
      </c>
      <c r="G11" s="29">
        <f>std_profitability[[#This Row],[payout]]-std_profitability[[#This Row],[budget]]</f>
        <v>12436.692683295565</v>
      </c>
      <c r="H11" s="28">
        <f>std_profitability[[#This Row],[difference]]/std_profitability[[#This Row],[budget]]</f>
        <v>0.13572832805894516</v>
      </c>
      <c r="I11" s="29">
        <f>std_profitability[[#This Row],[payout]]-std_profitability[[#This Row],[Total cost]]</f>
        <v>-50652.663328438764</v>
      </c>
      <c r="J11" s="28">
        <f>std_profitability[[#This Row],[profit]]/std_profitability[[#This Row],[payout]]</f>
        <v>-0.48673594957468114</v>
      </c>
      <c r="K11" s="27">
        <f>std_profitability[[#This Row],[Total cost]]/std_profitability[[#This Row],[kg delivered]]</f>
        <v>4.4602078487240435</v>
      </c>
      <c r="L11" s="26" t="str">
        <f>IF(std_profitability[[#This Row],[difference %]]&gt; 0, "Overpaid", "Under Budget")</f>
        <v>Overpaid</v>
      </c>
      <c r="M11" s="26" t="str">
        <f>IF(std_profitability[[#This Row],[profit margin]]&lt;0,"In Loss", "Profitable")</f>
        <v>In Loss</v>
      </c>
      <c r="N11" s="3">
        <f>Net_capacity[[#This Row],[Net Capacity]]*25*1000+ N("Total working days assumed in a month are 25 and capacity was given in tons, so converted to kg")</f>
        <v>278479.74444798031</v>
      </c>
      <c r="O11" s="62">
        <f>std_profitability[[#This Row],[kg delivered]]/std_profitability[[#This Row],[Monthly Capacity]]</f>
        <v>0.12456441575464913</v>
      </c>
      <c r="T11" s="33"/>
      <c r="U11" s="34"/>
      <c r="V11" s="33"/>
      <c r="W11" s="33"/>
      <c r="X11" s="35"/>
    </row>
    <row r="12" spans="1:24" x14ac:dyDescent="0.3">
      <c r="A12" s="26" t="s">
        <v>26</v>
      </c>
      <c r="B12">
        <v>62706.369224623049</v>
      </c>
      <c r="C12" s="27">
        <f>VLOOKUP(std_profitability[[#This Row],[BP name]],payouts_table_AMD!$B$1:$E$52,3,)</f>
        <v>5</v>
      </c>
      <c r="D12" s="30">
        <f>VLOOKUP(std_profitability[[#This Row],[BP name]],payouts_table_AMD!$B$1:$E$52,4,)</f>
        <v>162.47999999999999</v>
      </c>
      <c r="E12" s="29">
        <f>std_profitability[[#This Row],[per kg rate]]*std_profitability[[#This Row],[kg delivered]]</f>
        <v>812.4</v>
      </c>
      <c r="F12" s="29">
        <f>VLOOKUP(std_profitability[[#This Row],[BP name]],Payout!$B$1:$F$510,5,FALSE)</f>
        <v>744.30830420710652</v>
      </c>
      <c r="G12" s="29">
        <f>std_profitability[[#This Row],[payout]]-std_profitability[[#This Row],[budget]]</f>
        <v>68.091695792893461</v>
      </c>
      <c r="H12" s="28">
        <f>std_profitability[[#This Row],[difference]]/std_profitability[[#This Row],[budget]]</f>
        <v>9.1483187018086387E-2</v>
      </c>
      <c r="I12" s="29">
        <f>std_profitability[[#This Row],[payout]]-std_profitability[[#This Row],[Total cost]]</f>
        <v>-61893.969224623048</v>
      </c>
      <c r="J12" s="28">
        <f>std_profitability[[#This Row],[profit]]/std_profitability[[#This Row],[payout]]</f>
        <v>-76.186569700422268</v>
      </c>
      <c r="K12" s="27">
        <f>std_profitability[[#This Row],[Total cost]]/std_profitability[[#This Row],[kg delivered]]</f>
        <v>385.93284850211137</v>
      </c>
      <c r="L12" s="26" t="str">
        <f>IF(std_profitability[[#This Row],[difference %]]&gt; 0, "Overpaid", "Under Budget")</f>
        <v>Overpaid</v>
      </c>
      <c r="M12" s="26" t="str">
        <f>IF(std_profitability[[#This Row],[profit margin]]&lt;0,"In Loss", "Profitable")</f>
        <v>In Loss</v>
      </c>
      <c r="N12" s="3">
        <f>Net_capacity[[#This Row],[Net Capacity]]*25*1000+ N("Total working days assumed in a month are 25 and capacity was given in tons, so converted to kg")</f>
        <v>26065.876402589303</v>
      </c>
      <c r="O12" s="62">
        <f>std_profitability[[#This Row],[kg delivered]]/std_profitability[[#This Row],[Monthly Capacity]]</f>
        <v>6.2334370611785653E-3</v>
      </c>
      <c r="T12" s="33"/>
      <c r="U12" s="34"/>
      <c r="V12" s="33"/>
      <c r="W12" s="33"/>
      <c r="X12" s="35"/>
    </row>
    <row r="13" spans="1:24" ht="21" x14ac:dyDescent="0.4">
      <c r="A13" s="26" t="s">
        <v>27</v>
      </c>
      <c r="B13">
        <v>44428.571428571428</v>
      </c>
      <c r="C13" s="27">
        <f>VLOOKUP(std_profitability[[#This Row],[BP name]],payouts_table_AMD!$B$1:$E$52,3,)</f>
        <v>5</v>
      </c>
      <c r="D13" s="30">
        <f>VLOOKUP(std_profitability[[#This Row],[BP name]],payouts_table_AMD!$B$1:$E$52,4,)</f>
        <v>6016.6</v>
      </c>
      <c r="E13" s="29">
        <f>std_profitability[[#This Row],[per kg rate]]*std_profitability[[#This Row],[kg delivered]]</f>
        <v>30083</v>
      </c>
      <c r="F13" s="29">
        <f>VLOOKUP(std_profitability[[#This Row],[BP name]],Payout!$B$1:$F$510,5,FALSE)</f>
        <v>6448.8527245637169</v>
      </c>
      <c r="G13" s="29">
        <f>std_profitability[[#This Row],[payout]]-std_profitability[[#This Row],[budget]]</f>
        <v>23634.147275436284</v>
      </c>
      <c r="H13" s="28">
        <f>std_profitability[[#This Row],[difference]]/std_profitability[[#This Row],[budget]]</f>
        <v>3.6648607566139138</v>
      </c>
      <c r="I13" s="29">
        <f>std_profitability[[#This Row],[payout]]-std_profitability[[#This Row],[Total cost]]</f>
        <v>-14345.571428571428</v>
      </c>
      <c r="J13" s="28">
        <f>std_profitability[[#This Row],[profit]]/std_profitability[[#This Row],[payout]]</f>
        <v>-0.47686638395676717</v>
      </c>
      <c r="K13" s="27">
        <f>std_profitability[[#This Row],[Total cost]]/std_profitability[[#This Row],[kg delivered]]</f>
        <v>7.3843319197838353</v>
      </c>
      <c r="L13" s="26" t="str">
        <f>IF(std_profitability[[#This Row],[difference %]]&gt; 0, "Overpaid", "Under Budget")</f>
        <v>Overpaid</v>
      </c>
      <c r="M13" s="26" t="str">
        <f>IF(std_profitability[[#This Row],[profit margin]]&lt;0,"In Loss", "Profitable")</f>
        <v>In Loss</v>
      </c>
      <c r="N13" s="3">
        <f>Net_capacity[[#This Row],[Net Capacity]]*25*1000+ N("Total working days assumed in a month are 25 and capacity was given in tons, so converted to kg")</f>
        <v>18750</v>
      </c>
      <c r="O13" s="62">
        <f>std_profitability[[#This Row],[kg delivered]]/std_profitability[[#This Row],[Monthly Capacity]]</f>
        <v>0.32088533333333336</v>
      </c>
      <c r="Q13" s="64" t="s">
        <v>1399</v>
      </c>
      <c r="R13" s="65">
        <f>COUNTA(C2:C49)</f>
        <v>48</v>
      </c>
      <c r="T13" s="33"/>
      <c r="U13" s="34"/>
      <c r="V13" s="33"/>
      <c r="W13" s="33"/>
      <c r="X13" s="33"/>
    </row>
    <row r="14" spans="1:24" ht="21" x14ac:dyDescent="0.4">
      <c r="A14" s="26" t="s">
        <v>28</v>
      </c>
      <c r="B14">
        <v>47185.001919257047</v>
      </c>
      <c r="C14" s="27">
        <f>VLOOKUP(std_profitability[[#This Row],[BP name]],payouts_table_AMD!$B$1:$E$52,3,)</f>
        <v>7</v>
      </c>
      <c r="D14" s="30">
        <f>VLOOKUP(std_profitability[[#This Row],[BP name]],payouts_table_AMD!$B$1:$E$52,4,)</f>
        <v>4040.4285714285716</v>
      </c>
      <c r="E14" s="29">
        <f>std_profitability[[#This Row],[per kg rate]]*std_profitability[[#This Row],[kg delivered]]</f>
        <v>28283</v>
      </c>
      <c r="F14" s="29">
        <f>VLOOKUP(std_profitability[[#This Row],[BP name]],Payout!$B$1:$F$510,5,FALSE)</f>
        <v>6489.8369612275828</v>
      </c>
      <c r="G14" s="29">
        <f>std_profitability[[#This Row],[payout]]-std_profitability[[#This Row],[budget]]</f>
        <v>21793.163038772418</v>
      </c>
      <c r="H14" s="28">
        <f>std_profitability[[#This Row],[difference]]/std_profitability[[#This Row],[budget]]</f>
        <v>3.3580447658349404</v>
      </c>
      <c r="I14" s="29">
        <f>std_profitability[[#This Row],[payout]]-std_profitability[[#This Row],[Total cost]]</f>
        <v>-18902.001919257047</v>
      </c>
      <c r="J14" s="28">
        <f>std_profitability[[#This Row],[profit]]/std_profitability[[#This Row],[payout]]</f>
        <v>-0.66831672450790391</v>
      </c>
      <c r="K14" s="27">
        <f>std_profitability[[#This Row],[Total cost]]/std_profitability[[#This Row],[kg delivered]]</f>
        <v>11.678217071555327</v>
      </c>
      <c r="L14" s="26" t="str">
        <f>IF(std_profitability[[#This Row],[difference %]]&gt; 0, "Overpaid", "Under Budget")</f>
        <v>Overpaid</v>
      </c>
      <c r="M14" s="26" t="str">
        <f>IF(std_profitability[[#This Row],[profit margin]]&lt;0,"In Loss", "Profitable")</f>
        <v>In Loss</v>
      </c>
      <c r="N14" s="3">
        <f>Net_capacity[[#This Row],[Net Capacity]]*25*1000+ N("Total working days assumed in a month are 25 and capacity was given in tons, so converted to kg")</f>
        <v>28665.726620506659</v>
      </c>
      <c r="O14" s="62">
        <f>std_profitability[[#This Row],[kg delivered]]/std_profitability[[#This Row],[Monthly Capacity]]</f>
        <v>0.14094980479365077</v>
      </c>
      <c r="Q14" s="64" t="s">
        <v>1398</v>
      </c>
      <c r="R14" s="65">
        <f>COUNTIF(std_profitability[profitability],"Profitable")</f>
        <v>17</v>
      </c>
      <c r="T14" s="33"/>
      <c r="U14" s="34"/>
      <c r="V14" s="33"/>
      <c r="W14" s="33"/>
      <c r="X14" s="35"/>
    </row>
    <row r="15" spans="1:24" ht="21" x14ac:dyDescent="0.4">
      <c r="A15" s="26" t="s">
        <v>30</v>
      </c>
      <c r="B15">
        <v>65814.976221147692</v>
      </c>
      <c r="C15" s="27">
        <f>VLOOKUP(std_profitability[[#This Row],[BP name]],payouts_table_AMD!$B$1:$E$52,3,)</f>
        <v>19</v>
      </c>
      <c r="D15" s="30">
        <f>VLOOKUP(std_profitability[[#This Row],[BP name]],payouts_table_AMD!$B$1:$E$52,4,)</f>
        <v>3100</v>
      </c>
      <c r="E15" s="29">
        <f>std_profitability[[#This Row],[per kg rate]]*std_profitability[[#This Row],[kg delivered]]</f>
        <v>58900</v>
      </c>
      <c r="F15" s="29">
        <f>VLOOKUP(std_profitability[[#This Row],[BP name]],Payout!$B$1:$F$510,5,FALSE)</f>
        <v>17011.759078401352</v>
      </c>
      <c r="G15" s="29">
        <f>std_profitability[[#This Row],[payout]]-std_profitability[[#This Row],[budget]]</f>
        <v>41888.240921598648</v>
      </c>
      <c r="H15" s="28">
        <f>std_profitability[[#This Row],[difference]]/std_profitability[[#This Row],[budget]]</f>
        <v>2.4623109655239142</v>
      </c>
      <c r="I15" s="29">
        <f>std_profitability[[#This Row],[payout]]-std_profitability[[#This Row],[Total cost]]</f>
        <v>-6914.9762211476918</v>
      </c>
      <c r="J15" s="28">
        <f>std_profitability[[#This Row],[profit]]/std_profitability[[#This Row],[payout]]</f>
        <v>-0.11740197319435809</v>
      </c>
      <c r="K15" s="27">
        <f>std_profitability[[#This Row],[Total cost]]/std_profitability[[#This Row],[kg delivered]]</f>
        <v>21.230637490692803</v>
      </c>
      <c r="L15" s="26" t="str">
        <f>IF(std_profitability[[#This Row],[difference %]]&gt; 0, "Overpaid", "Under Budget")</f>
        <v>Overpaid</v>
      </c>
      <c r="M15" s="26" t="str">
        <f>IF(std_profitability[[#This Row],[profit margin]]&lt;0,"In Loss", "Profitable")</f>
        <v>In Loss</v>
      </c>
      <c r="N15" s="3">
        <f>Net_capacity[[#This Row],[Net Capacity]]*25*1000+ N("Total working days assumed in a month are 25 and capacity was given in tons, so converted to kg")</f>
        <v>34735.621574165052</v>
      </c>
      <c r="O15" s="62">
        <f>std_profitability[[#This Row],[kg delivered]]/std_profitability[[#This Row],[Monthly Capacity]]</f>
        <v>8.9245560019160688E-2</v>
      </c>
      <c r="Q15" s="64" t="s">
        <v>1397</v>
      </c>
      <c r="R15" s="66">
        <f>$R$14/$R$13</f>
        <v>0.35416666666666669</v>
      </c>
      <c r="T15" s="33"/>
      <c r="U15" s="34"/>
      <c r="V15" s="33"/>
      <c r="W15" s="33"/>
      <c r="X15" s="35"/>
    </row>
    <row r="16" spans="1:24" x14ac:dyDescent="0.3">
      <c r="A16" s="26" t="s">
        <v>31</v>
      </c>
      <c r="B16">
        <v>62633.001229891568</v>
      </c>
      <c r="C16" s="27">
        <f>VLOOKUP(std_profitability[[#This Row],[BP name]],payouts_table_AMD!$B$1:$E$52,3,)</f>
        <v>7</v>
      </c>
      <c r="D16" s="30">
        <f>VLOOKUP(std_profitability[[#This Row],[BP name]],payouts_table_AMD!$B$1:$E$52,4,)</f>
        <v>2739.4285714285716</v>
      </c>
      <c r="E16" s="29">
        <f>std_profitability[[#This Row],[per kg rate]]*std_profitability[[#This Row],[kg delivered]]</f>
        <v>19176</v>
      </c>
      <c r="F16" s="29">
        <f>VLOOKUP(std_profitability[[#This Row],[BP name]],Payout!$B$1:$F$510,5,FALSE)</f>
        <v>5958.8762529929299</v>
      </c>
      <c r="G16" s="29">
        <f>std_profitability[[#This Row],[payout]]-std_profitability[[#This Row],[budget]]</f>
        <v>13217.12374700707</v>
      </c>
      <c r="H16" s="28">
        <f>std_profitability[[#This Row],[difference]]/std_profitability[[#This Row],[budget]]</f>
        <v>2.2180564230325444</v>
      </c>
      <c r="I16" s="29">
        <f>std_profitability[[#This Row],[payout]]-std_profitability[[#This Row],[Total cost]]</f>
        <v>-43457.001229891568</v>
      </c>
      <c r="J16" s="28">
        <f>std_profitability[[#This Row],[profit]]/std_profitability[[#This Row],[payout]]</f>
        <v>-2.2662182535404449</v>
      </c>
      <c r="K16" s="27">
        <f>std_profitability[[#This Row],[Total cost]]/std_profitability[[#This Row],[kg delivered]]</f>
        <v>22.863527774783112</v>
      </c>
      <c r="L16" s="26" t="str">
        <f>IF(std_profitability[[#This Row],[difference %]]&gt; 0, "Overpaid", "Under Budget")</f>
        <v>Overpaid</v>
      </c>
      <c r="M16" s="26" t="str">
        <f>IF(std_profitability[[#This Row],[profit margin]]&lt;0,"In Loss", "Profitable")</f>
        <v>In Loss</v>
      </c>
      <c r="N16" s="3">
        <f>Net_capacity[[#This Row],[Net Capacity]]*25*1000+ N("Total working days assumed in a month are 25 and capacity was given in tons, so converted to kg")</f>
        <v>52927.392053348376</v>
      </c>
      <c r="O16" s="62">
        <f>std_profitability[[#This Row],[kg delivered]]/std_profitability[[#This Row],[Monthly Capacity]]</f>
        <v>5.1758238317643791E-2</v>
      </c>
      <c r="T16" s="33"/>
      <c r="U16" s="34"/>
      <c r="V16" s="33"/>
      <c r="W16" s="33"/>
      <c r="X16" s="33"/>
    </row>
    <row r="17" spans="1:24" ht="21" x14ac:dyDescent="0.4">
      <c r="A17" s="26" t="s">
        <v>32</v>
      </c>
      <c r="B17">
        <v>92974.742564298867</v>
      </c>
      <c r="C17" s="27">
        <f>VLOOKUP(std_profitability[[#This Row],[BP name]],payouts_table_AMD!$B$1:$E$52,3,)</f>
        <v>5</v>
      </c>
      <c r="D17" s="30">
        <f>VLOOKUP(std_profitability[[#This Row],[BP name]],payouts_table_AMD!$B$1:$E$52,4,)</f>
        <v>30367.4</v>
      </c>
      <c r="E17" s="29">
        <f>std_profitability[[#This Row],[per kg rate]]*std_profitability[[#This Row],[kg delivered]]</f>
        <v>151837</v>
      </c>
      <c r="F17" s="29">
        <f>VLOOKUP(std_profitability[[#This Row],[BP name]],Payout!$B$1:$F$510,5,FALSE)</f>
        <v>32793.876250880952</v>
      </c>
      <c r="G17" s="29">
        <f>std_profitability[[#This Row],[payout]]-std_profitability[[#This Row],[budget]]</f>
        <v>119043.12374911905</v>
      </c>
      <c r="H17" s="28">
        <f>std_profitability[[#This Row],[difference]]/std_profitability[[#This Row],[budget]]</f>
        <v>3.6300412564349163</v>
      </c>
      <c r="I17" s="29">
        <f>std_profitability[[#This Row],[payout]]-std_profitability[[#This Row],[Total cost]]</f>
        <v>58862.257435701133</v>
      </c>
      <c r="J17" s="28">
        <f>std_profitability[[#This Row],[profit]]/std_profitability[[#This Row],[payout]]</f>
        <v>0.38766741595066506</v>
      </c>
      <c r="K17" s="27">
        <f>std_profitability[[#This Row],[Total cost]]/std_profitability[[#This Row],[kg delivered]]</f>
        <v>3.0616629202466745</v>
      </c>
      <c r="L17" s="26" t="str">
        <f>IF(std_profitability[[#This Row],[difference %]]&gt; 0, "Overpaid", "Under Budget")</f>
        <v>Overpaid</v>
      </c>
      <c r="M17" s="26" t="str">
        <f>IF(std_profitability[[#This Row],[profit margin]]&lt;0,"In Loss", "Profitable")</f>
        <v>Profitable</v>
      </c>
      <c r="N17" s="3">
        <f>Net_capacity[[#This Row],[Net Capacity]]*25*1000+ N("Total working days assumed in a month are 25 and capacity was given in tons, so converted to kg")</f>
        <v>164750.67095612199</v>
      </c>
      <c r="O17" s="62">
        <f>std_profitability[[#This Row],[kg delivered]]/std_profitability[[#This Row],[Monthly Capacity]]</f>
        <v>0.18432337679576274</v>
      </c>
      <c r="R17" s="75"/>
      <c r="S17" s="74"/>
      <c r="T17" s="33"/>
      <c r="U17" s="34"/>
      <c r="V17" s="33"/>
      <c r="W17" s="33"/>
      <c r="X17" s="33"/>
    </row>
    <row r="18" spans="1:24" x14ac:dyDescent="0.3">
      <c r="A18" s="26" t="s">
        <v>33</v>
      </c>
      <c r="B18">
        <v>96000</v>
      </c>
      <c r="C18" s="27">
        <f>VLOOKUP(std_profitability[[#This Row],[BP name]],payouts_table_AMD!$B$1:$E$52,3,)</f>
        <v>5</v>
      </c>
      <c r="D18" s="30">
        <f>VLOOKUP(std_profitability[[#This Row],[BP name]],payouts_table_AMD!$B$1:$E$52,4,)</f>
        <v>8948.2000000000007</v>
      </c>
      <c r="E18" s="29">
        <f>std_profitability[[#This Row],[per kg rate]]*std_profitability[[#This Row],[kg delivered]]</f>
        <v>44741</v>
      </c>
      <c r="F18" s="29">
        <f>VLOOKUP(std_profitability[[#This Row],[BP name]],Payout!$B$1:$F$510,5,FALSE)</f>
        <v>7103.2057058461787</v>
      </c>
      <c r="G18" s="29">
        <f>std_profitability[[#This Row],[payout]]-std_profitability[[#This Row],[budget]]</f>
        <v>37637.79429415382</v>
      </c>
      <c r="H18" s="28">
        <f>std_profitability[[#This Row],[difference]]/std_profitability[[#This Row],[budget]]</f>
        <v>5.2987053807517697</v>
      </c>
      <c r="I18" s="29">
        <f>std_profitability[[#This Row],[payout]]-std_profitability[[#This Row],[Total cost]]</f>
        <v>-51259</v>
      </c>
      <c r="J18" s="28">
        <f>std_profitability[[#This Row],[profit]]/std_profitability[[#This Row],[payout]]</f>
        <v>-1.1456829306452694</v>
      </c>
      <c r="K18" s="27">
        <f>std_profitability[[#This Row],[Total cost]]/std_profitability[[#This Row],[kg delivered]]</f>
        <v>10.728414653226347</v>
      </c>
      <c r="L18" s="26" t="str">
        <f>IF(std_profitability[[#This Row],[difference %]]&gt; 0, "Overpaid", "Under Budget")</f>
        <v>Overpaid</v>
      </c>
      <c r="M18" s="26" t="str">
        <f>IF(std_profitability[[#This Row],[profit margin]]&lt;0,"In Loss", "Profitable")</f>
        <v>In Loss</v>
      </c>
      <c r="N18" s="3">
        <f>Net_capacity[[#This Row],[Net Capacity]]*25*1000+ N("Total working days assumed in a month are 25 and capacity was given in tons, so converted to kg")</f>
        <v>158611.05550326363</v>
      </c>
      <c r="O18" s="62">
        <f>std_profitability[[#This Row],[kg delivered]]/std_profitability[[#This Row],[Monthly Capacity]]</f>
        <v>5.6415991758001258E-2</v>
      </c>
      <c r="T18" s="33"/>
      <c r="U18" s="34"/>
      <c r="V18" s="33"/>
      <c r="W18" s="33"/>
      <c r="X18" s="33"/>
    </row>
    <row r="19" spans="1:24" x14ac:dyDescent="0.3">
      <c r="A19" s="26" t="s">
        <v>35</v>
      </c>
      <c r="B19">
        <v>131141.96749020557</v>
      </c>
      <c r="C19" s="27">
        <f>VLOOKUP(std_profitability[[#This Row],[BP name]],payouts_table_AMD!$B$1:$E$52,3,)</f>
        <v>4</v>
      </c>
      <c r="D19" s="30">
        <f>VLOOKUP(std_profitability[[#This Row],[BP name]],payouts_table_AMD!$B$1:$E$52,4,)</f>
        <v>66343</v>
      </c>
      <c r="E19" s="29">
        <f>std_profitability[[#This Row],[per kg rate]]*std_profitability[[#This Row],[kg delivered]]</f>
        <v>265372</v>
      </c>
      <c r="F19" s="29">
        <f>VLOOKUP(std_profitability[[#This Row],[BP name]],Payout!$B$1:$F$510,5,FALSE)</f>
        <v>171703.4978070069</v>
      </c>
      <c r="G19" s="29">
        <f>std_profitability[[#This Row],[payout]]-std_profitability[[#This Row],[budget]]</f>
        <v>93668.502192993095</v>
      </c>
      <c r="H19" s="28">
        <f>std_profitability[[#This Row],[difference]]/std_profitability[[#This Row],[budget]]</f>
        <v>0.54552471783816303</v>
      </c>
      <c r="I19" s="29">
        <f>std_profitability[[#This Row],[payout]]-std_profitability[[#This Row],[Total cost]]</f>
        <v>134230.03250979443</v>
      </c>
      <c r="J19" s="28">
        <f>std_profitability[[#This Row],[profit]]/std_profitability[[#This Row],[payout]]</f>
        <v>0.50581837009855757</v>
      </c>
      <c r="K19" s="27">
        <f>std_profitability[[#This Row],[Total cost]]/std_profitability[[#This Row],[kg delivered]]</f>
        <v>1.9767265196057695</v>
      </c>
      <c r="L19" s="26" t="str">
        <f>IF(std_profitability[[#This Row],[difference %]]&gt; 0, "Overpaid", "Under Budget")</f>
        <v>Overpaid</v>
      </c>
      <c r="M19" s="26" t="str">
        <f>IF(std_profitability[[#This Row],[profit margin]]&lt;0,"In Loss", "Profitable")</f>
        <v>Profitable</v>
      </c>
      <c r="N19" s="3">
        <f>Net_capacity[[#This Row],[Net Capacity]]*25*1000+ N("Total working days assumed in a month are 25 and capacity was given in tons, so converted to kg")</f>
        <v>95335.36169933778</v>
      </c>
      <c r="O19" s="62">
        <f>std_profitability[[#This Row],[kg delivered]]/std_profitability[[#This Row],[Monthly Capacity]]</f>
        <v>0.69589078823897543</v>
      </c>
      <c r="T19" s="33"/>
      <c r="U19" s="33"/>
      <c r="V19" s="33"/>
      <c r="W19" s="33"/>
      <c r="X19" s="33"/>
    </row>
    <row r="20" spans="1:24" x14ac:dyDescent="0.3">
      <c r="A20" s="26" t="s">
        <v>38</v>
      </c>
      <c r="B20">
        <v>53114.804651662824</v>
      </c>
      <c r="C20" s="27">
        <f>VLOOKUP(std_profitability[[#This Row],[BP name]],payouts_table_AMD!$B$1:$E$52,3,)</f>
        <v>7</v>
      </c>
      <c r="D20" s="30">
        <f>VLOOKUP(std_profitability[[#This Row],[BP name]],payouts_table_AMD!$B$1:$E$52,4,)</f>
        <v>11221.857142857143</v>
      </c>
      <c r="E20" s="29">
        <f>std_profitability[[#This Row],[per kg rate]]*std_profitability[[#This Row],[kg delivered]]</f>
        <v>78553</v>
      </c>
      <c r="F20" s="29">
        <f>VLOOKUP(std_profitability[[#This Row],[BP name]],Payout!$B$1:$F$510,5,FALSE)</f>
        <v>11737.89370301184</v>
      </c>
      <c r="G20" s="29">
        <f>std_profitability[[#This Row],[payout]]-std_profitability[[#This Row],[budget]]</f>
        <v>66815.10629698816</v>
      </c>
      <c r="H20" s="28">
        <f>std_profitability[[#This Row],[difference]]/std_profitability[[#This Row],[budget]]</f>
        <v>5.6922568893126027</v>
      </c>
      <c r="I20" s="29">
        <f>std_profitability[[#This Row],[payout]]-std_profitability[[#This Row],[Total cost]]</f>
        <v>25438.195348337176</v>
      </c>
      <c r="J20" s="28">
        <f>std_profitability[[#This Row],[profit]]/std_profitability[[#This Row],[payout]]</f>
        <v>0.32383480386919883</v>
      </c>
      <c r="K20" s="27">
        <f>std_profitability[[#This Row],[Total cost]]/std_profitability[[#This Row],[kg delivered]]</f>
        <v>4.7331563729156079</v>
      </c>
      <c r="L20" s="26" t="str">
        <f>IF(std_profitability[[#This Row],[difference %]]&gt; 0, "Overpaid", "Under Budget")</f>
        <v>Overpaid</v>
      </c>
      <c r="M20" s="26" t="str">
        <f>IF(std_profitability[[#This Row],[profit margin]]&lt;0,"In Loss", "Profitable")</f>
        <v>Profitable</v>
      </c>
      <c r="N20" s="3">
        <f>Net_capacity[[#This Row],[Net Capacity]]*25*1000+ N("Total working days assumed in a month are 25 and capacity was given in tons, so converted to kg")</f>
        <v>33587.205954418576</v>
      </c>
      <c r="O20" s="62">
        <f>std_profitability[[#This Row],[kg delivered]]/std_profitability[[#This Row],[Monthly Capacity]]</f>
        <v>0.33411106473358937</v>
      </c>
    </row>
    <row r="21" spans="1:24" x14ac:dyDescent="0.3">
      <c r="A21" s="26" t="s">
        <v>39</v>
      </c>
      <c r="B21">
        <v>178983.6180147682</v>
      </c>
      <c r="C21" s="27">
        <f>VLOOKUP(std_profitability[[#This Row],[BP name]],payouts_table_AMD!$B$1:$E$52,3,)</f>
        <v>5</v>
      </c>
      <c r="D21" s="30">
        <f>VLOOKUP(std_profitability[[#This Row],[BP name]],payouts_table_AMD!$B$1:$E$52,4,)</f>
        <v>37402.800000000003</v>
      </c>
      <c r="E21" s="29">
        <f>std_profitability[[#This Row],[per kg rate]]*std_profitability[[#This Row],[kg delivered]]</f>
        <v>187014</v>
      </c>
      <c r="F21" s="29">
        <f>VLOOKUP(std_profitability[[#This Row],[BP name]],Payout!$B$1:$F$510,5,FALSE)</f>
        <v>92225.256194979564</v>
      </c>
      <c r="G21" s="29">
        <f>std_profitability[[#This Row],[payout]]-std_profitability[[#This Row],[budget]]</f>
        <v>94788.743805020436</v>
      </c>
      <c r="H21" s="28">
        <f>std_profitability[[#This Row],[difference]]/std_profitability[[#This Row],[budget]]</f>
        <v>1.0277959391581546</v>
      </c>
      <c r="I21" s="29">
        <f>std_profitability[[#This Row],[payout]]-std_profitability[[#This Row],[Total cost]]</f>
        <v>8030.3819852317974</v>
      </c>
      <c r="J21" s="28">
        <f>std_profitability[[#This Row],[profit]]/std_profitability[[#This Row],[payout]]</f>
        <v>4.2940004412673906E-2</v>
      </c>
      <c r="K21" s="27">
        <f>std_profitability[[#This Row],[Total cost]]/std_profitability[[#This Row],[kg delivered]]</f>
        <v>4.7852999779366305</v>
      </c>
      <c r="L21" s="26" t="str">
        <f>IF(std_profitability[[#This Row],[difference %]]&gt; 0, "Overpaid", "Under Budget")</f>
        <v>Overpaid</v>
      </c>
      <c r="M21" s="26" t="str">
        <f>IF(std_profitability[[#This Row],[profit margin]]&lt;0,"In Loss", "Profitable")</f>
        <v>Profitable</v>
      </c>
      <c r="N21" s="3">
        <f>Net_capacity[[#This Row],[Net Capacity]]*25*1000+ N("Total working days assumed in a month are 25 and capacity was given in tons, so converted to kg")</f>
        <v>134210.17708346844</v>
      </c>
      <c r="O21" s="62">
        <f>std_profitability[[#This Row],[kg delivered]]/std_profitability[[#This Row],[Monthly Capacity]]</f>
        <v>0.27868825459293095</v>
      </c>
    </row>
    <row r="22" spans="1:24" x14ac:dyDescent="0.3">
      <c r="A22" s="26" t="s">
        <v>41</v>
      </c>
      <c r="B22">
        <v>113429.47923679493</v>
      </c>
      <c r="C22" s="27">
        <f>VLOOKUP(std_profitability[[#This Row],[BP name]],payouts_table_AMD!$B$1:$E$52,3,)</f>
        <v>10</v>
      </c>
      <c r="D22" s="30">
        <f>VLOOKUP(std_profitability[[#This Row],[BP name]],payouts_table_AMD!$B$1:$E$52,4,)</f>
        <v>17853.400000000001</v>
      </c>
      <c r="E22" s="29">
        <f>std_profitability[[#This Row],[per kg rate]]*std_profitability[[#This Row],[kg delivered]]</f>
        <v>178534</v>
      </c>
      <c r="F22" s="29">
        <f>VLOOKUP(std_profitability[[#This Row],[BP name]],Payout!$B$1:$F$510,5,FALSE)</f>
        <v>79369.259316286232</v>
      </c>
      <c r="G22" s="29">
        <f>std_profitability[[#This Row],[payout]]-std_profitability[[#This Row],[budget]]</f>
        <v>99164.740683713768</v>
      </c>
      <c r="H22" s="28">
        <f>std_profitability[[#This Row],[difference]]/std_profitability[[#This Row],[budget]]</f>
        <v>1.2494099294607577</v>
      </c>
      <c r="I22" s="29">
        <f>std_profitability[[#This Row],[payout]]-std_profitability[[#This Row],[Total cost]]</f>
        <v>65104.520763205073</v>
      </c>
      <c r="J22" s="28">
        <f>std_profitability[[#This Row],[profit]]/std_profitability[[#This Row],[payout]]</f>
        <v>0.36466174937661777</v>
      </c>
      <c r="K22" s="27">
        <f>std_profitability[[#This Row],[Total cost]]/std_profitability[[#This Row],[kg delivered]]</f>
        <v>6.3533825062338218</v>
      </c>
      <c r="L22" s="26" t="str">
        <f>IF(std_profitability[[#This Row],[difference %]]&gt; 0, "Overpaid", "Under Budget")</f>
        <v>Overpaid</v>
      </c>
      <c r="M22" s="26" t="str">
        <f>IF(std_profitability[[#This Row],[profit margin]]&lt;0,"In Loss", "Profitable")</f>
        <v>Profitable</v>
      </c>
      <c r="N22" s="3">
        <f>Net_capacity[[#This Row],[Net Capacity]]*25*1000+ N("Total working days assumed in a month are 25 and capacity was given in tons, so converted to kg")</f>
        <v>61384.370631802711</v>
      </c>
      <c r="O22" s="62">
        <f>std_profitability[[#This Row],[kg delivered]]/std_profitability[[#This Row],[Monthly Capacity]]</f>
        <v>0.29084602181699831</v>
      </c>
    </row>
    <row r="23" spans="1:24" x14ac:dyDescent="0.3">
      <c r="A23" s="26" t="s">
        <v>44</v>
      </c>
      <c r="B23">
        <v>57264.323133455633</v>
      </c>
      <c r="C23" s="27">
        <f>VLOOKUP(std_profitability[[#This Row],[BP name]],payouts_table_AMD!$B$1:$E$52,3,)</f>
        <v>5</v>
      </c>
      <c r="D23" s="30">
        <f>VLOOKUP(std_profitability[[#This Row],[BP name]],payouts_table_AMD!$B$1:$E$52,4,)</f>
        <v>30552.2</v>
      </c>
      <c r="E23" s="29">
        <f>std_profitability[[#This Row],[per kg rate]]*std_profitability[[#This Row],[kg delivered]]</f>
        <v>152761</v>
      </c>
      <c r="F23" s="29">
        <f>VLOOKUP(std_profitability[[#This Row],[BP name]],Payout!$B$1:$F$510,5,FALSE)</f>
        <v>86832.960867592148</v>
      </c>
      <c r="G23" s="29">
        <f>std_profitability[[#This Row],[payout]]-std_profitability[[#This Row],[budget]]</f>
        <v>65928.039132407852</v>
      </c>
      <c r="H23" s="28">
        <f>std_profitability[[#This Row],[difference]]/std_profitability[[#This Row],[budget]]</f>
        <v>0.75925130818628528</v>
      </c>
      <c r="I23" s="29">
        <f>std_profitability[[#This Row],[payout]]-std_profitability[[#This Row],[Total cost]]</f>
        <v>95496.676866544367</v>
      </c>
      <c r="J23" s="28">
        <f>std_profitability[[#This Row],[profit]]/std_profitability[[#This Row],[payout]]</f>
        <v>0.62513780916951556</v>
      </c>
      <c r="K23" s="27">
        <f>std_profitability[[#This Row],[Total cost]]/std_profitability[[#This Row],[kg delivered]]</f>
        <v>1.8743109541524221</v>
      </c>
      <c r="L23" s="26" t="str">
        <f>IF(std_profitability[[#This Row],[difference %]]&gt; 0, "Overpaid", "Under Budget")</f>
        <v>Overpaid</v>
      </c>
      <c r="M23" s="26" t="str">
        <f>IF(std_profitability[[#This Row],[profit margin]]&lt;0,"In Loss", "Profitable")</f>
        <v>Profitable</v>
      </c>
      <c r="N23" s="3">
        <f>Net_capacity[[#This Row],[Net Capacity]]*25*1000+ N("Total working days assumed in a month are 25 and capacity was given in tons, so converted to kg")</f>
        <v>36987.085258650302</v>
      </c>
      <c r="O23" s="62">
        <f>std_profitability[[#This Row],[kg delivered]]/std_profitability[[#This Row],[Monthly Capacity]]</f>
        <v>0.8260234561969072</v>
      </c>
      <c r="U23" s="32"/>
    </row>
    <row r="24" spans="1:24" x14ac:dyDescent="0.3">
      <c r="A24" s="26" t="s">
        <v>45</v>
      </c>
      <c r="B24">
        <v>53600.862449123269</v>
      </c>
      <c r="C24" s="27">
        <f>VLOOKUP(std_profitability[[#This Row],[BP name]],payouts_table_AMD!$B$1:$E$52,3,)</f>
        <v>4</v>
      </c>
      <c r="D24" s="30">
        <f>VLOOKUP(std_profitability[[#This Row],[BP name]],payouts_table_AMD!$B$1:$E$52,4,)</f>
        <v>15837.5</v>
      </c>
      <c r="E24" s="29">
        <f>std_profitability[[#This Row],[per kg rate]]*std_profitability[[#This Row],[kg delivered]]</f>
        <v>63350</v>
      </c>
      <c r="F24" s="29">
        <f>VLOOKUP(std_profitability[[#This Row],[BP name]],Payout!$B$1:$F$510,5,FALSE)</f>
        <v>23340.920231854023</v>
      </c>
      <c r="G24" s="29">
        <f>std_profitability[[#This Row],[payout]]-std_profitability[[#This Row],[budget]]</f>
        <v>40009.079768145981</v>
      </c>
      <c r="H24" s="28">
        <f>std_profitability[[#This Row],[difference]]/std_profitability[[#This Row],[budget]]</f>
        <v>1.7141174971132647</v>
      </c>
      <c r="I24" s="29">
        <f>std_profitability[[#This Row],[payout]]-std_profitability[[#This Row],[Total cost]]</f>
        <v>9749.1375508767305</v>
      </c>
      <c r="J24" s="28">
        <f>std_profitability[[#This Row],[profit]]/std_profitability[[#This Row],[payout]]</f>
        <v>0.15389325257895392</v>
      </c>
      <c r="K24" s="27">
        <f>std_profitability[[#This Row],[Total cost]]/std_profitability[[#This Row],[kg delivered]]</f>
        <v>3.3844269896841843</v>
      </c>
      <c r="L24" s="26" t="str">
        <f>IF(std_profitability[[#This Row],[difference %]]&gt; 0, "Overpaid", "Under Budget")</f>
        <v>Overpaid</v>
      </c>
      <c r="M24" s="26" t="str">
        <f>IF(std_profitability[[#This Row],[profit margin]]&lt;0,"In Loss", "Profitable")</f>
        <v>Profitable</v>
      </c>
      <c r="N24" s="3">
        <f>Net_capacity[[#This Row],[Net Capacity]]*25*1000+ N("Total working days assumed in a month are 25 and capacity was given in tons, so converted to kg")</f>
        <v>35513.424912241244</v>
      </c>
      <c r="O24" s="62">
        <f>std_profitability[[#This Row],[kg delivered]]/std_profitability[[#This Row],[Monthly Capacity]]</f>
        <v>0.44595811412548153</v>
      </c>
    </row>
    <row r="25" spans="1:24" x14ac:dyDescent="0.3">
      <c r="A25" s="26" t="s">
        <v>46</v>
      </c>
      <c r="B25">
        <v>104169.82934834032</v>
      </c>
      <c r="C25" s="27">
        <f>VLOOKUP(std_profitability[[#This Row],[BP name]],payouts_table_AMD!$B$1:$E$52,3,)</f>
        <v>5</v>
      </c>
      <c r="D25" s="30">
        <f>VLOOKUP(std_profitability[[#This Row],[BP name]],payouts_table_AMD!$B$1:$E$52,4,)</f>
        <v>15057.4</v>
      </c>
      <c r="E25" s="29">
        <f>std_profitability[[#This Row],[per kg rate]]*std_profitability[[#This Row],[kg delivered]]</f>
        <v>75287</v>
      </c>
      <c r="F25" s="29">
        <f>VLOOKUP(std_profitability[[#This Row],[BP name]],Payout!$B$1:$F$510,5,FALSE)</f>
        <v>32247.584676247403</v>
      </c>
      <c r="G25" s="29">
        <f>std_profitability[[#This Row],[payout]]-std_profitability[[#This Row],[budget]]</f>
        <v>43039.415323752597</v>
      </c>
      <c r="H25" s="28">
        <f>std_profitability[[#This Row],[difference]]/std_profitability[[#This Row],[budget]]</f>
        <v>1.3346554712810517</v>
      </c>
      <c r="I25" s="29">
        <f>std_profitability[[#This Row],[payout]]-std_profitability[[#This Row],[Total cost]]</f>
        <v>-28882.829348340325</v>
      </c>
      <c r="J25" s="28">
        <f>std_profitability[[#This Row],[profit]]/std_profitability[[#This Row],[payout]]</f>
        <v>-0.38363634290568527</v>
      </c>
      <c r="K25" s="27">
        <f>std_profitability[[#This Row],[Total cost]]/std_profitability[[#This Row],[kg delivered]]</f>
        <v>6.9181817145284263</v>
      </c>
      <c r="L25" s="26" t="str">
        <f>IF(std_profitability[[#This Row],[difference %]]&gt; 0, "Overpaid", "Under Budget")</f>
        <v>Overpaid</v>
      </c>
      <c r="M25" s="26" t="str">
        <f>IF(std_profitability[[#This Row],[profit margin]]&lt;0,"In Loss", "Profitable")</f>
        <v>In Loss</v>
      </c>
      <c r="N25" s="3">
        <f>Net_capacity[[#This Row],[Net Capacity]]*25*1000+ N("Total working days assumed in a month are 25 and capacity was given in tons, so converted to kg")</f>
        <v>77964.123419534939</v>
      </c>
      <c r="O25" s="62">
        <f>std_profitability[[#This Row],[kg delivered]]/std_profitability[[#This Row],[Monthly Capacity]]</f>
        <v>0.19313242219083515</v>
      </c>
      <c r="U25" s="32"/>
    </row>
    <row r="26" spans="1:24" x14ac:dyDescent="0.3">
      <c r="A26" s="26" t="s">
        <v>48</v>
      </c>
      <c r="B26">
        <v>52742.42327509381</v>
      </c>
      <c r="C26" s="27">
        <f>VLOOKUP(std_profitability[[#This Row],[BP name]],payouts_table_AMD!$B$1:$E$52,3,)</f>
        <v>5</v>
      </c>
      <c r="D26" s="30">
        <f>VLOOKUP(std_profitability[[#This Row],[BP name]],payouts_table_AMD!$B$1:$E$52,4,)</f>
        <v>5699.6</v>
      </c>
      <c r="E26" s="29">
        <f>std_profitability[[#This Row],[per kg rate]]*std_profitability[[#This Row],[kg delivered]]</f>
        <v>28498</v>
      </c>
      <c r="F26" s="29">
        <f>VLOOKUP(std_profitability[[#This Row],[BP name]],Payout!$B$1:$F$510,5,FALSE)</f>
        <v>26302.187589666148</v>
      </c>
      <c r="G26" s="29">
        <f>std_profitability[[#This Row],[payout]]-std_profitability[[#This Row],[budget]]</f>
        <v>2195.8124103338523</v>
      </c>
      <c r="H26" s="28">
        <f>std_profitability[[#This Row],[difference]]/std_profitability[[#This Row],[budget]]</f>
        <v>8.348402211215937E-2</v>
      </c>
      <c r="I26" s="29">
        <f>std_profitability[[#This Row],[payout]]-std_profitability[[#This Row],[Total cost]]</f>
        <v>-24244.42327509381</v>
      </c>
      <c r="J26" s="28">
        <f>std_profitability[[#This Row],[profit]]/std_profitability[[#This Row],[payout]]</f>
        <v>-0.8507412195625591</v>
      </c>
      <c r="K26" s="27">
        <f>std_profitability[[#This Row],[Total cost]]/std_profitability[[#This Row],[kg delivered]]</f>
        <v>9.2537060978127954</v>
      </c>
      <c r="L26" s="26" t="str">
        <f>IF(std_profitability[[#This Row],[difference %]]&gt; 0, "Overpaid", "Under Budget")</f>
        <v>Overpaid</v>
      </c>
      <c r="M26" s="26" t="str">
        <f>IF(std_profitability[[#This Row],[profit margin]]&lt;0,"In Loss", "Profitable")</f>
        <v>In Loss</v>
      </c>
      <c r="N26" s="3">
        <f>Net_capacity[[#This Row],[Net Capacity]]*25*1000+ N("Total working days assumed in a month are 25 and capacity was given in tons, so converted to kg")</f>
        <v>24286.591765144924</v>
      </c>
      <c r="O26" s="62">
        <f>std_profitability[[#This Row],[kg delivered]]/std_profitability[[#This Row],[Monthly Capacity]]</f>
        <v>0.23468093238919682</v>
      </c>
      <c r="U26" s="32"/>
    </row>
    <row r="27" spans="1:24" x14ac:dyDescent="0.3">
      <c r="A27" s="26" t="s">
        <v>49</v>
      </c>
      <c r="B27">
        <v>83534.160484631124</v>
      </c>
      <c r="C27" s="27">
        <f>VLOOKUP(std_profitability[[#This Row],[BP name]],payouts_table_AMD!$B$1:$E$52,3,)</f>
        <v>5</v>
      </c>
      <c r="D27" s="30">
        <f>VLOOKUP(std_profitability[[#This Row],[BP name]],payouts_table_AMD!$B$1:$E$52,4,)</f>
        <v>4544.8</v>
      </c>
      <c r="E27" s="29">
        <f>std_profitability[[#This Row],[per kg rate]]*std_profitability[[#This Row],[kg delivered]]</f>
        <v>22724</v>
      </c>
      <c r="F27" s="29">
        <f>VLOOKUP(std_profitability[[#This Row],[BP name]],Payout!$B$1:$F$510,5,FALSE)</f>
        <v>4466.0790200396841</v>
      </c>
      <c r="G27" s="29">
        <f>std_profitability[[#This Row],[payout]]-std_profitability[[#This Row],[budget]]</f>
        <v>18257.920979960316</v>
      </c>
      <c r="H27" s="28">
        <f>std_profitability[[#This Row],[difference]]/std_profitability[[#This Row],[budget]]</f>
        <v>4.088132094849966</v>
      </c>
      <c r="I27" s="29">
        <f>std_profitability[[#This Row],[payout]]-std_profitability[[#This Row],[Total cost]]</f>
        <v>-60810.160484631124</v>
      </c>
      <c r="J27" s="28">
        <f>std_profitability[[#This Row],[profit]]/std_profitability[[#This Row],[payout]]</f>
        <v>-2.6760324099908082</v>
      </c>
      <c r="K27" s="27">
        <f>std_profitability[[#This Row],[Total cost]]/std_profitability[[#This Row],[kg delivered]]</f>
        <v>18.380162049954041</v>
      </c>
      <c r="L27" s="26" t="str">
        <f>IF(std_profitability[[#This Row],[difference %]]&gt; 0, "Overpaid", "Under Budget")</f>
        <v>Overpaid</v>
      </c>
      <c r="M27" s="26" t="str">
        <f>IF(std_profitability[[#This Row],[profit margin]]&lt;0,"In Loss", "Profitable")</f>
        <v>In Loss</v>
      </c>
      <c r="N27" s="3">
        <f>Net_capacity[[#This Row],[Net Capacity]]*25*1000+ N("Total working days assumed in a month are 25 and capacity was given in tons, so converted to kg")</f>
        <v>30769.104389812612</v>
      </c>
      <c r="O27" s="62">
        <f>std_profitability[[#This Row],[kg delivered]]/std_profitability[[#This Row],[Monthly Capacity]]</f>
        <v>0.14770660667993785</v>
      </c>
    </row>
    <row r="28" spans="1:24" x14ac:dyDescent="0.3">
      <c r="A28" s="26" t="s">
        <v>50</v>
      </c>
      <c r="B28">
        <v>68500.275181934616</v>
      </c>
      <c r="C28" s="27">
        <f>VLOOKUP(std_profitability[[#This Row],[BP name]],payouts_table_AMD!$B$1:$E$52,3,)</f>
        <v>19</v>
      </c>
      <c r="D28" s="30">
        <f>VLOOKUP(std_profitability[[#This Row],[BP name]],payouts_table_AMD!$B$1:$E$52,4,)</f>
        <v>1351.2631578947369</v>
      </c>
      <c r="E28" s="29">
        <f>std_profitability[[#This Row],[per kg rate]]*std_profitability[[#This Row],[kg delivered]]</f>
        <v>25674</v>
      </c>
      <c r="F28" s="29">
        <f>VLOOKUP(std_profitability[[#This Row],[BP name]],Payout!$B$1:$F$510,5,FALSE)</f>
        <v>4075.4628127403316</v>
      </c>
      <c r="G28" s="29">
        <f>std_profitability[[#This Row],[payout]]-std_profitability[[#This Row],[budget]]</f>
        <v>21598.53718725967</v>
      </c>
      <c r="H28" s="28">
        <f>std_profitability[[#This Row],[difference]]/std_profitability[[#This Row],[budget]]</f>
        <v>5.2996526234371073</v>
      </c>
      <c r="I28" s="29">
        <f>std_profitability[[#This Row],[payout]]-std_profitability[[#This Row],[Total cost]]</f>
        <v>-42826.275181934616</v>
      </c>
      <c r="J28" s="28">
        <f>std_profitability[[#This Row],[profit]]/std_profitability[[#This Row],[payout]]</f>
        <v>-1.6680795817533152</v>
      </c>
      <c r="K28" s="27">
        <f>std_profitability[[#This Row],[Total cost]]/std_profitability[[#This Row],[kg delivered]]</f>
        <v>50.693512053312986</v>
      </c>
      <c r="L28" s="26" t="str">
        <f>IF(std_profitability[[#This Row],[difference %]]&gt; 0, "Overpaid", "Under Budget")</f>
        <v>Overpaid</v>
      </c>
      <c r="M28" s="26" t="str">
        <f>IF(std_profitability[[#This Row],[profit margin]]&lt;0,"In Loss", "Profitable")</f>
        <v>In Loss</v>
      </c>
      <c r="N28" s="3">
        <f>Net_capacity[[#This Row],[Net Capacity]]*25*1000+ N("Total working days assumed in a month are 25 and capacity was given in tons, so converted to kg")</f>
        <v>23574.620380917509</v>
      </c>
      <c r="O28" s="62">
        <f>std_profitability[[#This Row],[kg delivered]]/std_profitability[[#This Row],[Monthly Capacity]]</f>
        <v>5.7318554278333898E-2</v>
      </c>
    </row>
    <row r="29" spans="1:24" x14ac:dyDescent="0.3">
      <c r="A29" s="26" t="s">
        <v>51</v>
      </c>
      <c r="B29">
        <v>57938.720654163102</v>
      </c>
      <c r="C29" s="27">
        <f>VLOOKUP(std_profitability[[#This Row],[BP name]],payouts_table_AMD!$B$1:$E$52,3,)</f>
        <v>9</v>
      </c>
      <c r="D29" s="30">
        <f>VLOOKUP(std_profitability[[#This Row],[BP name]],payouts_table_AMD!$B$1:$E$52,4,)</f>
        <v>9502.6666666666661</v>
      </c>
      <c r="E29" s="29">
        <f>std_profitability[[#This Row],[per kg rate]]*std_profitability[[#This Row],[kg delivered]]</f>
        <v>85524</v>
      </c>
      <c r="F29" s="29">
        <f>VLOOKUP(std_profitability[[#This Row],[BP name]],Payout!$B$1:$F$510,5,FALSE)</f>
        <v>57868.480364122479</v>
      </c>
      <c r="G29" s="29">
        <f>std_profitability[[#This Row],[payout]]-std_profitability[[#This Row],[budget]]</f>
        <v>27655.519635877521</v>
      </c>
      <c r="H29" s="28">
        <f>std_profitability[[#This Row],[difference]]/std_profitability[[#This Row],[budget]]</f>
        <v>0.47790298728880215</v>
      </c>
      <c r="I29" s="29">
        <f>std_profitability[[#This Row],[payout]]-std_profitability[[#This Row],[Total cost]]</f>
        <v>27585.279345836898</v>
      </c>
      <c r="J29" s="28">
        <f>std_profitability[[#This Row],[profit]]/std_profitability[[#This Row],[payout]]</f>
        <v>0.32254430739718554</v>
      </c>
      <c r="K29" s="27">
        <f>std_profitability[[#This Row],[Total cost]]/std_profitability[[#This Row],[kg delivered]]</f>
        <v>6.0971012334253301</v>
      </c>
      <c r="L29" s="26" t="str">
        <f>IF(std_profitability[[#This Row],[difference %]]&gt; 0, "Overpaid", "Under Budget")</f>
        <v>Overpaid</v>
      </c>
      <c r="M29" s="26" t="str">
        <f>IF(std_profitability[[#This Row],[profit margin]]&lt;0,"In Loss", "Profitable")</f>
        <v>Profitable</v>
      </c>
      <c r="N29" s="3">
        <f>Net_capacity[[#This Row],[Net Capacity]]*25*1000+ N("Total working days assumed in a month are 25 and capacity was given in tons, so converted to kg")</f>
        <v>37123.850905488391</v>
      </c>
      <c r="O29" s="62">
        <f>std_profitability[[#This Row],[kg delivered]]/std_profitability[[#This Row],[Monthly Capacity]]</f>
        <v>0.25597200815343735</v>
      </c>
    </row>
    <row r="30" spans="1:24" x14ac:dyDescent="0.3">
      <c r="A30" s="26" t="s">
        <v>52</v>
      </c>
      <c r="B30">
        <v>96000</v>
      </c>
      <c r="C30" s="27">
        <f>VLOOKUP(std_profitability[[#This Row],[BP name]],payouts_table_AMD!$B$1:$E$52,3,)</f>
        <v>5</v>
      </c>
      <c r="D30" s="30">
        <f>VLOOKUP(std_profitability[[#This Row],[BP name]],payouts_table_AMD!$B$1:$E$52,4,)</f>
        <v>25992</v>
      </c>
      <c r="E30" s="29">
        <f>std_profitability[[#This Row],[per kg rate]]*std_profitability[[#This Row],[kg delivered]]</f>
        <v>129960</v>
      </c>
      <c r="F30" s="29">
        <f>VLOOKUP(std_profitability[[#This Row],[BP name]],Payout!$B$1:$F$510,5,FALSE)</f>
        <v>75155.343453675232</v>
      </c>
      <c r="G30" s="29">
        <f>std_profitability[[#This Row],[payout]]-std_profitability[[#This Row],[budget]]</f>
        <v>54804.656546324768</v>
      </c>
      <c r="H30" s="28">
        <f>std_profitability[[#This Row],[difference]]/std_profitability[[#This Row],[budget]]</f>
        <v>0.72921836329715717</v>
      </c>
      <c r="I30" s="29">
        <f>std_profitability[[#This Row],[payout]]-std_profitability[[#This Row],[Total cost]]</f>
        <v>33960</v>
      </c>
      <c r="J30" s="28">
        <f>std_profitability[[#This Row],[profit]]/std_profitability[[#This Row],[payout]]</f>
        <v>0.26131117266851339</v>
      </c>
      <c r="K30" s="27">
        <f>std_profitability[[#This Row],[Total cost]]/std_profitability[[#This Row],[kg delivered]]</f>
        <v>3.6934441366574329</v>
      </c>
      <c r="L30" s="26" t="str">
        <f>IF(std_profitability[[#This Row],[difference %]]&gt; 0, "Overpaid", "Under Budget")</f>
        <v>Overpaid</v>
      </c>
      <c r="M30" s="26" t="str">
        <f>IF(std_profitability[[#This Row],[profit margin]]&lt;0,"In Loss", "Profitable")</f>
        <v>Profitable</v>
      </c>
      <c r="N30" s="3">
        <f>Net_capacity[[#This Row],[Net Capacity]]*25*1000+ N("Total working days assumed in a month are 25 and capacity was given in tons, so converted to kg")</f>
        <v>164750.67095612199</v>
      </c>
      <c r="O30" s="62">
        <f>std_profitability[[#This Row],[kg delivered]]/std_profitability[[#This Row],[Monthly Capacity]]</f>
        <v>0.15776567008290027</v>
      </c>
    </row>
    <row r="31" spans="1:24" x14ac:dyDescent="0.3">
      <c r="A31" s="26" t="s">
        <v>53</v>
      </c>
      <c r="B31">
        <v>52742.42327509381</v>
      </c>
      <c r="C31" s="27">
        <f>VLOOKUP(std_profitability[[#This Row],[BP name]],payouts_table_AMD!$B$1:$E$52,3,)</f>
        <v>5</v>
      </c>
      <c r="D31" s="30">
        <f>VLOOKUP(std_profitability[[#This Row],[BP name]],payouts_table_AMD!$B$1:$E$52,4,)</f>
        <v>4279.8</v>
      </c>
      <c r="E31" s="29">
        <f>std_profitability[[#This Row],[per kg rate]]*std_profitability[[#This Row],[kg delivered]]</f>
        <v>21399</v>
      </c>
      <c r="F31" s="29">
        <f>VLOOKUP(std_profitability[[#This Row],[BP name]],Payout!$B$1:$F$510,5,FALSE)</f>
        <v>17570.84919894964</v>
      </c>
      <c r="G31" s="29">
        <f>std_profitability[[#This Row],[payout]]-std_profitability[[#This Row],[budget]]</f>
        <v>3828.1508010503603</v>
      </c>
      <c r="H31" s="28">
        <f>std_profitability[[#This Row],[difference]]/std_profitability[[#This Row],[budget]]</f>
        <v>0.21786942439180468</v>
      </c>
      <c r="I31" s="29">
        <f>std_profitability[[#This Row],[payout]]-std_profitability[[#This Row],[Total cost]]</f>
        <v>-31343.42327509381</v>
      </c>
      <c r="J31" s="28">
        <f>std_profitability[[#This Row],[profit]]/std_profitability[[#This Row],[payout]]</f>
        <v>-1.4647143920320487</v>
      </c>
      <c r="K31" s="27">
        <f>std_profitability[[#This Row],[Total cost]]/std_profitability[[#This Row],[kg delivered]]</f>
        <v>12.323571960160242</v>
      </c>
      <c r="L31" s="26" t="str">
        <f>IF(std_profitability[[#This Row],[difference %]]&gt; 0, "Overpaid", "Under Budget")</f>
        <v>Overpaid</v>
      </c>
      <c r="M31" s="26" t="str">
        <f>IF(std_profitability[[#This Row],[profit margin]]&lt;0,"In Loss", "Profitable")</f>
        <v>In Loss</v>
      </c>
      <c r="N31" s="3">
        <f>Net_capacity[[#This Row],[Net Capacity]]*25*1000+ N("Total working days assumed in a month are 25 and capacity was given in tons, so converted to kg")</f>
        <v>24286.591765144924</v>
      </c>
      <c r="O31" s="62">
        <f>std_profitability[[#This Row],[kg delivered]]/std_profitability[[#This Row],[Monthly Capacity]]</f>
        <v>0.17622069170455551</v>
      </c>
    </row>
    <row r="32" spans="1:24" x14ac:dyDescent="0.3">
      <c r="A32" s="26" t="s">
        <v>54</v>
      </c>
      <c r="B32">
        <v>93998.284060462553</v>
      </c>
      <c r="C32" s="27">
        <f>VLOOKUP(std_profitability[[#This Row],[BP name]],payouts_table_AMD!$B$1:$E$52,3,)</f>
        <v>7</v>
      </c>
      <c r="D32" s="30">
        <f>VLOOKUP(std_profitability[[#This Row],[BP name]],payouts_table_AMD!$B$1:$E$52,4,)</f>
        <v>3512.4285714285716</v>
      </c>
      <c r="E32" s="29">
        <f>std_profitability[[#This Row],[per kg rate]]*std_profitability[[#This Row],[kg delivered]]</f>
        <v>24587</v>
      </c>
      <c r="F32" s="29">
        <f>VLOOKUP(std_profitability[[#This Row],[BP name]],Payout!$B$1:$F$510,5,FALSE)</f>
        <v>6656.7476169818319</v>
      </c>
      <c r="G32" s="29">
        <f>std_profitability[[#This Row],[payout]]-std_profitability[[#This Row],[budget]]</f>
        <v>17930.252383018167</v>
      </c>
      <c r="H32" s="28">
        <f>std_profitability[[#This Row],[difference]]/std_profitability[[#This Row],[budget]]</f>
        <v>2.6935454691532588</v>
      </c>
      <c r="I32" s="29">
        <f>std_profitability[[#This Row],[payout]]-std_profitability[[#This Row],[Total cost]]</f>
        <v>-69411.284060462553</v>
      </c>
      <c r="J32" s="28">
        <f>std_profitability[[#This Row],[profit]]/std_profitability[[#This Row],[payout]]</f>
        <v>-2.8230887892163565</v>
      </c>
      <c r="K32" s="27">
        <f>std_profitability[[#This Row],[Total cost]]/std_profitability[[#This Row],[kg delivered]]</f>
        <v>26.761621524514492</v>
      </c>
      <c r="L32" s="26" t="str">
        <f>IF(std_profitability[[#This Row],[difference %]]&gt; 0, "Overpaid", "Under Budget")</f>
        <v>Overpaid</v>
      </c>
      <c r="M32" s="26" t="str">
        <f>IF(std_profitability[[#This Row],[profit margin]]&lt;0,"In Loss", "Profitable")</f>
        <v>In Loss</v>
      </c>
      <c r="N32" s="3">
        <f>Net_capacity[[#This Row],[Net Capacity]]*25*1000+ N("Total working days assumed in a month are 25 and capacity was given in tons, so converted to kg")</f>
        <v>52415.398159134915</v>
      </c>
      <c r="O32" s="62">
        <f>std_profitability[[#This Row],[kg delivered]]/std_profitability[[#This Row],[Monthly Capacity]]</f>
        <v>6.7011387775109899E-2</v>
      </c>
    </row>
    <row r="33" spans="1:23" x14ac:dyDescent="0.3">
      <c r="A33" s="26" t="s">
        <v>57</v>
      </c>
      <c r="B33">
        <v>56615.46394439719</v>
      </c>
      <c r="C33" s="27">
        <f>VLOOKUP(std_profitability[[#This Row],[BP name]],payouts_table_AMD!$B$1:$E$52,3,)</f>
        <v>9</v>
      </c>
      <c r="D33" s="30">
        <f>VLOOKUP(std_profitability[[#This Row],[BP name]],payouts_table_AMD!$B$1:$E$52,4,)</f>
        <v>7681.4444444444443</v>
      </c>
      <c r="E33" s="29">
        <f>std_profitability[[#This Row],[per kg rate]]*std_profitability[[#This Row],[kg delivered]]</f>
        <v>69133</v>
      </c>
      <c r="F33" s="29">
        <f>VLOOKUP(std_profitability[[#This Row],[BP name]],Payout!$B$1:$F$510,5,FALSE)</f>
        <v>52203.104997488474</v>
      </c>
      <c r="G33" s="29">
        <f>std_profitability[[#This Row],[payout]]-std_profitability[[#This Row],[budget]]</f>
        <v>16929.895002511526</v>
      </c>
      <c r="H33" s="28">
        <f>std_profitability[[#This Row],[difference]]/std_profitability[[#This Row],[budget]]</f>
        <v>0.32430819973880931</v>
      </c>
      <c r="I33" s="29">
        <f>std_profitability[[#This Row],[payout]]-std_profitability[[#This Row],[Total cost]]</f>
        <v>12517.53605560281</v>
      </c>
      <c r="J33" s="28">
        <f>std_profitability[[#This Row],[profit]]/std_profitability[[#This Row],[payout]]</f>
        <v>0.18106455752828332</v>
      </c>
      <c r="K33" s="27">
        <f>std_profitability[[#This Row],[Total cost]]/std_profitability[[#This Row],[kg delivered]]</f>
        <v>7.3704189822454502</v>
      </c>
      <c r="L33" s="26" t="str">
        <f>IF(std_profitability[[#This Row],[difference %]]&gt; 0, "Overpaid", "Under Budget")</f>
        <v>Overpaid</v>
      </c>
      <c r="M33" s="26" t="str">
        <f>IF(std_profitability[[#This Row],[profit margin]]&lt;0,"In Loss", "Profitable")</f>
        <v>Profitable</v>
      </c>
      <c r="N33" s="3">
        <f>Net_capacity[[#This Row],[Net Capacity]]*25*1000+ N("Total working days assumed in a month are 25 and capacity was given in tons, so converted to kg")</f>
        <v>26065.876402589303</v>
      </c>
      <c r="O33" s="62">
        <f>std_profitability[[#This Row],[kg delivered]]/std_profitability[[#This Row],[Monthly Capacity]]</f>
        <v>0.2946935037135906</v>
      </c>
    </row>
    <row r="34" spans="1:23" x14ac:dyDescent="0.3">
      <c r="A34" s="26" t="s">
        <v>58</v>
      </c>
      <c r="B34">
        <v>56169.829348340325</v>
      </c>
      <c r="C34" s="27">
        <f>VLOOKUP(std_profitability[[#This Row],[BP name]],payouts_table_AMD!$B$1:$E$52,3,)</f>
        <v>14</v>
      </c>
      <c r="D34" s="30">
        <f>VLOOKUP(std_profitability[[#This Row],[BP name]],payouts_table_AMD!$B$1:$E$52,4,)</f>
        <v>17967.571428571428</v>
      </c>
      <c r="E34" s="29">
        <f>std_profitability[[#This Row],[per kg rate]]*std_profitability[[#This Row],[kg delivered]]</f>
        <v>251546</v>
      </c>
      <c r="F34" s="29">
        <f>VLOOKUP(std_profitability[[#This Row],[BP name]],Payout!$B$1:$F$510,5,FALSE)</f>
        <v>19214.75062867544</v>
      </c>
      <c r="G34" s="29">
        <f>std_profitability[[#This Row],[payout]]-std_profitability[[#This Row],[budget]]</f>
        <v>232331.24937132455</v>
      </c>
      <c r="H34" s="28">
        <f>std_profitability[[#This Row],[difference]]/std_profitability[[#This Row],[budget]]</f>
        <v>12.091296622117037</v>
      </c>
      <c r="I34" s="29">
        <f>std_profitability[[#This Row],[payout]]-std_profitability[[#This Row],[Total cost]]</f>
        <v>195376.17065165966</v>
      </c>
      <c r="J34" s="28">
        <f>std_profitability[[#This Row],[profit]]/std_profitability[[#This Row],[payout]]</f>
        <v>0.7767015601586178</v>
      </c>
      <c r="K34" s="27">
        <f>std_profitability[[#This Row],[Total cost]]/std_profitability[[#This Row],[kg delivered]]</f>
        <v>3.1261781577793508</v>
      </c>
      <c r="L34" s="26" t="str">
        <f>IF(std_profitability[[#This Row],[difference %]]&gt; 0, "Overpaid", "Under Budget")</f>
        <v>Overpaid</v>
      </c>
      <c r="M34" s="26" t="str">
        <f>IF(std_profitability[[#This Row],[profit margin]]&lt;0,"In Loss", "Profitable")</f>
        <v>Profitable</v>
      </c>
      <c r="N34" s="3">
        <f>Net_capacity[[#This Row],[Net Capacity]]*25*1000+ N("Total working days assumed in a month are 25 and capacity was given in tons, so converted to kg")</f>
        <v>26910.709592494499</v>
      </c>
      <c r="O34" s="62">
        <f>std_profitability[[#This Row],[kg delivered]]/std_profitability[[#This Row],[Monthly Capacity]]</f>
        <v>0.66767363999880003</v>
      </c>
    </row>
    <row r="35" spans="1:23" x14ac:dyDescent="0.3">
      <c r="A35" s="26" t="s">
        <v>59</v>
      </c>
      <c r="B35">
        <v>96000</v>
      </c>
      <c r="C35" s="27">
        <f>VLOOKUP(std_profitability[[#This Row],[BP name]],payouts_table_AMD!$B$1:$E$52,3,)</f>
        <v>5</v>
      </c>
      <c r="D35" s="30">
        <f>VLOOKUP(std_profitability[[#This Row],[BP name]],payouts_table_AMD!$B$1:$E$52,4,)</f>
        <v>5234.2</v>
      </c>
      <c r="E35" s="29">
        <f>std_profitability[[#This Row],[per kg rate]]*std_profitability[[#This Row],[kg delivered]]</f>
        <v>26171</v>
      </c>
      <c r="F35" s="29">
        <f>VLOOKUP(std_profitability[[#This Row],[BP name]],Payout!$B$1:$F$510,5,FALSE)</f>
        <v>13791.290165725788</v>
      </c>
      <c r="G35" s="29">
        <f>std_profitability[[#This Row],[payout]]-std_profitability[[#This Row],[budget]]</f>
        <v>12379.709834274212</v>
      </c>
      <c r="H35" s="28">
        <f>std_profitability[[#This Row],[difference]]/std_profitability[[#This Row],[budget]]</f>
        <v>0.89764697033496943</v>
      </c>
      <c r="I35" s="29">
        <f>std_profitability[[#This Row],[payout]]-std_profitability[[#This Row],[Total cost]]</f>
        <v>-69829</v>
      </c>
      <c r="J35" s="28">
        <f>std_profitability[[#This Row],[profit]]/std_profitability[[#This Row],[payout]]</f>
        <v>-2.6681823392304458</v>
      </c>
      <c r="K35" s="27">
        <f>std_profitability[[#This Row],[Total cost]]/std_profitability[[#This Row],[kg delivered]]</f>
        <v>18.340911696152229</v>
      </c>
      <c r="L35" s="26" t="str">
        <f>IF(std_profitability[[#This Row],[difference %]]&gt; 0, "Overpaid", "Under Budget")</f>
        <v>Overpaid</v>
      </c>
      <c r="M35" s="26" t="str">
        <f>IF(std_profitability[[#This Row],[profit margin]]&lt;0,"In Loss", "Profitable")</f>
        <v>In Loss</v>
      </c>
      <c r="N35" s="3">
        <f>Net_capacity[[#This Row],[Net Capacity]]*25*1000+ N("Total working days assumed in a month are 25 and capacity was given in tons, so converted to kg")</f>
        <v>164750.67095612199</v>
      </c>
      <c r="O35" s="62">
        <f>std_profitability[[#This Row],[kg delivered]]/std_profitability[[#This Row],[Monthly Capacity]]</f>
        <v>3.1770432069402763E-2</v>
      </c>
    </row>
    <row r="36" spans="1:23" ht="21" x14ac:dyDescent="0.4">
      <c r="A36" s="26" t="s">
        <v>60</v>
      </c>
      <c r="B36">
        <v>68500.275181934616</v>
      </c>
      <c r="C36" s="27">
        <f>VLOOKUP(std_profitability[[#This Row],[BP name]],payouts_table_AMD!$B$1:$E$52,3,)</f>
        <v>19</v>
      </c>
      <c r="D36" s="30">
        <f>VLOOKUP(std_profitability[[#This Row],[BP name]],payouts_table_AMD!$B$1:$E$52,4,)</f>
        <v>1308.8421052631579</v>
      </c>
      <c r="E36" s="29">
        <f>std_profitability[[#This Row],[per kg rate]]*std_profitability[[#This Row],[kg delivered]]</f>
        <v>24868</v>
      </c>
      <c r="F36" s="29">
        <f>VLOOKUP(std_profitability[[#This Row],[BP name]],Payout!$B$1:$F$510,5,FALSE)</f>
        <v>12643.490413589292</v>
      </c>
      <c r="G36" s="29">
        <f>std_profitability[[#This Row],[payout]]-std_profitability[[#This Row],[budget]]</f>
        <v>12224.509586410708</v>
      </c>
      <c r="H36" s="28">
        <f>std_profitability[[#This Row],[difference]]/std_profitability[[#This Row],[budget]]</f>
        <v>0.96686193341608728</v>
      </c>
      <c r="I36" s="29">
        <f>std_profitability[[#This Row],[payout]]-std_profitability[[#This Row],[Total cost]]</f>
        <v>-43632.275181934616</v>
      </c>
      <c r="J36" s="28">
        <f>std_profitability[[#This Row],[profit]]/std_profitability[[#This Row],[payout]]</f>
        <v>-1.7545550579835376</v>
      </c>
      <c r="K36" s="27">
        <f>std_profitability[[#This Row],[Total cost]]/std_profitability[[#This Row],[kg delivered]]</f>
        <v>52.336546101687219</v>
      </c>
      <c r="L36" s="26" t="str">
        <f>IF(std_profitability[[#This Row],[difference %]]&gt; 0, "Overpaid", "Under Budget")</f>
        <v>Overpaid</v>
      </c>
      <c r="M36" s="26" t="str">
        <f>IF(std_profitability[[#This Row],[profit margin]]&lt;0,"In Loss", "Profitable")</f>
        <v>In Loss</v>
      </c>
      <c r="N36" s="3">
        <f>Net_capacity[[#This Row],[Net Capacity]]*25*1000+ N("Total working days assumed in a month are 25 and capacity was given in tons, so converted to kg")</f>
        <v>23574.620380917509</v>
      </c>
      <c r="O36" s="62">
        <f>std_profitability[[#This Row],[kg delivered]]/std_profitability[[#This Row],[Monthly Capacity]]</f>
        <v>5.5519116919592097E-2</v>
      </c>
      <c r="Q36" s="71" t="s">
        <v>1448</v>
      </c>
      <c r="R36" s="73"/>
      <c r="S36" s="73"/>
      <c r="T36" s="73"/>
      <c r="U36" s="73"/>
      <c r="V36" s="73"/>
      <c r="W36" s="73"/>
    </row>
    <row r="37" spans="1:23" x14ac:dyDescent="0.3">
      <c r="A37" s="26" t="s">
        <v>61</v>
      </c>
      <c r="B37">
        <v>114994.99165417532</v>
      </c>
      <c r="C37" s="27">
        <f>VLOOKUP(std_profitability[[#This Row],[BP name]],payouts_table_AMD!$B$1:$E$52,3,)</f>
        <v>8</v>
      </c>
      <c r="D37" s="30">
        <f>VLOOKUP(std_profitability[[#This Row],[BP name]],payouts_table_AMD!$B$1:$E$52,4,)</f>
        <v>19592.125</v>
      </c>
      <c r="E37" s="29">
        <f>std_profitability[[#This Row],[per kg rate]]*std_profitability[[#This Row],[kg delivered]]</f>
        <v>156737</v>
      </c>
      <c r="F37" s="29">
        <f>VLOOKUP(std_profitability[[#This Row],[BP name]],Payout!$B$1:$F$510,5,FALSE)</f>
        <v>123213.64071313376</v>
      </c>
      <c r="G37" s="29">
        <f>std_profitability[[#This Row],[payout]]-std_profitability[[#This Row],[budget]]</f>
        <v>33523.359286866238</v>
      </c>
      <c r="H37" s="28">
        <f>std_profitability[[#This Row],[difference]]/std_profitability[[#This Row],[budget]]</f>
        <v>0.27207506484542071</v>
      </c>
      <c r="I37" s="29">
        <f>std_profitability[[#This Row],[payout]]-std_profitability[[#This Row],[Total cost]]</f>
        <v>41742.008345824681</v>
      </c>
      <c r="J37" s="28">
        <f>std_profitability[[#This Row],[profit]]/std_profitability[[#This Row],[payout]]</f>
        <v>0.26631879100547212</v>
      </c>
      <c r="K37" s="27">
        <f>std_profitability[[#This Row],[Total cost]]/std_profitability[[#This Row],[kg delivered]]</f>
        <v>5.8694496719562235</v>
      </c>
      <c r="L37" s="26" t="str">
        <f>IF(std_profitability[[#This Row],[difference %]]&gt; 0, "Overpaid", "Under Budget")</f>
        <v>Overpaid</v>
      </c>
      <c r="M37" s="26" t="str">
        <f>IF(std_profitability[[#This Row],[profit margin]]&lt;0,"In Loss", "Profitable")</f>
        <v>Profitable</v>
      </c>
      <c r="N37" s="3">
        <f>Net_capacity[[#This Row],[Net Capacity]]*25*1000+ N("Total working days assumed in a month are 25 and capacity was given in tons, so converted to kg")</f>
        <v>65915.366888890669</v>
      </c>
      <c r="O37" s="62">
        <f>std_profitability[[#This Row],[kg delivered]]/std_profitability[[#This Row],[Monthly Capacity]]</f>
        <v>0.29723152467656283</v>
      </c>
    </row>
    <row r="38" spans="1:23" x14ac:dyDescent="0.3">
      <c r="A38" s="26" t="s">
        <v>64</v>
      </c>
      <c r="B38">
        <v>52195.51069292958</v>
      </c>
      <c r="C38" s="27">
        <f>VLOOKUP(std_profitability[[#This Row],[BP name]],payouts_table_AMD!$B$1:$E$52,3,)</f>
        <v>6</v>
      </c>
      <c r="D38" s="30">
        <f>VLOOKUP(std_profitability[[#This Row],[BP name]],payouts_table_AMD!$B$1:$E$52,4,)</f>
        <v>3031.3333333333335</v>
      </c>
      <c r="E38" s="29">
        <f>std_profitability[[#This Row],[per kg rate]]*std_profitability[[#This Row],[kg delivered]]</f>
        <v>18188</v>
      </c>
      <c r="F38" s="29">
        <f>VLOOKUP(std_profitability[[#This Row],[BP name]],Payout!$B$1:$F$510,5,FALSE)</f>
        <v>5989.241978045161</v>
      </c>
      <c r="G38" s="29">
        <f>std_profitability[[#This Row],[payout]]-std_profitability[[#This Row],[budget]]</f>
        <v>12198.75802195484</v>
      </c>
      <c r="H38" s="28">
        <f>std_profitability[[#This Row],[difference]]/std_profitability[[#This Row],[budget]]</f>
        <v>2.0367782879155625</v>
      </c>
      <c r="I38" s="29">
        <f>std_profitability[[#This Row],[payout]]-std_profitability[[#This Row],[Total cost]]</f>
        <v>-34007.51069292958</v>
      </c>
      <c r="J38" s="28">
        <f>std_profitability[[#This Row],[profit]]/std_profitability[[#This Row],[payout]]</f>
        <v>-1.8697773638074324</v>
      </c>
      <c r="K38" s="27">
        <f>std_profitability[[#This Row],[Total cost]]/std_profitability[[#This Row],[kg delivered]]</f>
        <v>17.218664182844595</v>
      </c>
      <c r="L38" s="26" t="str">
        <f>IF(std_profitability[[#This Row],[difference %]]&gt; 0, "Overpaid", "Under Budget")</f>
        <v>Overpaid</v>
      </c>
      <c r="M38" s="26" t="str">
        <f>IF(std_profitability[[#This Row],[profit margin]]&lt;0,"In Loss", "Profitable")</f>
        <v>In Loss</v>
      </c>
      <c r="N38" s="3">
        <f>Net_capacity[[#This Row],[Net Capacity]]*25*1000+ N("Total working days assumed in a month are 25 and capacity was given in tons, so converted to kg")</f>
        <v>25524.402438260473</v>
      </c>
      <c r="O38" s="62">
        <f>std_profitability[[#This Row],[kg delivered]]/std_profitability[[#This Row],[Monthly Capacity]]</f>
        <v>0.11876216654496236</v>
      </c>
    </row>
    <row r="39" spans="1:23" x14ac:dyDescent="0.3">
      <c r="A39" s="26" t="s">
        <v>65</v>
      </c>
      <c r="B39">
        <v>133925.71024739055</v>
      </c>
      <c r="C39" s="27">
        <f>VLOOKUP(std_profitability[[#This Row],[BP name]],payouts_table_AMD!$B$1:$E$52,3,)</f>
        <v>7</v>
      </c>
      <c r="D39" s="30">
        <f>VLOOKUP(std_profitability[[#This Row],[BP name]],payouts_table_AMD!$B$1:$E$52,4,)</f>
        <v>1583.1428571428571</v>
      </c>
      <c r="E39" s="29">
        <f>std_profitability[[#This Row],[per kg rate]]*std_profitability[[#This Row],[kg delivered]]</f>
        <v>11082</v>
      </c>
      <c r="F39" s="29">
        <f>VLOOKUP(std_profitability[[#This Row],[BP name]],Payout!$B$1:$F$510,5,FALSE)</f>
        <v>1041.6164535348087</v>
      </c>
      <c r="G39" s="29">
        <f>std_profitability[[#This Row],[payout]]-std_profitability[[#This Row],[budget]]</f>
        <v>10040.383546465191</v>
      </c>
      <c r="H39" s="28">
        <f>std_profitability[[#This Row],[difference]]/std_profitability[[#This Row],[budget]]</f>
        <v>9.6392328600343706</v>
      </c>
      <c r="I39" s="29">
        <f>std_profitability[[#This Row],[payout]]-std_profitability[[#This Row],[Total cost]]</f>
        <v>-122843.71024739055</v>
      </c>
      <c r="J39" s="28">
        <f>std_profitability[[#This Row],[profit]]/std_profitability[[#This Row],[payout]]</f>
        <v>-11.084976560854589</v>
      </c>
      <c r="K39" s="27">
        <f>std_profitability[[#This Row],[Total cost]]/std_profitability[[#This Row],[kg delivered]]</f>
        <v>84.594835925982125</v>
      </c>
      <c r="L39" s="26" t="str">
        <f>IF(std_profitability[[#This Row],[difference %]]&gt; 0, "Overpaid", "Under Budget")</f>
        <v>Overpaid</v>
      </c>
      <c r="M39" s="26" t="str">
        <f>IF(std_profitability[[#This Row],[profit margin]]&lt;0,"In Loss", "Profitable")</f>
        <v>In Loss</v>
      </c>
      <c r="N39" s="3">
        <f>Net_capacity[[#This Row],[Net Capacity]]*25*1000+ N("Total working days assumed in a month are 25 and capacity was given in tons, so converted to kg")</f>
        <v>89516.062222460911</v>
      </c>
      <c r="O39" s="62">
        <f>std_profitability[[#This Row],[kg delivered]]/std_profitability[[#This Row],[Monthly Capacity]]</f>
        <v>1.7685573045075512E-2</v>
      </c>
    </row>
    <row r="40" spans="1:23" x14ac:dyDescent="0.3">
      <c r="A40" s="26" t="s">
        <v>68</v>
      </c>
      <c r="B40">
        <v>96000</v>
      </c>
      <c r="C40" s="27">
        <f>VLOOKUP(std_profitability[[#This Row],[BP name]],payouts_table_AMD!$B$1:$E$52,3,)</f>
        <v>5</v>
      </c>
      <c r="D40" s="30">
        <f>VLOOKUP(std_profitability[[#This Row],[BP name]],payouts_table_AMD!$B$1:$E$52,4,)</f>
        <v>12357.2</v>
      </c>
      <c r="E40" s="29">
        <f>std_profitability[[#This Row],[per kg rate]]*std_profitability[[#This Row],[kg delivered]]</f>
        <v>61786</v>
      </c>
      <c r="F40" s="29">
        <f>VLOOKUP(std_profitability[[#This Row],[BP name]],Payout!$B$1:$F$510,5,FALSE)</f>
        <v>39833.290219168477</v>
      </c>
      <c r="G40" s="29">
        <f>std_profitability[[#This Row],[payout]]-std_profitability[[#This Row],[budget]]</f>
        <v>21952.709780831523</v>
      </c>
      <c r="H40" s="28">
        <f>std_profitability[[#This Row],[difference]]/std_profitability[[#This Row],[budget]]</f>
        <v>0.55111464958190914</v>
      </c>
      <c r="I40" s="29">
        <f>std_profitability[[#This Row],[payout]]-std_profitability[[#This Row],[Total cost]]</f>
        <v>-34214</v>
      </c>
      <c r="J40" s="28">
        <f>std_profitability[[#This Row],[profit]]/std_profitability[[#This Row],[payout]]</f>
        <v>-0.55375004046224063</v>
      </c>
      <c r="K40" s="27">
        <f>std_profitability[[#This Row],[Total cost]]/std_profitability[[#This Row],[kg delivered]]</f>
        <v>7.7687502023112032</v>
      </c>
      <c r="L40" s="26" t="str">
        <f>IF(std_profitability[[#This Row],[difference %]]&gt; 0, "Overpaid", "Under Budget")</f>
        <v>Overpaid</v>
      </c>
      <c r="M40" s="26" t="str">
        <f>IF(std_profitability[[#This Row],[profit margin]]&lt;0,"In Loss", "Profitable")</f>
        <v>In Loss</v>
      </c>
      <c r="N40" s="3">
        <f>Net_capacity[[#This Row],[Net Capacity]]*25*1000+ N("Total working days assumed in a month are 25 and capacity was given in tons, so converted to kg")</f>
        <v>164750.67095612199</v>
      </c>
      <c r="O40" s="62">
        <f>std_profitability[[#This Row],[kg delivered]]/std_profitability[[#This Row],[Monthly Capacity]]</f>
        <v>7.5005460847507505E-2</v>
      </c>
    </row>
    <row r="41" spans="1:23" x14ac:dyDescent="0.3">
      <c r="A41" s="26" t="s">
        <v>69</v>
      </c>
      <c r="B41">
        <v>57938.720654163102</v>
      </c>
      <c r="C41" s="27">
        <f>VLOOKUP(std_profitability[[#This Row],[BP name]],payouts_table_AMD!$B$1:$E$52,3,)</f>
        <v>9</v>
      </c>
      <c r="D41" s="30">
        <f>VLOOKUP(std_profitability[[#This Row],[BP name]],payouts_table_AMD!$B$1:$E$52,4,)</f>
        <v>4789</v>
      </c>
      <c r="E41" s="29">
        <f>std_profitability[[#This Row],[per kg rate]]*std_profitability[[#This Row],[kg delivered]]</f>
        <v>43101</v>
      </c>
      <c r="F41" s="29">
        <f>VLOOKUP(std_profitability[[#This Row],[BP name]],Payout!$B$1:$F$510,5,FALSE)</f>
        <v>14793.643655087924</v>
      </c>
      <c r="G41" s="29">
        <f>std_profitability[[#This Row],[payout]]-std_profitability[[#This Row],[budget]]</f>
        <v>28307.356344912077</v>
      </c>
      <c r="H41" s="28">
        <f>std_profitability[[#This Row],[difference]]/std_profitability[[#This Row],[budget]]</f>
        <v>1.9134810196118541</v>
      </c>
      <c r="I41" s="29">
        <f>std_profitability[[#This Row],[payout]]-std_profitability[[#This Row],[Total cost]]</f>
        <v>-14837.720654163102</v>
      </c>
      <c r="J41" s="28">
        <f>std_profitability[[#This Row],[profit]]/std_profitability[[#This Row],[payout]]</f>
        <v>-0.3442546728420014</v>
      </c>
      <c r="K41" s="27">
        <f>std_profitability[[#This Row],[Total cost]]/std_profitability[[#This Row],[kg delivered]]</f>
        <v>12.098292055578012</v>
      </c>
      <c r="L41" s="26" t="str">
        <f>IF(std_profitability[[#This Row],[difference %]]&gt; 0, "Overpaid", "Under Budget")</f>
        <v>Overpaid</v>
      </c>
      <c r="M41" s="26" t="str">
        <f>IF(std_profitability[[#This Row],[profit margin]]&lt;0,"In Loss", "Profitable")</f>
        <v>In Loss</v>
      </c>
      <c r="N41" s="3">
        <f>Net_capacity[[#This Row],[Net Capacity]]*25*1000+ N("Total working days assumed in a month are 25 and capacity was given in tons, so converted to kg")</f>
        <v>37123.850905488391</v>
      </c>
      <c r="O41" s="62">
        <f>std_profitability[[#This Row],[kg delivered]]/std_profitability[[#This Row],[Monthly Capacity]]</f>
        <v>0.12900062582925614</v>
      </c>
    </row>
    <row r="42" spans="1:23" x14ac:dyDescent="0.3">
      <c r="A42" s="26" t="s">
        <v>70</v>
      </c>
      <c r="B42">
        <v>52742.42327509381</v>
      </c>
      <c r="C42" s="27">
        <f>VLOOKUP(std_profitability[[#This Row],[BP name]],payouts_table_AMD!$B$1:$E$52,3,)</f>
        <v>5</v>
      </c>
      <c r="D42" s="30">
        <f>VLOOKUP(std_profitability[[#This Row],[BP name]],payouts_table_AMD!$B$1:$E$52,4,)</f>
        <v>8847.4</v>
      </c>
      <c r="E42" s="29">
        <f>std_profitability[[#This Row],[per kg rate]]*std_profitability[[#This Row],[kg delivered]]</f>
        <v>44237</v>
      </c>
      <c r="F42" s="29">
        <f>VLOOKUP(std_profitability[[#This Row],[BP name]],Payout!$B$1:$F$510,5,FALSE)</f>
        <v>31992.051864244233</v>
      </c>
      <c r="G42" s="29">
        <f>std_profitability[[#This Row],[payout]]-std_profitability[[#This Row],[budget]]</f>
        <v>12244.948135755767</v>
      </c>
      <c r="H42" s="28">
        <f>std_profitability[[#This Row],[difference]]/std_profitability[[#This Row],[budget]]</f>
        <v>0.38274969632195666</v>
      </c>
      <c r="I42" s="29">
        <f>std_profitability[[#This Row],[payout]]-std_profitability[[#This Row],[Total cost]]</f>
        <v>-8505.4232750938099</v>
      </c>
      <c r="J42" s="28">
        <f>std_profitability[[#This Row],[profit]]/std_profitability[[#This Row],[payout]]</f>
        <v>-0.19226944130691073</v>
      </c>
      <c r="K42" s="27">
        <f>std_profitability[[#This Row],[Total cost]]/std_profitability[[#This Row],[kg delivered]]</f>
        <v>5.9613472065345539</v>
      </c>
      <c r="L42" s="26" t="str">
        <f>IF(std_profitability[[#This Row],[difference %]]&gt; 0, "Overpaid", "Under Budget")</f>
        <v>Overpaid</v>
      </c>
      <c r="M42" s="26" t="str">
        <f>IF(std_profitability[[#This Row],[profit margin]]&lt;0,"In Loss", "Profitable")</f>
        <v>In Loss</v>
      </c>
      <c r="N42" s="3">
        <f>Net_capacity[[#This Row],[Net Capacity]]*25*1000+ N("Total working days assumed in a month are 25 and capacity was given in tons, so converted to kg")</f>
        <v>24286.591765144924</v>
      </c>
      <c r="O42" s="62">
        <f>std_profitability[[#This Row],[kg delivered]]/std_profitability[[#This Row],[Monthly Capacity]]</f>
        <v>0.36429154348027576</v>
      </c>
    </row>
    <row r="43" spans="1:23" x14ac:dyDescent="0.3">
      <c r="A43" s="26" t="s">
        <v>71</v>
      </c>
      <c r="B43">
        <v>56169.829348340325</v>
      </c>
      <c r="C43" s="27">
        <f>VLOOKUP(std_profitability[[#This Row],[BP name]],payouts_table_AMD!$B$1:$E$52,3,)</f>
        <v>5</v>
      </c>
      <c r="D43" s="30">
        <f>VLOOKUP(std_profitability[[#This Row],[BP name]],payouts_table_AMD!$B$1:$E$52,4,)</f>
        <v>9403.6</v>
      </c>
      <c r="E43" s="29">
        <f>std_profitability[[#This Row],[per kg rate]]*std_profitability[[#This Row],[kg delivered]]</f>
        <v>47018</v>
      </c>
      <c r="F43" s="29">
        <f>VLOOKUP(std_profitability[[#This Row],[BP name]],Payout!$B$1:$F$510,5,FALSE)</f>
        <v>36462.95362853499</v>
      </c>
      <c r="G43" s="29">
        <f>std_profitability[[#This Row],[payout]]-std_profitability[[#This Row],[budget]]</f>
        <v>10555.04637146501</v>
      </c>
      <c r="H43" s="28">
        <f>std_profitability[[#This Row],[difference]]/std_profitability[[#This Row],[budget]]</f>
        <v>0.28947315894905717</v>
      </c>
      <c r="I43" s="29">
        <f>std_profitability[[#This Row],[payout]]-std_profitability[[#This Row],[Total cost]]</f>
        <v>-9151.8293483403249</v>
      </c>
      <c r="J43" s="28">
        <f>std_profitability[[#This Row],[profit]]/std_profitability[[#This Row],[payout]]</f>
        <v>-0.19464522838785836</v>
      </c>
      <c r="K43" s="27">
        <f>std_profitability[[#This Row],[Total cost]]/std_profitability[[#This Row],[kg delivered]]</f>
        <v>5.9732261419392918</v>
      </c>
      <c r="L43" s="26" t="str">
        <f>IF(std_profitability[[#This Row],[difference %]]&gt; 0, "Overpaid", "Under Budget")</f>
        <v>Overpaid</v>
      </c>
      <c r="M43" s="26" t="str">
        <f>IF(std_profitability[[#This Row],[profit margin]]&lt;0,"In Loss", "Profitable")</f>
        <v>In Loss</v>
      </c>
      <c r="N43" s="3">
        <f>Net_capacity[[#This Row],[Net Capacity]]*25*1000+ N("Total working days assumed in a month are 25 and capacity was given in tons, so converted to kg")</f>
        <v>26910.709592494499</v>
      </c>
      <c r="O43" s="62">
        <f>std_profitability[[#This Row],[kg delivered]]/std_profitability[[#This Row],[Monthly Capacity]]</f>
        <v>0.34943708814808438</v>
      </c>
    </row>
    <row r="44" spans="1:23" x14ac:dyDescent="0.3">
      <c r="A44" s="26" t="s">
        <v>72</v>
      </c>
      <c r="B44">
        <v>252950.18745191713</v>
      </c>
      <c r="C44" s="27">
        <f>VLOOKUP(std_profitability[[#This Row],[BP name]],payouts_table_AMD!$B$1:$E$52,3,)</f>
        <v>9</v>
      </c>
      <c r="D44" s="30">
        <f>VLOOKUP(std_profitability[[#This Row],[BP name]],payouts_table_AMD!$B$1:$E$52,4,)</f>
        <v>11325</v>
      </c>
      <c r="E44" s="29">
        <f>std_profitability[[#This Row],[per kg rate]]*std_profitability[[#This Row],[kg delivered]]</f>
        <v>101925</v>
      </c>
      <c r="F44" s="29">
        <f>VLOOKUP(std_profitability[[#This Row],[BP name]],Payout!$B$1:$F$510,5,FALSE)</f>
        <v>68251.613256207391</v>
      </c>
      <c r="G44" s="29">
        <f>std_profitability[[#This Row],[payout]]-std_profitability[[#This Row],[budget]]</f>
        <v>33673.386743792609</v>
      </c>
      <c r="H44" s="28">
        <f>std_profitability[[#This Row],[difference]]/std_profitability[[#This Row],[budget]]</f>
        <v>0.49337129391194368</v>
      </c>
      <c r="I44" s="29">
        <f>std_profitability[[#This Row],[payout]]-std_profitability[[#This Row],[Total cost]]</f>
        <v>-151025.18745191713</v>
      </c>
      <c r="J44" s="28">
        <f>std_profitability[[#This Row],[profit]]/std_profitability[[#This Row],[payout]]</f>
        <v>-1.48172859898864</v>
      </c>
      <c r="K44" s="27">
        <f>std_profitability[[#This Row],[Total cost]]/std_profitability[[#This Row],[kg delivered]]</f>
        <v>22.335557390897758</v>
      </c>
      <c r="L44" s="26" t="str">
        <f>IF(std_profitability[[#This Row],[difference %]]&gt; 0, "Overpaid", "Under Budget")</f>
        <v>Overpaid</v>
      </c>
      <c r="M44" s="26" t="str">
        <f>IF(std_profitability[[#This Row],[profit margin]]&lt;0,"In Loss", "Profitable")</f>
        <v>In Loss</v>
      </c>
      <c r="N44" s="3">
        <f>Net_capacity[[#This Row],[Net Capacity]]*25*1000+ N("Total working days assumed in a month are 25 and capacity was given in tons, so converted to kg")</f>
        <v>152661.79575989879</v>
      </c>
      <c r="O44" s="62">
        <f>std_profitability[[#This Row],[kg delivered]]/std_profitability[[#This Row],[Monthly Capacity]]</f>
        <v>7.4183589572151834E-2</v>
      </c>
    </row>
    <row r="45" spans="1:23" x14ac:dyDescent="0.3">
      <c r="A45" s="26" t="s">
        <v>74</v>
      </c>
      <c r="B45">
        <v>64667.720972774769</v>
      </c>
      <c r="C45" s="27">
        <f>VLOOKUP(std_profitability[[#This Row],[BP name]],payouts_table_AMD!$B$1:$E$52,3,)</f>
        <v>3</v>
      </c>
      <c r="D45" s="30">
        <f>VLOOKUP(std_profitability[[#This Row],[BP name]],payouts_table_AMD!$B$1:$E$52,4,)</f>
        <v>20175</v>
      </c>
      <c r="E45" s="29">
        <f>std_profitability[[#This Row],[per kg rate]]*std_profitability[[#This Row],[kg delivered]]</f>
        <v>60525</v>
      </c>
      <c r="F45" s="29">
        <f>VLOOKUP(std_profitability[[#This Row],[BP name]],Payout!$B$1:$F$510,5,FALSE)</f>
        <v>5138.849705816694</v>
      </c>
      <c r="G45" s="29">
        <f>std_profitability[[#This Row],[payout]]-std_profitability[[#This Row],[budget]]</f>
        <v>55386.150294183302</v>
      </c>
      <c r="H45" s="28">
        <f>std_profitability[[#This Row],[difference]]/std_profitability[[#This Row],[budget]]</f>
        <v>10.77792764234599</v>
      </c>
      <c r="I45" s="29">
        <f>std_profitability[[#This Row],[payout]]-std_profitability[[#This Row],[Total cost]]</f>
        <v>-4142.7209727747686</v>
      </c>
      <c r="J45" s="28">
        <f>std_profitability[[#This Row],[profit]]/std_profitability[[#This Row],[payout]]</f>
        <v>-6.8446443168521581E-2</v>
      </c>
      <c r="K45" s="27">
        <f>std_profitability[[#This Row],[Total cost]]/std_profitability[[#This Row],[kg delivered]]</f>
        <v>3.2053393295055645</v>
      </c>
      <c r="L45" s="26" t="str">
        <f>IF(std_profitability[[#This Row],[difference %]]&gt; 0, "Overpaid", "Under Budget")</f>
        <v>Overpaid</v>
      </c>
      <c r="M45" s="26" t="str">
        <f>IF(std_profitability[[#This Row],[profit margin]]&lt;0,"In Loss", "Profitable")</f>
        <v>In Loss</v>
      </c>
      <c r="N45" s="3">
        <f>Net_capacity[[#This Row],[Net Capacity]]*25*1000+ N("Total working days assumed in a month are 25 and capacity was given in tons, so converted to kg")</f>
        <v>19139.711254930771</v>
      </c>
      <c r="O45" s="62">
        <f>std_profitability[[#This Row],[kg delivered]]/std_profitability[[#This Row],[Monthly Capacity]]</f>
        <v>1.0540911370751489</v>
      </c>
    </row>
    <row r="46" spans="1:23" x14ac:dyDescent="0.3">
      <c r="A46" s="26" t="s">
        <v>75</v>
      </c>
      <c r="B46">
        <v>96000</v>
      </c>
      <c r="C46" s="27">
        <f>VLOOKUP(std_profitability[[#This Row],[BP name]],payouts_table_AMD!$B$1:$E$52,3,)</f>
        <v>5</v>
      </c>
      <c r="D46" s="30">
        <f>VLOOKUP(std_profitability[[#This Row],[BP name]],payouts_table_AMD!$B$1:$E$52,4,)</f>
        <v>12176.6</v>
      </c>
      <c r="E46" s="29">
        <f>std_profitability[[#This Row],[per kg rate]]*std_profitability[[#This Row],[kg delivered]]</f>
        <v>60883</v>
      </c>
      <c r="F46" s="29">
        <f>VLOOKUP(std_profitability[[#This Row],[BP name]],Payout!$B$1:$F$510,5,FALSE)</f>
        <v>60573.277525875877</v>
      </c>
      <c r="G46" s="29">
        <f>std_profitability[[#This Row],[payout]]-std_profitability[[#This Row],[budget]]</f>
        <v>309.72247412412253</v>
      </c>
      <c r="H46" s="28">
        <f>std_profitability[[#This Row],[difference]]/std_profitability[[#This Row],[budget]]</f>
        <v>5.1131866521803172E-3</v>
      </c>
      <c r="I46" s="29">
        <f>std_profitability[[#This Row],[payout]]-std_profitability[[#This Row],[Total cost]]</f>
        <v>-35117</v>
      </c>
      <c r="J46" s="28">
        <f>std_profitability[[#This Row],[profit]]/std_profitability[[#This Row],[payout]]</f>
        <v>-0.57679483599691206</v>
      </c>
      <c r="K46" s="27">
        <f>std_profitability[[#This Row],[Total cost]]/std_profitability[[#This Row],[kg delivered]]</f>
        <v>7.88397417998456</v>
      </c>
      <c r="L46" s="26" t="str">
        <f>IF(std_profitability[[#This Row],[difference %]]&gt; 0, "Overpaid", "Under Budget")</f>
        <v>Overpaid</v>
      </c>
      <c r="M46" s="26" t="str">
        <f>IF(std_profitability[[#This Row],[profit margin]]&lt;0,"In Loss", "Profitable")</f>
        <v>In Loss</v>
      </c>
      <c r="N46" s="3">
        <f>Net_capacity[[#This Row],[Net Capacity]]*25*1000+ N("Total working days assumed in a month are 25 and capacity was given in tons, so converted to kg")</f>
        <v>162500</v>
      </c>
      <c r="O46" s="62">
        <f>std_profitability[[#This Row],[kg delivered]]/std_profitability[[#This Row],[Monthly Capacity]]</f>
        <v>7.4932923076923078E-2</v>
      </c>
    </row>
    <row r="47" spans="1:23" x14ac:dyDescent="0.3">
      <c r="A47" s="26" t="s">
        <v>77</v>
      </c>
      <c r="B47">
        <v>57264.323133455633</v>
      </c>
      <c r="C47" s="27">
        <f>VLOOKUP(std_profitability[[#This Row],[BP name]],payouts_table_AMD!$B$1:$E$52,3,)</f>
        <v>5</v>
      </c>
      <c r="D47" s="30">
        <f>VLOOKUP(std_profitability[[#This Row],[BP name]],payouts_table_AMD!$B$1:$E$52,4,)</f>
        <v>5479.6</v>
      </c>
      <c r="E47" s="29">
        <f>std_profitability[[#This Row],[per kg rate]]*std_profitability[[#This Row],[kg delivered]]</f>
        <v>27398</v>
      </c>
      <c r="F47" s="29">
        <f>VLOOKUP(std_profitability[[#This Row],[BP name]],Payout!$B$1:$F$510,5,FALSE)</f>
        <v>9412.3100994900014</v>
      </c>
      <c r="G47" s="29">
        <f>std_profitability[[#This Row],[payout]]-std_profitability[[#This Row],[budget]]</f>
        <v>17985.689900509999</v>
      </c>
      <c r="H47" s="28">
        <f>std_profitability[[#This Row],[difference]]/std_profitability[[#This Row],[budget]]</f>
        <v>1.9108688207674478</v>
      </c>
      <c r="I47" s="29">
        <f>std_profitability[[#This Row],[payout]]-std_profitability[[#This Row],[Total cost]]</f>
        <v>-29866.323133455633</v>
      </c>
      <c r="J47" s="28">
        <f>std_profitability[[#This Row],[profit]]/std_profitability[[#This Row],[payout]]</f>
        <v>-1.0900913619043593</v>
      </c>
      <c r="K47" s="27">
        <f>std_profitability[[#This Row],[Total cost]]/std_profitability[[#This Row],[kg delivered]]</f>
        <v>10.450456809521794</v>
      </c>
      <c r="L47" s="26" t="str">
        <f>IF(std_profitability[[#This Row],[difference %]]&gt; 0, "Overpaid", "Under Budget")</f>
        <v>Overpaid</v>
      </c>
      <c r="M47" s="26" t="str">
        <f>IF(std_profitability[[#This Row],[profit margin]]&lt;0,"In Loss", "Profitable")</f>
        <v>In Loss</v>
      </c>
      <c r="N47" s="3">
        <f>Net_capacity[[#This Row],[Net Capacity]]*25*1000+ N("Total working days assumed in a month are 25 and capacity was given in tons, so converted to kg")</f>
        <v>36987.085258650302</v>
      </c>
      <c r="O47" s="62">
        <f>std_profitability[[#This Row],[kg delivered]]/std_profitability[[#This Row],[Monthly Capacity]]</f>
        <v>0.14814900827359642</v>
      </c>
    </row>
    <row r="48" spans="1:23" x14ac:dyDescent="0.3">
      <c r="A48" s="26" t="s">
        <v>78</v>
      </c>
      <c r="B48">
        <v>56539.049434836263</v>
      </c>
      <c r="C48" s="27">
        <f>VLOOKUP(std_profitability[[#This Row],[BP name]],payouts_table_AMD!$B$1:$E$52,3,)</f>
        <v>5</v>
      </c>
      <c r="D48" s="30">
        <f>VLOOKUP(std_profitability[[#This Row],[BP name]],payouts_table_AMD!$B$1:$E$52,4,)</f>
        <v>5290.4</v>
      </c>
      <c r="E48" s="29">
        <f>std_profitability[[#This Row],[per kg rate]]*std_profitability[[#This Row],[kg delivered]]</f>
        <v>26452</v>
      </c>
      <c r="F48" s="29">
        <f>VLOOKUP(std_profitability[[#This Row],[BP name]],Payout!$B$1:$F$510,5,FALSE)</f>
        <v>10107.177123675472</v>
      </c>
      <c r="G48" s="29">
        <f>std_profitability[[#This Row],[payout]]-std_profitability[[#This Row],[budget]]</f>
        <v>16344.822876324528</v>
      </c>
      <c r="H48" s="28">
        <f>std_profitability[[#This Row],[difference]]/std_profitability[[#This Row],[budget]]</f>
        <v>1.6171501376024899</v>
      </c>
      <c r="I48" s="29">
        <f>std_profitability[[#This Row],[payout]]-std_profitability[[#This Row],[Total cost]]</f>
        <v>-30087.049434836263</v>
      </c>
      <c r="J48" s="28">
        <f>std_profitability[[#This Row],[profit]]/std_profitability[[#This Row],[payout]]</f>
        <v>-1.1374205895522556</v>
      </c>
      <c r="K48" s="27">
        <f>std_profitability[[#This Row],[Total cost]]/std_profitability[[#This Row],[kg delivered]]</f>
        <v>10.687102947761279</v>
      </c>
      <c r="L48" s="26" t="str">
        <f>IF(std_profitability[[#This Row],[difference %]]&gt; 0, "Overpaid", "Under Budget")</f>
        <v>Overpaid</v>
      </c>
      <c r="M48" s="26" t="str">
        <f>IF(std_profitability[[#This Row],[profit margin]]&lt;0,"In Loss", "Profitable")</f>
        <v>In Loss</v>
      </c>
      <c r="N48" s="3">
        <f>Net_capacity[[#This Row],[Net Capacity]]*25*1000+ N("Total working days assumed in a month are 25 and capacity was given in tons, so converted to kg")</f>
        <v>45771.96946611708</v>
      </c>
      <c r="O48" s="62">
        <f>std_profitability[[#This Row],[kg delivered]]/std_profitability[[#This Row],[Monthly Capacity]]</f>
        <v>0.115581655360411</v>
      </c>
    </row>
    <row r="49" spans="1:15" x14ac:dyDescent="0.3">
      <c r="A49" s="26" t="s">
        <v>79</v>
      </c>
      <c r="B49">
        <v>61808.575521938008</v>
      </c>
      <c r="C49" s="27">
        <f>VLOOKUP(std_profitability[[#This Row],[BP name]],payouts_table_AMD!$B$1:$E$52,3,)</f>
        <v>5</v>
      </c>
      <c r="D49" s="30">
        <f>VLOOKUP(std_profitability[[#This Row],[BP name]],payouts_table_AMD!$B$1:$E$52,4,)</f>
        <v>7018.8</v>
      </c>
      <c r="E49" s="29">
        <f>std_profitability[[#This Row],[per kg rate]]*std_profitability[[#This Row],[kg delivered]]</f>
        <v>35094</v>
      </c>
      <c r="F49" s="29">
        <f>VLOOKUP(std_profitability[[#This Row],[BP name]],Payout!$B$1:$F$510,5,FALSE)</f>
        <v>5041.5172774335551</v>
      </c>
      <c r="G49" s="29">
        <f>std_profitability[[#This Row],[payout]]-std_profitability[[#This Row],[budget]]</f>
        <v>30052.482722566445</v>
      </c>
      <c r="H49" s="28">
        <f>std_profitability[[#This Row],[difference]]/std_profitability[[#This Row],[budget]]</f>
        <v>5.9609996492692812</v>
      </c>
      <c r="I49" s="29">
        <f>std_profitability[[#This Row],[payout]]-std_profitability[[#This Row],[Total cost]]</f>
        <v>-26714.575521938008</v>
      </c>
      <c r="J49" s="28">
        <f>std_profitability[[#This Row],[profit]]/std_profitability[[#This Row],[payout]]</f>
        <v>-0.76122914235875105</v>
      </c>
      <c r="K49" s="27">
        <f>std_profitability[[#This Row],[Total cost]]/std_profitability[[#This Row],[kg delivered]]</f>
        <v>8.8061457117937554</v>
      </c>
      <c r="L49" s="26" t="str">
        <f>IF(std_profitability[[#This Row],[difference %]]&gt; 0, "Overpaid", "Under Budget")</f>
        <v>Overpaid</v>
      </c>
      <c r="M49" s="26" t="str">
        <f>IF(std_profitability[[#This Row],[profit margin]]&lt;0,"In Loss", "Profitable")</f>
        <v>In Loss</v>
      </c>
      <c r="N49" s="3">
        <f>Net_capacity[[#This Row],[Net Capacity]]*25*1000+ N("Total working days assumed in a month are 25 and capacity was given in tons, so converted to kg")</f>
        <v>68294.810194577731</v>
      </c>
      <c r="O49" s="62">
        <f>std_profitability[[#This Row],[kg delivered]]/std_profitability[[#This Row],[Monthly Capacity]]</f>
        <v>0.10277208443808308</v>
      </c>
    </row>
  </sheetData>
  <pageMargins left="0.7" right="0.7" top="0.75" bottom="0.75" header="0" footer="0"/>
  <pageSetup orientation="landscape"/>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297FF-B821-4499-A02D-D83DA63A7B5C}">
  <sheetPr>
    <tabColor rgb="FFFFC000"/>
  </sheetPr>
  <dimension ref="A1:E49"/>
  <sheetViews>
    <sheetView zoomScaleNormal="100" workbookViewId="0">
      <selection activeCell="C35" sqref="C35"/>
    </sheetView>
  </sheetViews>
  <sheetFormatPr defaultColWidth="9.109375" defaultRowHeight="14.4" x14ac:dyDescent="0.3"/>
  <cols>
    <col min="1" max="1" width="16.33203125" style="6" bestFit="1" customWidth="1"/>
    <col min="2" max="2" width="33.6640625" bestFit="1" customWidth="1"/>
    <col min="3" max="3" width="27" style="6" bestFit="1" customWidth="1"/>
    <col min="4" max="4" width="40.33203125" style="6" bestFit="1" customWidth="1"/>
    <col min="5" max="5" width="18.88671875" style="6" bestFit="1" customWidth="1"/>
    <col min="6" max="16384" width="9.109375" style="6"/>
  </cols>
  <sheetData>
    <row r="1" spans="1:5" x14ac:dyDescent="0.3">
      <c r="A1" s="13" t="s">
        <v>95</v>
      </c>
      <c r="B1" s="13" t="s">
        <v>0</v>
      </c>
      <c r="C1" s="13" t="s">
        <v>1</v>
      </c>
      <c r="D1" s="13" t="s">
        <v>137</v>
      </c>
      <c r="E1" s="13" t="s">
        <v>2</v>
      </c>
    </row>
    <row r="2" spans="1:5" x14ac:dyDescent="0.3">
      <c r="A2" s="6" t="s">
        <v>99</v>
      </c>
      <c r="B2" s="6" t="s">
        <v>3</v>
      </c>
      <c r="C2" s="6" t="s">
        <v>4</v>
      </c>
      <c r="D2" s="6" t="s">
        <v>5</v>
      </c>
      <c r="E2" s="6" t="s">
        <v>6</v>
      </c>
    </row>
    <row r="3" spans="1:5" x14ac:dyDescent="0.3">
      <c r="A3" s="6" t="s">
        <v>99</v>
      </c>
      <c r="B3" s="6" t="s">
        <v>7</v>
      </c>
      <c r="C3" s="6" t="s">
        <v>8</v>
      </c>
      <c r="D3" s="6" t="s">
        <v>9</v>
      </c>
      <c r="E3" s="6" t="s">
        <v>10</v>
      </c>
    </row>
    <row r="4" spans="1:5" x14ac:dyDescent="0.3">
      <c r="A4" s="6" t="s">
        <v>98</v>
      </c>
      <c r="B4" s="6" t="s">
        <v>11</v>
      </c>
      <c r="C4" s="6" t="s">
        <v>12</v>
      </c>
      <c r="D4" s="6" t="s">
        <v>13</v>
      </c>
      <c r="E4" s="6">
        <v>2014</v>
      </c>
    </row>
    <row r="5" spans="1:5" x14ac:dyDescent="0.3">
      <c r="A5" s="6" t="s">
        <v>109</v>
      </c>
      <c r="B5" s="6" t="s">
        <v>141</v>
      </c>
      <c r="C5" s="6" t="s">
        <v>14</v>
      </c>
      <c r="D5" s="6" t="s">
        <v>13</v>
      </c>
      <c r="E5" s="6">
        <v>2019</v>
      </c>
    </row>
    <row r="6" spans="1:5" x14ac:dyDescent="0.3">
      <c r="A6" s="6" t="s">
        <v>106</v>
      </c>
      <c r="B6" s="6" t="s">
        <v>15</v>
      </c>
      <c r="C6" s="6" t="s">
        <v>16</v>
      </c>
      <c r="D6" s="6" t="s">
        <v>13</v>
      </c>
      <c r="E6" s="6">
        <v>2016</v>
      </c>
    </row>
    <row r="7" spans="1:5" x14ac:dyDescent="0.3">
      <c r="A7" s="6" t="s">
        <v>106</v>
      </c>
      <c r="B7" s="6" t="s">
        <v>17</v>
      </c>
      <c r="C7" s="6" t="s">
        <v>18</v>
      </c>
      <c r="D7" s="6" t="s">
        <v>13</v>
      </c>
      <c r="E7" s="6">
        <v>2012</v>
      </c>
    </row>
    <row r="8" spans="1:5" x14ac:dyDescent="0.3">
      <c r="A8" s="6" t="s">
        <v>96</v>
      </c>
      <c r="B8" s="6" t="s">
        <v>20</v>
      </c>
      <c r="C8" s="6" t="s">
        <v>18</v>
      </c>
      <c r="D8" s="6" t="s">
        <v>13</v>
      </c>
      <c r="E8" s="6">
        <v>2019</v>
      </c>
    </row>
    <row r="9" spans="1:5" x14ac:dyDescent="0.3">
      <c r="A9" s="6" t="s">
        <v>100</v>
      </c>
      <c r="B9" s="6" t="s">
        <v>21</v>
      </c>
      <c r="C9" s="6" t="s">
        <v>22</v>
      </c>
      <c r="D9" s="6" t="s">
        <v>134</v>
      </c>
      <c r="E9" s="6" t="s">
        <v>142</v>
      </c>
    </row>
    <row r="10" spans="1:5" x14ac:dyDescent="0.3">
      <c r="A10" s="6" t="s">
        <v>102</v>
      </c>
      <c r="B10" s="6" t="s">
        <v>23</v>
      </c>
      <c r="C10" s="6" t="s">
        <v>18</v>
      </c>
      <c r="D10" s="6" t="s">
        <v>19</v>
      </c>
      <c r="E10" s="6">
        <v>2016</v>
      </c>
    </row>
    <row r="11" spans="1:5" x14ac:dyDescent="0.3">
      <c r="A11" s="6" t="s">
        <v>97</v>
      </c>
      <c r="B11" s="6" t="s">
        <v>24</v>
      </c>
      <c r="C11" s="6" t="s">
        <v>25</v>
      </c>
      <c r="D11" s="6" t="s">
        <v>135</v>
      </c>
      <c r="E11" s="6" t="s">
        <v>143</v>
      </c>
    </row>
    <row r="12" spans="1:5" x14ac:dyDescent="0.3">
      <c r="A12" s="6" t="s">
        <v>101</v>
      </c>
      <c r="B12" s="6" t="s">
        <v>26</v>
      </c>
      <c r="C12" s="6" t="s">
        <v>18</v>
      </c>
      <c r="D12" s="6" t="s">
        <v>13</v>
      </c>
      <c r="E12" s="6">
        <v>2020</v>
      </c>
    </row>
    <row r="13" spans="1:5" x14ac:dyDescent="0.3">
      <c r="A13" s="6" t="s">
        <v>99</v>
      </c>
      <c r="B13" s="6" t="s">
        <v>27</v>
      </c>
      <c r="C13" s="6" t="s">
        <v>18</v>
      </c>
      <c r="D13" s="6" t="s">
        <v>13</v>
      </c>
      <c r="E13" s="6">
        <v>2010</v>
      </c>
    </row>
    <row r="14" spans="1:5" x14ac:dyDescent="0.3">
      <c r="A14" s="6" t="s">
        <v>103</v>
      </c>
      <c r="B14" s="6" t="s">
        <v>28</v>
      </c>
      <c r="C14" s="6" t="s">
        <v>29</v>
      </c>
      <c r="D14" s="6" t="s">
        <v>19</v>
      </c>
      <c r="E14" s="6">
        <v>2019</v>
      </c>
    </row>
    <row r="15" spans="1:5" x14ac:dyDescent="0.3">
      <c r="A15" s="6" t="s">
        <v>109</v>
      </c>
      <c r="B15" s="6" t="s">
        <v>30</v>
      </c>
      <c r="C15" s="6" t="s">
        <v>14</v>
      </c>
      <c r="D15" s="6" t="s">
        <v>13</v>
      </c>
      <c r="E15" s="6">
        <v>2019</v>
      </c>
    </row>
    <row r="16" spans="1:5" x14ac:dyDescent="0.3">
      <c r="A16" s="6" t="s">
        <v>104</v>
      </c>
      <c r="B16" s="6" t="s">
        <v>31</v>
      </c>
      <c r="C16" s="6" t="s">
        <v>14</v>
      </c>
      <c r="D16" s="6" t="s">
        <v>19</v>
      </c>
      <c r="E16" s="6">
        <v>2020</v>
      </c>
    </row>
    <row r="17" spans="1:5" x14ac:dyDescent="0.3">
      <c r="A17" s="6" t="s">
        <v>98</v>
      </c>
      <c r="B17" s="6" t="s">
        <v>32</v>
      </c>
      <c r="C17" s="6" t="s">
        <v>12</v>
      </c>
      <c r="D17" s="6" t="s">
        <v>19</v>
      </c>
      <c r="E17" s="6">
        <v>2012</v>
      </c>
    </row>
    <row r="18" spans="1:5" x14ac:dyDescent="0.3">
      <c r="A18" s="6" t="s">
        <v>98</v>
      </c>
      <c r="B18" s="6" t="s">
        <v>33</v>
      </c>
      <c r="C18" s="6" t="s">
        <v>34</v>
      </c>
      <c r="D18" s="6" t="s">
        <v>9</v>
      </c>
      <c r="E18" s="6" t="s">
        <v>10</v>
      </c>
    </row>
    <row r="19" spans="1:5" x14ac:dyDescent="0.3">
      <c r="A19" s="6" t="s">
        <v>96</v>
      </c>
      <c r="B19" s="6" t="s">
        <v>35</v>
      </c>
      <c r="C19" s="6" t="s">
        <v>4</v>
      </c>
      <c r="D19" s="6" t="s">
        <v>36</v>
      </c>
      <c r="E19" s="6" t="s">
        <v>37</v>
      </c>
    </row>
    <row r="20" spans="1:5" x14ac:dyDescent="0.3">
      <c r="A20" s="6" t="s">
        <v>103</v>
      </c>
      <c r="B20" s="6" t="s">
        <v>38</v>
      </c>
      <c r="C20" s="6" t="s">
        <v>14</v>
      </c>
      <c r="D20" s="6" t="s">
        <v>19</v>
      </c>
      <c r="E20" s="6">
        <v>2013</v>
      </c>
    </row>
    <row r="21" spans="1:5" x14ac:dyDescent="0.3">
      <c r="A21" s="6" t="s">
        <v>102</v>
      </c>
      <c r="B21" s="6" t="s">
        <v>39</v>
      </c>
      <c r="C21" s="6" t="s">
        <v>40</v>
      </c>
      <c r="D21" s="6" t="s">
        <v>136</v>
      </c>
      <c r="E21" s="6" t="s">
        <v>145</v>
      </c>
    </row>
    <row r="22" spans="1:5" x14ac:dyDescent="0.3">
      <c r="A22" s="6" t="s">
        <v>102</v>
      </c>
      <c r="B22" s="6" t="s">
        <v>41</v>
      </c>
      <c r="C22" s="6" t="s">
        <v>42</v>
      </c>
      <c r="D22" s="6" t="s">
        <v>36</v>
      </c>
      <c r="E22" s="6" t="s">
        <v>43</v>
      </c>
    </row>
    <row r="23" spans="1:5" x14ac:dyDescent="0.3">
      <c r="A23" s="6" t="s">
        <v>98</v>
      </c>
      <c r="B23" s="6" t="s">
        <v>44</v>
      </c>
      <c r="C23" s="6" t="s">
        <v>16</v>
      </c>
      <c r="D23" s="6" t="s">
        <v>13</v>
      </c>
      <c r="E23" s="6">
        <v>2013</v>
      </c>
    </row>
    <row r="24" spans="1:5" x14ac:dyDescent="0.3">
      <c r="A24" s="6" t="s">
        <v>107</v>
      </c>
      <c r="B24" s="6" t="s">
        <v>45</v>
      </c>
      <c r="C24" s="6" t="s">
        <v>16</v>
      </c>
      <c r="D24" s="6" t="s">
        <v>19</v>
      </c>
      <c r="E24" s="6">
        <v>2011</v>
      </c>
    </row>
    <row r="25" spans="1:5" x14ac:dyDescent="0.3">
      <c r="A25" s="6" t="s">
        <v>100</v>
      </c>
      <c r="B25" s="6" t="s">
        <v>46</v>
      </c>
      <c r="C25" s="6" t="s">
        <v>4</v>
      </c>
      <c r="D25" s="6" t="s">
        <v>138</v>
      </c>
      <c r="E25" s="6" t="s">
        <v>144</v>
      </c>
    </row>
    <row r="26" spans="1:5" x14ac:dyDescent="0.3">
      <c r="A26" s="6" t="s">
        <v>102</v>
      </c>
      <c r="B26" s="6" t="s">
        <v>48</v>
      </c>
      <c r="C26" s="6" t="s">
        <v>16</v>
      </c>
      <c r="D26" s="6" t="s">
        <v>19</v>
      </c>
      <c r="E26" s="6">
        <v>2015</v>
      </c>
    </row>
    <row r="27" spans="1:5" x14ac:dyDescent="0.3">
      <c r="A27" s="6" t="s">
        <v>100</v>
      </c>
      <c r="B27" s="6" t="s">
        <v>49</v>
      </c>
      <c r="C27" s="6" t="s">
        <v>16</v>
      </c>
      <c r="D27" s="6" t="s">
        <v>19</v>
      </c>
      <c r="E27" s="6">
        <v>2014</v>
      </c>
    </row>
    <row r="28" spans="1:5" x14ac:dyDescent="0.3">
      <c r="A28" s="6" t="s">
        <v>109</v>
      </c>
      <c r="B28" s="6" t="s">
        <v>50</v>
      </c>
      <c r="C28" s="6" t="s">
        <v>18</v>
      </c>
      <c r="D28" s="6" t="s">
        <v>13</v>
      </c>
      <c r="E28" s="6">
        <v>2012</v>
      </c>
    </row>
    <row r="29" spans="1:5" x14ac:dyDescent="0.3">
      <c r="A29" s="6" t="s">
        <v>106</v>
      </c>
      <c r="B29" s="6" t="s">
        <v>51</v>
      </c>
      <c r="C29" s="6" t="s">
        <v>14</v>
      </c>
      <c r="D29" s="6" t="s">
        <v>13</v>
      </c>
      <c r="E29" s="6" t="s">
        <v>140</v>
      </c>
    </row>
    <row r="30" spans="1:5" x14ac:dyDescent="0.3">
      <c r="A30" s="6" t="s">
        <v>98</v>
      </c>
      <c r="B30" s="6" t="s">
        <v>52</v>
      </c>
      <c r="C30" s="6" t="s">
        <v>12</v>
      </c>
      <c r="D30" s="6" t="s">
        <v>9</v>
      </c>
      <c r="E30" s="6" t="s">
        <v>10</v>
      </c>
    </row>
    <row r="31" spans="1:5" x14ac:dyDescent="0.3">
      <c r="A31" s="6" t="s">
        <v>102</v>
      </c>
      <c r="B31" s="6" t="s">
        <v>53</v>
      </c>
      <c r="C31" s="6" t="s">
        <v>16</v>
      </c>
      <c r="D31" s="6" t="s">
        <v>19</v>
      </c>
      <c r="E31" s="6">
        <v>2014</v>
      </c>
    </row>
    <row r="32" spans="1:5" x14ac:dyDescent="0.3">
      <c r="A32" s="6" t="s">
        <v>103</v>
      </c>
      <c r="B32" s="6" t="s">
        <v>54</v>
      </c>
      <c r="C32" s="6" t="s">
        <v>55</v>
      </c>
      <c r="D32" s="6" t="s">
        <v>47</v>
      </c>
      <c r="E32" s="6" t="s">
        <v>56</v>
      </c>
    </row>
    <row r="33" spans="1:5" x14ac:dyDescent="0.3">
      <c r="A33" s="6" t="s">
        <v>106</v>
      </c>
      <c r="B33" s="6" t="s">
        <v>57</v>
      </c>
      <c r="C33" s="6" t="s">
        <v>18</v>
      </c>
      <c r="D33" s="6" t="s">
        <v>13</v>
      </c>
      <c r="E33" s="6">
        <v>2012</v>
      </c>
    </row>
    <row r="34" spans="1:5" x14ac:dyDescent="0.3">
      <c r="A34" s="6" t="s">
        <v>100</v>
      </c>
      <c r="B34" s="6" t="s">
        <v>58</v>
      </c>
      <c r="C34" s="6" t="s">
        <v>18</v>
      </c>
      <c r="D34" s="6" t="s">
        <v>19</v>
      </c>
      <c r="E34" s="6">
        <v>2019</v>
      </c>
    </row>
    <row r="35" spans="1:5" x14ac:dyDescent="0.3">
      <c r="A35" s="6" t="s">
        <v>98</v>
      </c>
      <c r="B35" s="6" t="s">
        <v>59</v>
      </c>
      <c r="C35" s="6" t="s">
        <v>12</v>
      </c>
      <c r="D35" s="6" t="s">
        <v>9</v>
      </c>
      <c r="E35" s="6" t="s">
        <v>10</v>
      </c>
    </row>
    <row r="36" spans="1:5" x14ac:dyDescent="0.3">
      <c r="A36" s="6" t="s">
        <v>109</v>
      </c>
      <c r="B36" s="6" t="s">
        <v>60</v>
      </c>
      <c r="C36" s="6" t="s">
        <v>18</v>
      </c>
      <c r="D36" s="6" t="s">
        <v>19</v>
      </c>
      <c r="E36" s="6">
        <v>2020</v>
      </c>
    </row>
    <row r="37" spans="1:5" x14ac:dyDescent="0.3">
      <c r="A37" s="6" t="s">
        <v>102</v>
      </c>
      <c r="B37" s="6" t="s">
        <v>61</v>
      </c>
      <c r="C37" s="6" t="s">
        <v>62</v>
      </c>
      <c r="D37" s="6" t="s">
        <v>47</v>
      </c>
      <c r="E37" s="6" t="s">
        <v>63</v>
      </c>
    </row>
    <row r="38" spans="1:5" x14ac:dyDescent="0.3">
      <c r="A38" s="6" t="s">
        <v>108</v>
      </c>
      <c r="B38" s="6" t="s">
        <v>64</v>
      </c>
      <c r="C38" s="6" t="s">
        <v>18</v>
      </c>
      <c r="D38" s="6" t="s">
        <v>19</v>
      </c>
      <c r="E38" s="6">
        <v>2015</v>
      </c>
    </row>
    <row r="39" spans="1:5" x14ac:dyDescent="0.3">
      <c r="A39" s="6" t="s">
        <v>105</v>
      </c>
      <c r="B39" s="6" t="s">
        <v>65</v>
      </c>
      <c r="C39" s="6" t="s">
        <v>66</v>
      </c>
      <c r="D39" s="6" t="s">
        <v>36</v>
      </c>
      <c r="E39" s="6" t="s">
        <v>67</v>
      </c>
    </row>
    <row r="40" spans="1:5" x14ac:dyDescent="0.3">
      <c r="A40" s="6" t="s">
        <v>98</v>
      </c>
      <c r="B40" s="6" t="s">
        <v>68</v>
      </c>
      <c r="C40" s="6" t="s">
        <v>12</v>
      </c>
      <c r="D40" s="6" t="s">
        <v>9</v>
      </c>
      <c r="E40" s="6" t="s">
        <v>10</v>
      </c>
    </row>
    <row r="41" spans="1:5" x14ac:dyDescent="0.3">
      <c r="A41" s="6" t="s">
        <v>106</v>
      </c>
      <c r="B41" s="6" t="s">
        <v>69</v>
      </c>
      <c r="C41" s="6" t="s">
        <v>14</v>
      </c>
      <c r="D41" s="6" t="s">
        <v>13</v>
      </c>
      <c r="E41" s="6">
        <v>2011</v>
      </c>
    </row>
    <row r="42" spans="1:5" x14ac:dyDescent="0.3">
      <c r="A42" s="6" t="s">
        <v>102</v>
      </c>
      <c r="B42" s="6" t="s">
        <v>70</v>
      </c>
      <c r="C42" s="6" t="s">
        <v>16</v>
      </c>
      <c r="D42" s="6" t="s">
        <v>19</v>
      </c>
      <c r="E42" s="6">
        <v>2015</v>
      </c>
    </row>
    <row r="43" spans="1:5" x14ac:dyDescent="0.3">
      <c r="A43" s="6" t="s">
        <v>100</v>
      </c>
      <c r="B43" s="6" t="s">
        <v>71</v>
      </c>
      <c r="C43" s="6" t="s">
        <v>18</v>
      </c>
      <c r="D43" s="6" t="s">
        <v>19</v>
      </c>
      <c r="E43" s="6">
        <v>2019</v>
      </c>
    </row>
    <row r="44" spans="1:5" x14ac:dyDescent="0.3">
      <c r="A44" s="6" t="s">
        <v>106</v>
      </c>
      <c r="B44" s="6" t="s">
        <v>72</v>
      </c>
      <c r="C44" s="6" t="s">
        <v>73</v>
      </c>
      <c r="D44" s="6" t="s">
        <v>139</v>
      </c>
      <c r="E44" s="6" t="s">
        <v>146</v>
      </c>
    </row>
    <row r="45" spans="1:5" x14ac:dyDescent="0.3">
      <c r="A45" s="6" t="s">
        <v>97</v>
      </c>
      <c r="B45" s="6" t="s">
        <v>74</v>
      </c>
      <c r="C45" s="6" t="s">
        <v>14</v>
      </c>
      <c r="D45" s="6" t="s">
        <v>13</v>
      </c>
      <c r="E45" s="6">
        <v>2019</v>
      </c>
    </row>
    <row r="46" spans="1:5" x14ac:dyDescent="0.3">
      <c r="A46" s="6" t="s">
        <v>99</v>
      </c>
      <c r="B46" s="6" t="s">
        <v>75</v>
      </c>
      <c r="C46" s="6" t="s">
        <v>76</v>
      </c>
      <c r="D46" s="6" t="s">
        <v>9</v>
      </c>
      <c r="E46" s="6" t="s">
        <v>10</v>
      </c>
    </row>
    <row r="47" spans="1:5" x14ac:dyDescent="0.3">
      <c r="A47" s="6" t="s">
        <v>101</v>
      </c>
      <c r="B47" s="6" t="s">
        <v>77</v>
      </c>
      <c r="C47" s="6" t="s">
        <v>16</v>
      </c>
      <c r="D47" s="6" t="s">
        <v>13</v>
      </c>
      <c r="E47" s="6">
        <v>2010</v>
      </c>
    </row>
    <row r="48" spans="1:5" x14ac:dyDescent="0.3">
      <c r="A48" s="6" t="s">
        <v>101</v>
      </c>
      <c r="B48" s="6" t="s">
        <v>78</v>
      </c>
      <c r="C48" s="6" t="s">
        <v>16</v>
      </c>
      <c r="D48" s="6" t="s">
        <v>13</v>
      </c>
      <c r="E48" s="6">
        <v>2015</v>
      </c>
    </row>
    <row r="49" spans="1:5" x14ac:dyDescent="0.3">
      <c r="A49" s="6" t="s">
        <v>102</v>
      </c>
      <c r="B49" s="6" t="s">
        <v>79</v>
      </c>
      <c r="C49" s="6" t="s">
        <v>8</v>
      </c>
      <c r="D49" s="6" t="s">
        <v>13</v>
      </c>
      <c r="E49" s="6">
        <v>2015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46A9-F93D-4862-B281-7C2DD36D1010}">
  <dimension ref="A1:F510"/>
  <sheetViews>
    <sheetView topLeftCell="A2" workbookViewId="0">
      <selection activeCell="B29" sqref="B29"/>
    </sheetView>
  </sheetViews>
  <sheetFormatPr defaultRowHeight="13.8" x14ac:dyDescent="0.3"/>
  <cols>
    <col min="1" max="1" width="9.77734375" bestFit="1" customWidth="1"/>
    <col min="2" max="2" width="32" bestFit="1" customWidth="1"/>
    <col min="3" max="3" width="7.5546875" bestFit="1" customWidth="1"/>
    <col min="4" max="4" width="11.44140625" bestFit="1" customWidth="1"/>
    <col min="5" max="5" width="13" bestFit="1" customWidth="1"/>
    <col min="6" max="6" width="16.88671875" bestFit="1" customWidth="1"/>
  </cols>
  <sheetData>
    <row r="1" spans="1:6" x14ac:dyDescent="0.3">
      <c r="A1" t="s">
        <v>169</v>
      </c>
      <c r="B1" t="s">
        <v>170</v>
      </c>
      <c r="C1" t="s">
        <v>171</v>
      </c>
      <c r="D1" t="s">
        <v>172</v>
      </c>
      <c r="E1" t="s">
        <v>173</v>
      </c>
      <c r="F1" t="s">
        <v>174</v>
      </c>
    </row>
    <row r="2" spans="1:6" x14ac:dyDescent="0.3">
      <c r="A2" t="s">
        <v>175</v>
      </c>
      <c r="B2" t="s">
        <v>176</v>
      </c>
      <c r="C2" t="s">
        <v>177</v>
      </c>
      <c r="D2" t="s">
        <v>178</v>
      </c>
      <c r="E2">
        <v>311107.99755999999</v>
      </c>
      <c r="F2">
        <v>299952.18202096928</v>
      </c>
    </row>
    <row r="3" spans="1:6" x14ac:dyDescent="0.3">
      <c r="A3" t="s">
        <v>179</v>
      </c>
      <c r="B3" t="s">
        <v>180</v>
      </c>
      <c r="C3" t="s">
        <v>181</v>
      </c>
      <c r="D3" t="s">
        <v>178</v>
      </c>
      <c r="E3">
        <v>635373.73892000201</v>
      </c>
      <c r="F3">
        <v>719696.66580745787</v>
      </c>
    </row>
    <row r="4" spans="1:6" x14ac:dyDescent="0.3">
      <c r="A4" t="s">
        <v>182</v>
      </c>
      <c r="B4" t="s">
        <v>183</v>
      </c>
      <c r="C4" t="s">
        <v>184</v>
      </c>
      <c r="D4" t="s">
        <v>178</v>
      </c>
      <c r="E4">
        <v>415570.33059999999</v>
      </c>
      <c r="F4">
        <v>243446.71169614088</v>
      </c>
    </row>
    <row r="5" spans="1:6" x14ac:dyDescent="0.3">
      <c r="A5" t="s">
        <v>185</v>
      </c>
      <c r="B5" t="s">
        <v>186</v>
      </c>
      <c r="C5" t="s">
        <v>187</v>
      </c>
      <c r="D5" t="s">
        <v>188</v>
      </c>
      <c r="E5">
        <v>179891.02660000001</v>
      </c>
      <c r="F5">
        <v>170555.16113835917</v>
      </c>
    </row>
    <row r="6" spans="1:6" x14ac:dyDescent="0.3">
      <c r="A6" t="s">
        <v>189</v>
      </c>
      <c r="B6" t="s">
        <v>190</v>
      </c>
      <c r="C6" t="s">
        <v>191</v>
      </c>
      <c r="D6" t="s">
        <v>192</v>
      </c>
      <c r="E6">
        <v>278879.44345000002</v>
      </c>
      <c r="F6">
        <v>207947.03246995984</v>
      </c>
    </row>
    <row r="7" spans="1:6" x14ac:dyDescent="0.3">
      <c r="A7" t="s">
        <v>193</v>
      </c>
      <c r="B7" t="s">
        <v>194</v>
      </c>
      <c r="C7" t="s">
        <v>195</v>
      </c>
      <c r="D7" t="s">
        <v>196</v>
      </c>
      <c r="E7">
        <v>990180.31640000071</v>
      </c>
      <c r="F7">
        <v>922250.78256583051</v>
      </c>
    </row>
    <row r="8" spans="1:6" x14ac:dyDescent="0.3">
      <c r="A8" t="s">
        <v>197</v>
      </c>
      <c r="B8" t="s">
        <v>198</v>
      </c>
      <c r="C8" t="s">
        <v>199</v>
      </c>
      <c r="D8" t="s">
        <v>196</v>
      </c>
      <c r="E8">
        <v>297108.8456</v>
      </c>
      <c r="F8">
        <v>251627.43719344356</v>
      </c>
    </row>
    <row r="9" spans="1:6" x14ac:dyDescent="0.3">
      <c r="A9" t="s">
        <v>200</v>
      </c>
      <c r="B9" t="s">
        <v>201</v>
      </c>
      <c r="C9" t="s">
        <v>202</v>
      </c>
      <c r="D9" t="s">
        <v>196</v>
      </c>
      <c r="E9">
        <v>117322.58480000004</v>
      </c>
      <c r="F9">
        <v>106007.3276090193</v>
      </c>
    </row>
    <row r="10" spans="1:6" x14ac:dyDescent="0.3">
      <c r="A10" t="s">
        <v>203</v>
      </c>
      <c r="B10" t="s">
        <v>204</v>
      </c>
      <c r="C10" t="s">
        <v>205</v>
      </c>
      <c r="D10" t="s">
        <v>178</v>
      </c>
      <c r="E10">
        <v>177808.21299999999</v>
      </c>
      <c r="F10">
        <v>139129.59664392925</v>
      </c>
    </row>
    <row r="11" spans="1:6" x14ac:dyDescent="0.3">
      <c r="A11" t="s">
        <v>206</v>
      </c>
      <c r="B11" t="s">
        <v>207</v>
      </c>
      <c r="C11" t="s">
        <v>208</v>
      </c>
      <c r="D11" t="s">
        <v>209</v>
      </c>
      <c r="E11">
        <v>109711.66784000001</v>
      </c>
      <c r="F11">
        <v>103382.05747238145</v>
      </c>
    </row>
    <row r="12" spans="1:6" x14ac:dyDescent="0.3">
      <c r="A12" t="s">
        <v>210</v>
      </c>
      <c r="B12" t="s">
        <v>211</v>
      </c>
      <c r="C12" t="s">
        <v>212</v>
      </c>
      <c r="D12" t="s">
        <v>213</v>
      </c>
      <c r="E12">
        <v>280907.9192</v>
      </c>
      <c r="F12">
        <v>216361.69195755234</v>
      </c>
    </row>
    <row r="13" spans="1:6" x14ac:dyDescent="0.3">
      <c r="A13" t="s">
        <v>214</v>
      </c>
      <c r="B13" t="s">
        <v>215</v>
      </c>
      <c r="C13" t="s">
        <v>216</v>
      </c>
      <c r="D13" t="s">
        <v>178</v>
      </c>
      <c r="E13">
        <v>435153.64087999985</v>
      </c>
      <c r="F13">
        <v>294345.8119470657</v>
      </c>
    </row>
    <row r="14" spans="1:6" x14ac:dyDescent="0.3">
      <c r="A14" t="s">
        <v>217</v>
      </c>
      <c r="B14" t="s">
        <v>218</v>
      </c>
      <c r="C14" t="s">
        <v>219</v>
      </c>
      <c r="D14" t="s">
        <v>178</v>
      </c>
      <c r="E14">
        <v>455678.118632</v>
      </c>
      <c r="F14">
        <v>358029.56929384539</v>
      </c>
    </row>
    <row r="15" spans="1:6" x14ac:dyDescent="0.3">
      <c r="A15" t="s">
        <v>220</v>
      </c>
      <c r="B15" t="s">
        <v>221</v>
      </c>
      <c r="C15" t="s">
        <v>222</v>
      </c>
      <c r="D15" t="s">
        <v>223</v>
      </c>
      <c r="E15">
        <v>233202.67819999994</v>
      </c>
      <c r="F15">
        <v>206665.88252205087</v>
      </c>
    </row>
    <row r="16" spans="1:6" x14ac:dyDescent="0.3">
      <c r="A16" t="s">
        <v>224</v>
      </c>
      <c r="B16" t="s">
        <v>225</v>
      </c>
      <c r="C16" t="s">
        <v>226</v>
      </c>
      <c r="D16" t="s">
        <v>223</v>
      </c>
      <c r="E16">
        <v>518320.51119999989</v>
      </c>
      <c r="F16">
        <v>271987.9122688605</v>
      </c>
    </row>
    <row r="17" spans="1:6" x14ac:dyDescent="0.3">
      <c r="A17" t="s">
        <v>227</v>
      </c>
      <c r="B17" t="s">
        <v>228</v>
      </c>
      <c r="C17" t="s">
        <v>229</v>
      </c>
      <c r="D17" t="s">
        <v>209</v>
      </c>
      <c r="E17">
        <v>208186.56940799995</v>
      </c>
      <c r="F17">
        <v>129107.98104610515</v>
      </c>
    </row>
    <row r="18" spans="1:6" x14ac:dyDescent="0.3">
      <c r="A18" t="s">
        <v>230</v>
      </c>
      <c r="B18" t="s">
        <v>231</v>
      </c>
      <c r="C18" t="s">
        <v>81</v>
      </c>
      <c r="D18" t="s">
        <v>232</v>
      </c>
      <c r="E18">
        <v>110594.489</v>
      </c>
      <c r="F18">
        <v>78240.964178053095</v>
      </c>
    </row>
    <row r="19" spans="1:6" x14ac:dyDescent="0.3">
      <c r="A19" t="s">
        <v>233</v>
      </c>
      <c r="B19" t="s">
        <v>234</v>
      </c>
      <c r="C19" t="s">
        <v>235</v>
      </c>
      <c r="D19" t="s">
        <v>236</v>
      </c>
      <c r="E19">
        <v>135764.96</v>
      </c>
      <c r="F19">
        <v>116739.31775076888</v>
      </c>
    </row>
    <row r="20" spans="1:6" x14ac:dyDescent="0.3">
      <c r="A20" t="s">
        <v>237</v>
      </c>
      <c r="B20" t="s">
        <v>238</v>
      </c>
      <c r="C20" t="s">
        <v>239</v>
      </c>
      <c r="D20" t="s">
        <v>240</v>
      </c>
      <c r="E20">
        <v>247751.01675999997</v>
      </c>
      <c r="F20">
        <v>176870.38702765526</v>
      </c>
    </row>
    <row r="21" spans="1:6" x14ac:dyDescent="0.3">
      <c r="A21" t="s">
        <v>241</v>
      </c>
      <c r="B21" t="s">
        <v>242</v>
      </c>
      <c r="C21" t="s">
        <v>243</v>
      </c>
      <c r="D21" t="s">
        <v>244</v>
      </c>
      <c r="E21">
        <v>134235.48535800001</v>
      </c>
      <c r="F21">
        <v>78169.674803625239</v>
      </c>
    </row>
    <row r="22" spans="1:6" x14ac:dyDescent="0.3">
      <c r="A22" t="s">
        <v>245</v>
      </c>
      <c r="B22" t="s">
        <v>35</v>
      </c>
      <c r="C22" t="s">
        <v>85</v>
      </c>
      <c r="D22" t="s">
        <v>232</v>
      </c>
      <c r="E22">
        <v>265372.02880000015</v>
      </c>
      <c r="F22">
        <v>171703.4978070069</v>
      </c>
    </row>
    <row r="23" spans="1:6" x14ac:dyDescent="0.3">
      <c r="A23" t="s">
        <v>246</v>
      </c>
      <c r="B23" t="s">
        <v>247</v>
      </c>
      <c r="C23" t="s">
        <v>248</v>
      </c>
      <c r="D23" t="s">
        <v>178</v>
      </c>
      <c r="E23">
        <v>379028.75964</v>
      </c>
      <c r="F23">
        <v>250456.51278692993</v>
      </c>
    </row>
    <row r="24" spans="1:6" x14ac:dyDescent="0.3">
      <c r="A24" t="s">
        <v>249</v>
      </c>
      <c r="B24" t="s">
        <v>250</v>
      </c>
      <c r="C24" t="s">
        <v>195</v>
      </c>
      <c r="D24" t="s">
        <v>196</v>
      </c>
      <c r="E24">
        <v>472887.98360000027</v>
      </c>
      <c r="F24">
        <v>374630.43174045492</v>
      </c>
    </row>
    <row r="25" spans="1:6" x14ac:dyDescent="0.3">
      <c r="A25" t="s">
        <v>251</v>
      </c>
      <c r="B25" t="s">
        <v>252</v>
      </c>
      <c r="C25" t="s">
        <v>253</v>
      </c>
      <c r="D25" t="s">
        <v>244</v>
      </c>
      <c r="E25">
        <v>121962.58896000001</v>
      </c>
      <c r="F25">
        <v>68058.515964377395</v>
      </c>
    </row>
    <row r="26" spans="1:6" x14ac:dyDescent="0.3">
      <c r="A26" t="s">
        <v>254</v>
      </c>
      <c r="B26" t="s">
        <v>255</v>
      </c>
      <c r="C26" t="s">
        <v>256</v>
      </c>
      <c r="D26" t="s">
        <v>257</v>
      </c>
      <c r="E26">
        <v>181034.04373999996</v>
      </c>
      <c r="F26">
        <v>134334.17231515035</v>
      </c>
    </row>
    <row r="27" spans="1:6" x14ac:dyDescent="0.3">
      <c r="A27" t="s">
        <v>258</v>
      </c>
      <c r="B27" t="s">
        <v>259</v>
      </c>
      <c r="C27" t="s">
        <v>260</v>
      </c>
      <c r="D27" t="s">
        <v>261</v>
      </c>
      <c r="E27">
        <v>302077.11253699992</v>
      </c>
      <c r="F27">
        <v>299214.55049354507</v>
      </c>
    </row>
    <row r="28" spans="1:6" x14ac:dyDescent="0.3">
      <c r="A28" t="s">
        <v>262</v>
      </c>
      <c r="B28" t="s">
        <v>263</v>
      </c>
      <c r="C28" t="s">
        <v>264</v>
      </c>
      <c r="D28" t="s">
        <v>192</v>
      </c>
      <c r="E28">
        <v>628856.63440000033</v>
      </c>
      <c r="F28">
        <v>384925.19158707111</v>
      </c>
    </row>
    <row r="29" spans="1:6" x14ac:dyDescent="0.3">
      <c r="A29" t="s">
        <v>265</v>
      </c>
      <c r="B29" t="s">
        <v>59</v>
      </c>
      <c r="C29" t="s">
        <v>81</v>
      </c>
      <c r="D29" t="s">
        <v>232</v>
      </c>
      <c r="E29">
        <v>26171</v>
      </c>
      <c r="F29">
        <v>13791.290165725788</v>
      </c>
    </row>
    <row r="30" spans="1:6" x14ac:dyDescent="0.3">
      <c r="A30" t="s">
        <v>266</v>
      </c>
      <c r="B30" t="s">
        <v>267</v>
      </c>
      <c r="C30" t="s">
        <v>268</v>
      </c>
      <c r="D30" t="s">
        <v>223</v>
      </c>
      <c r="E30">
        <v>472110.80240000004</v>
      </c>
      <c r="F30">
        <v>383793.73754244501</v>
      </c>
    </row>
    <row r="31" spans="1:6" x14ac:dyDescent="0.3">
      <c r="A31" t="s">
        <v>269</v>
      </c>
      <c r="B31" t="s">
        <v>270</v>
      </c>
      <c r="C31" t="s">
        <v>271</v>
      </c>
      <c r="D31" t="s">
        <v>178</v>
      </c>
      <c r="E31">
        <v>129825.49103999999</v>
      </c>
      <c r="F31">
        <v>116722.09984935288</v>
      </c>
    </row>
    <row r="32" spans="1:6" x14ac:dyDescent="0.3">
      <c r="A32" t="s">
        <v>272</v>
      </c>
      <c r="B32" t="s">
        <v>273</v>
      </c>
      <c r="C32" t="s">
        <v>274</v>
      </c>
      <c r="D32" t="s">
        <v>196</v>
      </c>
      <c r="E32">
        <v>145988.54680000007</v>
      </c>
      <c r="F32">
        <v>86998.756370956311</v>
      </c>
    </row>
    <row r="33" spans="1:6" x14ac:dyDescent="0.3">
      <c r="A33" t="s">
        <v>275</v>
      </c>
      <c r="B33" t="s">
        <v>276</v>
      </c>
      <c r="C33" t="s">
        <v>277</v>
      </c>
      <c r="D33" t="s">
        <v>244</v>
      </c>
      <c r="E33">
        <v>24089.796000000006</v>
      </c>
      <c r="F33">
        <v>14696.344309882246</v>
      </c>
    </row>
    <row r="34" spans="1:6" x14ac:dyDescent="0.3">
      <c r="A34" t="s">
        <v>278</v>
      </c>
      <c r="B34" t="s">
        <v>279</v>
      </c>
      <c r="C34" t="s">
        <v>280</v>
      </c>
      <c r="D34" t="s">
        <v>257</v>
      </c>
      <c r="E34">
        <v>302399.20839999994</v>
      </c>
      <c r="F34">
        <v>188814.39148884628</v>
      </c>
    </row>
    <row r="35" spans="1:6" x14ac:dyDescent="0.3">
      <c r="A35" t="s">
        <v>281</v>
      </c>
      <c r="B35" t="s">
        <v>282</v>
      </c>
      <c r="C35" t="s">
        <v>280</v>
      </c>
      <c r="D35" t="s">
        <v>257</v>
      </c>
      <c r="E35">
        <v>358477.25760000007</v>
      </c>
      <c r="F35">
        <v>299322.08457904385</v>
      </c>
    </row>
    <row r="36" spans="1:6" x14ac:dyDescent="0.3">
      <c r="A36" t="s">
        <v>283</v>
      </c>
      <c r="B36" t="s">
        <v>284</v>
      </c>
      <c r="C36" t="s">
        <v>285</v>
      </c>
      <c r="D36" t="s">
        <v>196</v>
      </c>
      <c r="E36">
        <v>368515.20959199982</v>
      </c>
      <c r="F36">
        <v>258714.20529323063</v>
      </c>
    </row>
    <row r="37" spans="1:6" x14ac:dyDescent="0.3">
      <c r="A37" t="s">
        <v>286</v>
      </c>
      <c r="B37" t="s">
        <v>287</v>
      </c>
      <c r="C37" t="s">
        <v>288</v>
      </c>
      <c r="D37" t="s">
        <v>261</v>
      </c>
      <c r="E37">
        <v>1091377.9556110003</v>
      </c>
      <c r="F37">
        <v>679068.20538099098</v>
      </c>
    </row>
    <row r="38" spans="1:6" x14ac:dyDescent="0.3">
      <c r="A38" t="s">
        <v>289</v>
      </c>
      <c r="B38" t="s">
        <v>290</v>
      </c>
      <c r="C38" t="s">
        <v>291</v>
      </c>
      <c r="D38" t="s">
        <v>261</v>
      </c>
      <c r="E38">
        <v>124766.98139999999</v>
      </c>
      <c r="F38">
        <v>122719.35095215803</v>
      </c>
    </row>
    <row r="39" spans="1:6" x14ac:dyDescent="0.3">
      <c r="A39" t="s">
        <v>292</v>
      </c>
      <c r="B39" t="s">
        <v>293</v>
      </c>
      <c r="C39" t="s">
        <v>294</v>
      </c>
      <c r="D39" t="s">
        <v>295</v>
      </c>
      <c r="E39">
        <v>248405.95768799999</v>
      </c>
      <c r="F39">
        <v>256827.46553023352</v>
      </c>
    </row>
    <row r="40" spans="1:6" x14ac:dyDescent="0.3">
      <c r="A40" t="s">
        <v>296</v>
      </c>
      <c r="B40" t="s">
        <v>54</v>
      </c>
      <c r="C40" t="s">
        <v>89</v>
      </c>
      <c r="D40" t="s">
        <v>232</v>
      </c>
      <c r="E40">
        <v>24587</v>
      </c>
      <c r="F40">
        <v>6656.7476169818319</v>
      </c>
    </row>
    <row r="41" spans="1:6" x14ac:dyDescent="0.3">
      <c r="A41" t="s">
        <v>297</v>
      </c>
      <c r="B41" t="s">
        <v>298</v>
      </c>
      <c r="C41" t="s">
        <v>299</v>
      </c>
      <c r="D41" t="s">
        <v>295</v>
      </c>
      <c r="E41">
        <v>245656.47639999996</v>
      </c>
      <c r="F41">
        <v>203392.81774555543</v>
      </c>
    </row>
    <row r="42" spans="1:6" x14ac:dyDescent="0.3">
      <c r="A42" t="s">
        <v>300</v>
      </c>
      <c r="B42" t="s">
        <v>301</v>
      </c>
      <c r="C42" t="s">
        <v>302</v>
      </c>
      <c r="D42" t="s">
        <v>303</v>
      </c>
      <c r="E42">
        <v>217381.6</v>
      </c>
      <c r="F42">
        <v>147661.84188690508</v>
      </c>
    </row>
    <row r="43" spans="1:6" x14ac:dyDescent="0.3">
      <c r="A43" t="s">
        <v>300</v>
      </c>
      <c r="B43" t="s">
        <v>304</v>
      </c>
      <c r="C43" t="s">
        <v>302</v>
      </c>
      <c r="D43" t="s">
        <v>303</v>
      </c>
      <c r="E43">
        <v>212929.24634400028</v>
      </c>
      <c r="F43">
        <v>148067.00306407036</v>
      </c>
    </row>
    <row r="44" spans="1:6" x14ac:dyDescent="0.3">
      <c r="A44" t="s">
        <v>305</v>
      </c>
      <c r="B44" t="s">
        <v>306</v>
      </c>
      <c r="C44" t="s">
        <v>307</v>
      </c>
      <c r="D44" t="s">
        <v>261</v>
      </c>
      <c r="E44">
        <v>201449.92681700006</v>
      </c>
      <c r="F44">
        <v>133819.13727376392</v>
      </c>
    </row>
    <row r="45" spans="1:6" x14ac:dyDescent="0.3">
      <c r="A45" t="s">
        <v>308</v>
      </c>
      <c r="B45" t="s">
        <v>309</v>
      </c>
      <c r="C45" t="s">
        <v>280</v>
      </c>
      <c r="D45" t="s">
        <v>257</v>
      </c>
      <c r="E45">
        <v>232567.28399999996</v>
      </c>
      <c r="F45">
        <v>168272.00756301126</v>
      </c>
    </row>
    <row r="46" spans="1:6" x14ac:dyDescent="0.3">
      <c r="A46" t="s">
        <v>310</v>
      </c>
      <c r="B46" t="s">
        <v>311</v>
      </c>
      <c r="C46" t="s">
        <v>312</v>
      </c>
      <c r="D46" t="s">
        <v>240</v>
      </c>
      <c r="E46">
        <v>66932.781000000003</v>
      </c>
      <c r="F46">
        <v>42472.63846393914</v>
      </c>
    </row>
    <row r="47" spans="1:6" x14ac:dyDescent="0.3">
      <c r="A47" t="s">
        <v>313</v>
      </c>
      <c r="B47" t="s">
        <v>314</v>
      </c>
      <c r="C47" t="s">
        <v>315</v>
      </c>
      <c r="D47" t="s">
        <v>209</v>
      </c>
      <c r="E47">
        <v>163340.18000000002</v>
      </c>
      <c r="F47">
        <v>116799.85245312282</v>
      </c>
    </row>
    <row r="48" spans="1:6" x14ac:dyDescent="0.3">
      <c r="A48" t="s">
        <v>316</v>
      </c>
      <c r="B48" t="s">
        <v>317</v>
      </c>
      <c r="C48" t="s">
        <v>315</v>
      </c>
      <c r="D48" t="s">
        <v>209</v>
      </c>
      <c r="E48">
        <v>484930.80560000008</v>
      </c>
      <c r="F48">
        <v>478826.31951177656</v>
      </c>
    </row>
    <row r="49" spans="1:6" x14ac:dyDescent="0.3">
      <c r="A49" t="s">
        <v>318</v>
      </c>
      <c r="B49" t="s">
        <v>319</v>
      </c>
      <c r="C49" t="s">
        <v>320</v>
      </c>
      <c r="D49" t="s">
        <v>236</v>
      </c>
      <c r="E49">
        <v>77919.524640000003</v>
      </c>
      <c r="F49">
        <v>81245.659040627987</v>
      </c>
    </row>
    <row r="50" spans="1:6" x14ac:dyDescent="0.3">
      <c r="A50" t="s">
        <v>321</v>
      </c>
      <c r="B50" t="s">
        <v>322</v>
      </c>
      <c r="C50" t="s">
        <v>323</v>
      </c>
      <c r="D50" t="s">
        <v>223</v>
      </c>
      <c r="E50">
        <v>209401.56206400003</v>
      </c>
      <c r="F50">
        <v>169157.16679367761</v>
      </c>
    </row>
    <row r="51" spans="1:6" x14ac:dyDescent="0.3">
      <c r="A51" t="s">
        <v>324</v>
      </c>
      <c r="B51" t="s">
        <v>325</v>
      </c>
      <c r="C51" t="s">
        <v>326</v>
      </c>
      <c r="D51" t="s">
        <v>244</v>
      </c>
      <c r="E51">
        <v>351474.02238400001</v>
      </c>
      <c r="F51">
        <v>314771.38450132147</v>
      </c>
    </row>
    <row r="52" spans="1:6" x14ac:dyDescent="0.3">
      <c r="A52" t="s">
        <v>327</v>
      </c>
      <c r="B52" t="s">
        <v>328</v>
      </c>
      <c r="C52" t="s">
        <v>329</v>
      </c>
      <c r="D52" t="s">
        <v>213</v>
      </c>
      <c r="E52">
        <v>153115.41800000001</v>
      </c>
      <c r="F52">
        <v>78209.726224762868</v>
      </c>
    </row>
    <row r="53" spans="1:6" x14ac:dyDescent="0.3">
      <c r="A53" t="s">
        <v>330</v>
      </c>
      <c r="B53" t="s">
        <v>331</v>
      </c>
      <c r="C53" t="s">
        <v>195</v>
      </c>
      <c r="D53" t="s">
        <v>196</v>
      </c>
      <c r="E53">
        <v>410391.90960000001</v>
      </c>
      <c r="F53">
        <v>395648.50225659338</v>
      </c>
    </row>
    <row r="54" spans="1:6" x14ac:dyDescent="0.3">
      <c r="A54" t="s">
        <v>332</v>
      </c>
      <c r="B54" t="s">
        <v>333</v>
      </c>
      <c r="C54" t="s">
        <v>334</v>
      </c>
      <c r="D54" t="s">
        <v>223</v>
      </c>
      <c r="E54">
        <v>83785.708000000013</v>
      </c>
      <c r="F54">
        <v>60476.297468779398</v>
      </c>
    </row>
    <row r="55" spans="1:6" x14ac:dyDescent="0.3">
      <c r="A55" t="s">
        <v>335</v>
      </c>
      <c r="B55" t="s">
        <v>24</v>
      </c>
      <c r="C55" t="s">
        <v>87</v>
      </c>
      <c r="D55" t="s">
        <v>232</v>
      </c>
      <c r="E55">
        <v>104066.15040000004</v>
      </c>
      <c r="F55">
        <v>91629.307316704435</v>
      </c>
    </row>
    <row r="56" spans="1:6" x14ac:dyDescent="0.3">
      <c r="A56" t="s">
        <v>336</v>
      </c>
      <c r="B56" t="s">
        <v>337</v>
      </c>
      <c r="C56" t="s">
        <v>338</v>
      </c>
      <c r="D56" t="s">
        <v>244</v>
      </c>
      <c r="E56">
        <v>49969.776871999995</v>
      </c>
      <c r="F56">
        <v>46550.266546272869</v>
      </c>
    </row>
    <row r="57" spans="1:6" x14ac:dyDescent="0.3">
      <c r="A57" t="s">
        <v>339</v>
      </c>
      <c r="B57" t="s">
        <v>340</v>
      </c>
      <c r="C57" t="s">
        <v>341</v>
      </c>
      <c r="D57" t="s">
        <v>342</v>
      </c>
      <c r="E57">
        <v>89055.219600000026</v>
      </c>
      <c r="F57">
        <v>50202.211446671477</v>
      </c>
    </row>
    <row r="58" spans="1:6" x14ac:dyDescent="0.3">
      <c r="A58" t="s">
        <v>343</v>
      </c>
      <c r="B58" t="s">
        <v>344</v>
      </c>
      <c r="C58" t="s">
        <v>280</v>
      </c>
      <c r="D58" t="s">
        <v>257</v>
      </c>
      <c r="E58">
        <v>219168.80959999998</v>
      </c>
      <c r="F58">
        <v>185383.83704908498</v>
      </c>
    </row>
    <row r="59" spans="1:6" x14ac:dyDescent="0.3">
      <c r="A59" t="s">
        <v>345</v>
      </c>
      <c r="B59" t="s">
        <v>346</v>
      </c>
      <c r="C59" t="s">
        <v>81</v>
      </c>
      <c r="D59" t="s">
        <v>232</v>
      </c>
      <c r="E59">
        <v>146345.40696000005</v>
      </c>
      <c r="F59">
        <v>27180.821150192936</v>
      </c>
    </row>
    <row r="60" spans="1:6" x14ac:dyDescent="0.3">
      <c r="A60" t="s">
        <v>347</v>
      </c>
      <c r="B60" t="s">
        <v>348</v>
      </c>
      <c r="C60" t="s">
        <v>349</v>
      </c>
      <c r="D60" t="s">
        <v>178</v>
      </c>
      <c r="E60">
        <v>389163.93731199997</v>
      </c>
      <c r="F60">
        <v>356263.77207754587</v>
      </c>
    </row>
    <row r="61" spans="1:6" x14ac:dyDescent="0.3">
      <c r="A61" t="s">
        <v>350</v>
      </c>
      <c r="B61" t="s">
        <v>351</v>
      </c>
      <c r="C61" t="s">
        <v>352</v>
      </c>
      <c r="D61" t="s">
        <v>261</v>
      </c>
      <c r="E61">
        <v>71959.671495000002</v>
      </c>
      <c r="F61">
        <v>63132.644712831279</v>
      </c>
    </row>
    <row r="62" spans="1:6" x14ac:dyDescent="0.3">
      <c r="A62" t="s">
        <v>353</v>
      </c>
      <c r="B62" t="s">
        <v>354</v>
      </c>
      <c r="C62" t="s">
        <v>355</v>
      </c>
      <c r="D62" t="s">
        <v>196</v>
      </c>
      <c r="E62">
        <v>560006.3208000001</v>
      </c>
      <c r="F62">
        <v>308008.97337013035</v>
      </c>
    </row>
    <row r="63" spans="1:6" x14ac:dyDescent="0.3">
      <c r="A63" t="s">
        <v>356</v>
      </c>
      <c r="B63" t="s">
        <v>357</v>
      </c>
      <c r="C63" t="s">
        <v>358</v>
      </c>
      <c r="D63" t="s">
        <v>240</v>
      </c>
      <c r="E63">
        <v>236409.28759999998</v>
      </c>
      <c r="F63">
        <v>121823.23467530844</v>
      </c>
    </row>
    <row r="64" spans="1:6" x14ac:dyDescent="0.3">
      <c r="A64" t="s">
        <v>359</v>
      </c>
      <c r="B64" t="s">
        <v>360</v>
      </c>
      <c r="C64" t="s">
        <v>208</v>
      </c>
      <c r="D64" t="s">
        <v>209</v>
      </c>
      <c r="E64">
        <v>120426.47399999999</v>
      </c>
      <c r="F64">
        <v>104548.78422973622</v>
      </c>
    </row>
    <row r="65" spans="1:6" x14ac:dyDescent="0.3">
      <c r="A65" t="s">
        <v>361</v>
      </c>
      <c r="B65" t="s">
        <v>362</v>
      </c>
      <c r="C65" t="s">
        <v>302</v>
      </c>
      <c r="D65" t="s">
        <v>303</v>
      </c>
      <c r="E65">
        <v>132098.01760000011</v>
      </c>
      <c r="F65">
        <v>124248.06498981222</v>
      </c>
    </row>
    <row r="66" spans="1:6" x14ac:dyDescent="0.3">
      <c r="A66" t="s">
        <v>363</v>
      </c>
      <c r="B66" t="s">
        <v>364</v>
      </c>
      <c r="C66" t="s">
        <v>365</v>
      </c>
      <c r="D66" t="s">
        <v>223</v>
      </c>
      <c r="E66">
        <v>108419.88079999997</v>
      </c>
      <c r="F66">
        <v>104675.11425995246</v>
      </c>
    </row>
    <row r="67" spans="1:6" x14ac:dyDescent="0.3">
      <c r="A67" t="s">
        <v>366</v>
      </c>
      <c r="B67" t="s">
        <v>7</v>
      </c>
      <c r="C67" t="s">
        <v>80</v>
      </c>
      <c r="D67" t="s">
        <v>232</v>
      </c>
      <c r="E67">
        <v>182068.2471119999</v>
      </c>
      <c r="F67">
        <v>151594.20238356592</v>
      </c>
    </row>
    <row r="68" spans="1:6" x14ac:dyDescent="0.3">
      <c r="A68" t="s">
        <v>367</v>
      </c>
      <c r="B68" t="s">
        <v>368</v>
      </c>
      <c r="C68" t="s">
        <v>280</v>
      </c>
      <c r="D68" t="s">
        <v>257</v>
      </c>
      <c r="E68">
        <v>256730.80100000004</v>
      </c>
      <c r="F68">
        <v>239707.22269284367</v>
      </c>
    </row>
    <row r="69" spans="1:6" x14ac:dyDescent="0.3">
      <c r="A69" t="s">
        <v>369</v>
      </c>
      <c r="B69" t="s">
        <v>370</v>
      </c>
      <c r="C69" t="s">
        <v>371</v>
      </c>
      <c r="D69" t="s">
        <v>178</v>
      </c>
      <c r="E69">
        <v>53388.256199999996</v>
      </c>
      <c r="F69">
        <v>41865.099182436636</v>
      </c>
    </row>
    <row r="70" spans="1:6" x14ac:dyDescent="0.3">
      <c r="A70" t="s">
        <v>372</v>
      </c>
      <c r="B70" t="s">
        <v>373</v>
      </c>
      <c r="C70" t="s">
        <v>374</v>
      </c>
      <c r="D70" t="s">
        <v>303</v>
      </c>
      <c r="E70">
        <v>98254.372000000003</v>
      </c>
      <c r="F70">
        <v>85850.214604634268</v>
      </c>
    </row>
    <row r="71" spans="1:6" x14ac:dyDescent="0.3">
      <c r="A71" t="s">
        <v>375</v>
      </c>
      <c r="B71" t="s">
        <v>376</v>
      </c>
      <c r="C71" t="s">
        <v>84</v>
      </c>
      <c r="D71" t="s">
        <v>232</v>
      </c>
      <c r="E71">
        <v>124096</v>
      </c>
      <c r="F71">
        <v>66505.479668462925</v>
      </c>
    </row>
    <row r="72" spans="1:6" x14ac:dyDescent="0.3">
      <c r="A72" t="s">
        <v>377</v>
      </c>
      <c r="B72" t="s">
        <v>41</v>
      </c>
      <c r="C72" t="s">
        <v>84</v>
      </c>
      <c r="D72" t="s">
        <v>232</v>
      </c>
      <c r="E72">
        <v>178534</v>
      </c>
      <c r="F72">
        <v>79369.259316286232</v>
      </c>
    </row>
    <row r="73" spans="1:6" x14ac:dyDescent="0.3">
      <c r="A73" t="s">
        <v>378</v>
      </c>
      <c r="B73" t="s">
        <v>379</v>
      </c>
      <c r="C73" t="s">
        <v>380</v>
      </c>
      <c r="D73" t="s">
        <v>196</v>
      </c>
      <c r="E73">
        <v>260889.96064999999</v>
      </c>
      <c r="F73">
        <v>182964.05692336464</v>
      </c>
    </row>
    <row r="74" spans="1:6" x14ac:dyDescent="0.3">
      <c r="A74" t="s">
        <v>381</v>
      </c>
      <c r="B74" t="s">
        <v>382</v>
      </c>
      <c r="C74" t="s">
        <v>374</v>
      </c>
      <c r="D74" t="s">
        <v>303</v>
      </c>
      <c r="E74">
        <v>528658.50791999965</v>
      </c>
      <c r="F74">
        <v>328827.58661405888</v>
      </c>
    </row>
    <row r="75" spans="1:6" x14ac:dyDescent="0.3">
      <c r="A75" t="s">
        <v>383</v>
      </c>
      <c r="B75" t="s">
        <v>384</v>
      </c>
      <c r="C75" t="s">
        <v>358</v>
      </c>
      <c r="D75" t="s">
        <v>240</v>
      </c>
      <c r="E75">
        <v>300919.30819999974</v>
      </c>
      <c r="F75">
        <v>244978.16569016036</v>
      </c>
    </row>
    <row r="76" spans="1:6" x14ac:dyDescent="0.3">
      <c r="A76" t="s">
        <v>385</v>
      </c>
      <c r="B76" t="s">
        <v>386</v>
      </c>
      <c r="C76" t="s">
        <v>387</v>
      </c>
      <c r="D76" t="s">
        <v>192</v>
      </c>
      <c r="E76">
        <v>216357.0295</v>
      </c>
      <c r="F76">
        <v>212327.78792003266</v>
      </c>
    </row>
    <row r="77" spans="1:6" x14ac:dyDescent="0.3">
      <c r="A77" t="s">
        <v>388</v>
      </c>
      <c r="B77" t="s">
        <v>389</v>
      </c>
      <c r="C77" t="s">
        <v>280</v>
      </c>
      <c r="D77" t="s">
        <v>257</v>
      </c>
      <c r="E77">
        <v>489602.60640000022</v>
      </c>
      <c r="F77">
        <v>312423.44012943213</v>
      </c>
    </row>
    <row r="78" spans="1:6" x14ac:dyDescent="0.3">
      <c r="A78" t="s">
        <v>390</v>
      </c>
      <c r="B78" t="s">
        <v>391</v>
      </c>
      <c r="C78" t="s">
        <v>239</v>
      </c>
      <c r="D78" t="s">
        <v>240</v>
      </c>
      <c r="E78">
        <v>5912.5039999999999</v>
      </c>
      <c r="F78">
        <v>4777.2199691434025</v>
      </c>
    </row>
    <row r="79" spans="1:6" x14ac:dyDescent="0.3">
      <c r="A79" t="s">
        <v>392</v>
      </c>
      <c r="B79" t="s">
        <v>393</v>
      </c>
      <c r="C79" t="s">
        <v>195</v>
      </c>
      <c r="D79" t="s">
        <v>196</v>
      </c>
      <c r="E79">
        <v>339915.17239999998</v>
      </c>
      <c r="F79">
        <v>268754.80555925536</v>
      </c>
    </row>
    <row r="80" spans="1:6" x14ac:dyDescent="0.3">
      <c r="A80" t="s">
        <v>394</v>
      </c>
      <c r="B80" t="s">
        <v>395</v>
      </c>
      <c r="C80" t="s">
        <v>396</v>
      </c>
      <c r="D80" t="s">
        <v>303</v>
      </c>
      <c r="E80">
        <v>713096.96200000029</v>
      </c>
      <c r="F80">
        <v>468562.53552512318</v>
      </c>
    </row>
    <row r="81" spans="1:6" x14ac:dyDescent="0.3">
      <c r="A81" t="s">
        <v>397</v>
      </c>
      <c r="B81" t="s">
        <v>398</v>
      </c>
      <c r="C81" t="s">
        <v>399</v>
      </c>
      <c r="D81" t="s">
        <v>178</v>
      </c>
      <c r="E81">
        <v>85829.345184000005</v>
      </c>
      <c r="F81">
        <v>139582.94960995906</v>
      </c>
    </row>
    <row r="82" spans="1:6" x14ac:dyDescent="0.3">
      <c r="A82" t="s">
        <v>400</v>
      </c>
      <c r="B82" t="s">
        <v>401</v>
      </c>
      <c r="C82" t="s">
        <v>280</v>
      </c>
      <c r="D82" t="s">
        <v>257</v>
      </c>
      <c r="E82">
        <v>43193.299200000009</v>
      </c>
      <c r="F82">
        <v>30224.802060142785</v>
      </c>
    </row>
    <row r="83" spans="1:6" x14ac:dyDescent="0.3">
      <c r="A83" t="s">
        <v>402</v>
      </c>
      <c r="B83" t="s">
        <v>403</v>
      </c>
      <c r="C83" t="s">
        <v>280</v>
      </c>
      <c r="D83" t="s">
        <v>257</v>
      </c>
      <c r="E83">
        <v>285571.62179999996</v>
      </c>
      <c r="F83">
        <v>157040.48353313527</v>
      </c>
    </row>
    <row r="84" spans="1:6" x14ac:dyDescent="0.3">
      <c r="A84" t="s">
        <v>404</v>
      </c>
      <c r="B84" t="s">
        <v>405</v>
      </c>
      <c r="C84" t="s">
        <v>315</v>
      </c>
      <c r="D84" t="s">
        <v>209</v>
      </c>
      <c r="E84">
        <v>100539.03519999998</v>
      </c>
      <c r="F84">
        <v>97476.468369628885</v>
      </c>
    </row>
    <row r="85" spans="1:6" x14ac:dyDescent="0.3">
      <c r="A85" t="s">
        <v>406</v>
      </c>
      <c r="B85" t="s">
        <v>407</v>
      </c>
      <c r="C85" t="s">
        <v>208</v>
      </c>
      <c r="D85" t="s">
        <v>209</v>
      </c>
      <c r="E85">
        <v>193824.20144000067</v>
      </c>
      <c r="F85">
        <v>178781.496504323</v>
      </c>
    </row>
    <row r="86" spans="1:6" x14ac:dyDescent="0.3">
      <c r="A86" t="s">
        <v>408</v>
      </c>
      <c r="B86" t="s">
        <v>409</v>
      </c>
      <c r="C86" t="s">
        <v>410</v>
      </c>
      <c r="D86" t="s">
        <v>236</v>
      </c>
      <c r="E86">
        <v>80069.017000000007</v>
      </c>
      <c r="F86">
        <v>161519.11862727767</v>
      </c>
    </row>
    <row r="87" spans="1:6" x14ac:dyDescent="0.3">
      <c r="A87" t="s">
        <v>411</v>
      </c>
      <c r="B87" t="s">
        <v>412</v>
      </c>
      <c r="C87" t="s">
        <v>341</v>
      </c>
      <c r="D87" t="s">
        <v>342</v>
      </c>
      <c r="E87">
        <v>505893.54219999997</v>
      </c>
      <c r="F87">
        <v>436961.27806894208</v>
      </c>
    </row>
    <row r="88" spans="1:6" x14ac:dyDescent="0.3">
      <c r="A88" t="s">
        <v>413</v>
      </c>
      <c r="B88" t="s">
        <v>414</v>
      </c>
      <c r="C88" t="s">
        <v>415</v>
      </c>
      <c r="D88" t="s">
        <v>196</v>
      </c>
      <c r="E88">
        <v>275440.864</v>
      </c>
      <c r="F88">
        <v>161102.04923123587</v>
      </c>
    </row>
    <row r="89" spans="1:6" x14ac:dyDescent="0.3">
      <c r="A89" t="s">
        <v>416</v>
      </c>
      <c r="B89" t="s">
        <v>417</v>
      </c>
      <c r="C89" t="s">
        <v>418</v>
      </c>
      <c r="D89" t="s">
        <v>295</v>
      </c>
      <c r="E89">
        <v>149746.00240000003</v>
      </c>
      <c r="F89">
        <v>139315.45577047596</v>
      </c>
    </row>
    <row r="90" spans="1:6" x14ac:dyDescent="0.3">
      <c r="A90" t="s">
        <v>419</v>
      </c>
      <c r="B90" t="s">
        <v>420</v>
      </c>
      <c r="C90" t="s">
        <v>374</v>
      </c>
      <c r="D90" t="s">
        <v>303</v>
      </c>
      <c r="E90">
        <v>164116.89199999999</v>
      </c>
      <c r="F90">
        <v>125188.28401906318</v>
      </c>
    </row>
    <row r="91" spans="1:6" x14ac:dyDescent="0.3">
      <c r="A91" t="s">
        <v>421</v>
      </c>
      <c r="B91" t="s">
        <v>422</v>
      </c>
      <c r="C91" t="s">
        <v>280</v>
      </c>
      <c r="D91" t="s">
        <v>257</v>
      </c>
      <c r="E91">
        <v>135013.81360000002</v>
      </c>
      <c r="F91">
        <v>112869.19905830943</v>
      </c>
    </row>
    <row r="92" spans="1:6" x14ac:dyDescent="0.3">
      <c r="A92" t="s">
        <v>423</v>
      </c>
      <c r="B92" t="s">
        <v>424</v>
      </c>
      <c r="C92" t="s">
        <v>280</v>
      </c>
      <c r="D92" t="s">
        <v>257</v>
      </c>
      <c r="E92">
        <v>429725.07599999988</v>
      </c>
      <c r="F92">
        <v>328037.68450341962</v>
      </c>
    </row>
    <row r="93" spans="1:6" x14ac:dyDescent="0.3">
      <c r="A93" t="s">
        <v>425</v>
      </c>
      <c r="B93" t="s">
        <v>426</v>
      </c>
      <c r="C93" t="s">
        <v>427</v>
      </c>
      <c r="D93" t="s">
        <v>192</v>
      </c>
      <c r="E93">
        <v>561201.03700000001</v>
      </c>
      <c r="F93">
        <v>510056.07871131494</v>
      </c>
    </row>
    <row r="94" spans="1:6" x14ac:dyDescent="0.3">
      <c r="A94" t="s">
        <v>428</v>
      </c>
      <c r="B94" t="s">
        <v>429</v>
      </c>
      <c r="C94" t="s">
        <v>191</v>
      </c>
      <c r="D94" t="s">
        <v>192</v>
      </c>
      <c r="E94">
        <v>51507.368000000002</v>
      </c>
      <c r="F94">
        <v>35547.232135585131</v>
      </c>
    </row>
    <row r="95" spans="1:6" x14ac:dyDescent="0.3">
      <c r="A95" t="s">
        <v>430</v>
      </c>
      <c r="B95" t="s">
        <v>431</v>
      </c>
      <c r="C95" t="s">
        <v>432</v>
      </c>
      <c r="D95" t="s">
        <v>240</v>
      </c>
      <c r="E95">
        <v>499850.68177600007</v>
      </c>
      <c r="F95">
        <v>460117.26422210381</v>
      </c>
    </row>
    <row r="96" spans="1:6" x14ac:dyDescent="0.3">
      <c r="A96" t="s">
        <v>433</v>
      </c>
      <c r="B96" t="s">
        <v>434</v>
      </c>
      <c r="C96" t="s">
        <v>264</v>
      </c>
      <c r="D96" t="s">
        <v>192</v>
      </c>
      <c r="E96">
        <v>327592.45199999993</v>
      </c>
      <c r="F96">
        <v>215745.89142048018</v>
      </c>
    </row>
    <row r="97" spans="1:6" x14ac:dyDescent="0.3">
      <c r="A97" t="s">
        <v>435</v>
      </c>
      <c r="B97" t="s">
        <v>436</v>
      </c>
      <c r="C97" t="s">
        <v>235</v>
      </c>
      <c r="D97" t="s">
        <v>236</v>
      </c>
      <c r="E97">
        <v>109357.89810000001</v>
      </c>
      <c r="F97">
        <v>103864.49769010948</v>
      </c>
    </row>
    <row r="98" spans="1:6" x14ac:dyDescent="0.3">
      <c r="A98" t="s">
        <v>437</v>
      </c>
      <c r="B98" t="s">
        <v>438</v>
      </c>
      <c r="C98" t="s">
        <v>81</v>
      </c>
      <c r="D98" t="s">
        <v>232</v>
      </c>
      <c r="E98">
        <v>27397.922015999997</v>
      </c>
      <c r="F98">
        <v>9412.3100994900014</v>
      </c>
    </row>
    <row r="99" spans="1:6" x14ac:dyDescent="0.3">
      <c r="A99" t="s">
        <v>439</v>
      </c>
      <c r="B99" t="s">
        <v>440</v>
      </c>
      <c r="C99" t="s">
        <v>80</v>
      </c>
      <c r="D99" t="s">
        <v>232</v>
      </c>
      <c r="E99">
        <v>60882.838983999995</v>
      </c>
      <c r="F99">
        <v>60573.277525875877</v>
      </c>
    </row>
    <row r="100" spans="1:6" x14ac:dyDescent="0.3">
      <c r="A100" t="s">
        <v>441</v>
      </c>
      <c r="B100" t="s">
        <v>442</v>
      </c>
      <c r="C100" t="s">
        <v>222</v>
      </c>
      <c r="D100" t="s">
        <v>223</v>
      </c>
      <c r="E100">
        <v>81356.575000000012</v>
      </c>
      <c r="F100">
        <v>49199.68577650292</v>
      </c>
    </row>
    <row r="101" spans="1:6" x14ac:dyDescent="0.3">
      <c r="A101" t="s">
        <v>443</v>
      </c>
      <c r="B101" t="s">
        <v>21</v>
      </c>
      <c r="C101" t="s">
        <v>86</v>
      </c>
      <c r="D101" t="s">
        <v>232</v>
      </c>
      <c r="E101">
        <v>74255.524200000014</v>
      </c>
      <c r="F101">
        <v>44310.062860390266</v>
      </c>
    </row>
    <row r="102" spans="1:6" x14ac:dyDescent="0.3">
      <c r="A102" t="s">
        <v>444</v>
      </c>
      <c r="B102" t="s">
        <v>445</v>
      </c>
      <c r="C102" t="s">
        <v>229</v>
      </c>
      <c r="D102" t="s">
        <v>209</v>
      </c>
      <c r="E102">
        <v>267079.25936000294</v>
      </c>
      <c r="F102">
        <v>185757.80435956927</v>
      </c>
    </row>
    <row r="103" spans="1:6" x14ac:dyDescent="0.3">
      <c r="A103" t="s">
        <v>446</v>
      </c>
      <c r="B103" t="s">
        <v>447</v>
      </c>
      <c r="C103" t="s">
        <v>294</v>
      </c>
      <c r="D103" t="s">
        <v>295</v>
      </c>
      <c r="E103">
        <v>114035.083424</v>
      </c>
      <c r="F103">
        <v>128477.08009087815</v>
      </c>
    </row>
    <row r="104" spans="1:6" x14ac:dyDescent="0.3">
      <c r="A104" t="s">
        <v>448</v>
      </c>
      <c r="B104" t="s">
        <v>449</v>
      </c>
      <c r="C104" t="s">
        <v>195</v>
      </c>
      <c r="D104" t="s">
        <v>196</v>
      </c>
      <c r="E104">
        <v>489140.63843999995</v>
      </c>
      <c r="F104">
        <v>349028.39863314922</v>
      </c>
    </row>
    <row r="105" spans="1:6" x14ac:dyDescent="0.3">
      <c r="A105" t="s">
        <v>450</v>
      </c>
      <c r="B105" t="s">
        <v>451</v>
      </c>
      <c r="C105" t="s">
        <v>268</v>
      </c>
      <c r="D105" t="s">
        <v>223</v>
      </c>
      <c r="E105">
        <v>24724.648400000005</v>
      </c>
      <c r="F105">
        <v>13703.717748320787</v>
      </c>
    </row>
    <row r="106" spans="1:6" x14ac:dyDescent="0.3">
      <c r="A106" t="s">
        <v>452</v>
      </c>
      <c r="B106" t="s">
        <v>453</v>
      </c>
      <c r="C106" t="s">
        <v>454</v>
      </c>
      <c r="D106" t="s">
        <v>244</v>
      </c>
      <c r="E106">
        <v>61151.609799999991</v>
      </c>
      <c r="F106">
        <v>31147.882512041586</v>
      </c>
    </row>
    <row r="107" spans="1:6" x14ac:dyDescent="0.3">
      <c r="A107" t="s">
        <v>455</v>
      </c>
      <c r="B107" t="s">
        <v>456</v>
      </c>
      <c r="C107" t="s">
        <v>457</v>
      </c>
      <c r="D107" t="s">
        <v>188</v>
      </c>
      <c r="E107">
        <v>33385.483999999997</v>
      </c>
      <c r="F107">
        <v>18651.225738186116</v>
      </c>
    </row>
    <row r="108" spans="1:6" x14ac:dyDescent="0.3">
      <c r="A108" t="s">
        <v>458</v>
      </c>
      <c r="B108" t="s">
        <v>459</v>
      </c>
      <c r="C108" t="s">
        <v>264</v>
      </c>
      <c r="D108" t="s">
        <v>192</v>
      </c>
      <c r="E108">
        <v>697543.22159999982</v>
      </c>
      <c r="F108">
        <v>648256.2307895394</v>
      </c>
    </row>
    <row r="109" spans="1:6" x14ac:dyDescent="0.3">
      <c r="A109" t="s">
        <v>460</v>
      </c>
      <c r="B109" t="s">
        <v>461</v>
      </c>
      <c r="C109" t="s">
        <v>462</v>
      </c>
      <c r="D109" t="s">
        <v>303</v>
      </c>
      <c r="E109">
        <v>686151.15103999979</v>
      </c>
      <c r="F109">
        <v>639669.08001044544</v>
      </c>
    </row>
    <row r="110" spans="1:6" x14ac:dyDescent="0.3">
      <c r="A110" t="s">
        <v>463</v>
      </c>
      <c r="B110" t="s">
        <v>464</v>
      </c>
      <c r="C110" t="s">
        <v>465</v>
      </c>
      <c r="D110" t="s">
        <v>213</v>
      </c>
      <c r="E110">
        <v>149618.39903199996</v>
      </c>
      <c r="F110">
        <v>148217.34103176187</v>
      </c>
    </row>
    <row r="111" spans="1:6" x14ac:dyDescent="0.3">
      <c r="A111" t="s">
        <v>466</v>
      </c>
      <c r="B111" t="s">
        <v>467</v>
      </c>
      <c r="C111" t="s">
        <v>280</v>
      </c>
      <c r="D111" t="s">
        <v>257</v>
      </c>
      <c r="E111">
        <v>193877.41034999987</v>
      </c>
      <c r="F111">
        <v>126865.45204659762</v>
      </c>
    </row>
    <row r="112" spans="1:6" x14ac:dyDescent="0.3">
      <c r="A112" t="s">
        <v>468</v>
      </c>
      <c r="B112" t="s">
        <v>469</v>
      </c>
      <c r="C112" t="s">
        <v>199</v>
      </c>
      <c r="D112" t="s">
        <v>196</v>
      </c>
      <c r="E112">
        <v>69099.745180000013</v>
      </c>
      <c r="F112">
        <v>63331.396069238675</v>
      </c>
    </row>
    <row r="113" spans="1:6" x14ac:dyDescent="0.3">
      <c r="A113" t="s">
        <v>470</v>
      </c>
      <c r="B113" t="s">
        <v>471</v>
      </c>
      <c r="C113" t="s">
        <v>280</v>
      </c>
      <c r="D113" t="s">
        <v>257</v>
      </c>
      <c r="E113">
        <v>199231.07516000001</v>
      </c>
      <c r="F113">
        <v>129463.64060758504</v>
      </c>
    </row>
    <row r="114" spans="1:6" x14ac:dyDescent="0.3">
      <c r="A114" t="s">
        <v>472</v>
      </c>
      <c r="B114" t="s">
        <v>473</v>
      </c>
      <c r="C114" t="s">
        <v>341</v>
      </c>
      <c r="D114" t="s">
        <v>342</v>
      </c>
      <c r="E114">
        <v>25458.301000000003</v>
      </c>
      <c r="F114">
        <v>22973.67812956162</v>
      </c>
    </row>
    <row r="115" spans="1:6" x14ac:dyDescent="0.3">
      <c r="A115" t="s">
        <v>474</v>
      </c>
      <c r="B115" t="s">
        <v>475</v>
      </c>
      <c r="C115" t="s">
        <v>476</v>
      </c>
      <c r="D115" t="s">
        <v>261</v>
      </c>
      <c r="E115">
        <v>97090.363869999972</v>
      </c>
      <c r="F115">
        <v>58526.153828566283</v>
      </c>
    </row>
    <row r="116" spans="1:6" x14ac:dyDescent="0.3">
      <c r="A116" t="s">
        <v>477</v>
      </c>
      <c r="B116" t="s">
        <v>478</v>
      </c>
      <c r="C116" t="s">
        <v>299</v>
      </c>
      <c r="D116" t="s">
        <v>295</v>
      </c>
      <c r="E116">
        <v>104999.87880000001</v>
      </c>
      <c r="F116">
        <v>107598.90999759031</v>
      </c>
    </row>
    <row r="117" spans="1:6" x14ac:dyDescent="0.3">
      <c r="A117" t="s">
        <v>479</v>
      </c>
      <c r="B117" t="s">
        <v>480</v>
      </c>
      <c r="C117" t="s">
        <v>212</v>
      </c>
      <c r="D117" t="s">
        <v>213</v>
      </c>
      <c r="E117">
        <v>223563.97059999997</v>
      </c>
      <c r="F117">
        <v>191263.15687124105</v>
      </c>
    </row>
    <row r="118" spans="1:6" x14ac:dyDescent="0.3">
      <c r="A118" t="s">
        <v>481</v>
      </c>
      <c r="B118" t="s">
        <v>482</v>
      </c>
      <c r="C118" t="s">
        <v>396</v>
      </c>
      <c r="D118" t="s">
        <v>303</v>
      </c>
      <c r="E118">
        <v>350124.93020000006</v>
      </c>
      <c r="F118">
        <v>311872.92898930359</v>
      </c>
    </row>
    <row r="119" spans="1:6" x14ac:dyDescent="0.3">
      <c r="A119" t="s">
        <v>483</v>
      </c>
      <c r="B119" t="s">
        <v>484</v>
      </c>
      <c r="C119" t="s">
        <v>485</v>
      </c>
      <c r="D119" t="s">
        <v>178</v>
      </c>
      <c r="E119">
        <v>77792.227100000004</v>
      </c>
      <c r="F119">
        <v>155210.51143269005</v>
      </c>
    </row>
    <row r="120" spans="1:6" x14ac:dyDescent="0.3">
      <c r="A120" t="s">
        <v>486</v>
      </c>
      <c r="B120" t="s">
        <v>487</v>
      </c>
      <c r="C120" t="s">
        <v>191</v>
      </c>
      <c r="D120" t="s">
        <v>192</v>
      </c>
      <c r="E120">
        <v>141934.80599999998</v>
      </c>
      <c r="F120">
        <v>86242.459446649242</v>
      </c>
    </row>
    <row r="121" spans="1:6" x14ac:dyDescent="0.3">
      <c r="A121" t="s">
        <v>488</v>
      </c>
      <c r="B121" t="s">
        <v>489</v>
      </c>
      <c r="C121" t="s">
        <v>462</v>
      </c>
      <c r="D121" t="s">
        <v>303</v>
      </c>
      <c r="E121">
        <v>660034.49699999986</v>
      </c>
      <c r="F121">
        <v>438073.60869300924</v>
      </c>
    </row>
    <row r="122" spans="1:6" x14ac:dyDescent="0.3">
      <c r="A122" t="s">
        <v>490</v>
      </c>
      <c r="B122" t="s">
        <v>491</v>
      </c>
      <c r="C122" t="s">
        <v>492</v>
      </c>
      <c r="D122" t="s">
        <v>192</v>
      </c>
      <c r="E122">
        <v>91425.02800000002</v>
      </c>
      <c r="F122">
        <v>78862.803376736148</v>
      </c>
    </row>
    <row r="123" spans="1:6" x14ac:dyDescent="0.3">
      <c r="A123" t="s">
        <v>493</v>
      </c>
      <c r="B123" t="s">
        <v>494</v>
      </c>
      <c r="C123" t="s">
        <v>495</v>
      </c>
      <c r="D123" t="s">
        <v>209</v>
      </c>
      <c r="E123">
        <v>85929.143279999989</v>
      </c>
      <c r="F123">
        <v>78885.62464088593</v>
      </c>
    </row>
    <row r="124" spans="1:6" x14ac:dyDescent="0.3">
      <c r="A124" t="s">
        <v>496</v>
      </c>
      <c r="B124" t="s">
        <v>497</v>
      </c>
      <c r="C124" t="s">
        <v>380</v>
      </c>
      <c r="D124" t="s">
        <v>196</v>
      </c>
      <c r="E124">
        <v>221011.42679999996</v>
      </c>
      <c r="F124">
        <v>199875.15215454798</v>
      </c>
    </row>
    <row r="125" spans="1:6" x14ac:dyDescent="0.3">
      <c r="A125" t="s">
        <v>498</v>
      </c>
      <c r="B125" t="s">
        <v>499</v>
      </c>
      <c r="C125" t="s">
        <v>285</v>
      </c>
      <c r="D125" t="s">
        <v>196</v>
      </c>
      <c r="E125">
        <v>473437.46479999996</v>
      </c>
      <c r="F125">
        <v>417530.40174714715</v>
      </c>
    </row>
    <row r="126" spans="1:6" x14ac:dyDescent="0.3">
      <c r="A126" t="s">
        <v>500</v>
      </c>
      <c r="B126" t="s">
        <v>501</v>
      </c>
      <c r="C126" t="s">
        <v>396</v>
      </c>
      <c r="D126" t="s">
        <v>303</v>
      </c>
      <c r="E126">
        <v>167559.58010000005</v>
      </c>
      <c r="F126">
        <v>134942.83021626985</v>
      </c>
    </row>
    <row r="127" spans="1:6" x14ac:dyDescent="0.3">
      <c r="A127" t="s">
        <v>502</v>
      </c>
      <c r="B127" t="s">
        <v>503</v>
      </c>
      <c r="C127" t="s">
        <v>504</v>
      </c>
      <c r="D127" t="s">
        <v>236</v>
      </c>
      <c r="E127">
        <v>48623.728799999997</v>
      </c>
      <c r="F127">
        <v>41506.924832533005</v>
      </c>
    </row>
    <row r="128" spans="1:6" x14ac:dyDescent="0.3">
      <c r="A128" t="s">
        <v>505</v>
      </c>
      <c r="B128" t="s">
        <v>506</v>
      </c>
      <c r="C128" t="s">
        <v>302</v>
      </c>
      <c r="D128" t="s">
        <v>303</v>
      </c>
      <c r="E128">
        <v>153728.42127999998</v>
      </c>
      <c r="F128">
        <v>146351.40225342702</v>
      </c>
    </row>
    <row r="129" spans="1:6" x14ac:dyDescent="0.3">
      <c r="A129" t="s">
        <v>507</v>
      </c>
      <c r="B129" t="s">
        <v>508</v>
      </c>
      <c r="C129" t="s">
        <v>509</v>
      </c>
      <c r="D129" t="s">
        <v>240</v>
      </c>
      <c r="E129">
        <v>303287.88899999997</v>
      </c>
      <c r="F129">
        <v>286502.19587881851</v>
      </c>
    </row>
    <row r="130" spans="1:6" x14ac:dyDescent="0.3">
      <c r="A130" t="s">
        <v>510</v>
      </c>
      <c r="B130" t="s">
        <v>511</v>
      </c>
      <c r="C130" t="s">
        <v>396</v>
      </c>
      <c r="D130" t="s">
        <v>303</v>
      </c>
      <c r="E130">
        <v>279112.89079999999</v>
      </c>
      <c r="F130">
        <v>274506.81103785726</v>
      </c>
    </row>
    <row r="131" spans="1:6" x14ac:dyDescent="0.3">
      <c r="A131" t="s">
        <v>512</v>
      </c>
      <c r="B131" t="s">
        <v>513</v>
      </c>
      <c r="C131" t="s">
        <v>514</v>
      </c>
      <c r="D131" t="s">
        <v>515</v>
      </c>
      <c r="E131">
        <v>196394.69873599996</v>
      </c>
      <c r="F131">
        <v>129296.7943640874</v>
      </c>
    </row>
    <row r="132" spans="1:6" x14ac:dyDescent="0.3">
      <c r="A132" t="s">
        <v>516</v>
      </c>
      <c r="B132" t="s">
        <v>32</v>
      </c>
      <c r="C132" t="s">
        <v>81</v>
      </c>
      <c r="D132" t="s">
        <v>232</v>
      </c>
      <c r="E132">
        <v>151837.35529599997</v>
      </c>
      <c r="F132">
        <v>32793.876250880952</v>
      </c>
    </row>
    <row r="133" spans="1:6" x14ac:dyDescent="0.3">
      <c r="A133" t="s">
        <v>517</v>
      </c>
      <c r="B133" t="s">
        <v>518</v>
      </c>
      <c r="C133" t="s">
        <v>191</v>
      </c>
      <c r="D133" t="s">
        <v>192</v>
      </c>
      <c r="E133">
        <v>190341.32696999999</v>
      </c>
      <c r="F133">
        <v>135442.04409338965</v>
      </c>
    </row>
    <row r="134" spans="1:6" x14ac:dyDescent="0.3">
      <c r="A134" t="s">
        <v>519</v>
      </c>
      <c r="B134" t="s">
        <v>520</v>
      </c>
      <c r="C134" t="s">
        <v>195</v>
      </c>
      <c r="D134" t="s">
        <v>196</v>
      </c>
      <c r="E134">
        <v>12022.1631</v>
      </c>
      <c r="F134">
        <v>8649.6351154394943</v>
      </c>
    </row>
    <row r="135" spans="1:6" x14ac:dyDescent="0.3">
      <c r="A135" t="s">
        <v>521</v>
      </c>
      <c r="B135" t="s">
        <v>522</v>
      </c>
      <c r="C135" t="s">
        <v>86</v>
      </c>
      <c r="D135" t="s">
        <v>232</v>
      </c>
      <c r="E135">
        <v>75287.279999999955</v>
      </c>
      <c r="F135">
        <v>32247.584676247403</v>
      </c>
    </row>
    <row r="136" spans="1:6" x14ac:dyDescent="0.3">
      <c r="A136" t="s">
        <v>523</v>
      </c>
      <c r="B136" t="s">
        <v>524</v>
      </c>
      <c r="C136" t="s">
        <v>525</v>
      </c>
      <c r="D136" t="s">
        <v>236</v>
      </c>
      <c r="E136">
        <v>150700.367</v>
      </c>
      <c r="F136">
        <v>152799.58214175285</v>
      </c>
    </row>
    <row r="137" spans="1:6" x14ac:dyDescent="0.3">
      <c r="A137" t="s">
        <v>526</v>
      </c>
      <c r="B137" t="s">
        <v>527</v>
      </c>
      <c r="C137" t="s">
        <v>528</v>
      </c>
      <c r="D137" t="s">
        <v>342</v>
      </c>
      <c r="E137">
        <v>185393.45658400003</v>
      </c>
      <c r="F137">
        <v>109497.12753330036</v>
      </c>
    </row>
    <row r="138" spans="1:6" x14ac:dyDescent="0.3">
      <c r="A138" t="s">
        <v>529</v>
      </c>
      <c r="B138" t="s">
        <v>530</v>
      </c>
      <c r="C138" t="s">
        <v>374</v>
      </c>
      <c r="D138" t="s">
        <v>303</v>
      </c>
      <c r="E138">
        <v>188191.84571999998</v>
      </c>
      <c r="F138">
        <v>104911.18064191219</v>
      </c>
    </row>
    <row r="139" spans="1:6" x14ac:dyDescent="0.3">
      <c r="A139" t="s">
        <v>531</v>
      </c>
      <c r="B139" t="s">
        <v>532</v>
      </c>
      <c r="C139" t="s">
        <v>84</v>
      </c>
      <c r="D139" t="s">
        <v>232</v>
      </c>
      <c r="E139">
        <v>35094</v>
      </c>
      <c r="F139">
        <v>5041.5172774335551</v>
      </c>
    </row>
    <row r="140" spans="1:6" x14ac:dyDescent="0.3">
      <c r="A140" t="s">
        <v>533</v>
      </c>
      <c r="B140" t="s">
        <v>534</v>
      </c>
      <c r="C140" t="s">
        <v>535</v>
      </c>
      <c r="D140" t="s">
        <v>223</v>
      </c>
      <c r="E140">
        <v>22722.177343999996</v>
      </c>
      <c r="F140">
        <v>13396.110999148394</v>
      </c>
    </row>
    <row r="141" spans="1:6" x14ac:dyDescent="0.3">
      <c r="A141" t="s">
        <v>536</v>
      </c>
      <c r="B141" t="s">
        <v>537</v>
      </c>
      <c r="C141" t="s">
        <v>538</v>
      </c>
      <c r="D141" t="s">
        <v>257</v>
      </c>
      <c r="E141">
        <v>37275.392959999997</v>
      </c>
      <c r="F141">
        <v>27881.062023371309</v>
      </c>
    </row>
    <row r="142" spans="1:6" x14ac:dyDescent="0.3">
      <c r="A142" t="s">
        <v>539</v>
      </c>
      <c r="B142" t="s">
        <v>540</v>
      </c>
      <c r="C142" t="s">
        <v>264</v>
      </c>
      <c r="D142" t="s">
        <v>192</v>
      </c>
      <c r="E142">
        <v>4635.0015999999996</v>
      </c>
      <c r="F142">
        <v>3127.4403290149367</v>
      </c>
    </row>
    <row r="143" spans="1:6" x14ac:dyDescent="0.3">
      <c r="A143" t="s">
        <v>541</v>
      </c>
      <c r="B143" t="s">
        <v>542</v>
      </c>
      <c r="C143" t="s">
        <v>415</v>
      </c>
      <c r="D143" t="s">
        <v>196</v>
      </c>
      <c r="E143">
        <v>157733.24960000001</v>
      </c>
      <c r="F143">
        <v>96518.828505675003</v>
      </c>
    </row>
    <row r="144" spans="1:6" x14ac:dyDescent="0.3">
      <c r="A144" t="s">
        <v>543</v>
      </c>
      <c r="B144" t="s">
        <v>544</v>
      </c>
      <c r="C144" t="s">
        <v>545</v>
      </c>
      <c r="D144" t="s">
        <v>244</v>
      </c>
      <c r="E144">
        <v>276531.12419999996</v>
      </c>
      <c r="F144">
        <v>210000.25450989837</v>
      </c>
    </row>
    <row r="145" spans="1:6" x14ac:dyDescent="0.3">
      <c r="A145" t="s">
        <v>546</v>
      </c>
      <c r="B145" t="s">
        <v>547</v>
      </c>
      <c r="C145" t="s">
        <v>514</v>
      </c>
      <c r="D145" t="s">
        <v>515</v>
      </c>
      <c r="E145">
        <v>99020.821850000008</v>
      </c>
      <c r="F145">
        <v>65410.852728145401</v>
      </c>
    </row>
    <row r="146" spans="1:6" x14ac:dyDescent="0.3">
      <c r="A146" t="s">
        <v>548</v>
      </c>
      <c r="B146" t="s">
        <v>549</v>
      </c>
      <c r="C146" t="s">
        <v>545</v>
      </c>
      <c r="D146" t="s">
        <v>244</v>
      </c>
      <c r="E146">
        <v>298905.18700000003</v>
      </c>
      <c r="F146">
        <v>183456.10105544742</v>
      </c>
    </row>
    <row r="147" spans="1:6" x14ac:dyDescent="0.3">
      <c r="A147" t="s">
        <v>550</v>
      </c>
      <c r="B147" t="s">
        <v>551</v>
      </c>
      <c r="C147" t="s">
        <v>280</v>
      </c>
      <c r="D147" t="s">
        <v>257</v>
      </c>
      <c r="E147">
        <v>219156.81839999999</v>
      </c>
      <c r="F147">
        <v>208720.1452668159</v>
      </c>
    </row>
    <row r="148" spans="1:6" x14ac:dyDescent="0.3">
      <c r="A148" t="s">
        <v>552</v>
      </c>
      <c r="B148" t="s">
        <v>553</v>
      </c>
      <c r="C148" t="s">
        <v>399</v>
      </c>
      <c r="D148" t="s">
        <v>178</v>
      </c>
      <c r="E148">
        <v>104071.55600000001</v>
      </c>
      <c r="F148">
        <v>96436.533729961302</v>
      </c>
    </row>
    <row r="149" spans="1:6" x14ac:dyDescent="0.3">
      <c r="A149" t="s">
        <v>554</v>
      </c>
      <c r="B149" t="s">
        <v>555</v>
      </c>
      <c r="C149" t="s">
        <v>556</v>
      </c>
      <c r="D149" t="s">
        <v>178</v>
      </c>
      <c r="E149">
        <v>350610.23560000001</v>
      </c>
      <c r="F149">
        <v>207635.00406493116</v>
      </c>
    </row>
    <row r="150" spans="1:6" x14ac:dyDescent="0.3">
      <c r="A150" t="s">
        <v>557</v>
      </c>
      <c r="B150" t="s">
        <v>558</v>
      </c>
      <c r="C150" t="s">
        <v>280</v>
      </c>
      <c r="D150" t="s">
        <v>257</v>
      </c>
      <c r="E150">
        <v>166091.16528799999</v>
      </c>
      <c r="F150">
        <v>123137.03432657701</v>
      </c>
    </row>
    <row r="151" spans="1:6" x14ac:dyDescent="0.3">
      <c r="A151" t="s">
        <v>559</v>
      </c>
      <c r="B151" t="s">
        <v>560</v>
      </c>
      <c r="C151" t="s">
        <v>476</v>
      </c>
      <c r="D151" t="s">
        <v>261</v>
      </c>
      <c r="E151">
        <v>477305.8322</v>
      </c>
      <c r="F151">
        <v>251853.11190264099</v>
      </c>
    </row>
    <row r="152" spans="1:6" x14ac:dyDescent="0.3">
      <c r="A152" t="s">
        <v>561</v>
      </c>
      <c r="B152" t="s">
        <v>562</v>
      </c>
      <c r="C152" t="s">
        <v>86</v>
      </c>
      <c r="D152" t="s">
        <v>232</v>
      </c>
      <c r="E152">
        <v>36371.480000000003</v>
      </c>
      <c r="F152">
        <v>12662.191234540689</v>
      </c>
    </row>
    <row r="153" spans="1:6" x14ac:dyDescent="0.3">
      <c r="A153" t="s">
        <v>563</v>
      </c>
      <c r="B153" t="s">
        <v>564</v>
      </c>
      <c r="C153" t="s">
        <v>514</v>
      </c>
      <c r="D153" t="s">
        <v>515</v>
      </c>
      <c r="E153">
        <v>108693.48759999999</v>
      </c>
      <c r="F153">
        <v>57517.992239337073</v>
      </c>
    </row>
    <row r="154" spans="1:6" x14ac:dyDescent="0.3">
      <c r="A154" t="s">
        <v>565</v>
      </c>
      <c r="B154" t="s">
        <v>78</v>
      </c>
      <c r="C154" t="s">
        <v>88</v>
      </c>
      <c r="D154" t="s">
        <v>232</v>
      </c>
      <c r="E154">
        <v>26452</v>
      </c>
      <c r="F154">
        <v>10107.177123675472</v>
      </c>
    </row>
    <row r="155" spans="1:6" x14ac:dyDescent="0.3">
      <c r="A155" t="s">
        <v>566</v>
      </c>
      <c r="B155" t="s">
        <v>567</v>
      </c>
      <c r="C155" t="s">
        <v>184</v>
      </c>
      <c r="D155" t="s">
        <v>178</v>
      </c>
      <c r="E155">
        <v>55846.942900000009</v>
      </c>
      <c r="F155">
        <v>32851.073658888919</v>
      </c>
    </row>
    <row r="156" spans="1:6" x14ac:dyDescent="0.3">
      <c r="A156" t="s">
        <v>568</v>
      </c>
      <c r="B156" t="s">
        <v>569</v>
      </c>
      <c r="C156" t="s">
        <v>570</v>
      </c>
      <c r="D156" t="s">
        <v>209</v>
      </c>
      <c r="E156">
        <v>66780.123200000002</v>
      </c>
      <c r="F156">
        <v>57912.716048887778</v>
      </c>
    </row>
    <row r="157" spans="1:6" x14ac:dyDescent="0.3">
      <c r="A157" t="s">
        <v>571</v>
      </c>
      <c r="B157" t="s">
        <v>572</v>
      </c>
      <c r="C157" t="s">
        <v>573</v>
      </c>
      <c r="D157" t="s">
        <v>261</v>
      </c>
      <c r="E157">
        <v>228664.89236000006</v>
      </c>
      <c r="F157">
        <v>178205.00079483012</v>
      </c>
    </row>
    <row r="158" spans="1:6" x14ac:dyDescent="0.3">
      <c r="A158" t="s">
        <v>574</v>
      </c>
      <c r="B158" t="s">
        <v>575</v>
      </c>
      <c r="C158" t="s">
        <v>576</v>
      </c>
      <c r="D158" t="s">
        <v>188</v>
      </c>
      <c r="E158">
        <v>62156.816968000021</v>
      </c>
      <c r="F158">
        <v>32824.083095950467</v>
      </c>
    </row>
    <row r="159" spans="1:6" x14ac:dyDescent="0.3">
      <c r="A159" t="s">
        <v>577</v>
      </c>
      <c r="B159" t="s">
        <v>578</v>
      </c>
      <c r="C159" t="s">
        <v>285</v>
      </c>
      <c r="D159" t="s">
        <v>196</v>
      </c>
      <c r="E159">
        <v>114302.47372800006</v>
      </c>
      <c r="F159">
        <v>81905.59637017698</v>
      </c>
    </row>
    <row r="160" spans="1:6" x14ac:dyDescent="0.3">
      <c r="A160" t="s">
        <v>579</v>
      </c>
      <c r="B160" t="s">
        <v>580</v>
      </c>
      <c r="C160" t="s">
        <v>312</v>
      </c>
      <c r="D160" t="s">
        <v>240</v>
      </c>
      <c r="E160">
        <v>207761.56425999996</v>
      </c>
      <c r="F160">
        <v>129900.52034575536</v>
      </c>
    </row>
    <row r="161" spans="1:6" x14ac:dyDescent="0.3">
      <c r="A161" t="s">
        <v>581</v>
      </c>
      <c r="B161" t="s">
        <v>582</v>
      </c>
      <c r="C161" t="s">
        <v>583</v>
      </c>
      <c r="D161" t="s">
        <v>295</v>
      </c>
      <c r="E161">
        <v>70192.520400000009</v>
      </c>
      <c r="F161">
        <v>36418.590156524559</v>
      </c>
    </row>
    <row r="162" spans="1:6" x14ac:dyDescent="0.3">
      <c r="A162" t="s">
        <v>584</v>
      </c>
      <c r="B162" t="s">
        <v>585</v>
      </c>
      <c r="C162" t="s">
        <v>396</v>
      </c>
      <c r="D162" t="s">
        <v>303</v>
      </c>
      <c r="E162">
        <v>4772.4888000000001</v>
      </c>
      <c r="F162">
        <v>4280.1844849824229</v>
      </c>
    </row>
    <row r="163" spans="1:6" x14ac:dyDescent="0.3">
      <c r="A163" t="s">
        <v>586</v>
      </c>
      <c r="B163" t="s">
        <v>587</v>
      </c>
      <c r="C163" t="s">
        <v>588</v>
      </c>
      <c r="D163" t="s">
        <v>192</v>
      </c>
      <c r="E163">
        <v>56525.480479999998</v>
      </c>
      <c r="F163">
        <v>31093.586437041115</v>
      </c>
    </row>
    <row r="164" spans="1:6" x14ac:dyDescent="0.3">
      <c r="A164" t="s">
        <v>589</v>
      </c>
      <c r="B164" t="s">
        <v>590</v>
      </c>
      <c r="C164" t="s">
        <v>341</v>
      </c>
      <c r="D164" t="s">
        <v>342</v>
      </c>
      <c r="E164">
        <v>90417.079583999992</v>
      </c>
      <c r="F164">
        <v>85049.326041180117</v>
      </c>
    </row>
    <row r="165" spans="1:6" x14ac:dyDescent="0.3">
      <c r="A165" t="s">
        <v>591</v>
      </c>
      <c r="B165" t="s">
        <v>592</v>
      </c>
      <c r="C165" t="s">
        <v>492</v>
      </c>
      <c r="D165" t="s">
        <v>192</v>
      </c>
      <c r="E165">
        <v>212832.17322</v>
      </c>
      <c r="F165">
        <v>160051.99824359527</v>
      </c>
    </row>
    <row r="166" spans="1:6" x14ac:dyDescent="0.3">
      <c r="A166" t="s">
        <v>593</v>
      </c>
      <c r="B166" t="s">
        <v>594</v>
      </c>
      <c r="C166" t="s">
        <v>352</v>
      </c>
      <c r="D166" t="s">
        <v>261</v>
      </c>
      <c r="E166">
        <v>110036.94799999999</v>
      </c>
      <c r="F166">
        <v>84257.765034447177</v>
      </c>
    </row>
    <row r="167" spans="1:6" x14ac:dyDescent="0.3">
      <c r="A167" t="s">
        <v>595</v>
      </c>
      <c r="B167" t="s">
        <v>596</v>
      </c>
      <c r="C167" t="s">
        <v>462</v>
      </c>
      <c r="D167" t="s">
        <v>303</v>
      </c>
      <c r="E167">
        <v>344982.97739999997</v>
      </c>
      <c r="F167">
        <v>212151.39555059056</v>
      </c>
    </row>
    <row r="168" spans="1:6" x14ac:dyDescent="0.3">
      <c r="A168" t="s">
        <v>597</v>
      </c>
      <c r="B168" t="s">
        <v>598</v>
      </c>
      <c r="C168" t="s">
        <v>492</v>
      </c>
      <c r="D168" t="s">
        <v>192</v>
      </c>
      <c r="E168">
        <v>10724.507000000001</v>
      </c>
      <c r="F168">
        <v>6186.1810866888591</v>
      </c>
    </row>
    <row r="169" spans="1:6" x14ac:dyDescent="0.3">
      <c r="A169" t="s">
        <v>599</v>
      </c>
      <c r="B169" t="s">
        <v>600</v>
      </c>
      <c r="C169" t="s">
        <v>219</v>
      </c>
      <c r="D169" t="s">
        <v>178</v>
      </c>
      <c r="E169">
        <v>356757.29363999999</v>
      </c>
      <c r="F169">
        <v>328013.40908278618</v>
      </c>
    </row>
    <row r="170" spans="1:6" x14ac:dyDescent="0.3">
      <c r="A170" t="s">
        <v>601</v>
      </c>
      <c r="B170" t="s">
        <v>602</v>
      </c>
      <c r="C170" t="s">
        <v>603</v>
      </c>
      <c r="D170" t="s">
        <v>178</v>
      </c>
      <c r="E170">
        <v>10877.0808</v>
      </c>
      <c r="F170">
        <v>6997.0961377039339</v>
      </c>
    </row>
    <row r="171" spans="1:6" x14ac:dyDescent="0.3">
      <c r="A171" t="s">
        <v>604</v>
      </c>
      <c r="B171" t="s">
        <v>605</v>
      </c>
      <c r="C171" t="s">
        <v>315</v>
      </c>
      <c r="D171" t="s">
        <v>209</v>
      </c>
      <c r="E171">
        <v>74704.494815999991</v>
      </c>
      <c r="F171">
        <v>59948.299416667396</v>
      </c>
    </row>
    <row r="172" spans="1:6" x14ac:dyDescent="0.3">
      <c r="A172" t="s">
        <v>606</v>
      </c>
      <c r="B172" t="s">
        <v>607</v>
      </c>
      <c r="C172" t="s">
        <v>509</v>
      </c>
      <c r="D172" t="s">
        <v>240</v>
      </c>
      <c r="E172">
        <v>527104.06336000015</v>
      </c>
      <c r="F172">
        <v>486581.43415228912</v>
      </c>
    </row>
    <row r="173" spans="1:6" x14ac:dyDescent="0.3">
      <c r="A173" t="s">
        <v>608</v>
      </c>
      <c r="B173" t="s">
        <v>609</v>
      </c>
      <c r="C173" t="s">
        <v>315</v>
      </c>
      <c r="D173" t="s">
        <v>209</v>
      </c>
      <c r="E173">
        <v>64371.169440000005</v>
      </c>
      <c r="F173">
        <v>45189.945077956319</v>
      </c>
    </row>
    <row r="174" spans="1:6" x14ac:dyDescent="0.3">
      <c r="A174" t="s">
        <v>610</v>
      </c>
      <c r="B174" t="s">
        <v>611</v>
      </c>
      <c r="C174" t="s">
        <v>365</v>
      </c>
      <c r="D174" t="s">
        <v>223</v>
      </c>
      <c r="E174">
        <v>78658.508975999997</v>
      </c>
      <c r="F174">
        <v>63698.433267065695</v>
      </c>
    </row>
    <row r="175" spans="1:6" x14ac:dyDescent="0.3">
      <c r="A175" t="s">
        <v>612</v>
      </c>
      <c r="B175" t="s">
        <v>613</v>
      </c>
      <c r="C175" t="s">
        <v>614</v>
      </c>
      <c r="D175" t="s">
        <v>223</v>
      </c>
      <c r="E175">
        <v>78482.687279999998</v>
      </c>
      <c r="F175">
        <v>48939.635317833956</v>
      </c>
    </row>
    <row r="176" spans="1:6" x14ac:dyDescent="0.3">
      <c r="A176" t="s">
        <v>615</v>
      </c>
      <c r="B176" t="s">
        <v>616</v>
      </c>
      <c r="C176" t="s">
        <v>208</v>
      </c>
      <c r="D176" t="s">
        <v>209</v>
      </c>
      <c r="E176">
        <v>62618.914336000002</v>
      </c>
      <c r="F176">
        <v>40540.26478250324</v>
      </c>
    </row>
    <row r="177" spans="1:6" x14ac:dyDescent="0.3">
      <c r="A177" t="s">
        <v>617</v>
      </c>
      <c r="B177" t="s">
        <v>618</v>
      </c>
      <c r="C177" t="s">
        <v>84</v>
      </c>
      <c r="D177" t="s">
        <v>232</v>
      </c>
      <c r="E177">
        <v>38389.785944000003</v>
      </c>
      <c r="F177">
        <v>19840.254595257782</v>
      </c>
    </row>
    <row r="178" spans="1:6" x14ac:dyDescent="0.3">
      <c r="A178" t="s">
        <v>619</v>
      </c>
      <c r="B178" t="s">
        <v>620</v>
      </c>
      <c r="C178" t="s">
        <v>621</v>
      </c>
      <c r="D178" t="s">
        <v>303</v>
      </c>
      <c r="E178">
        <v>231090.092</v>
      </c>
      <c r="F178">
        <v>154995.20675938917</v>
      </c>
    </row>
    <row r="179" spans="1:6" x14ac:dyDescent="0.3">
      <c r="A179" t="s">
        <v>622</v>
      </c>
      <c r="B179" t="s">
        <v>623</v>
      </c>
      <c r="C179" t="s">
        <v>624</v>
      </c>
      <c r="D179" t="s">
        <v>261</v>
      </c>
      <c r="E179">
        <v>224720.69764000003</v>
      </c>
      <c r="F179">
        <v>114045.3095529358</v>
      </c>
    </row>
    <row r="180" spans="1:6" x14ac:dyDescent="0.3">
      <c r="A180" t="s">
        <v>625</v>
      </c>
      <c r="B180" t="s">
        <v>626</v>
      </c>
      <c r="C180" t="s">
        <v>476</v>
      </c>
      <c r="D180" t="s">
        <v>261</v>
      </c>
      <c r="E180">
        <v>383230.70559999993</v>
      </c>
      <c r="F180">
        <v>244087.56941880734</v>
      </c>
    </row>
    <row r="181" spans="1:6" x14ac:dyDescent="0.3">
      <c r="A181" t="s">
        <v>627</v>
      </c>
      <c r="B181" t="s">
        <v>628</v>
      </c>
      <c r="C181" t="s">
        <v>629</v>
      </c>
      <c r="D181" t="s">
        <v>303</v>
      </c>
      <c r="E181">
        <v>168378.4037</v>
      </c>
      <c r="F181">
        <v>166751.74832859164</v>
      </c>
    </row>
    <row r="182" spans="1:6" x14ac:dyDescent="0.3">
      <c r="A182" t="s">
        <v>630</v>
      </c>
      <c r="B182" t="s">
        <v>631</v>
      </c>
      <c r="C182" t="s">
        <v>90</v>
      </c>
      <c r="D182" t="s">
        <v>232</v>
      </c>
      <c r="E182">
        <v>19176.379000000001</v>
      </c>
      <c r="F182">
        <v>5958.8762529929299</v>
      </c>
    </row>
    <row r="183" spans="1:6" x14ac:dyDescent="0.3">
      <c r="A183" t="s">
        <v>632</v>
      </c>
      <c r="B183" t="s">
        <v>633</v>
      </c>
      <c r="C183" t="s">
        <v>634</v>
      </c>
      <c r="D183" t="s">
        <v>342</v>
      </c>
      <c r="E183">
        <v>5288</v>
      </c>
      <c r="F183">
        <v>4298.7700928628046</v>
      </c>
    </row>
    <row r="184" spans="1:6" x14ac:dyDescent="0.3">
      <c r="A184" t="s">
        <v>635</v>
      </c>
      <c r="B184" t="s">
        <v>636</v>
      </c>
      <c r="C184" t="s">
        <v>637</v>
      </c>
      <c r="D184" t="s">
        <v>192</v>
      </c>
      <c r="E184">
        <v>64811.462119999997</v>
      </c>
      <c r="F184">
        <v>52289.142324498716</v>
      </c>
    </row>
    <row r="185" spans="1:6" x14ac:dyDescent="0.3">
      <c r="A185" t="s">
        <v>638</v>
      </c>
      <c r="B185" t="s">
        <v>639</v>
      </c>
      <c r="C185" t="s">
        <v>640</v>
      </c>
      <c r="D185" t="s">
        <v>209</v>
      </c>
      <c r="E185">
        <v>53369.011399999974</v>
      </c>
      <c r="F185">
        <v>37783.453834135908</v>
      </c>
    </row>
    <row r="186" spans="1:6" x14ac:dyDescent="0.3">
      <c r="A186" t="s">
        <v>641</v>
      </c>
      <c r="B186" t="s">
        <v>642</v>
      </c>
      <c r="C186" t="s">
        <v>643</v>
      </c>
      <c r="D186" t="s">
        <v>192</v>
      </c>
      <c r="E186">
        <v>87154.37372399999</v>
      </c>
      <c r="F186">
        <v>58967.371934119852</v>
      </c>
    </row>
    <row r="187" spans="1:6" x14ac:dyDescent="0.3">
      <c r="A187" t="s">
        <v>644</v>
      </c>
      <c r="B187" t="s">
        <v>645</v>
      </c>
      <c r="C187" t="s">
        <v>646</v>
      </c>
      <c r="D187" t="s">
        <v>209</v>
      </c>
      <c r="E187">
        <v>51433.274999999994</v>
      </c>
      <c r="F187">
        <v>38693.25633799658</v>
      </c>
    </row>
    <row r="188" spans="1:6" x14ac:dyDescent="0.3">
      <c r="A188" t="s">
        <v>647</v>
      </c>
      <c r="B188" t="s">
        <v>648</v>
      </c>
      <c r="C188" t="s">
        <v>268</v>
      </c>
      <c r="D188" t="s">
        <v>223</v>
      </c>
      <c r="E188">
        <v>24790.676800000001</v>
      </c>
      <c r="F188">
        <v>18698.193900516155</v>
      </c>
    </row>
    <row r="189" spans="1:6" x14ac:dyDescent="0.3">
      <c r="A189" t="s">
        <v>649</v>
      </c>
      <c r="B189" t="s">
        <v>38</v>
      </c>
      <c r="C189" t="s">
        <v>89</v>
      </c>
      <c r="D189" t="s">
        <v>232</v>
      </c>
      <c r="E189">
        <v>78553.013183999996</v>
      </c>
      <c r="F189">
        <v>11737.89370301184</v>
      </c>
    </row>
    <row r="190" spans="1:6" x14ac:dyDescent="0.3">
      <c r="A190" t="s">
        <v>650</v>
      </c>
      <c r="B190" t="s">
        <v>651</v>
      </c>
      <c r="C190" t="s">
        <v>545</v>
      </c>
      <c r="D190" t="s">
        <v>652</v>
      </c>
      <c r="E190">
        <v>208553.6784</v>
      </c>
      <c r="F190">
        <v>161758.19501519529</v>
      </c>
    </row>
    <row r="191" spans="1:6" x14ac:dyDescent="0.3">
      <c r="A191" t="s">
        <v>653</v>
      </c>
      <c r="B191" t="s">
        <v>654</v>
      </c>
      <c r="C191" t="s">
        <v>655</v>
      </c>
      <c r="D191" t="s">
        <v>240</v>
      </c>
      <c r="E191">
        <v>52615.448999999986</v>
      </c>
      <c r="F191">
        <v>39938.076432417685</v>
      </c>
    </row>
    <row r="192" spans="1:6" x14ac:dyDescent="0.3">
      <c r="A192" t="s">
        <v>656</v>
      </c>
      <c r="B192" t="s">
        <v>657</v>
      </c>
      <c r="C192" t="s">
        <v>658</v>
      </c>
      <c r="D192" t="s">
        <v>178</v>
      </c>
      <c r="E192">
        <v>10675.511999999999</v>
      </c>
      <c r="F192">
        <v>9004.2186173461523</v>
      </c>
    </row>
    <row r="193" spans="1:6" x14ac:dyDescent="0.3">
      <c r="A193" t="s">
        <v>659</v>
      </c>
      <c r="B193" t="s">
        <v>660</v>
      </c>
      <c r="C193" t="s">
        <v>84</v>
      </c>
      <c r="D193" t="s">
        <v>232</v>
      </c>
      <c r="E193">
        <v>187014.09524600004</v>
      </c>
      <c r="F193">
        <v>92225.256194979564</v>
      </c>
    </row>
    <row r="194" spans="1:6" x14ac:dyDescent="0.3">
      <c r="A194" t="s">
        <v>661</v>
      </c>
      <c r="B194" t="s">
        <v>662</v>
      </c>
      <c r="C194" t="s">
        <v>187</v>
      </c>
      <c r="D194" t="s">
        <v>188</v>
      </c>
      <c r="E194">
        <v>256006.57760000002</v>
      </c>
      <c r="F194">
        <v>156134.50301061635</v>
      </c>
    </row>
    <row r="195" spans="1:6" x14ac:dyDescent="0.3">
      <c r="A195" t="s">
        <v>663</v>
      </c>
      <c r="B195" t="s">
        <v>664</v>
      </c>
      <c r="C195" t="s">
        <v>665</v>
      </c>
      <c r="D195" t="s">
        <v>223</v>
      </c>
      <c r="E195">
        <v>68349.36</v>
      </c>
      <c r="F195">
        <v>59801.306106102471</v>
      </c>
    </row>
    <row r="196" spans="1:6" x14ac:dyDescent="0.3">
      <c r="A196" t="s">
        <v>666</v>
      </c>
      <c r="B196" t="s">
        <v>667</v>
      </c>
      <c r="C196" t="s">
        <v>668</v>
      </c>
      <c r="D196" t="s">
        <v>188</v>
      </c>
      <c r="E196">
        <v>56813.166499999999</v>
      </c>
      <c r="F196">
        <v>50148.293024195162</v>
      </c>
    </row>
    <row r="197" spans="1:6" x14ac:dyDescent="0.3">
      <c r="A197" t="s">
        <v>669</v>
      </c>
      <c r="B197" t="s">
        <v>670</v>
      </c>
      <c r="C197" t="s">
        <v>671</v>
      </c>
      <c r="D197" t="s">
        <v>188</v>
      </c>
      <c r="E197">
        <v>63570.173000000003</v>
      </c>
      <c r="F197">
        <v>40124.416687195582</v>
      </c>
    </row>
    <row r="198" spans="1:6" x14ac:dyDescent="0.3">
      <c r="A198" t="s">
        <v>672</v>
      </c>
      <c r="B198" t="s">
        <v>58</v>
      </c>
      <c r="C198" t="s">
        <v>86</v>
      </c>
      <c r="D198" t="s">
        <v>232</v>
      </c>
      <c r="E198">
        <v>251545.7062500001</v>
      </c>
      <c r="F198">
        <v>19214.75062867544</v>
      </c>
    </row>
    <row r="199" spans="1:6" x14ac:dyDescent="0.3">
      <c r="A199" t="s">
        <v>673</v>
      </c>
      <c r="B199" t="s">
        <v>674</v>
      </c>
      <c r="C199" t="s">
        <v>675</v>
      </c>
      <c r="D199" t="s">
        <v>178</v>
      </c>
      <c r="E199">
        <v>234418.5362</v>
      </c>
      <c r="F199">
        <v>233275.22666756937</v>
      </c>
    </row>
    <row r="200" spans="1:6" x14ac:dyDescent="0.3">
      <c r="A200" t="s">
        <v>676</v>
      </c>
      <c r="B200" t="s">
        <v>677</v>
      </c>
      <c r="C200" t="s">
        <v>678</v>
      </c>
      <c r="D200" t="s">
        <v>303</v>
      </c>
      <c r="E200">
        <v>47419.639600000002</v>
      </c>
      <c r="F200">
        <v>28414.678634385073</v>
      </c>
    </row>
    <row r="201" spans="1:6" x14ac:dyDescent="0.3">
      <c r="A201" t="s">
        <v>679</v>
      </c>
      <c r="B201" t="s">
        <v>680</v>
      </c>
      <c r="C201" t="s">
        <v>280</v>
      </c>
      <c r="D201" t="s">
        <v>257</v>
      </c>
      <c r="E201">
        <v>35199.85409999999</v>
      </c>
      <c r="F201">
        <v>29470.014153020431</v>
      </c>
    </row>
    <row r="202" spans="1:6" x14ac:dyDescent="0.3">
      <c r="A202" t="s">
        <v>681</v>
      </c>
      <c r="B202" t="s">
        <v>682</v>
      </c>
      <c r="C202" t="s">
        <v>643</v>
      </c>
      <c r="D202" t="s">
        <v>192</v>
      </c>
      <c r="E202">
        <v>97962.862183999998</v>
      </c>
      <c r="F202">
        <v>56975.990529470371</v>
      </c>
    </row>
    <row r="203" spans="1:6" x14ac:dyDescent="0.3">
      <c r="A203" t="s">
        <v>683</v>
      </c>
      <c r="B203" t="s">
        <v>684</v>
      </c>
      <c r="C203" t="s">
        <v>685</v>
      </c>
      <c r="D203" t="s">
        <v>209</v>
      </c>
      <c r="E203">
        <v>29351.427199999998</v>
      </c>
      <c r="F203">
        <v>28203.868861133597</v>
      </c>
    </row>
    <row r="204" spans="1:6" x14ac:dyDescent="0.3">
      <c r="A204" t="s">
        <v>686</v>
      </c>
      <c r="B204" t="s">
        <v>687</v>
      </c>
      <c r="C204" t="s">
        <v>81</v>
      </c>
      <c r="D204" t="s">
        <v>232</v>
      </c>
      <c r="E204">
        <v>61786.355999999992</v>
      </c>
      <c r="F204">
        <v>39833.290219168477</v>
      </c>
    </row>
    <row r="205" spans="1:6" x14ac:dyDescent="0.3">
      <c r="A205" t="s">
        <v>688</v>
      </c>
      <c r="B205" t="s">
        <v>689</v>
      </c>
      <c r="C205" t="s">
        <v>341</v>
      </c>
      <c r="D205" t="s">
        <v>342</v>
      </c>
      <c r="E205">
        <v>30696.902500000004</v>
      </c>
      <c r="F205">
        <v>20024.608387466706</v>
      </c>
    </row>
    <row r="206" spans="1:6" x14ac:dyDescent="0.3">
      <c r="A206" t="s">
        <v>690</v>
      </c>
      <c r="B206" t="s">
        <v>691</v>
      </c>
      <c r="C206" t="s">
        <v>93</v>
      </c>
      <c r="D206" t="s">
        <v>232</v>
      </c>
      <c r="E206">
        <v>11082.454</v>
      </c>
      <c r="F206">
        <v>1041.6164535348087</v>
      </c>
    </row>
    <row r="207" spans="1:6" x14ac:dyDescent="0.3">
      <c r="A207" t="s">
        <v>692</v>
      </c>
      <c r="B207" t="s">
        <v>693</v>
      </c>
      <c r="C207" t="s">
        <v>694</v>
      </c>
      <c r="D207" t="s">
        <v>223</v>
      </c>
      <c r="E207">
        <v>16959.602199999998</v>
      </c>
      <c r="F207">
        <v>15919.37167990446</v>
      </c>
    </row>
    <row r="208" spans="1:6" x14ac:dyDescent="0.3">
      <c r="A208" t="s">
        <v>695</v>
      </c>
      <c r="B208" t="s">
        <v>696</v>
      </c>
      <c r="C208" t="s">
        <v>697</v>
      </c>
      <c r="D208" t="s">
        <v>223</v>
      </c>
      <c r="E208">
        <v>51081.410400000008</v>
      </c>
      <c r="F208">
        <v>30756.103263665522</v>
      </c>
    </row>
    <row r="209" spans="1:6" x14ac:dyDescent="0.3">
      <c r="A209" t="s">
        <v>698</v>
      </c>
      <c r="B209" t="s">
        <v>699</v>
      </c>
      <c r="C209" t="s">
        <v>226</v>
      </c>
      <c r="D209" t="s">
        <v>223</v>
      </c>
      <c r="E209">
        <v>1603.1</v>
      </c>
      <c r="F209">
        <v>1267.9406973087725</v>
      </c>
    </row>
    <row r="210" spans="1:6" x14ac:dyDescent="0.3">
      <c r="A210" t="s">
        <v>700</v>
      </c>
      <c r="B210" t="s">
        <v>701</v>
      </c>
      <c r="C210" t="s">
        <v>320</v>
      </c>
      <c r="D210" t="s">
        <v>236</v>
      </c>
      <c r="E210">
        <v>84243.656499999997</v>
      </c>
      <c r="F210">
        <v>130756.18200106433</v>
      </c>
    </row>
    <row r="211" spans="1:6" x14ac:dyDescent="0.3">
      <c r="A211" t="s">
        <v>702</v>
      </c>
      <c r="B211" t="s">
        <v>703</v>
      </c>
      <c r="C211" t="s">
        <v>222</v>
      </c>
      <c r="D211" t="s">
        <v>223</v>
      </c>
      <c r="E211">
        <v>81818.302879999974</v>
      </c>
      <c r="F211">
        <v>77591.359823686085</v>
      </c>
    </row>
    <row r="212" spans="1:6" x14ac:dyDescent="0.3">
      <c r="A212" t="s">
        <v>704</v>
      </c>
      <c r="B212" t="s">
        <v>705</v>
      </c>
      <c r="C212" t="s">
        <v>706</v>
      </c>
      <c r="D212" t="s">
        <v>178</v>
      </c>
      <c r="E212">
        <v>257055.33892000007</v>
      </c>
      <c r="F212">
        <v>209163.60637167341</v>
      </c>
    </row>
    <row r="213" spans="1:6" x14ac:dyDescent="0.3">
      <c r="A213" t="s">
        <v>707</v>
      </c>
      <c r="B213" t="s">
        <v>708</v>
      </c>
      <c r="C213" t="s">
        <v>294</v>
      </c>
      <c r="D213" t="s">
        <v>295</v>
      </c>
      <c r="E213">
        <v>108663.59781200001</v>
      </c>
      <c r="F213">
        <v>117079.7318367877</v>
      </c>
    </row>
    <row r="214" spans="1:6" x14ac:dyDescent="0.3">
      <c r="A214" t="s">
        <v>709</v>
      </c>
      <c r="B214" t="s">
        <v>710</v>
      </c>
      <c r="C214" t="s">
        <v>711</v>
      </c>
      <c r="D214" t="s">
        <v>236</v>
      </c>
      <c r="E214">
        <v>66471.293015999996</v>
      </c>
      <c r="F214">
        <v>84057.400431210102</v>
      </c>
    </row>
    <row r="215" spans="1:6" x14ac:dyDescent="0.3">
      <c r="A215" t="s">
        <v>712</v>
      </c>
      <c r="B215" t="s">
        <v>713</v>
      </c>
      <c r="C215" t="s">
        <v>714</v>
      </c>
      <c r="D215" t="s">
        <v>213</v>
      </c>
      <c r="E215">
        <v>174786.85313600002</v>
      </c>
      <c r="F215">
        <v>142446.47315274758</v>
      </c>
    </row>
    <row r="216" spans="1:6" x14ac:dyDescent="0.3">
      <c r="A216" t="s">
        <v>715</v>
      </c>
      <c r="B216" t="s">
        <v>716</v>
      </c>
      <c r="C216" t="s">
        <v>717</v>
      </c>
      <c r="D216" t="s">
        <v>342</v>
      </c>
      <c r="E216">
        <v>11030.603000000001</v>
      </c>
      <c r="F216">
        <v>7886.326543996337</v>
      </c>
    </row>
    <row r="217" spans="1:6" x14ac:dyDescent="0.3">
      <c r="A217" t="s">
        <v>718</v>
      </c>
      <c r="B217" t="s">
        <v>719</v>
      </c>
      <c r="C217" t="s">
        <v>720</v>
      </c>
      <c r="D217" t="s">
        <v>515</v>
      </c>
      <c r="E217">
        <v>37825.353800000012</v>
      </c>
      <c r="F217">
        <v>35580.389888192498</v>
      </c>
    </row>
    <row r="218" spans="1:6" x14ac:dyDescent="0.3">
      <c r="A218" t="s">
        <v>721</v>
      </c>
      <c r="B218" t="s">
        <v>722</v>
      </c>
      <c r="C218" t="s">
        <v>723</v>
      </c>
      <c r="D218" t="s">
        <v>236</v>
      </c>
      <c r="E218">
        <v>30598.070184</v>
      </c>
      <c r="F218">
        <v>24426.316168683334</v>
      </c>
    </row>
    <row r="219" spans="1:6" x14ac:dyDescent="0.3">
      <c r="A219" t="s">
        <v>724</v>
      </c>
      <c r="B219" t="s">
        <v>725</v>
      </c>
      <c r="C219" t="s">
        <v>280</v>
      </c>
      <c r="D219" t="s">
        <v>257</v>
      </c>
      <c r="E219">
        <v>126922.50080000007</v>
      </c>
      <c r="F219">
        <v>73258.973941094722</v>
      </c>
    </row>
    <row r="220" spans="1:6" x14ac:dyDescent="0.3">
      <c r="A220" t="s">
        <v>726</v>
      </c>
      <c r="B220" t="s">
        <v>727</v>
      </c>
      <c r="C220" t="s">
        <v>728</v>
      </c>
      <c r="D220" t="s">
        <v>236</v>
      </c>
      <c r="E220">
        <v>73429.289119999987</v>
      </c>
      <c r="F220">
        <v>71854.145940255577</v>
      </c>
    </row>
    <row r="221" spans="1:6" x14ac:dyDescent="0.3">
      <c r="A221" t="s">
        <v>729</v>
      </c>
      <c r="B221" t="s">
        <v>730</v>
      </c>
      <c r="C221" t="s">
        <v>731</v>
      </c>
      <c r="D221" t="s">
        <v>188</v>
      </c>
      <c r="E221">
        <v>19895.952799999999</v>
      </c>
      <c r="F221">
        <v>13951.626403049817</v>
      </c>
    </row>
    <row r="222" spans="1:6" x14ac:dyDescent="0.3">
      <c r="A222" t="s">
        <v>732</v>
      </c>
      <c r="B222" t="s">
        <v>733</v>
      </c>
      <c r="C222" t="s">
        <v>81</v>
      </c>
      <c r="D222" t="s">
        <v>232</v>
      </c>
      <c r="E222">
        <v>44740.833599999998</v>
      </c>
      <c r="F222">
        <v>7103.2057058461787</v>
      </c>
    </row>
    <row r="223" spans="1:6" x14ac:dyDescent="0.3">
      <c r="A223" t="s">
        <v>734</v>
      </c>
      <c r="B223" t="s">
        <v>735</v>
      </c>
      <c r="C223" t="s">
        <v>736</v>
      </c>
      <c r="D223" t="s">
        <v>240</v>
      </c>
      <c r="E223">
        <v>27334.87</v>
      </c>
      <c r="F223">
        <v>20276.65572831258</v>
      </c>
    </row>
    <row r="224" spans="1:6" x14ac:dyDescent="0.3">
      <c r="A224" t="s">
        <v>737</v>
      </c>
      <c r="B224" t="s">
        <v>738</v>
      </c>
      <c r="C224" t="s">
        <v>739</v>
      </c>
      <c r="D224" t="s">
        <v>303</v>
      </c>
      <c r="E224">
        <v>65796.029999999984</v>
      </c>
      <c r="F224">
        <v>56885.389289366554</v>
      </c>
    </row>
    <row r="225" spans="1:6" x14ac:dyDescent="0.3">
      <c r="A225" t="s">
        <v>740</v>
      </c>
      <c r="B225" t="s">
        <v>741</v>
      </c>
      <c r="C225" t="s">
        <v>742</v>
      </c>
      <c r="D225" t="s">
        <v>240</v>
      </c>
      <c r="E225">
        <v>38589.278400000003</v>
      </c>
      <c r="F225">
        <v>25118.01790999456</v>
      </c>
    </row>
    <row r="226" spans="1:6" x14ac:dyDescent="0.3">
      <c r="A226" t="s">
        <v>743</v>
      </c>
      <c r="B226" t="s">
        <v>744</v>
      </c>
      <c r="C226" t="s">
        <v>745</v>
      </c>
      <c r="D226" t="s">
        <v>240</v>
      </c>
      <c r="E226">
        <v>29146.302479999998</v>
      </c>
      <c r="F226">
        <v>28789.310097278914</v>
      </c>
    </row>
    <row r="227" spans="1:6" x14ac:dyDescent="0.3">
      <c r="A227" t="s">
        <v>746</v>
      </c>
      <c r="B227" t="s">
        <v>747</v>
      </c>
      <c r="C227" t="s">
        <v>277</v>
      </c>
      <c r="D227" t="s">
        <v>652</v>
      </c>
      <c r="E227">
        <v>146474.83259999999</v>
      </c>
      <c r="F227">
        <v>88793.039520117847</v>
      </c>
    </row>
    <row r="228" spans="1:6" x14ac:dyDescent="0.3">
      <c r="A228" t="s">
        <v>748</v>
      </c>
      <c r="B228" t="s">
        <v>749</v>
      </c>
      <c r="C228" t="s">
        <v>454</v>
      </c>
      <c r="D228" t="s">
        <v>652</v>
      </c>
      <c r="E228">
        <v>133276.95120000001</v>
      </c>
      <c r="F228">
        <v>114189.47485917859</v>
      </c>
    </row>
    <row r="229" spans="1:6" x14ac:dyDescent="0.3">
      <c r="A229" t="s">
        <v>750</v>
      </c>
      <c r="B229" t="s">
        <v>751</v>
      </c>
      <c r="C229" t="s">
        <v>752</v>
      </c>
      <c r="D229" t="s">
        <v>295</v>
      </c>
      <c r="E229">
        <v>18048.858</v>
      </c>
      <c r="F229">
        <v>14329.317993474273</v>
      </c>
    </row>
    <row r="230" spans="1:6" x14ac:dyDescent="0.3">
      <c r="A230" t="s">
        <v>753</v>
      </c>
      <c r="B230" t="s">
        <v>754</v>
      </c>
      <c r="C230" t="s">
        <v>755</v>
      </c>
      <c r="D230" t="s">
        <v>342</v>
      </c>
      <c r="E230">
        <v>177556.45197600007</v>
      </c>
      <c r="F230">
        <v>128651.28849598562</v>
      </c>
    </row>
    <row r="231" spans="1:6" x14ac:dyDescent="0.3">
      <c r="A231" t="s">
        <v>756</v>
      </c>
      <c r="B231" t="s">
        <v>757</v>
      </c>
      <c r="C231" t="s">
        <v>358</v>
      </c>
      <c r="D231" t="s">
        <v>240</v>
      </c>
      <c r="E231">
        <v>148055.26620000001</v>
      </c>
      <c r="F231">
        <v>136714.54773222501</v>
      </c>
    </row>
    <row r="232" spans="1:6" x14ac:dyDescent="0.3">
      <c r="A232" t="s">
        <v>758</v>
      </c>
      <c r="B232" t="s">
        <v>759</v>
      </c>
      <c r="C232" t="s">
        <v>288</v>
      </c>
      <c r="D232" t="s">
        <v>261</v>
      </c>
      <c r="E232">
        <v>256461.20373000001</v>
      </c>
      <c r="F232">
        <v>131821.24577780243</v>
      </c>
    </row>
    <row r="233" spans="1:6" x14ac:dyDescent="0.3">
      <c r="A233" t="s">
        <v>760</v>
      </c>
      <c r="B233" t="s">
        <v>761</v>
      </c>
      <c r="C233" t="s">
        <v>762</v>
      </c>
      <c r="D233" t="s">
        <v>342</v>
      </c>
      <c r="E233">
        <v>58732.144000000008</v>
      </c>
      <c r="F233">
        <v>35505.950795076744</v>
      </c>
    </row>
    <row r="234" spans="1:6" x14ac:dyDescent="0.3">
      <c r="A234" t="s">
        <v>763</v>
      </c>
      <c r="B234" t="s">
        <v>764</v>
      </c>
      <c r="C234" t="s">
        <v>765</v>
      </c>
      <c r="D234" t="s">
        <v>515</v>
      </c>
      <c r="E234">
        <v>20316.043280000002</v>
      </c>
      <c r="F234">
        <v>15290.830425560967</v>
      </c>
    </row>
    <row r="235" spans="1:6" x14ac:dyDescent="0.3">
      <c r="A235" t="s">
        <v>766</v>
      </c>
      <c r="B235" t="s">
        <v>767</v>
      </c>
      <c r="C235" t="s">
        <v>299</v>
      </c>
      <c r="D235" t="s">
        <v>295</v>
      </c>
      <c r="E235">
        <v>32771.3024</v>
      </c>
      <c r="F235">
        <v>57828.704065994207</v>
      </c>
    </row>
    <row r="236" spans="1:6" x14ac:dyDescent="0.3">
      <c r="A236" t="s">
        <v>768</v>
      </c>
      <c r="B236" t="s">
        <v>769</v>
      </c>
      <c r="C236" t="s">
        <v>770</v>
      </c>
      <c r="D236" t="s">
        <v>240</v>
      </c>
      <c r="E236">
        <v>32495.743999999995</v>
      </c>
      <c r="F236">
        <v>24567.271522209143</v>
      </c>
    </row>
    <row r="237" spans="1:6" x14ac:dyDescent="0.3">
      <c r="A237" t="s">
        <v>771</v>
      </c>
      <c r="B237" t="s">
        <v>772</v>
      </c>
      <c r="C237" t="s">
        <v>773</v>
      </c>
      <c r="D237" t="s">
        <v>188</v>
      </c>
      <c r="E237">
        <v>37059.839980000012</v>
      </c>
      <c r="F237">
        <v>28697.987956037632</v>
      </c>
    </row>
    <row r="238" spans="1:6" x14ac:dyDescent="0.3">
      <c r="A238" t="s">
        <v>774</v>
      </c>
      <c r="B238" t="s">
        <v>775</v>
      </c>
      <c r="C238" t="s">
        <v>88</v>
      </c>
      <c r="D238" t="s">
        <v>232</v>
      </c>
      <c r="E238">
        <v>812.4</v>
      </c>
      <c r="F238">
        <v>744.30830420710652</v>
      </c>
    </row>
    <row r="239" spans="1:6" x14ac:dyDescent="0.3">
      <c r="A239" t="s">
        <v>776</v>
      </c>
      <c r="B239" t="s">
        <v>777</v>
      </c>
      <c r="C239" t="s">
        <v>514</v>
      </c>
      <c r="D239" t="s">
        <v>515</v>
      </c>
      <c r="E239">
        <v>93772.114391999989</v>
      </c>
      <c r="F239">
        <v>50474.599370218704</v>
      </c>
    </row>
    <row r="240" spans="1:6" x14ac:dyDescent="0.3">
      <c r="A240" t="s">
        <v>778</v>
      </c>
      <c r="B240" t="s">
        <v>779</v>
      </c>
      <c r="C240" t="s">
        <v>177</v>
      </c>
      <c r="D240" t="s">
        <v>178</v>
      </c>
      <c r="E240">
        <v>92315.859763999993</v>
      </c>
      <c r="F240">
        <v>62477.338109583805</v>
      </c>
    </row>
    <row r="241" spans="1:6" x14ac:dyDescent="0.3">
      <c r="A241" t="s">
        <v>780</v>
      </c>
      <c r="B241" t="s">
        <v>781</v>
      </c>
      <c r="C241" t="s">
        <v>782</v>
      </c>
      <c r="D241" t="s">
        <v>295</v>
      </c>
      <c r="E241">
        <v>16756.694</v>
      </c>
      <c r="F241">
        <v>14565.559464126303</v>
      </c>
    </row>
    <row r="242" spans="1:6" x14ac:dyDescent="0.3">
      <c r="A242" t="s">
        <v>783</v>
      </c>
      <c r="B242" t="s">
        <v>784</v>
      </c>
      <c r="C242" t="s">
        <v>785</v>
      </c>
      <c r="D242" t="s">
        <v>261</v>
      </c>
      <c r="E242">
        <v>32454.938999999995</v>
      </c>
      <c r="F242">
        <v>19141.361735278362</v>
      </c>
    </row>
    <row r="243" spans="1:6" x14ac:dyDescent="0.3">
      <c r="A243" t="s">
        <v>786</v>
      </c>
      <c r="B243" t="s">
        <v>787</v>
      </c>
      <c r="C243" t="s">
        <v>492</v>
      </c>
      <c r="D243" t="s">
        <v>192</v>
      </c>
      <c r="E243">
        <v>97320.778000000006</v>
      </c>
      <c r="F243">
        <v>64466.372763452157</v>
      </c>
    </row>
    <row r="244" spans="1:6" x14ac:dyDescent="0.3">
      <c r="A244" t="s">
        <v>788</v>
      </c>
      <c r="B244" t="s">
        <v>789</v>
      </c>
      <c r="C244" t="s">
        <v>790</v>
      </c>
      <c r="D244" t="s">
        <v>213</v>
      </c>
      <c r="E244">
        <v>40390.749199999998</v>
      </c>
      <c r="F244">
        <v>34190.264495685544</v>
      </c>
    </row>
    <row r="245" spans="1:6" x14ac:dyDescent="0.3">
      <c r="A245" t="s">
        <v>791</v>
      </c>
      <c r="B245" t="s">
        <v>792</v>
      </c>
      <c r="C245" t="s">
        <v>793</v>
      </c>
      <c r="D245" t="s">
        <v>192</v>
      </c>
      <c r="E245">
        <v>47947.354751999999</v>
      </c>
      <c r="F245">
        <v>31181.544292709408</v>
      </c>
    </row>
    <row r="246" spans="1:6" x14ac:dyDescent="0.3">
      <c r="A246" t="s">
        <v>794</v>
      </c>
      <c r="B246" t="s">
        <v>795</v>
      </c>
      <c r="C246" t="s">
        <v>326</v>
      </c>
      <c r="D246" t="s">
        <v>652</v>
      </c>
      <c r="E246">
        <v>313287.61360000004</v>
      </c>
      <c r="F246">
        <v>170285.18973581961</v>
      </c>
    </row>
    <row r="247" spans="1:6" x14ac:dyDescent="0.3">
      <c r="A247" t="s">
        <v>796</v>
      </c>
      <c r="B247" t="s">
        <v>797</v>
      </c>
      <c r="C247" t="s">
        <v>280</v>
      </c>
      <c r="D247" t="s">
        <v>257</v>
      </c>
      <c r="E247">
        <v>2877.056</v>
      </c>
      <c r="F247">
        <v>2126.629203811327</v>
      </c>
    </row>
    <row r="248" spans="1:6" x14ac:dyDescent="0.3">
      <c r="A248" t="s">
        <v>798</v>
      </c>
      <c r="B248" t="s">
        <v>799</v>
      </c>
      <c r="C248" t="s">
        <v>81</v>
      </c>
      <c r="D248" t="s">
        <v>232</v>
      </c>
      <c r="E248">
        <v>129959.92400000003</v>
      </c>
      <c r="F248">
        <v>75155.343453675232</v>
      </c>
    </row>
    <row r="249" spans="1:6" x14ac:dyDescent="0.3">
      <c r="A249" t="s">
        <v>800</v>
      </c>
      <c r="B249" t="s">
        <v>801</v>
      </c>
      <c r="C249" t="s">
        <v>260</v>
      </c>
      <c r="D249" t="s">
        <v>261</v>
      </c>
      <c r="E249">
        <v>104035.81416800001</v>
      </c>
      <c r="F249">
        <v>88846.817998696788</v>
      </c>
    </row>
    <row r="250" spans="1:6" x14ac:dyDescent="0.3">
      <c r="A250" t="s">
        <v>802</v>
      </c>
      <c r="B250" t="s">
        <v>803</v>
      </c>
      <c r="C250" t="s">
        <v>264</v>
      </c>
      <c r="D250" t="s">
        <v>192</v>
      </c>
      <c r="E250">
        <v>60115.520399999994</v>
      </c>
      <c r="F250">
        <v>44559.937315534502</v>
      </c>
    </row>
    <row r="251" spans="1:6" x14ac:dyDescent="0.3">
      <c r="A251" t="s">
        <v>804</v>
      </c>
      <c r="B251" t="s">
        <v>805</v>
      </c>
      <c r="C251" t="s">
        <v>374</v>
      </c>
      <c r="D251" t="s">
        <v>303</v>
      </c>
      <c r="E251">
        <v>915662.31726000027</v>
      </c>
      <c r="F251">
        <v>694540.68598599499</v>
      </c>
    </row>
    <row r="252" spans="1:6" x14ac:dyDescent="0.3">
      <c r="A252" t="s">
        <v>806</v>
      </c>
      <c r="B252" t="s">
        <v>807</v>
      </c>
      <c r="C252" t="s">
        <v>280</v>
      </c>
      <c r="D252" t="s">
        <v>257</v>
      </c>
      <c r="E252">
        <v>88792.604800000016</v>
      </c>
      <c r="F252">
        <v>53977.951828729478</v>
      </c>
    </row>
    <row r="253" spans="1:6" x14ac:dyDescent="0.3">
      <c r="A253" t="s">
        <v>808</v>
      </c>
      <c r="B253" t="s">
        <v>809</v>
      </c>
      <c r="C253" t="s">
        <v>810</v>
      </c>
      <c r="D253" t="s">
        <v>209</v>
      </c>
      <c r="E253">
        <v>160577.41225599998</v>
      </c>
      <c r="F253">
        <v>140809.74995576887</v>
      </c>
    </row>
    <row r="254" spans="1:6" x14ac:dyDescent="0.3">
      <c r="A254" t="s">
        <v>811</v>
      </c>
      <c r="B254" t="s">
        <v>812</v>
      </c>
      <c r="C254" t="s">
        <v>83</v>
      </c>
      <c r="D254" t="s">
        <v>232</v>
      </c>
      <c r="E254">
        <v>22979.535200000002</v>
      </c>
      <c r="F254">
        <v>14574.070793404973</v>
      </c>
    </row>
    <row r="255" spans="1:6" x14ac:dyDescent="0.3">
      <c r="A255" t="s">
        <v>813</v>
      </c>
      <c r="B255" t="s">
        <v>814</v>
      </c>
      <c r="C255" t="s">
        <v>815</v>
      </c>
      <c r="D255" t="s">
        <v>303</v>
      </c>
      <c r="E255">
        <v>55467.549199999987</v>
      </c>
      <c r="F255">
        <v>43699.840109842356</v>
      </c>
    </row>
    <row r="256" spans="1:6" x14ac:dyDescent="0.3">
      <c r="A256" t="s">
        <v>816</v>
      </c>
      <c r="B256" t="s">
        <v>817</v>
      </c>
      <c r="C256" t="s">
        <v>91</v>
      </c>
      <c r="D256" t="s">
        <v>232</v>
      </c>
      <c r="E256">
        <v>63350.243199999997</v>
      </c>
      <c r="F256">
        <v>23340.920231854023</v>
      </c>
    </row>
    <row r="257" spans="1:6" x14ac:dyDescent="0.3">
      <c r="A257" t="s">
        <v>818</v>
      </c>
      <c r="B257" t="s">
        <v>71</v>
      </c>
      <c r="C257" t="s">
        <v>86</v>
      </c>
      <c r="D257" t="s">
        <v>232</v>
      </c>
      <c r="E257">
        <v>47018.001600000003</v>
      </c>
      <c r="F257">
        <v>36462.95362853499</v>
      </c>
    </row>
    <row r="258" spans="1:6" x14ac:dyDescent="0.3">
      <c r="A258" t="s">
        <v>819</v>
      </c>
      <c r="B258" t="s">
        <v>820</v>
      </c>
      <c r="C258" t="s">
        <v>821</v>
      </c>
      <c r="D258" t="s">
        <v>652</v>
      </c>
      <c r="E258">
        <v>26776.117600000001</v>
      </c>
      <c r="F258">
        <v>15768.48482731679</v>
      </c>
    </row>
    <row r="259" spans="1:6" x14ac:dyDescent="0.3">
      <c r="A259" t="s">
        <v>822</v>
      </c>
      <c r="B259" t="s">
        <v>823</v>
      </c>
      <c r="C259" t="s">
        <v>739</v>
      </c>
      <c r="D259" t="s">
        <v>303</v>
      </c>
      <c r="E259">
        <v>54941.203959999999</v>
      </c>
      <c r="F259">
        <v>53971.555947398352</v>
      </c>
    </row>
    <row r="260" spans="1:6" x14ac:dyDescent="0.3">
      <c r="A260" t="s">
        <v>824</v>
      </c>
      <c r="B260" t="s">
        <v>825</v>
      </c>
      <c r="C260" t="s">
        <v>88</v>
      </c>
      <c r="D260" t="s">
        <v>232</v>
      </c>
      <c r="E260">
        <v>69132.501231999981</v>
      </c>
      <c r="F260">
        <v>52203.104997488474</v>
      </c>
    </row>
    <row r="261" spans="1:6" x14ac:dyDescent="0.3">
      <c r="A261" t="s">
        <v>826</v>
      </c>
      <c r="B261" t="s">
        <v>827</v>
      </c>
      <c r="C261" t="s">
        <v>195</v>
      </c>
      <c r="D261" t="s">
        <v>196</v>
      </c>
      <c r="E261">
        <v>80669.376799999853</v>
      </c>
      <c r="F261">
        <v>45479.422041063881</v>
      </c>
    </row>
    <row r="262" spans="1:6" x14ac:dyDescent="0.3">
      <c r="A262" t="s">
        <v>828</v>
      </c>
      <c r="B262" t="s">
        <v>829</v>
      </c>
      <c r="C262" t="s">
        <v>830</v>
      </c>
      <c r="D262" t="s">
        <v>236</v>
      </c>
      <c r="E262">
        <v>10815.735500000001</v>
      </c>
      <c r="F262">
        <v>6247.0606368726494</v>
      </c>
    </row>
    <row r="263" spans="1:6" x14ac:dyDescent="0.3">
      <c r="A263" t="s">
        <v>831</v>
      </c>
      <c r="B263" t="s">
        <v>832</v>
      </c>
      <c r="C263" t="s">
        <v>509</v>
      </c>
      <c r="D263" t="s">
        <v>240</v>
      </c>
      <c r="E263">
        <v>208659.79108000002</v>
      </c>
      <c r="F263">
        <v>136515.80386805924</v>
      </c>
    </row>
    <row r="264" spans="1:6" x14ac:dyDescent="0.3">
      <c r="A264" t="s">
        <v>833</v>
      </c>
      <c r="B264" t="s">
        <v>834</v>
      </c>
      <c r="C264" t="s">
        <v>835</v>
      </c>
      <c r="D264" t="s">
        <v>652</v>
      </c>
      <c r="E264">
        <v>24895.047600000002</v>
      </c>
      <c r="F264">
        <v>24563.003960359652</v>
      </c>
    </row>
    <row r="265" spans="1:6" x14ac:dyDescent="0.3">
      <c r="A265" t="s">
        <v>836</v>
      </c>
      <c r="B265" t="s">
        <v>837</v>
      </c>
      <c r="C265" t="s">
        <v>838</v>
      </c>
      <c r="D265" t="s">
        <v>257</v>
      </c>
      <c r="E265">
        <v>31590.162575999995</v>
      </c>
      <c r="F265">
        <v>16692.370608054152</v>
      </c>
    </row>
    <row r="266" spans="1:6" x14ac:dyDescent="0.3">
      <c r="A266" t="s">
        <v>839</v>
      </c>
      <c r="B266" t="s">
        <v>840</v>
      </c>
      <c r="C266" t="s">
        <v>302</v>
      </c>
      <c r="D266" t="s">
        <v>303</v>
      </c>
      <c r="E266">
        <v>56550.14439999999</v>
      </c>
      <c r="F266">
        <v>50195.567763726096</v>
      </c>
    </row>
    <row r="267" spans="1:6" x14ac:dyDescent="0.3">
      <c r="A267" t="s">
        <v>841</v>
      </c>
      <c r="B267" t="s">
        <v>842</v>
      </c>
      <c r="C267" t="s">
        <v>843</v>
      </c>
      <c r="D267" t="s">
        <v>240</v>
      </c>
      <c r="E267">
        <v>72467.542320000008</v>
      </c>
      <c r="F267">
        <v>62496.884834003205</v>
      </c>
    </row>
    <row r="268" spans="1:6" x14ac:dyDescent="0.3">
      <c r="A268" t="s">
        <v>844</v>
      </c>
      <c r="B268" t="s">
        <v>845</v>
      </c>
      <c r="C268" t="s">
        <v>235</v>
      </c>
      <c r="D268" t="s">
        <v>236</v>
      </c>
      <c r="E268">
        <v>28540.421999999999</v>
      </c>
      <c r="F268">
        <v>24873.966579198859</v>
      </c>
    </row>
    <row r="269" spans="1:6" x14ac:dyDescent="0.3">
      <c r="A269" t="s">
        <v>846</v>
      </c>
      <c r="B269" t="s">
        <v>847</v>
      </c>
      <c r="C269" t="s">
        <v>299</v>
      </c>
      <c r="D269" t="s">
        <v>848</v>
      </c>
      <c r="E269">
        <v>68944.754400000005</v>
      </c>
      <c r="F269">
        <v>29250.454628354648</v>
      </c>
    </row>
    <row r="270" spans="1:6" x14ac:dyDescent="0.3">
      <c r="A270" t="s">
        <v>849</v>
      </c>
      <c r="B270" t="s">
        <v>850</v>
      </c>
      <c r="C270" t="s">
        <v>86</v>
      </c>
      <c r="D270" t="s">
        <v>232</v>
      </c>
      <c r="E270">
        <v>22724</v>
      </c>
      <c r="F270">
        <v>4466.0790200396841</v>
      </c>
    </row>
    <row r="271" spans="1:6" x14ac:dyDescent="0.3">
      <c r="A271" t="s">
        <v>851</v>
      </c>
      <c r="B271" t="s">
        <v>852</v>
      </c>
      <c r="C271" t="s">
        <v>84</v>
      </c>
      <c r="D271" t="s">
        <v>232</v>
      </c>
      <c r="E271">
        <v>136284</v>
      </c>
      <c r="F271">
        <v>61680.103608114805</v>
      </c>
    </row>
    <row r="272" spans="1:6" x14ac:dyDescent="0.3">
      <c r="A272" t="s">
        <v>853</v>
      </c>
      <c r="B272" t="s">
        <v>854</v>
      </c>
      <c r="C272" t="s">
        <v>81</v>
      </c>
      <c r="D272" t="s">
        <v>232</v>
      </c>
      <c r="E272">
        <v>152761</v>
      </c>
      <c r="F272">
        <v>86832.960867592148</v>
      </c>
    </row>
    <row r="273" spans="1:6" x14ac:dyDescent="0.3">
      <c r="A273" t="s">
        <v>855</v>
      </c>
      <c r="B273" t="s">
        <v>856</v>
      </c>
      <c r="C273" t="s">
        <v>857</v>
      </c>
      <c r="D273" t="s">
        <v>192</v>
      </c>
      <c r="E273">
        <v>35753.831999999995</v>
      </c>
      <c r="F273">
        <v>34257.278507969153</v>
      </c>
    </row>
    <row r="274" spans="1:6" x14ac:dyDescent="0.3">
      <c r="A274" t="s">
        <v>858</v>
      </c>
      <c r="B274" t="s">
        <v>859</v>
      </c>
      <c r="C274" t="s">
        <v>860</v>
      </c>
      <c r="D274" t="s">
        <v>192</v>
      </c>
      <c r="E274">
        <v>35991.846000000005</v>
      </c>
      <c r="F274">
        <v>30207.914641453117</v>
      </c>
    </row>
    <row r="275" spans="1:6" x14ac:dyDescent="0.3">
      <c r="A275" t="s">
        <v>861</v>
      </c>
      <c r="B275" t="s">
        <v>862</v>
      </c>
      <c r="C275" t="s">
        <v>83</v>
      </c>
      <c r="D275" t="s">
        <v>232</v>
      </c>
      <c r="E275">
        <v>36620.83728</v>
      </c>
      <c r="F275">
        <v>11610.612907422201</v>
      </c>
    </row>
    <row r="276" spans="1:6" x14ac:dyDescent="0.3">
      <c r="A276" t="s">
        <v>863</v>
      </c>
      <c r="B276" t="s">
        <v>864</v>
      </c>
      <c r="C276" t="s">
        <v>84</v>
      </c>
      <c r="D276" t="s">
        <v>232</v>
      </c>
      <c r="E276">
        <v>21399</v>
      </c>
      <c r="F276">
        <v>17570.84919894964</v>
      </c>
    </row>
    <row r="277" spans="1:6" x14ac:dyDescent="0.3">
      <c r="A277" t="s">
        <v>865</v>
      </c>
      <c r="B277" t="s">
        <v>61</v>
      </c>
      <c r="C277" t="s">
        <v>84</v>
      </c>
      <c r="D277" t="s">
        <v>232</v>
      </c>
      <c r="E277">
        <v>156737</v>
      </c>
      <c r="F277">
        <v>123213.64071313376</v>
      </c>
    </row>
    <row r="278" spans="1:6" x14ac:dyDescent="0.3">
      <c r="A278" t="s">
        <v>866</v>
      </c>
      <c r="B278" t="s">
        <v>867</v>
      </c>
      <c r="C278" t="s">
        <v>84</v>
      </c>
      <c r="D278" t="s">
        <v>232</v>
      </c>
      <c r="E278">
        <v>97661</v>
      </c>
      <c r="F278">
        <v>43395.029752507151</v>
      </c>
    </row>
    <row r="279" spans="1:6" x14ac:dyDescent="0.3">
      <c r="A279" t="s">
        <v>868</v>
      </c>
      <c r="B279" t="s">
        <v>869</v>
      </c>
      <c r="C279" t="s">
        <v>83</v>
      </c>
      <c r="D279" t="s">
        <v>232</v>
      </c>
      <c r="E279">
        <v>101924.88160000001</v>
      </c>
      <c r="F279">
        <v>68251.613256207391</v>
      </c>
    </row>
    <row r="280" spans="1:6" x14ac:dyDescent="0.3">
      <c r="A280" t="s">
        <v>870</v>
      </c>
      <c r="B280" t="s">
        <v>871</v>
      </c>
      <c r="C280" t="s">
        <v>87</v>
      </c>
      <c r="D280" t="s">
        <v>232</v>
      </c>
      <c r="E280">
        <v>60525.494399999996</v>
      </c>
      <c r="F280">
        <v>5138.849705816694</v>
      </c>
    </row>
    <row r="281" spans="1:6" x14ac:dyDescent="0.3">
      <c r="A281" t="s">
        <v>872</v>
      </c>
      <c r="B281" t="s">
        <v>873</v>
      </c>
      <c r="C281" t="s">
        <v>80</v>
      </c>
      <c r="D281" t="s">
        <v>232</v>
      </c>
      <c r="E281">
        <v>81737.72</v>
      </c>
      <c r="F281">
        <v>67307.695444082405</v>
      </c>
    </row>
    <row r="282" spans="1:6" x14ac:dyDescent="0.3">
      <c r="A282" t="s">
        <v>874</v>
      </c>
      <c r="B282" t="s">
        <v>875</v>
      </c>
      <c r="C282" t="s">
        <v>876</v>
      </c>
      <c r="D282" t="s">
        <v>240</v>
      </c>
      <c r="E282">
        <v>30123.931999999993</v>
      </c>
      <c r="F282">
        <v>24414.176973295562</v>
      </c>
    </row>
    <row r="283" spans="1:6" x14ac:dyDescent="0.3">
      <c r="A283" t="s">
        <v>877</v>
      </c>
      <c r="B283" t="s">
        <v>878</v>
      </c>
      <c r="C283" t="s">
        <v>89</v>
      </c>
      <c r="D283" t="s">
        <v>232</v>
      </c>
      <c r="E283">
        <v>28283.360000000001</v>
      </c>
      <c r="F283">
        <v>6489.8369612275828</v>
      </c>
    </row>
    <row r="284" spans="1:6" x14ac:dyDescent="0.3">
      <c r="A284" t="s">
        <v>879</v>
      </c>
      <c r="B284" t="s">
        <v>880</v>
      </c>
      <c r="C284" t="s">
        <v>83</v>
      </c>
      <c r="D284" t="s">
        <v>232</v>
      </c>
      <c r="E284">
        <v>85524.036800000002</v>
      </c>
      <c r="F284">
        <v>57868.480364122479</v>
      </c>
    </row>
    <row r="285" spans="1:6" x14ac:dyDescent="0.3">
      <c r="A285" t="s">
        <v>881</v>
      </c>
      <c r="B285" t="s">
        <v>882</v>
      </c>
      <c r="C285" t="s">
        <v>85</v>
      </c>
      <c r="D285" t="s">
        <v>232</v>
      </c>
      <c r="E285">
        <v>121180</v>
      </c>
      <c r="F285">
        <v>73367.308383054638</v>
      </c>
    </row>
    <row r="286" spans="1:6" x14ac:dyDescent="0.3">
      <c r="A286" t="s">
        <v>883</v>
      </c>
      <c r="B286" t="s">
        <v>884</v>
      </c>
      <c r="C286" t="s">
        <v>83</v>
      </c>
      <c r="D286" t="s">
        <v>232</v>
      </c>
      <c r="E286">
        <v>43101.428800000009</v>
      </c>
      <c r="F286">
        <v>14793.643655087924</v>
      </c>
    </row>
    <row r="287" spans="1:6" x14ac:dyDescent="0.3">
      <c r="A287" t="s">
        <v>885</v>
      </c>
      <c r="B287" t="s">
        <v>886</v>
      </c>
      <c r="C287" t="s">
        <v>80</v>
      </c>
      <c r="D287" t="s">
        <v>232</v>
      </c>
      <c r="E287">
        <v>30083.262999999999</v>
      </c>
      <c r="F287">
        <v>6448.8527245637169</v>
      </c>
    </row>
    <row r="288" spans="1:6" x14ac:dyDescent="0.3">
      <c r="A288" t="s">
        <v>887</v>
      </c>
      <c r="B288" t="s">
        <v>888</v>
      </c>
      <c r="C288" t="s">
        <v>889</v>
      </c>
      <c r="D288" t="s">
        <v>213</v>
      </c>
      <c r="E288">
        <v>4774.866</v>
      </c>
      <c r="F288">
        <v>2596.6290419285569</v>
      </c>
    </row>
    <row r="289" spans="1:6" x14ac:dyDescent="0.3">
      <c r="A289" t="s">
        <v>890</v>
      </c>
      <c r="B289" t="s">
        <v>891</v>
      </c>
      <c r="C289" t="s">
        <v>195</v>
      </c>
      <c r="D289" t="s">
        <v>196</v>
      </c>
      <c r="E289">
        <v>155916.67039999994</v>
      </c>
      <c r="F289">
        <v>141047.92448249474</v>
      </c>
    </row>
    <row r="290" spans="1:6" x14ac:dyDescent="0.3">
      <c r="A290" t="s">
        <v>892</v>
      </c>
      <c r="B290" t="s">
        <v>48</v>
      </c>
      <c r="C290" t="s">
        <v>84</v>
      </c>
      <c r="D290" t="s">
        <v>232</v>
      </c>
      <c r="E290">
        <v>28498</v>
      </c>
      <c r="F290">
        <v>26302.187589666148</v>
      </c>
    </row>
    <row r="291" spans="1:6" x14ac:dyDescent="0.3">
      <c r="A291" t="s">
        <v>893</v>
      </c>
      <c r="B291" t="s">
        <v>894</v>
      </c>
      <c r="C291" t="s">
        <v>895</v>
      </c>
      <c r="D291" t="s">
        <v>515</v>
      </c>
      <c r="E291">
        <v>8453.2919999999995</v>
      </c>
      <c r="F291">
        <v>7116.4408615289431</v>
      </c>
    </row>
    <row r="292" spans="1:6" x14ac:dyDescent="0.3">
      <c r="A292" t="s">
        <v>896</v>
      </c>
      <c r="B292" t="s">
        <v>897</v>
      </c>
      <c r="C292" t="s">
        <v>92</v>
      </c>
      <c r="D292" t="s">
        <v>232</v>
      </c>
      <c r="E292">
        <v>18188.14</v>
      </c>
      <c r="F292">
        <v>5989.241978045161</v>
      </c>
    </row>
    <row r="293" spans="1:6" x14ac:dyDescent="0.3">
      <c r="A293" t="s">
        <v>898</v>
      </c>
      <c r="B293" t="s">
        <v>899</v>
      </c>
      <c r="C293" t="s">
        <v>374</v>
      </c>
      <c r="D293" t="s">
        <v>303</v>
      </c>
      <c r="E293">
        <v>212097.34368000005</v>
      </c>
      <c r="F293">
        <v>195126.29171952399</v>
      </c>
    </row>
    <row r="294" spans="1:6" x14ac:dyDescent="0.3">
      <c r="A294" t="s">
        <v>900</v>
      </c>
      <c r="B294" t="s">
        <v>901</v>
      </c>
      <c r="C294" t="s">
        <v>545</v>
      </c>
      <c r="D294" t="s">
        <v>244</v>
      </c>
      <c r="E294">
        <v>102510.704</v>
      </c>
      <c r="F294">
        <v>100066.75872567765</v>
      </c>
    </row>
    <row r="295" spans="1:6" x14ac:dyDescent="0.3">
      <c r="A295" t="s">
        <v>902</v>
      </c>
      <c r="B295" t="s">
        <v>903</v>
      </c>
      <c r="C295" t="s">
        <v>399</v>
      </c>
      <c r="D295" t="s">
        <v>178</v>
      </c>
      <c r="E295">
        <v>15446.662200000001</v>
      </c>
      <c r="F295">
        <v>14838.898656696385</v>
      </c>
    </row>
    <row r="296" spans="1:6" x14ac:dyDescent="0.3">
      <c r="A296" t="s">
        <v>904</v>
      </c>
      <c r="B296" t="s">
        <v>905</v>
      </c>
      <c r="C296" t="s">
        <v>415</v>
      </c>
      <c r="D296" t="s">
        <v>196</v>
      </c>
      <c r="E296">
        <v>988.46715999999992</v>
      </c>
      <c r="F296">
        <v>802.11503448134351</v>
      </c>
    </row>
    <row r="297" spans="1:6" x14ac:dyDescent="0.3">
      <c r="A297" t="s">
        <v>906</v>
      </c>
      <c r="B297" t="s">
        <v>907</v>
      </c>
      <c r="C297" t="s">
        <v>908</v>
      </c>
      <c r="D297" t="s">
        <v>303</v>
      </c>
      <c r="E297">
        <v>86167.323000000004</v>
      </c>
      <c r="F297">
        <v>44896.283284376179</v>
      </c>
    </row>
    <row r="298" spans="1:6" x14ac:dyDescent="0.3">
      <c r="A298" t="s">
        <v>909</v>
      </c>
      <c r="B298" t="s">
        <v>910</v>
      </c>
      <c r="C298" t="s">
        <v>387</v>
      </c>
      <c r="D298" t="s">
        <v>192</v>
      </c>
      <c r="E298">
        <v>992</v>
      </c>
      <c r="F298">
        <v>822.19737580427818</v>
      </c>
    </row>
    <row r="299" spans="1:6" x14ac:dyDescent="0.3">
      <c r="A299" t="s">
        <v>911</v>
      </c>
      <c r="B299" t="s">
        <v>912</v>
      </c>
      <c r="C299" t="s">
        <v>82</v>
      </c>
      <c r="D299" t="s">
        <v>232</v>
      </c>
      <c r="E299">
        <v>24867.994599999998</v>
      </c>
      <c r="F299">
        <v>12643.490413589292</v>
      </c>
    </row>
    <row r="300" spans="1:6" x14ac:dyDescent="0.3">
      <c r="A300" t="s">
        <v>913</v>
      </c>
      <c r="B300" t="s">
        <v>914</v>
      </c>
      <c r="C300" t="s">
        <v>396</v>
      </c>
      <c r="D300" t="s">
        <v>303</v>
      </c>
      <c r="E300">
        <v>78898.866688000024</v>
      </c>
      <c r="F300">
        <v>50726.18983792072</v>
      </c>
    </row>
    <row r="301" spans="1:6" x14ac:dyDescent="0.3">
      <c r="A301" t="s">
        <v>915</v>
      </c>
      <c r="B301" t="s">
        <v>916</v>
      </c>
      <c r="C301" t="s">
        <v>917</v>
      </c>
      <c r="D301" t="s">
        <v>178</v>
      </c>
      <c r="E301">
        <v>181698.8492</v>
      </c>
      <c r="F301">
        <v>117103.09112964336</v>
      </c>
    </row>
    <row r="302" spans="1:6" x14ac:dyDescent="0.3">
      <c r="A302" t="s">
        <v>918</v>
      </c>
      <c r="B302" t="s">
        <v>919</v>
      </c>
      <c r="C302" t="s">
        <v>358</v>
      </c>
      <c r="D302" t="s">
        <v>240</v>
      </c>
      <c r="E302">
        <v>174052.40560000122</v>
      </c>
      <c r="F302">
        <v>159707.41577659897</v>
      </c>
    </row>
    <row r="303" spans="1:6" x14ac:dyDescent="0.3">
      <c r="A303" t="s">
        <v>920</v>
      </c>
      <c r="B303" t="s">
        <v>921</v>
      </c>
      <c r="C303" t="s">
        <v>329</v>
      </c>
      <c r="D303" t="s">
        <v>213</v>
      </c>
      <c r="E303">
        <v>75613.1774</v>
      </c>
      <c r="F303">
        <v>73803.790096546465</v>
      </c>
    </row>
    <row r="304" spans="1:6" x14ac:dyDescent="0.3">
      <c r="A304" t="s">
        <v>922</v>
      </c>
      <c r="B304" t="s">
        <v>923</v>
      </c>
      <c r="C304" t="s">
        <v>646</v>
      </c>
      <c r="D304" t="s">
        <v>209</v>
      </c>
      <c r="E304">
        <v>4777.1779999999999</v>
      </c>
      <c r="F304">
        <v>4350.5015096113329</v>
      </c>
    </row>
    <row r="305" spans="1:6" x14ac:dyDescent="0.3">
      <c r="A305" t="s">
        <v>924</v>
      </c>
      <c r="B305" t="s">
        <v>925</v>
      </c>
      <c r="C305" t="s">
        <v>82</v>
      </c>
      <c r="D305" t="s">
        <v>232</v>
      </c>
      <c r="E305">
        <v>128071</v>
      </c>
      <c r="F305">
        <v>23560.66190357352</v>
      </c>
    </row>
    <row r="306" spans="1:6" x14ac:dyDescent="0.3">
      <c r="A306" t="s">
        <v>926</v>
      </c>
      <c r="B306" t="s">
        <v>927</v>
      </c>
      <c r="C306" t="s">
        <v>82</v>
      </c>
      <c r="D306" t="s">
        <v>232</v>
      </c>
      <c r="E306">
        <v>25674</v>
      </c>
      <c r="F306">
        <v>4075.4628127403316</v>
      </c>
    </row>
    <row r="307" spans="1:6" x14ac:dyDescent="0.3">
      <c r="A307" t="s">
        <v>928</v>
      </c>
      <c r="B307" t="s">
        <v>929</v>
      </c>
      <c r="C307" t="s">
        <v>930</v>
      </c>
      <c r="D307" t="s">
        <v>213</v>
      </c>
      <c r="E307">
        <v>15190.0034</v>
      </c>
      <c r="F307">
        <v>11980.655646770481</v>
      </c>
    </row>
    <row r="308" spans="1:6" x14ac:dyDescent="0.3">
      <c r="A308" t="s">
        <v>931</v>
      </c>
      <c r="B308" t="s">
        <v>70</v>
      </c>
      <c r="C308" t="s">
        <v>84</v>
      </c>
      <c r="D308" t="s">
        <v>232</v>
      </c>
      <c r="E308">
        <v>44237</v>
      </c>
      <c r="F308">
        <v>31992.051864244233</v>
      </c>
    </row>
    <row r="309" spans="1:6" x14ac:dyDescent="0.3">
      <c r="A309" t="s">
        <v>932</v>
      </c>
      <c r="B309" t="s">
        <v>933</v>
      </c>
      <c r="C309" t="s">
        <v>229</v>
      </c>
      <c r="D309" t="s">
        <v>209</v>
      </c>
      <c r="E309">
        <v>36029.847999999998</v>
      </c>
      <c r="F309">
        <v>22249.25065895357</v>
      </c>
    </row>
    <row r="310" spans="1:6" x14ac:dyDescent="0.3">
      <c r="A310" t="s">
        <v>934</v>
      </c>
      <c r="B310" t="s">
        <v>935</v>
      </c>
      <c r="C310" t="s">
        <v>936</v>
      </c>
      <c r="D310" t="s">
        <v>209</v>
      </c>
      <c r="E310">
        <v>15318.569000000001</v>
      </c>
      <c r="F310">
        <v>8354.7783180489751</v>
      </c>
    </row>
    <row r="311" spans="1:6" x14ac:dyDescent="0.3">
      <c r="A311" t="s">
        <v>937</v>
      </c>
      <c r="B311" t="s">
        <v>938</v>
      </c>
      <c r="C311" t="s">
        <v>939</v>
      </c>
      <c r="D311" t="s">
        <v>223</v>
      </c>
      <c r="E311">
        <v>136016.63000000003</v>
      </c>
      <c r="F311">
        <v>78646.011974443958</v>
      </c>
    </row>
    <row r="312" spans="1:6" x14ac:dyDescent="0.3">
      <c r="A312" t="s">
        <v>940</v>
      </c>
      <c r="B312" t="s">
        <v>941</v>
      </c>
      <c r="C312" t="s">
        <v>268</v>
      </c>
      <c r="D312" t="s">
        <v>223</v>
      </c>
      <c r="E312">
        <v>75281.012159999998</v>
      </c>
      <c r="F312">
        <v>70123.253710439923</v>
      </c>
    </row>
    <row r="313" spans="1:6" x14ac:dyDescent="0.3">
      <c r="A313" t="s">
        <v>942</v>
      </c>
      <c r="B313" t="s">
        <v>943</v>
      </c>
      <c r="C313" t="s">
        <v>396</v>
      </c>
      <c r="D313" t="s">
        <v>303</v>
      </c>
      <c r="E313">
        <v>302726.10640000005</v>
      </c>
      <c r="F313">
        <v>254510.73541105355</v>
      </c>
    </row>
    <row r="314" spans="1:6" x14ac:dyDescent="0.3">
      <c r="A314" t="s">
        <v>944</v>
      </c>
      <c r="B314" t="s">
        <v>945</v>
      </c>
      <c r="C314" t="s">
        <v>320</v>
      </c>
      <c r="D314" t="s">
        <v>236</v>
      </c>
      <c r="E314">
        <v>72761.729000000007</v>
      </c>
      <c r="F314">
        <v>82462.8260942583</v>
      </c>
    </row>
    <row r="315" spans="1:6" x14ac:dyDescent="0.3">
      <c r="A315" t="s">
        <v>946</v>
      </c>
      <c r="B315" t="s">
        <v>947</v>
      </c>
      <c r="C315" t="s">
        <v>948</v>
      </c>
      <c r="D315" t="s">
        <v>196</v>
      </c>
      <c r="E315">
        <v>6475.3150000000005</v>
      </c>
      <c r="F315">
        <v>4763.7853450350649</v>
      </c>
    </row>
    <row r="316" spans="1:6" x14ac:dyDescent="0.3">
      <c r="A316" t="s">
        <v>949</v>
      </c>
      <c r="B316" t="s">
        <v>950</v>
      </c>
      <c r="C316" t="s">
        <v>939</v>
      </c>
      <c r="D316" t="s">
        <v>223</v>
      </c>
      <c r="E316">
        <v>109160.65</v>
      </c>
      <c r="F316">
        <v>70389.602550253549</v>
      </c>
    </row>
    <row r="317" spans="1:6" x14ac:dyDescent="0.3">
      <c r="A317" t="s">
        <v>951</v>
      </c>
      <c r="B317" t="s">
        <v>952</v>
      </c>
      <c r="C317" t="s">
        <v>82</v>
      </c>
      <c r="D317" t="s">
        <v>232</v>
      </c>
      <c r="E317">
        <v>58899.704799999992</v>
      </c>
      <c r="F317">
        <v>17011.759078401352</v>
      </c>
    </row>
    <row r="318" spans="1:6" x14ac:dyDescent="0.3">
      <c r="A318" t="s">
        <v>953</v>
      </c>
      <c r="B318" t="s">
        <v>954</v>
      </c>
      <c r="C318" t="s">
        <v>955</v>
      </c>
      <c r="D318" t="s">
        <v>240</v>
      </c>
      <c r="E318">
        <v>188355.95884800001</v>
      </c>
      <c r="F318">
        <v>138365.84635776113</v>
      </c>
    </row>
    <row r="319" spans="1:6" x14ac:dyDescent="0.3">
      <c r="A319" t="s">
        <v>956</v>
      </c>
      <c r="B319" t="s">
        <v>957</v>
      </c>
      <c r="C319" t="s">
        <v>320</v>
      </c>
      <c r="D319" t="s">
        <v>236</v>
      </c>
      <c r="E319">
        <v>164359.3688</v>
      </c>
      <c r="F319">
        <v>245696.20288108461</v>
      </c>
    </row>
    <row r="320" spans="1:6" x14ac:dyDescent="0.3">
      <c r="A320" t="s">
        <v>958</v>
      </c>
      <c r="B320" t="s">
        <v>959</v>
      </c>
      <c r="C320" t="s">
        <v>960</v>
      </c>
      <c r="D320" t="s">
        <v>213</v>
      </c>
      <c r="E320">
        <v>17024.246768000001</v>
      </c>
      <c r="F320">
        <v>8752.2345551872895</v>
      </c>
    </row>
    <row r="321" spans="1:6" x14ac:dyDescent="0.3">
      <c r="A321" t="s">
        <v>961</v>
      </c>
      <c r="B321" t="s">
        <v>962</v>
      </c>
      <c r="C321" t="s">
        <v>396</v>
      </c>
      <c r="D321" t="s">
        <v>303</v>
      </c>
      <c r="E321">
        <v>111222.08240000001</v>
      </c>
      <c r="F321">
        <v>58292.063633398015</v>
      </c>
    </row>
    <row r="322" spans="1:6" x14ac:dyDescent="0.3">
      <c r="A322" t="s">
        <v>963</v>
      </c>
      <c r="B322" t="s">
        <v>964</v>
      </c>
      <c r="C322" t="s">
        <v>212</v>
      </c>
      <c r="D322" t="s">
        <v>213</v>
      </c>
      <c r="E322">
        <v>127834.68328</v>
      </c>
      <c r="F322">
        <v>78664.942768521476</v>
      </c>
    </row>
    <row r="323" spans="1:6" x14ac:dyDescent="0.3">
      <c r="A323" t="s">
        <v>965</v>
      </c>
      <c r="B323" t="s">
        <v>966</v>
      </c>
      <c r="C323" t="s">
        <v>202</v>
      </c>
      <c r="D323" t="s">
        <v>196</v>
      </c>
      <c r="E323">
        <v>136677.71803000008</v>
      </c>
      <c r="F323">
        <v>100089.18841141539</v>
      </c>
    </row>
    <row r="324" spans="1:6" x14ac:dyDescent="0.3">
      <c r="A324" t="s">
        <v>967</v>
      </c>
      <c r="B324" t="s">
        <v>968</v>
      </c>
      <c r="C324" t="s">
        <v>320</v>
      </c>
      <c r="D324" t="s">
        <v>236</v>
      </c>
      <c r="E324">
        <v>108153.5196</v>
      </c>
      <c r="F324">
        <v>101146.39732736572</v>
      </c>
    </row>
    <row r="325" spans="1:6" x14ac:dyDescent="0.3">
      <c r="A325" t="s">
        <v>969</v>
      </c>
      <c r="B325" t="s">
        <v>970</v>
      </c>
      <c r="C325" t="s">
        <v>380</v>
      </c>
      <c r="D325" t="s">
        <v>196</v>
      </c>
      <c r="E325">
        <v>24180.088959999997</v>
      </c>
      <c r="F325">
        <v>17657.675162675252</v>
      </c>
    </row>
    <row r="326" spans="1:6" x14ac:dyDescent="0.3">
      <c r="A326" t="s">
        <v>971</v>
      </c>
      <c r="B326" t="s">
        <v>972</v>
      </c>
      <c r="C326" t="s">
        <v>399</v>
      </c>
      <c r="D326" t="s">
        <v>178</v>
      </c>
      <c r="E326">
        <v>88629.416799999948</v>
      </c>
      <c r="F326">
        <v>53841.634805694113</v>
      </c>
    </row>
    <row r="327" spans="1:6" x14ac:dyDescent="0.3">
      <c r="A327" t="s">
        <v>973</v>
      </c>
      <c r="B327" t="s">
        <v>974</v>
      </c>
      <c r="C327" t="s">
        <v>177</v>
      </c>
      <c r="D327" t="s">
        <v>178</v>
      </c>
      <c r="E327">
        <v>209570.068</v>
      </c>
      <c r="F327">
        <v>239927.40773712823</v>
      </c>
    </row>
    <row r="328" spans="1:6" x14ac:dyDescent="0.3">
      <c r="A328" t="s">
        <v>975</v>
      </c>
      <c r="B328" t="s">
        <v>976</v>
      </c>
      <c r="C328" t="s">
        <v>977</v>
      </c>
      <c r="D328" t="s">
        <v>213</v>
      </c>
      <c r="E328">
        <v>4182.1900000000005</v>
      </c>
      <c r="F328">
        <v>2411.821136270572</v>
      </c>
    </row>
    <row r="329" spans="1:6" x14ac:dyDescent="0.3">
      <c r="A329" t="s">
        <v>978</v>
      </c>
      <c r="B329" t="s">
        <v>979</v>
      </c>
      <c r="C329" t="s">
        <v>980</v>
      </c>
      <c r="D329" t="s">
        <v>178</v>
      </c>
      <c r="E329">
        <v>254743.07920000001</v>
      </c>
      <c r="F329">
        <v>189418.16059678671</v>
      </c>
    </row>
    <row r="330" spans="1:6" x14ac:dyDescent="0.3">
      <c r="A330" t="s">
        <v>981</v>
      </c>
      <c r="B330" t="s">
        <v>982</v>
      </c>
      <c r="C330" t="s">
        <v>983</v>
      </c>
      <c r="D330" t="s">
        <v>244</v>
      </c>
      <c r="E330">
        <v>14308.3732</v>
      </c>
      <c r="F330">
        <v>10376.474756271997</v>
      </c>
    </row>
    <row r="331" spans="1:6" x14ac:dyDescent="0.3">
      <c r="A331" t="s">
        <v>984</v>
      </c>
      <c r="B331" t="s">
        <v>985</v>
      </c>
      <c r="C331" t="s">
        <v>762</v>
      </c>
      <c r="D331" t="s">
        <v>342</v>
      </c>
      <c r="E331">
        <v>562.79999999999995</v>
      </c>
      <c r="F331">
        <v>445.05324141456362</v>
      </c>
    </row>
    <row r="332" spans="1:6" x14ac:dyDescent="0.3">
      <c r="A332" t="s">
        <v>986</v>
      </c>
      <c r="B332" t="s">
        <v>987</v>
      </c>
      <c r="C332" t="s">
        <v>675</v>
      </c>
      <c r="D332" t="s">
        <v>178</v>
      </c>
      <c r="E332">
        <v>263086.84227999998</v>
      </c>
      <c r="F332">
        <v>310334.84007218661</v>
      </c>
    </row>
    <row r="333" spans="1:6" x14ac:dyDescent="0.3">
      <c r="A333" t="s">
        <v>988</v>
      </c>
      <c r="B333" t="s">
        <v>989</v>
      </c>
      <c r="C333" t="s">
        <v>990</v>
      </c>
      <c r="D333" t="s">
        <v>303</v>
      </c>
      <c r="E333">
        <v>33062.908000000003</v>
      </c>
      <c r="F333">
        <v>18119.317997176029</v>
      </c>
    </row>
    <row r="334" spans="1:6" x14ac:dyDescent="0.3">
      <c r="A334" t="s">
        <v>991</v>
      </c>
      <c r="B334" t="s">
        <v>992</v>
      </c>
      <c r="C334" t="s">
        <v>993</v>
      </c>
      <c r="D334" t="s">
        <v>236</v>
      </c>
      <c r="E334">
        <v>7159.7940000000008</v>
      </c>
      <c r="F334">
        <v>5302.8289420757883</v>
      </c>
    </row>
    <row r="335" spans="1:6" x14ac:dyDescent="0.3">
      <c r="A335" t="s">
        <v>994</v>
      </c>
      <c r="B335" t="s">
        <v>995</v>
      </c>
      <c r="C335" t="s">
        <v>545</v>
      </c>
      <c r="D335" t="s">
        <v>244</v>
      </c>
      <c r="E335">
        <v>58994.794399999999</v>
      </c>
      <c r="F335">
        <v>34850.123815175066</v>
      </c>
    </row>
    <row r="336" spans="1:6" x14ac:dyDescent="0.3">
      <c r="A336" t="s">
        <v>996</v>
      </c>
      <c r="B336" t="s">
        <v>997</v>
      </c>
      <c r="C336" t="s">
        <v>226</v>
      </c>
      <c r="D336" t="s">
        <v>223</v>
      </c>
      <c r="E336">
        <v>44748.619560000006</v>
      </c>
      <c r="F336">
        <v>23520.045007862151</v>
      </c>
    </row>
    <row r="337" spans="1:6" x14ac:dyDescent="0.3">
      <c r="A337" t="s">
        <v>998</v>
      </c>
      <c r="B337" t="s">
        <v>999</v>
      </c>
      <c r="C337" t="s">
        <v>1000</v>
      </c>
      <c r="D337" t="s">
        <v>240</v>
      </c>
      <c r="E337">
        <v>7914.2</v>
      </c>
      <c r="F337">
        <v>4329.8388937788377</v>
      </c>
    </row>
    <row r="338" spans="1:6" x14ac:dyDescent="0.3">
      <c r="A338" t="s">
        <v>1001</v>
      </c>
      <c r="B338" t="s">
        <v>1002</v>
      </c>
      <c r="C338" t="s">
        <v>1003</v>
      </c>
      <c r="D338" t="s">
        <v>213</v>
      </c>
      <c r="E338">
        <v>9810.0020000000004</v>
      </c>
      <c r="F338">
        <v>9528.9601741072038</v>
      </c>
    </row>
    <row r="339" spans="1:6" x14ac:dyDescent="0.3">
      <c r="A339" t="s">
        <v>1004</v>
      </c>
      <c r="B339" t="s">
        <v>1005</v>
      </c>
      <c r="C339" t="s">
        <v>380</v>
      </c>
      <c r="D339" t="s">
        <v>196</v>
      </c>
      <c r="E339">
        <v>10097.011199999999</v>
      </c>
      <c r="F339">
        <v>7546.5708023826273</v>
      </c>
    </row>
    <row r="340" spans="1:6" x14ac:dyDescent="0.3">
      <c r="A340" t="s">
        <v>1006</v>
      </c>
      <c r="B340" t="s">
        <v>1007</v>
      </c>
      <c r="C340" t="s">
        <v>583</v>
      </c>
      <c r="D340" t="s">
        <v>295</v>
      </c>
      <c r="E340">
        <v>65208.082399999999</v>
      </c>
      <c r="F340">
        <v>68469.093375867873</v>
      </c>
    </row>
    <row r="341" spans="1:6" x14ac:dyDescent="0.3">
      <c r="A341" t="s">
        <v>1008</v>
      </c>
      <c r="B341" t="s">
        <v>1009</v>
      </c>
      <c r="C341" t="s">
        <v>418</v>
      </c>
      <c r="D341" t="s">
        <v>295</v>
      </c>
      <c r="E341">
        <v>79568.526400000002</v>
      </c>
      <c r="F341">
        <v>72209.563272378</v>
      </c>
    </row>
    <row r="342" spans="1:6" x14ac:dyDescent="0.3">
      <c r="A342" t="s">
        <v>1010</v>
      </c>
      <c r="B342" t="s">
        <v>1011</v>
      </c>
      <c r="C342" t="s">
        <v>495</v>
      </c>
      <c r="D342" t="s">
        <v>209</v>
      </c>
      <c r="E342">
        <v>78585.644</v>
      </c>
      <c r="F342">
        <v>40592.162386800162</v>
      </c>
    </row>
    <row r="343" spans="1:6" x14ac:dyDescent="0.3">
      <c r="A343" t="s">
        <v>1012</v>
      </c>
      <c r="B343" t="s">
        <v>1013</v>
      </c>
      <c r="C343" t="s">
        <v>83</v>
      </c>
      <c r="D343" t="s">
        <v>232</v>
      </c>
      <c r="E343">
        <v>18423.816000000003</v>
      </c>
      <c r="F343">
        <v>14115.360143831762</v>
      </c>
    </row>
    <row r="344" spans="1:6" x14ac:dyDescent="0.3">
      <c r="A344" t="s">
        <v>1014</v>
      </c>
      <c r="B344" t="s">
        <v>1015</v>
      </c>
      <c r="C344" t="s">
        <v>219</v>
      </c>
      <c r="D344" t="s">
        <v>178</v>
      </c>
      <c r="E344">
        <v>9179.003200000001</v>
      </c>
      <c r="F344">
        <v>7398.3948433777077</v>
      </c>
    </row>
    <row r="345" spans="1:6" x14ac:dyDescent="0.3">
      <c r="A345" t="s">
        <v>1016</v>
      </c>
      <c r="B345" t="s">
        <v>1017</v>
      </c>
      <c r="C345" t="s">
        <v>191</v>
      </c>
      <c r="D345" t="s">
        <v>192</v>
      </c>
      <c r="E345">
        <v>57679.062240000021</v>
      </c>
      <c r="F345">
        <v>50277.416761565088</v>
      </c>
    </row>
    <row r="346" spans="1:6" x14ac:dyDescent="0.3">
      <c r="A346" t="s">
        <v>1018</v>
      </c>
      <c r="B346" t="s">
        <v>1019</v>
      </c>
      <c r="C346" t="s">
        <v>277</v>
      </c>
      <c r="D346" t="s">
        <v>244</v>
      </c>
      <c r="E346">
        <v>226591.89121600005</v>
      </c>
      <c r="F346">
        <v>192567.10468269431</v>
      </c>
    </row>
    <row r="347" spans="1:6" x14ac:dyDescent="0.3">
      <c r="A347" t="s">
        <v>1020</v>
      </c>
      <c r="B347" t="s">
        <v>1021</v>
      </c>
      <c r="C347" t="s">
        <v>1022</v>
      </c>
      <c r="D347" t="s">
        <v>209</v>
      </c>
      <c r="E347">
        <v>10915.963999999998</v>
      </c>
      <c r="F347">
        <v>6128.8888496442323</v>
      </c>
    </row>
    <row r="348" spans="1:6" x14ac:dyDescent="0.3">
      <c r="A348" t="s">
        <v>1023</v>
      </c>
      <c r="B348" t="s">
        <v>1024</v>
      </c>
      <c r="C348" t="s">
        <v>1022</v>
      </c>
      <c r="D348" t="s">
        <v>209</v>
      </c>
      <c r="E348">
        <v>10574.821920000002</v>
      </c>
      <c r="F348">
        <v>7139.4944566891663</v>
      </c>
    </row>
    <row r="349" spans="1:6" x14ac:dyDescent="0.3">
      <c r="A349" t="s">
        <v>1025</v>
      </c>
      <c r="B349" t="s">
        <v>1026</v>
      </c>
      <c r="C349" t="s">
        <v>1022</v>
      </c>
      <c r="D349" t="s">
        <v>209</v>
      </c>
      <c r="E349">
        <v>55725.488000000005</v>
      </c>
      <c r="F349">
        <v>39903.891120565633</v>
      </c>
    </row>
    <row r="350" spans="1:6" x14ac:dyDescent="0.3">
      <c r="A350" t="s">
        <v>1027</v>
      </c>
      <c r="B350" t="s">
        <v>1028</v>
      </c>
      <c r="C350" t="s">
        <v>177</v>
      </c>
      <c r="D350" t="s">
        <v>178</v>
      </c>
      <c r="E350">
        <v>100315.1920800001</v>
      </c>
      <c r="F350">
        <v>79853.319256114235</v>
      </c>
    </row>
    <row r="351" spans="1:6" x14ac:dyDescent="0.3">
      <c r="A351" t="s">
        <v>1029</v>
      </c>
      <c r="B351" t="s">
        <v>1030</v>
      </c>
      <c r="C351" t="s">
        <v>1031</v>
      </c>
      <c r="D351" t="s">
        <v>240</v>
      </c>
      <c r="E351">
        <v>152375.52720000001</v>
      </c>
      <c r="F351">
        <v>115093.04409752171</v>
      </c>
    </row>
    <row r="352" spans="1:6" x14ac:dyDescent="0.3">
      <c r="A352" t="s">
        <v>1032</v>
      </c>
      <c r="B352" t="s">
        <v>1033</v>
      </c>
      <c r="C352" t="s">
        <v>739</v>
      </c>
      <c r="D352" t="s">
        <v>303</v>
      </c>
      <c r="E352">
        <v>196389.15221999996</v>
      </c>
      <c r="F352">
        <v>142756.75835792307</v>
      </c>
    </row>
    <row r="353" spans="1:6" x14ac:dyDescent="0.3">
      <c r="A353" t="s">
        <v>1034</v>
      </c>
      <c r="B353" t="s">
        <v>1035</v>
      </c>
      <c r="C353" t="s">
        <v>570</v>
      </c>
      <c r="D353" t="s">
        <v>209</v>
      </c>
      <c r="E353">
        <v>11586.945199999998</v>
      </c>
      <c r="F353">
        <v>8981.0461011515545</v>
      </c>
    </row>
    <row r="354" spans="1:6" x14ac:dyDescent="0.3">
      <c r="A354" t="s">
        <v>1036</v>
      </c>
      <c r="B354" t="s">
        <v>1037</v>
      </c>
      <c r="C354" t="s">
        <v>545</v>
      </c>
      <c r="D354" t="s">
        <v>244</v>
      </c>
      <c r="E354">
        <v>233360.91520000002</v>
      </c>
      <c r="F354">
        <v>126391.2294828013</v>
      </c>
    </row>
    <row r="355" spans="1:6" x14ac:dyDescent="0.3">
      <c r="A355" t="s">
        <v>1038</v>
      </c>
      <c r="B355" t="s">
        <v>1039</v>
      </c>
      <c r="C355" t="s">
        <v>83</v>
      </c>
      <c r="D355" t="s">
        <v>232</v>
      </c>
      <c r="E355">
        <v>4817.9873200000002</v>
      </c>
      <c r="F355">
        <v>692.78872385898842</v>
      </c>
    </row>
    <row r="356" spans="1:6" x14ac:dyDescent="0.3">
      <c r="A356" t="s">
        <v>1040</v>
      </c>
      <c r="B356" t="s">
        <v>1041</v>
      </c>
      <c r="C356" t="s">
        <v>706</v>
      </c>
      <c r="D356" t="s">
        <v>178</v>
      </c>
      <c r="E356">
        <v>147837.19080000001</v>
      </c>
      <c r="F356">
        <v>192966.90960390755</v>
      </c>
    </row>
    <row r="357" spans="1:6" x14ac:dyDescent="0.3">
      <c r="A357" t="s">
        <v>1042</v>
      </c>
      <c r="B357" t="s">
        <v>1043</v>
      </c>
      <c r="C357" t="s">
        <v>239</v>
      </c>
      <c r="D357" t="s">
        <v>240</v>
      </c>
      <c r="E357">
        <v>35032.186400000006</v>
      </c>
      <c r="F357">
        <v>29713.705830555322</v>
      </c>
    </row>
    <row r="358" spans="1:6" x14ac:dyDescent="0.3">
      <c r="A358" t="s">
        <v>1044</v>
      </c>
      <c r="B358" t="s">
        <v>1045</v>
      </c>
      <c r="C358" t="s">
        <v>239</v>
      </c>
      <c r="D358" t="s">
        <v>240</v>
      </c>
      <c r="E358">
        <v>17379.603599999999</v>
      </c>
      <c r="F358">
        <v>11804.773454599797</v>
      </c>
    </row>
    <row r="359" spans="1:6" x14ac:dyDescent="0.3">
      <c r="A359" t="s">
        <v>1046</v>
      </c>
      <c r="B359" t="s">
        <v>1047</v>
      </c>
      <c r="C359" t="s">
        <v>222</v>
      </c>
      <c r="D359" t="s">
        <v>223</v>
      </c>
      <c r="E359">
        <v>72315.708000000013</v>
      </c>
      <c r="F359">
        <v>44224.249184426844</v>
      </c>
    </row>
    <row r="360" spans="1:6" x14ac:dyDescent="0.3">
      <c r="A360" t="s">
        <v>1048</v>
      </c>
      <c r="B360" t="s">
        <v>1049</v>
      </c>
      <c r="C360" t="s">
        <v>341</v>
      </c>
      <c r="D360" t="s">
        <v>342</v>
      </c>
      <c r="E360">
        <v>106318.52624000001</v>
      </c>
      <c r="F360">
        <v>82073.556248401321</v>
      </c>
    </row>
    <row r="361" spans="1:6" x14ac:dyDescent="0.3">
      <c r="A361" t="s">
        <v>1050</v>
      </c>
      <c r="B361" t="s">
        <v>1051</v>
      </c>
      <c r="C361" t="s">
        <v>222</v>
      </c>
      <c r="D361" t="s">
        <v>223</v>
      </c>
      <c r="E361">
        <v>88509.479999999967</v>
      </c>
      <c r="F361">
        <v>64150.604739119692</v>
      </c>
    </row>
    <row r="362" spans="1:6" x14ac:dyDescent="0.3">
      <c r="A362" t="s">
        <v>1052</v>
      </c>
      <c r="B362" t="s">
        <v>1053</v>
      </c>
      <c r="C362" t="s">
        <v>583</v>
      </c>
      <c r="D362" t="s">
        <v>295</v>
      </c>
      <c r="E362">
        <v>10314</v>
      </c>
      <c r="F362">
        <v>9290.7403717080451</v>
      </c>
    </row>
    <row r="363" spans="1:6" x14ac:dyDescent="0.3">
      <c r="A363" t="s">
        <v>1054</v>
      </c>
      <c r="B363" t="s">
        <v>1055</v>
      </c>
      <c r="C363" t="s">
        <v>277</v>
      </c>
      <c r="D363" t="s">
        <v>244</v>
      </c>
      <c r="E363">
        <v>117947.0123</v>
      </c>
      <c r="F363">
        <v>101812.95897605437</v>
      </c>
    </row>
    <row r="364" spans="1:6" x14ac:dyDescent="0.3">
      <c r="A364" t="s">
        <v>1056</v>
      </c>
      <c r="B364" t="s">
        <v>1057</v>
      </c>
      <c r="C364" t="s">
        <v>514</v>
      </c>
      <c r="D364" t="s">
        <v>515</v>
      </c>
      <c r="E364">
        <v>277764.2378</v>
      </c>
      <c r="F364">
        <v>230718.82912378825</v>
      </c>
    </row>
    <row r="365" spans="1:6" x14ac:dyDescent="0.3">
      <c r="A365" t="s">
        <v>1058</v>
      </c>
      <c r="B365" t="s">
        <v>1059</v>
      </c>
      <c r="C365" t="s">
        <v>706</v>
      </c>
      <c r="D365" t="s">
        <v>178</v>
      </c>
      <c r="E365">
        <v>18441.606400000001</v>
      </c>
      <c r="F365">
        <v>14800.304375402906</v>
      </c>
    </row>
    <row r="366" spans="1:6" x14ac:dyDescent="0.3">
      <c r="A366" t="s">
        <v>1060</v>
      </c>
      <c r="B366" t="s">
        <v>1061</v>
      </c>
      <c r="C366" t="s">
        <v>1062</v>
      </c>
      <c r="D366" t="s">
        <v>178</v>
      </c>
      <c r="E366">
        <v>12297.647200000001</v>
      </c>
      <c r="F366">
        <v>10196.345529401904</v>
      </c>
    </row>
    <row r="367" spans="1:6" x14ac:dyDescent="0.3">
      <c r="A367" t="s">
        <v>1063</v>
      </c>
      <c r="B367" t="s">
        <v>1064</v>
      </c>
      <c r="C367" t="s">
        <v>603</v>
      </c>
      <c r="D367" t="s">
        <v>178</v>
      </c>
      <c r="E367">
        <v>237964.58704000001</v>
      </c>
      <c r="F367">
        <v>223632.27732051196</v>
      </c>
    </row>
    <row r="368" spans="1:6" x14ac:dyDescent="0.3">
      <c r="A368" t="s">
        <v>1065</v>
      </c>
      <c r="B368" t="s">
        <v>1066</v>
      </c>
      <c r="C368" t="s">
        <v>614</v>
      </c>
      <c r="D368" t="s">
        <v>223</v>
      </c>
      <c r="E368">
        <v>21889.714800000002</v>
      </c>
      <c r="F368">
        <v>11757.565777181857</v>
      </c>
    </row>
    <row r="369" spans="1:6" x14ac:dyDescent="0.3">
      <c r="A369" t="s">
        <v>1067</v>
      </c>
      <c r="B369" t="s">
        <v>1068</v>
      </c>
      <c r="C369" t="s">
        <v>1069</v>
      </c>
      <c r="D369" t="s">
        <v>261</v>
      </c>
      <c r="E369">
        <v>58982.020999999993</v>
      </c>
      <c r="F369">
        <v>46581.00307469684</v>
      </c>
    </row>
    <row r="370" spans="1:6" x14ac:dyDescent="0.3">
      <c r="A370" t="s">
        <v>1070</v>
      </c>
      <c r="B370" t="s">
        <v>1071</v>
      </c>
      <c r="C370" t="s">
        <v>208</v>
      </c>
      <c r="D370" t="s">
        <v>209</v>
      </c>
      <c r="E370">
        <v>21942.911999999997</v>
      </c>
      <c r="F370">
        <v>17348.873453192311</v>
      </c>
    </row>
    <row r="371" spans="1:6" x14ac:dyDescent="0.3">
      <c r="A371" t="s">
        <v>1072</v>
      </c>
      <c r="B371" t="s">
        <v>1073</v>
      </c>
      <c r="C371" t="s">
        <v>583</v>
      </c>
      <c r="D371" t="s">
        <v>295</v>
      </c>
      <c r="E371">
        <v>41443.206100000003</v>
      </c>
      <c r="F371">
        <v>44515.472937896418</v>
      </c>
    </row>
    <row r="372" spans="1:6" x14ac:dyDescent="0.3">
      <c r="A372" t="s">
        <v>1074</v>
      </c>
      <c r="B372" t="s">
        <v>1075</v>
      </c>
      <c r="C372" t="s">
        <v>1076</v>
      </c>
      <c r="D372" t="s">
        <v>223</v>
      </c>
      <c r="E372">
        <v>21525.972599999997</v>
      </c>
      <c r="F372">
        <v>17132.830039280794</v>
      </c>
    </row>
    <row r="373" spans="1:6" x14ac:dyDescent="0.3">
      <c r="A373" t="s">
        <v>1077</v>
      </c>
      <c r="B373" t="s">
        <v>1078</v>
      </c>
      <c r="C373" t="s">
        <v>462</v>
      </c>
      <c r="D373" t="s">
        <v>303</v>
      </c>
      <c r="E373">
        <v>194022.03933200001</v>
      </c>
      <c r="F373">
        <v>145842.31911415109</v>
      </c>
    </row>
    <row r="374" spans="1:6" x14ac:dyDescent="0.3">
      <c r="A374" t="s">
        <v>1079</v>
      </c>
      <c r="B374" t="s">
        <v>1080</v>
      </c>
      <c r="C374" t="s">
        <v>195</v>
      </c>
      <c r="D374" t="s">
        <v>196</v>
      </c>
      <c r="E374">
        <v>329756.60399999982</v>
      </c>
      <c r="F374">
        <v>323615.18895742303</v>
      </c>
    </row>
    <row r="375" spans="1:6" x14ac:dyDescent="0.3">
      <c r="A375" t="s">
        <v>1081</v>
      </c>
      <c r="B375" t="s">
        <v>1082</v>
      </c>
      <c r="C375" t="s">
        <v>195</v>
      </c>
      <c r="D375" t="s">
        <v>196</v>
      </c>
      <c r="E375">
        <v>123307.79000000007</v>
      </c>
      <c r="F375">
        <v>115983.03613713509</v>
      </c>
    </row>
    <row r="376" spans="1:6" x14ac:dyDescent="0.3">
      <c r="A376" t="s">
        <v>1083</v>
      </c>
      <c r="B376" t="s">
        <v>1084</v>
      </c>
      <c r="C376" t="s">
        <v>235</v>
      </c>
      <c r="D376" t="s">
        <v>236</v>
      </c>
      <c r="E376">
        <v>2547.4810000000002</v>
      </c>
      <c r="F376">
        <v>1527.9093783324754</v>
      </c>
    </row>
    <row r="377" spans="1:6" x14ac:dyDescent="0.3">
      <c r="A377" t="s">
        <v>1085</v>
      </c>
      <c r="B377" t="s">
        <v>1086</v>
      </c>
      <c r="C377" t="s">
        <v>1087</v>
      </c>
      <c r="D377" t="s">
        <v>515</v>
      </c>
      <c r="E377">
        <v>2491.9800000000005</v>
      </c>
      <c r="F377">
        <v>1987.7444456608682</v>
      </c>
    </row>
    <row r="378" spans="1:6" x14ac:dyDescent="0.3">
      <c r="A378" t="s">
        <v>1088</v>
      </c>
      <c r="B378" t="s">
        <v>1089</v>
      </c>
      <c r="C378" t="s">
        <v>1090</v>
      </c>
      <c r="D378" t="s">
        <v>295</v>
      </c>
      <c r="E378">
        <v>31692.119999999992</v>
      </c>
      <c r="F378">
        <v>19123.211722677865</v>
      </c>
    </row>
    <row r="379" spans="1:6" x14ac:dyDescent="0.3">
      <c r="A379" t="s">
        <v>1091</v>
      </c>
      <c r="B379" t="s">
        <v>1092</v>
      </c>
      <c r="C379" t="s">
        <v>1093</v>
      </c>
      <c r="D379" t="s">
        <v>295</v>
      </c>
      <c r="E379">
        <v>11186.63</v>
      </c>
      <c r="F379">
        <v>6266.9188215923277</v>
      </c>
    </row>
    <row r="380" spans="1:6" x14ac:dyDescent="0.3">
      <c r="A380" t="s">
        <v>1094</v>
      </c>
      <c r="B380" t="s">
        <v>1095</v>
      </c>
      <c r="C380" t="s">
        <v>334</v>
      </c>
      <c r="D380" t="s">
        <v>223</v>
      </c>
      <c r="E380">
        <v>63529.326000000001</v>
      </c>
      <c r="F380">
        <v>40535.653202147223</v>
      </c>
    </row>
    <row r="381" spans="1:6" x14ac:dyDescent="0.3">
      <c r="A381" t="s">
        <v>1096</v>
      </c>
      <c r="B381" t="s">
        <v>1097</v>
      </c>
      <c r="C381" t="s">
        <v>410</v>
      </c>
      <c r="D381" t="s">
        <v>515</v>
      </c>
      <c r="E381">
        <v>77310.795200000008</v>
      </c>
      <c r="F381">
        <v>75517.369631614376</v>
      </c>
    </row>
    <row r="382" spans="1:6" x14ac:dyDescent="0.3">
      <c r="A382" t="s">
        <v>1098</v>
      </c>
      <c r="B382" t="s">
        <v>1099</v>
      </c>
      <c r="C382" t="s">
        <v>84</v>
      </c>
      <c r="D382" t="s">
        <v>232</v>
      </c>
      <c r="E382">
        <v>48446.298000000003</v>
      </c>
      <c r="F382">
        <v>24236.884972116812</v>
      </c>
    </row>
    <row r="383" spans="1:6" x14ac:dyDescent="0.3">
      <c r="A383" t="s">
        <v>1100</v>
      </c>
      <c r="B383" t="s">
        <v>1101</v>
      </c>
      <c r="C383" t="s">
        <v>1102</v>
      </c>
      <c r="D383" t="s">
        <v>209</v>
      </c>
      <c r="E383">
        <v>55774.548464000007</v>
      </c>
      <c r="F383">
        <v>45318.172753311344</v>
      </c>
    </row>
    <row r="384" spans="1:6" x14ac:dyDescent="0.3">
      <c r="A384" t="s">
        <v>1103</v>
      </c>
      <c r="B384" t="s">
        <v>1104</v>
      </c>
      <c r="C384" t="s">
        <v>1105</v>
      </c>
      <c r="D384" t="s">
        <v>196</v>
      </c>
      <c r="E384">
        <v>225982.28239999997</v>
      </c>
      <c r="F384">
        <v>166621.42410692206</v>
      </c>
    </row>
    <row r="385" spans="1:6" x14ac:dyDescent="0.3">
      <c r="A385" t="s">
        <v>1106</v>
      </c>
      <c r="B385" t="s">
        <v>1107</v>
      </c>
      <c r="C385" t="s">
        <v>556</v>
      </c>
      <c r="D385" t="s">
        <v>178</v>
      </c>
      <c r="E385">
        <v>194582.93350400002</v>
      </c>
      <c r="F385">
        <v>129521.69943241143</v>
      </c>
    </row>
    <row r="386" spans="1:6" x14ac:dyDescent="0.3">
      <c r="A386" t="s">
        <v>1108</v>
      </c>
      <c r="B386" t="s">
        <v>1109</v>
      </c>
      <c r="C386" t="s">
        <v>1110</v>
      </c>
      <c r="D386" t="s">
        <v>209</v>
      </c>
      <c r="E386">
        <v>62914.986976000007</v>
      </c>
      <c r="F386">
        <v>45336.32873604662</v>
      </c>
    </row>
    <row r="387" spans="1:6" x14ac:dyDescent="0.3">
      <c r="A387" t="s">
        <v>1111</v>
      </c>
      <c r="B387" t="s">
        <v>1112</v>
      </c>
      <c r="C387" t="s">
        <v>1113</v>
      </c>
      <c r="D387" t="s">
        <v>192</v>
      </c>
      <c r="E387">
        <v>102494.516</v>
      </c>
      <c r="F387">
        <v>52669.159071507209</v>
      </c>
    </row>
    <row r="388" spans="1:6" x14ac:dyDescent="0.3">
      <c r="A388" t="s">
        <v>1114</v>
      </c>
      <c r="B388" t="s">
        <v>1115</v>
      </c>
      <c r="C388" t="s">
        <v>1116</v>
      </c>
      <c r="D388" t="s">
        <v>192</v>
      </c>
      <c r="E388">
        <v>82095.515567999988</v>
      </c>
      <c r="F388">
        <v>50212.713922583644</v>
      </c>
    </row>
    <row r="389" spans="1:6" x14ac:dyDescent="0.3">
      <c r="A389" t="s">
        <v>1117</v>
      </c>
      <c r="B389" t="s">
        <v>1118</v>
      </c>
      <c r="C389" t="s">
        <v>195</v>
      </c>
      <c r="D389" t="s">
        <v>196</v>
      </c>
      <c r="E389">
        <v>126539.10869999998</v>
      </c>
      <c r="F389">
        <v>101617.29156384384</v>
      </c>
    </row>
    <row r="390" spans="1:6" x14ac:dyDescent="0.3">
      <c r="A390" t="s">
        <v>1119</v>
      </c>
      <c r="B390" t="s">
        <v>1120</v>
      </c>
      <c r="C390" t="s">
        <v>191</v>
      </c>
      <c r="D390" t="s">
        <v>192</v>
      </c>
      <c r="E390">
        <v>110828.95042000002</v>
      </c>
      <c r="F390">
        <v>62139.212468248166</v>
      </c>
    </row>
    <row r="391" spans="1:6" x14ac:dyDescent="0.3">
      <c r="A391" t="s">
        <v>1121</v>
      </c>
      <c r="B391" t="s">
        <v>1122</v>
      </c>
      <c r="C391" t="s">
        <v>492</v>
      </c>
      <c r="D391" t="s">
        <v>192</v>
      </c>
      <c r="E391">
        <v>65243.898000000001</v>
      </c>
      <c r="F391">
        <v>63206.319754959972</v>
      </c>
    </row>
    <row r="392" spans="1:6" x14ac:dyDescent="0.3">
      <c r="A392" t="s">
        <v>1123</v>
      </c>
      <c r="B392" t="s">
        <v>1124</v>
      </c>
      <c r="C392" t="s">
        <v>1125</v>
      </c>
      <c r="D392" t="s">
        <v>209</v>
      </c>
      <c r="E392">
        <v>2812.6</v>
      </c>
      <c r="F392">
        <v>2771.2092122980257</v>
      </c>
    </row>
    <row r="393" spans="1:6" x14ac:dyDescent="0.3">
      <c r="A393" t="s">
        <v>1126</v>
      </c>
      <c r="B393" t="s">
        <v>1127</v>
      </c>
      <c r="C393" t="s">
        <v>1113</v>
      </c>
      <c r="D393" t="s">
        <v>192</v>
      </c>
      <c r="E393">
        <v>39868.769</v>
      </c>
      <c r="F393">
        <v>33787.241088509858</v>
      </c>
    </row>
    <row r="394" spans="1:6" x14ac:dyDescent="0.3">
      <c r="A394" t="s">
        <v>1128</v>
      </c>
      <c r="B394" t="s">
        <v>1129</v>
      </c>
      <c r="C394" t="s">
        <v>1130</v>
      </c>
      <c r="D394" t="s">
        <v>257</v>
      </c>
      <c r="E394">
        <v>313217.74218</v>
      </c>
      <c r="F394">
        <v>228864.91208217098</v>
      </c>
    </row>
    <row r="395" spans="1:6" x14ac:dyDescent="0.3">
      <c r="A395" t="s">
        <v>1131</v>
      </c>
      <c r="B395" t="s">
        <v>1132</v>
      </c>
      <c r="C395" t="s">
        <v>621</v>
      </c>
      <c r="D395" t="s">
        <v>303</v>
      </c>
      <c r="E395">
        <v>74055.895999999993</v>
      </c>
      <c r="F395">
        <v>71543.359893040921</v>
      </c>
    </row>
    <row r="396" spans="1:6" x14ac:dyDescent="0.3">
      <c r="A396" t="s">
        <v>1133</v>
      </c>
      <c r="B396" t="s">
        <v>1134</v>
      </c>
      <c r="C396" t="s">
        <v>621</v>
      </c>
      <c r="D396" t="s">
        <v>303</v>
      </c>
      <c r="E396">
        <v>4502.1409999999996</v>
      </c>
      <c r="F396">
        <v>2782.8059974627895</v>
      </c>
    </row>
    <row r="397" spans="1:6" x14ac:dyDescent="0.3">
      <c r="A397" t="s">
        <v>1135</v>
      </c>
      <c r="B397" t="s">
        <v>1136</v>
      </c>
      <c r="C397" t="s">
        <v>1137</v>
      </c>
      <c r="D397" t="s">
        <v>209</v>
      </c>
      <c r="E397">
        <v>58042.718479999989</v>
      </c>
      <c r="F397">
        <v>44721.181084989017</v>
      </c>
    </row>
    <row r="398" spans="1:6" x14ac:dyDescent="0.3">
      <c r="A398" t="s">
        <v>1138</v>
      </c>
      <c r="B398" t="s">
        <v>1139</v>
      </c>
      <c r="C398" t="s">
        <v>84</v>
      </c>
      <c r="D398" t="s">
        <v>232</v>
      </c>
      <c r="E398">
        <v>14871.614399999999</v>
      </c>
      <c r="F398">
        <v>5924.0584813249043</v>
      </c>
    </row>
    <row r="399" spans="1:6" x14ac:dyDescent="0.3">
      <c r="A399" t="s">
        <v>1140</v>
      </c>
      <c r="B399" t="s">
        <v>1141</v>
      </c>
      <c r="C399" t="s">
        <v>514</v>
      </c>
      <c r="D399" t="s">
        <v>515</v>
      </c>
      <c r="E399">
        <v>645.79999999999995</v>
      </c>
      <c r="F399">
        <v>325.64894893132021</v>
      </c>
    </row>
    <row r="400" spans="1:6" x14ac:dyDescent="0.3">
      <c r="A400" t="s">
        <v>1142</v>
      </c>
      <c r="B400" t="s">
        <v>1143</v>
      </c>
      <c r="C400" t="s">
        <v>1144</v>
      </c>
      <c r="D400" t="s">
        <v>188</v>
      </c>
      <c r="E400">
        <v>7559.3599999999988</v>
      </c>
      <c r="F400">
        <v>5370.0849537575987</v>
      </c>
    </row>
    <row r="401" spans="1:6" x14ac:dyDescent="0.3">
      <c r="A401" t="s">
        <v>1145</v>
      </c>
      <c r="B401" t="s">
        <v>1146</v>
      </c>
      <c r="C401" t="s">
        <v>323</v>
      </c>
      <c r="D401" t="s">
        <v>223</v>
      </c>
      <c r="E401">
        <v>10234.567999999999</v>
      </c>
      <c r="F401">
        <v>5885.1235714185686</v>
      </c>
    </row>
    <row r="402" spans="1:6" x14ac:dyDescent="0.3">
      <c r="A402" t="s">
        <v>1147</v>
      </c>
      <c r="B402" t="s">
        <v>1148</v>
      </c>
      <c r="C402" t="s">
        <v>294</v>
      </c>
      <c r="D402" t="s">
        <v>295</v>
      </c>
      <c r="E402">
        <v>34043.659</v>
      </c>
      <c r="F402">
        <v>36355.982242088416</v>
      </c>
    </row>
    <row r="403" spans="1:6" x14ac:dyDescent="0.3">
      <c r="A403" t="s">
        <v>1149</v>
      </c>
      <c r="B403" t="s">
        <v>1150</v>
      </c>
      <c r="C403" t="s">
        <v>1151</v>
      </c>
      <c r="D403" t="s">
        <v>236</v>
      </c>
      <c r="E403">
        <v>7561.4211999999989</v>
      </c>
      <c r="F403">
        <v>6649.9522757688928</v>
      </c>
    </row>
    <row r="404" spans="1:6" x14ac:dyDescent="0.3">
      <c r="A404" t="s">
        <v>1152</v>
      </c>
      <c r="B404" t="s">
        <v>1153</v>
      </c>
      <c r="C404" t="s">
        <v>1154</v>
      </c>
      <c r="D404" t="s">
        <v>236</v>
      </c>
      <c r="E404">
        <v>8570.148000000001</v>
      </c>
      <c r="F404">
        <v>5512.8265252120236</v>
      </c>
    </row>
    <row r="405" spans="1:6" x14ac:dyDescent="0.3">
      <c r="A405" t="s">
        <v>1155</v>
      </c>
      <c r="B405" t="s">
        <v>1156</v>
      </c>
      <c r="C405" t="s">
        <v>212</v>
      </c>
      <c r="D405" t="s">
        <v>213</v>
      </c>
      <c r="E405">
        <v>53783.403000000006</v>
      </c>
      <c r="F405">
        <v>33703.693513585626</v>
      </c>
    </row>
    <row r="406" spans="1:6" x14ac:dyDescent="0.3">
      <c r="A406" t="s">
        <v>1157</v>
      </c>
      <c r="B406" t="s">
        <v>1158</v>
      </c>
      <c r="C406" t="s">
        <v>1159</v>
      </c>
      <c r="D406" t="s">
        <v>232</v>
      </c>
      <c r="E406">
        <v>21903.388799999997</v>
      </c>
      <c r="F406">
        <v>8266.6418969461647</v>
      </c>
    </row>
    <row r="407" spans="1:6" x14ac:dyDescent="0.3">
      <c r="A407" t="s">
        <v>1160</v>
      </c>
      <c r="B407" t="s">
        <v>1161</v>
      </c>
      <c r="C407" t="s">
        <v>199</v>
      </c>
      <c r="D407" t="s">
        <v>196</v>
      </c>
      <c r="E407">
        <v>11512.613299999999</v>
      </c>
      <c r="F407">
        <v>10993.184836452303</v>
      </c>
    </row>
    <row r="408" spans="1:6" x14ac:dyDescent="0.3">
      <c r="A408" t="s">
        <v>1162</v>
      </c>
      <c r="B408" t="s">
        <v>1163</v>
      </c>
      <c r="C408" t="s">
        <v>1164</v>
      </c>
      <c r="D408" t="s">
        <v>236</v>
      </c>
      <c r="E408">
        <v>8680.8864000000012</v>
      </c>
      <c r="F408">
        <v>4729.9348490645043</v>
      </c>
    </row>
    <row r="409" spans="1:6" x14ac:dyDescent="0.3">
      <c r="A409" t="s">
        <v>1165</v>
      </c>
      <c r="B409" t="s">
        <v>1166</v>
      </c>
      <c r="C409" t="s">
        <v>277</v>
      </c>
      <c r="D409" t="s">
        <v>244</v>
      </c>
      <c r="E409">
        <v>147189.70360000001</v>
      </c>
      <c r="F409">
        <v>122869.96678249893</v>
      </c>
    </row>
    <row r="410" spans="1:6" x14ac:dyDescent="0.3">
      <c r="A410" t="s">
        <v>1167</v>
      </c>
      <c r="B410" t="s">
        <v>1168</v>
      </c>
      <c r="C410" t="s">
        <v>243</v>
      </c>
      <c r="D410" t="s">
        <v>244</v>
      </c>
      <c r="E410">
        <v>95762.4712</v>
      </c>
      <c r="F410">
        <v>53412.94244692233</v>
      </c>
    </row>
    <row r="411" spans="1:6" x14ac:dyDescent="0.3">
      <c r="A411" t="s">
        <v>1169</v>
      </c>
      <c r="B411" t="s">
        <v>1170</v>
      </c>
      <c r="C411" t="s">
        <v>1171</v>
      </c>
      <c r="D411" t="s">
        <v>261</v>
      </c>
      <c r="E411">
        <v>175850.21233999997</v>
      </c>
      <c r="F411">
        <v>128828.78635798907</v>
      </c>
    </row>
    <row r="412" spans="1:6" x14ac:dyDescent="0.3">
      <c r="A412" t="s">
        <v>1172</v>
      </c>
      <c r="B412" t="s">
        <v>1173</v>
      </c>
      <c r="C412" t="s">
        <v>1174</v>
      </c>
      <c r="D412" t="s">
        <v>244</v>
      </c>
      <c r="E412">
        <v>52890.186256000001</v>
      </c>
      <c r="F412">
        <v>49350.432543375449</v>
      </c>
    </row>
    <row r="413" spans="1:6" x14ac:dyDescent="0.3">
      <c r="A413" t="s">
        <v>1175</v>
      </c>
      <c r="B413" t="s">
        <v>1176</v>
      </c>
      <c r="C413" t="s">
        <v>1177</v>
      </c>
      <c r="D413" t="s">
        <v>213</v>
      </c>
      <c r="E413">
        <v>93220.609000000026</v>
      </c>
      <c r="F413">
        <v>82819.033664519855</v>
      </c>
    </row>
    <row r="414" spans="1:6" x14ac:dyDescent="0.3">
      <c r="A414" t="s">
        <v>1178</v>
      </c>
      <c r="B414" t="s">
        <v>1179</v>
      </c>
      <c r="C414" t="s">
        <v>1180</v>
      </c>
      <c r="D414" t="s">
        <v>223</v>
      </c>
      <c r="E414">
        <v>1182.8800000000001</v>
      </c>
      <c r="F414">
        <v>788.84478538899793</v>
      </c>
    </row>
    <row r="415" spans="1:6" x14ac:dyDescent="0.3">
      <c r="A415" t="s">
        <v>1181</v>
      </c>
      <c r="B415" t="s">
        <v>1182</v>
      </c>
      <c r="C415" t="s">
        <v>235</v>
      </c>
      <c r="D415" t="s">
        <v>236</v>
      </c>
      <c r="E415">
        <v>100441.84299999999</v>
      </c>
      <c r="F415">
        <v>111713.54374384877</v>
      </c>
    </row>
    <row r="416" spans="1:6" x14ac:dyDescent="0.3">
      <c r="A416" t="s">
        <v>1183</v>
      </c>
      <c r="B416" t="s">
        <v>1184</v>
      </c>
      <c r="C416" t="s">
        <v>1185</v>
      </c>
      <c r="D416" t="s">
        <v>515</v>
      </c>
      <c r="E416">
        <v>19185.016328000002</v>
      </c>
      <c r="F416">
        <v>15898.143358464475</v>
      </c>
    </row>
    <row r="417" spans="1:6" x14ac:dyDescent="0.3">
      <c r="A417" t="s">
        <v>1186</v>
      </c>
      <c r="B417" t="s">
        <v>1187</v>
      </c>
      <c r="C417" t="s">
        <v>711</v>
      </c>
      <c r="D417" t="s">
        <v>236</v>
      </c>
      <c r="E417">
        <v>43924.110911999996</v>
      </c>
      <c r="F417">
        <v>42326.934786809194</v>
      </c>
    </row>
    <row r="418" spans="1:6" x14ac:dyDescent="0.3">
      <c r="A418" t="s">
        <v>1188</v>
      </c>
      <c r="B418" t="s">
        <v>1189</v>
      </c>
      <c r="C418" t="s">
        <v>235</v>
      </c>
      <c r="D418" t="s">
        <v>236</v>
      </c>
      <c r="E418">
        <v>75807.17</v>
      </c>
      <c r="F418">
        <v>76659.788409434521</v>
      </c>
    </row>
    <row r="419" spans="1:6" x14ac:dyDescent="0.3">
      <c r="A419" t="s">
        <v>1190</v>
      </c>
      <c r="B419" t="s">
        <v>1191</v>
      </c>
      <c r="C419" t="s">
        <v>492</v>
      </c>
      <c r="D419" t="s">
        <v>192</v>
      </c>
      <c r="E419">
        <v>47076.860740000004</v>
      </c>
      <c r="F419">
        <v>45966.027962282213</v>
      </c>
    </row>
    <row r="420" spans="1:6" x14ac:dyDescent="0.3">
      <c r="A420" t="s">
        <v>1192</v>
      </c>
      <c r="B420" t="s">
        <v>1193</v>
      </c>
      <c r="C420" t="s">
        <v>462</v>
      </c>
      <c r="D420" t="s">
        <v>303</v>
      </c>
      <c r="E420">
        <v>133298.44665000006</v>
      </c>
      <c r="F420">
        <v>112160.279830132</v>
      </c>
    </row>
    <row r="421" spans="1:6" x14ac:dyDescent="0.3">
      <c r="A421" t="s">
        <v>1194</v>
      </c>
      <c r="B421" t="s">
        <v>1195</v>
      </c>
      <c r="C421" t="s">
        <v>1196</v>
      </c>
      <c r="D421" t="s">
        <v>342</v>
      </c>
      <c r="E421">
        <v>11547.8568</v>
      </c>
      <c r="F421">
        <v>8439.6926286228372</v>
      </c>
    </row>
    <row r="422" spans="1:6" x14ac:dyDescent="0.3">
      <c r="A422" t="s">
        <v>1197</v>
      </c>
      <c r="B422" t="s">
        <v>1198</v>
      </c>
      <c r="C422" t="s">
        <v>277</v>
      </c>
      <c r="D422" t="s">
        <v>244</v>
      </c>
      <c r="E422">
        <v>184834.75400000002</v>
      </c>
      <c r="F422">
        <v>121624.39499612052</v>
      </c>
    </row>
    <row r="423" spans="1:6" x14ac:dyDescent="0.3">
      <c r="A423" t="s">
        <v>1199</v>
      </c>
      <c r="B423" t="s">
        <v>1200</v>
      </c>
      <c r="C423" t="s">
        <v>418</v>
      </c>
      <c r="D423" t="s">
        <v>295</v>
      </c>
      <c r="E423">
        <v>74111.252999999997</v>
      </c>
      <c r="F423">
        <v>70471.57627148513</v>
      </c>
    </row>
    <row r="424" spans="1:6" x14ac:dyDescent="0.3">
      <c r="A424" t="s">
        <v>1201</v>
      </c>
      <c r="B424" t="s">
        <v>1202</v>
      </c>
      <c r="C424" t="s">
        <v>329</v>
      </c>
      <c r="D424" t="s">
        <v>213</v>
      </c>
      <c r="E424">
        <v>19971.811999999998</v>
      </c>
      <c r="F424">
        <v>10929.152192125683</v>
      </c>
    </row>
    <row r="425" spans="1:6" x14ac:dyDescent="0.3">
      <c r="A425" t="s">
        <v>1203</v>
      </c>
      <c r="B425" t="s">
        <v>1204</v>
      </c>
      <c r="C425" t="s">
        <v>1205</v>
      </c>
      <c r="D425" t="s">
        <v>303</v>
      </c>
      <c r="E425">
        <v>1065.8375999999998</v>
      </c>
      <c r="F425">
        <v>1041.3110586301614</v>
      </c>
    </row>
    <row r="426" spans="1:6" x14ac:dyDescent="0.3">
      <c r="A426" t="s">
        <v>1206</v>
      </c>
      <c r="B426" t="s">
        <v>1207</v>
      </c>
      <c r="C426" t="s">
        <v>396</v>
      </c>
      <c r="D426" t="s">
        <v>303</v>
      </c>
      <c r="E426">
        <v>228052.98319999978</v>
      </c>
      <c r="F426">
        <v>177800.53009512112</v>
      </c>
    </row>
    <row r="427" spans="1:6" x14ac:dyDescent="0.3">
      <c r="A427" t="s">
        <v>1208</v>
      </c>
      <c r="B427" t="s">
        <v>1209</v>
      </c>
      <c r="C427" t="s">
        <v>1210</v>
      </c>
      <c r="D427" t="s">
        <v>295</v>
      </c>
      <c r="E427">
        <v>24649.593999999997</v>
      </c>
      <c r="F427">
        <v>23143.450602271012</v>
      </c>
    </row>
    <row r="428" spans="1:6" x14ac:dyDescent="0.3">
      <c r="A428" t="s">
        <v>1211</v>
      </c>
      <c r="B428" t="s">
        <v>1212</v>
      </c>
      <c r="C428" t="s">
        <v>528</v>
      </c>
      <c r="D428" t="s">
        <v>342</v>
      </c>
      <c r="E428">
        <v>8890.1696000000011</v>
      </c>
      <c r="F428">
        <v>7876.7652276199333</v>
      </c>
    </row>
    <row r="429" spans="1:6" x14ac:dyDescent="0.3">
      <c r="A429" t="s">
        <v>1213</v>
      </c>
      <c r="B429" t="s">
        <v>1214</v>
      </c>
      <c r="C429" t="s">
        <v>93</v>
      </c>
      <c r="D429" t="s">
        <v>232</v>
      </c>
      <c r="E429">
        <v>22777.536320000003</v>
      </c>
      <c r="F429">
        <v>11314.962301134417</v>
      </c>
    </row>
    <row r="430" spans="1:6" x14ac:dyDescent="0.3">
      <c r="A430" t="s">
        <v>1215</v>
      </c>
      <c r="B430" t="s">
        <v>1216</v>
      </c>
      <c r="C430" t="s">
        <v>1217</v>
      </c>
      <c r="D430" t="s">
        <v>213</v>
      </c>
      <c r="E430">
        <v>13703.22</v>
      </c>
      <c r="F430">
        <v>10427.785128160369</v>
      </c>
    </row>
    <row r="431" spans="1:6" x14ac:dyDescent="0.3">
      <c r="A431" t="s">
        <v>1218</v>
      </c>
      <c r="B431" t="s">
        <v>1219</v>
      </c>
      <c r="C431" t="s">
        <v>195</v>
      </c>
      <c r="D431" t="s">
        <v>196</v>
      </c>
      <c r="E431">
        <v>29102.239000000001</v>
      </c>
      <c r="F431">
        <v>15706.01457925019</v>
      </c>
    </row>
    <row r="432" spans="1:6" x14ac:dyDescent="0.3">
      <c r="A432" t="s">
        <v>1220</v>
      </c>
      <c r="B432" t="s">
        <v>1221</v>
      </c>
      <c r="C432" t="s">
        <v>264</v>
      </c>
      <c r="D432" t="s">
        <v>192</v>
      </c>
      <c r="E432">
        <v>42084.695999999996</v>
      </c>
      <c r="F432">
        <v>35639.669586813026</v>
      </c>
    </row>
    <row r="433" spans="1:6" x14ac:dyDescent="0.3">
      <c r="A433" t="s">
        <v>1222</v>
      </c>
      <c r="B433" t="s">
        <v>1223</v>
      </c>
      <c r="C433" t="s">
        <v>643</v>
      </c>
      <c r="D433" t="s">
        <v>192</v>
      </c>
      <c r="E433">
        <v>15496.752000000002</v>
      </c>
      <c r="F433">
        <v>7839.3120548575671</v>
      </c>
    </row>
    <row r="434" spans="1:6" x14ac:dyDescent="0.3">
      <c r="A434" t="s">
        <v>1224</v>
      </c>
      <c r="B434" t="s">
        <v>1225</v>
      </c>
      <c r="C434" t="s">
        <v>1102</v>
      </c>
      <c r="D434" t="s">
        <v>209</v>
      </c>
      <c r="E434">
        <v>10647.160000000002</v>
      </c>
      <c r="F434">
        <v>8088.2879055041885</v>
      </c>
    </row>
    <row r="435" spans="1:6" x14ac:dyDescent="0.3">
      <c r="A435" t="s">
        <v>1226</v>
      </c>
      <c r="B435" t="s">
        <v>1227</v>
      </c>
      <c r="C435" t="s">
        <v>226</v>
      </c>
      <c r="D435" t="s">
        <v>223</v>
      </c>
      <c r="E435">
        <v>178134.96796799995</v>
      </c>
      <c r="F435">
        <v>120717.40616277009</v>
      </c>
    </row>
    <row r="436" spans="1:6" x14ac:dyDescent="0.3">
      <c r="A436" t="s">
        <v>1228</v>
      </c>
      <c r="B436" t="s">
        <v>1229</v>
      </c>
      <c r="C436" t="s">
        <v>465</v>
      </c>
      <c r="D436" t="s">
        <v>213</v>
      </c>
      <c r="E436">
        <v>55271.091839999979</v>
      </c>
      <c r="F436">
        <v>53568.458084832746</v>
      </c>
    </row>
    <row r="437" spans="1:6" x14ac:dyDescent="0.3">
      <c r="A437" t="s">
        <v>1230</v>
      </c>
      <c r="B437" t="s">
        <v>1231</v>
      </c>
      <c r="C437" t="s">
        <v>1232</v>
      </c>
      <c r="D437" t="s">
        <v>257</v>
      </c>
      <c r="E437">
        <v>135370.84500000003</v>
      </c>
      <c r="F437">
        <v>117086.75296729394</v>
      </c>
    </row>
    <row r="438" spans="1:6" x14ac:dyDescent="0.3">
      <c r="A438" t="s">
        <v>1233</v>
      </c>
      <c r="B438" t="s">
        <v>1234</v>
      </c>
      <c r="C438" t="s">
        <v>212</v>
      </c>
      <c r="D438" t="s">
        <v>213</v>
      </c>
      <c r="E438">
        <v>31197.282999999996</v>
      </c>
      <c r="F438">
        <v>26096.795895112631</v>
      </c>
    </row>
    <row r="439" spans="1:6" x14ac:dyDescent="0.3">
      <c r="A439" t="s">
        <v>1235</v>
      </c>
      <c r="B439" t="s">
        <v>1236</v>
      </c>
      <c r="C439" t="s">
        <v>583</v>
      </c>
      <c r="D439" t="s">
        <v>295</v>
      </c>
      <c r="E439">
        <v>20733.011999999999</v>
      </c>
      <c r="F439">
        <v>22207.607102200491</v>
      </c>
    </row>
    <row r="440" spans="1:6" x14ac:dyDescent="0.3">
      <c r="A440" t="s">
        <v>1237</v>
      </c>
      <c r="B440" t="s">
        <v>1238</v>
      </c>
      <c r="C440" t="s">
        <v>399</v>
      </c>
      <c r="D440" t="s">
        <v>178</v>
      </c>
      <c r="E440">
        <v>34238.543999999994</v>
      </c>
      <c r="F440">
        <v>31160.647916815898</v>
      </c>
    </row>
    <row r="441" spans="1:6" x14ac:dyDescent="0.3">
      <c r="A441" t="s">
        <v>1239</v>
      </c>
      <c r="B441" t="s">
        <v>1240</v>
      </c>
      <c r="C441" t="s">
        <v>208</v>
      </c>
      <c r="D441" t="s">
        <v>209</v>
      </c>
      <c r="E441">
        <v>38743.512000000002</v>
      </c>
      <c r="F441">
        <v>20945.26029418303</v>
      </c>
    </row>
    <row r="442" spans="1:6" x14ac:dyDescent="0.3">
      <c r="A442" t="s">
        <v>1241</v>
      </c>
      <c r="B442" t="s">
        <v>1242</v>
      </c>
      <c r="C442" t="s">
        <v>1243</v>
      </c>
      <c r="D442" t="s">
        <v>240</v>
      </c>
      <c r="E442">
        <v>93564.338080000016</v>
      </c>
      <c r="F442">
        <v>77736.571612818181</v>
      </c>
    </row>
    <row r="443" spans="1:6" x14ac:dyDescent="0.3">
      <c r="A443" t="s">
        <v>1244</v>
      </c>
      <c r="B443" t="s">
        <v>1245</v>
      </c>
      <c r="C443" t="s">
        <v>476</v>
      </c>
      <c r="D443" t="s">
        <v>261</v>
      </c>
      <c r="E443">
        <v>224159.67239999998</v>
      </c>
      <c r="F443">
        <v>181179.65117800137</v>
      </c>
    </row>
    <row r="444" spans="1:6" x14ac:dyDescent="0.3">
      <c r="A444" t="s">
        <v>1246</v>
      </c>
      <c r="B444" t="s">
        <v>1247</v>
      </c>
      <c r="C444" t="s">
        <v>341</v>
      </c>
      <c r="D444" t="s">
        <v>342</v>
      </c>
      <c r="E444">
        <v>19727.802856000002</v>
      </c>
      <c r="F444">
        <v>16261.341575081653</v>
      </c>
    </row>
    <row r="445" spans="1:6" x14ac:dyDescent="0.3">
      <c r="A445" t="s">
        <v>1248</v>
      </c>
      <c r="B445" t="s">
        <v>1249</v>
      </c>
      <c r="C445" t="s">
        <v>1250</v>
      </c>
      <c r="D445" t="s">
        <v>236</v>
      </c>
      <c r="E445">
        <v>5005.0559999999996</v>
      </c>
      <c r="F445">
        <v>3746.3873791002566</v>
      </c>
    </row>
    <row r="446" spans="1:6" x14ac:dyDescent="0.3">
      <c r="A446" t="s">
        <v>1251</v>
      </c>
      <c r="B446" t="s">
        <v>1252</v>
      </c>
      <c r="C446" t="s">
        <v>476</v>
      </c>
      <c r="D446" t="s">
        <v>261</v>
      </c>
      <c r="E446">
        <v>199927.84759999995</v>
      </c>
      <c r="F446">
        <v>192421.22055870079</v>
      </c>
    </row>
    <row r="447" spans="1:6" x14ac:dyDescent="0.3">
      <c r="A447" t="s">
        <v>1253</v>
      </c>
      <c r="B447" t="s">
        <v>1254</v>
      </c>
      <c r="C447" t="s">
        <v>939</v>
      </c>
      <c r="D447" t="s">
        <v>223</v>
      </c>
      <c r="E447">
        <v>1396.3999999999999</v>
      </c>
      <c r="F447">
        <v>1060.7659822674957</v>
      </c>
    </row>
    <row r="448" spans="1:6" x14ac:dyDescent="0.3">
      <c r="A448" t="s">
        <v>1255</v>
      </c>
      <c r="B448" t="s">
        <v>1256</v>
      </c>
      <c r="C448" t="s">
        <v>1102</v>
      </c>
      <c r="D448" t="s">
        <v>209</v>
      </c>
      <c r="E448">
        <v>91451.520000000004</v>
      </c>
      <c r="F448">
        <v>87603.575831334354</v>
      </c>
    </row>
    <row r="449" spans="1:6" x14ac:dyDescent="0.3">
      <c r="A449" t="s">
        <v>1257</v>
      </c>
      <c r="B449" t="s">
        <v>1258</v>
      </c>
      <c r="C449" t="s">
        <v>1259</v>
      </c>
      <c r="D449" t="s">
        <v>257</v>
      </c>
      <c r="E449">
        <v>25845.002</v>
      </c>
      <c r="F449">
        <v>14494.343828351162</v>
      </c>
    </row>
    <row r="450" spans="1:6" x14ac:dyDescent="0.3">
      <c r="A450" t="s">
        <v>1260</v>
      </c>
      <c r="B450" t="s">
        <v>1261</v>
      </c>
      <c r="C450" t="s">
        <v>320</v>
      </c>
      <c r="D450" t="s">
        <v>236</v>
      </c>
      <c r="E450">
        <v>31214.39904</v>
      </c>
      <c r="F450">
        <v>32984.869570735238</v>
      </c>
    </row>
    <row r="451" spans="1:6" x14ac:dyDescent="0.3">
      <c r="A451" t="s">
        <v>1262</v>
      </c>
      <c r="B451" t="s">
        <v>1263</v>
      </c>
      <c r="C451" t="s">
        <v>1062</v>
      </c>
      <c r="D451" t="s">
        <v>178</v>
      </c>
      <c r="E451">
        <v>526160.31000000006</v>
      </c>
      <c r="F451">
        <v>352053.10895296512</v>
      </c>
    </row>
    <row r="452" spans="1:6" x14ac:dyDescent="0.3">
      <c r="A452" t="s">
        <v>1264</v>
      </c>
      <c r="B452" t="s">
        <v>1265</v>
      </c>
      <c r="C452" t="s">
        <v>454</v>
      </c>
      <c r="D452" t="s">
        <v>244</v>
      </c>
      <c r="E452">
        <v>31113.8</v>
      </c>
      <c r="F452">
        <v>15840.108500164786</v>
      </c>
    </row>
    <row r="453" spans="1:6" x14ac:dyDescent="0.3">
      <c r="A453" t="s">
        <v>1266</v>
      </c>
      <c r="B453" t="s">
        <v>1267</v>
      </c>
      <c r="C453" t="s">
        <v>495</v>
      </c>
      <c r="D453" t="s">
        <v>209</v>
      </c>
      <c r="E453">
        <v>12685.944</v>
      </c>
      <c r="F453">
        <v>10859.839898653508</v>
      </c>
    </row>
    <row r="454" spans="1:6" x14ac:dyDescent="0.3">
      <c r="A454" t="s">
        <v>1268</v>
      </c>
      <c r="B454" t="s">
        <v>1269</v>
      </c>
      <c r="C454" t="s">
        <v>89</v>
      </c>
      <c r="D454" t="s">
        <v>232</v>
      </c>
      <c r="E454">
        <v>150504.42976000003</v>
      </c>
      <c r="F454">
        <v>80845.758690981223</v>
      </c>
    </row>
    <row r="455" spans="1:6" x14ac:dyDescent="0.3">
      <c r="A455" t="s">
        <v>1270</v>
      </c>
      <c r="B455" t="s">
        <v>1271</v>
      </c>
      <c r="C455" t="s">
        <v>1272</v>
      </c>
      <c r="D455" t="s">
        <v>257</v>
      </c>
      <c r="E455">
        <v>39461.198880000004</v>
      </c>
      <c r="F455">
        <v>21239.683211329091</v>
      </c>
    </row>
    <row r="456" spans="1:6" x14ac:dyDescent="0.3">
      <c r="A456" t="s">
        <v>1273</v>
      </c>
      <c r="B456" t="s">
        <v>1274</v>
      </c>
      <c r="C456" t="s">
        <v>341</v>
      </c>
      <c r="D456" t="s">
        <v>342</v>
      </c>
      <c r="E456">
        <v>25416.128799999999</v>
      </c>
      <c r="F456">
        <v>19717.438011934111</v>
      </c>
    </row>
    <row r="457" spans="1:6" x14ac:dyDescent="0.3">
      <c r="A457" t="s">
        <v>1275</v>
      </c>
      <c r="B457" t="s">
        <v>1276</v>
      </c>
      <c r="C457" t="s">
        <v>208</v>
      </c>
      <c r="D457" t="s">
        <v>209</v>
      </c>
      <c r="E457">
        <v>36668.841480000003</v>
      </c>
      <c r="F457">
        <v>32885.686455117793</v>
      </c>
    </row>
    <row r="458" spans="1:6" x14ac:dyDescent="0.3">
      <c r="A458" t="s">
        <v>1277</v>
      </c>
      <c r="B458" t="s">
        <v>1278</v>
      </c>
      <c r="C458" t="s">
        <v>89</v>
      </c>
      <c r="D458" t="s">
        <v>232</v>
      </c>
      <c r="E458">
        <v>60588.147255999997</v>
      </c>
      <c r="F458">
        <v>8188.8772327977358</v>
      </c>
    </row>
    <row r="459" spans="1:6" x14ac:dyDescent="0.3">
      <c r="A459" t="s">
        <v>1279</v>
      </c>
      <c r="B459" t="s">
        <v>1280</v>
      </c>
      <c r="C459" t="s">
        <v>341</v>
      </c>
      <c r="D459" t="s">
        <v>342</v>
      </c>
      <c r="E459">
        <v>36599.628799999991</v>
      </c>
      <c r="F459">
        <v>23358.610110389294</v>
      </c>
    </row>
    <row r="460" spans="1:6" x14ac:dyDescent="0.3">
      <c r="A460" t="s">
        <v>1281</v>
      </c>
      <c r="B460" t="s">
        <v>1282</v>
      </c>
      <c r="C460" t="s">
        <v>410</v>
      </c>
      <c r="D460" t="s">
        <v>515</v>
      </c>
      <c r="E460">
        <v>112344.93380000003</v>
      </c>
      <c r="F460">
        <v>67394.346460868866</v>
      </c>
    </row>
    <row r="461" spans="1:6" x14ac:dyDescent="0.3">
      <c r="A461" t="s">
        <v>1283</v>
      </c>
      <c r="B461" t="s">
        <v>1284</v>
      </c>
      <c r="C461" t="s">
        <v>299</v>
      </c>
      <c r="D461" t="s">
        <v>295</v>
      </c>
      <c r="E461">
        <v>43880.925999999999</v>
      </c>
      <c r="F461">
        <v>41577.667519469323</v>
      </c>
    </row>
    <row r="462" spans="1:6" x14ac:dyDescent="0.3">
      <c r="A462" t="s">
        <v>1285</v>
      </c>
      <c r="B462" t="s">
        <v>1286</v>
      </c>
      <c r="C462" t="s">
        <v>341</v>
      </c>
      <c r="D462" t="s">
        <v>342</v>
      </c>
      <c r="E462">
        <v>21156.313600000001</v>
      </c>
      <c r="F462">
        <v>13299.184185497579</v>
      </c>
    </row>
    <row r="463" spans="1:6" x14ac:dyDescent="0.3">
      <c r="A463" t="s">
        <v>1287</v>
      </c>
      <c r="B463" t="s">
        <v>1288</v>
      </c>
      <c r="C463" t="s">
        <v>465</v>
      </c>
      <c r="D463" t="s">
        <v>213</v>
      </c>
      <c r="E463">
        <v>1973.0599999999997</v>
      </c>
      <c r="F463">
        <v>1577.0328680824352</v>
      </c>
    </row>
    <row r="464" spans="1:6" x14ac:dyDescent="0.3">
      <c r="A464" t="s">
        <v>1289</v>
      </c>
      <c r="B464" t="s">
        <v>1290</v>
      </c>
      <c r="C464" t="s">
        <v>1291</v>
      </c>
      <c r="D464" t="s">
        <v>295</v>
      </c>
      <c r="E464">
        <v>43412.750399999997</v>
      </c>
      <c r="F464">
        <v>31193.442173874857</v>
      </c>
    </row>
    <row r="465" spans="1:6" x14ac:dyDescent="0.3">
      <c r="A465" t="s">
        <v>1292</v>
      </c>
      <c r="B465" t="s">
        <v>1293</v>
      </c>
      <c r="C465" t="s">
        <v>418</v>
      </c>
      <c r="D465" t="s">
        <v>295</v>
      </c>
      <c r="E465">
        <v>35376.755519999999</v>
      </c>
      <c r="F465">
        <v>25527.33502085603</v>
      </c>
    </row>
    <row r="466" spans="1:6" x14ac:dyDescent="0.3">
      <c r="A466" t="s">
        <v>1294</v>
      </c>
      <c r="B466" t="s">
        <v>1295</v>
      </c>
      <c r="C466" t="s">
        <v>341</v>
      </c>
      <c r="D466" t="s">
        <v>342</v>
      </c>
      <c r="E466">
        <v>9773.24</v>
      </c>
      <c r="F466">
        <v>9202.3650238461541</v>
      </c>
    </row>
    <row r="467" spans="1:6" x14ac:dyDescent="0.3">
      <c r="A467" t="s">
        <v>1296</v>
      </c>
      <c r="B467" t="s">
        <v>1297</v>
      </c>
      <c r="C467" t="s">
        <v>675</v>
      </c>
      <c r="D467" t="s">
        <v>178</v>
      </c>
      <c r="E467">
        <v>77775.617399999988</v>
      </c>
      <c r="F467">
        <v>48665.145126619092</v>
      </c>
    </row>
    <row r="468" spans="1:6" x14ac:dyDescent="0.3">
      <c r="A468" t="s">
        <v>1298</v>
      </c>
      <c r="B468" t="s">
        <v>1299</v>
      </c>
      <c r="C468" t="s">
        <v>545</v>
      </c>
      <c r="D468" t="s">
        <v>244</v>
      </c>
      <c r="E468">
        <v>137584.864</v>
      </c>
      <c r="F468">
        <v>76039.533183800057</v>
      </c>
    </row>
    <row r="469" spans="1:6" x14ac:dyDescent="0.3">
      <c r="A469" t="s">
        <v>1300</v>
      </c>
      <c r="B469" t="s">
        <v>1301</v>
      </c>
      <c r="C469" t="s">
        <v>917</v>
      </c>
      <c r="D469" t="s">
        <v>178</v>
      </c>
      <c r="E469">
        <v>139642.89240000001</v>
      </c>
      <c r="F469">
        <v>120980.29611708915</v>
      </c>
    </row>
    <row r="470" spans="1:6" x14ac:dyDescent="0.3">
      <c r="A470" t="s">
        <v>1302</v>
      </c>
      <c r="B470" t="s">
        <v>1303</v>
      </c>
      <c r="C470" t="s">
        <v>1304</v>
      </c>
      <c r="D470" t="s">
        <v>295</v>
      </c>
      <c r="E470">
        <v>8437.1440000000002</v>
      </c>
      <c r="F470">
        <v>4916.9508613628204</v>
      </c>
    </row>
    <row r="471" spans="1:6" x14ac:dyDescent="0.3">
      <c r="A471" t="s">
        <v>1305</v>
      </c>
      <c r="B471" t="s">
        <v>1306</v>
      </c>
      <c r="C471" t="s">
        <v>1307</v>
      </c>
      <c r="D471" t="s">
        <v>257</v>
      </c>
      <c r="E471">
        <v>74861.881000000008</v>
      </c>
      <c r="F471">
        <v>68449.48659352008</v>
      </c>
    </row>
    <row r="472" spans="1:6" x14ac:dyDescent="0.3">
      <c r="A472" t="s">
        <v>1308</v>
      </c>
      <c r="B472" t="s">
        <v>1309</v>
      </c>
      <c r="C472" t="s">
        <v>646</v>
      </c>
      <c r="D472" t="s">
        <v>209</v>
      </c>
      <c r="E472">
        <v>11669.73144</v>
      </c>
      <c r="F472">
        <v>7272.4971349398766</v>
      </c>
    </row>
    <row r="473" spans="1:6" x14ac:dyDescent="0.3">
      <c r="A473" t="s">
        <v>1310</v>
      </c>
      <c r="B473" t="s">
        <v>1311</v>
      </c>
      <c r="C473" t="s">
        <v>1312</v>
      </c>
      <c r="D473" t="s">
        <v>209</v>
      </c>
      <c r="E473">
        <v>15762.214</v>
      </c>
      <c r="F473">
        <v>15616.59021960051</v>
      </c>
    </row>
    <row r="474" spans="1:6" x14ac:dyDescent="0.3">
      <c r="A474" t="s">
        <v>1313</v>
      </c>
      <c r="B474" t="s">
        <v>1314</v>
      </c>
      <c r="C474" t="s">
        <v>492</v>
      </c>
      <c r="D474" t="s">
        <v>192</v>
      </c>
      <c r="E474">
        <v>237.99999999999997</v>
      </c>
      <c r="F474">
        <v>222.53893185982719</v>
      </c>
    </row>
    <row r="475" spans="1:6" x14ac:dyDescent="0.3">
      <c r="A475" t="s">
        <v>1315</v>
      </c>
      <c r="B475" t="s">
        <v>1316</v>
      </c>
      <c r="C475" t="s">
        <v>1022</v>
      </c>
      <c r="D475" t="s">
        <v>209</v>
      </c>
      <c r="E475">
        <v>13651.5952</v>
      </c>
      <c r="F475">
        <v>8565.2016991255132</v>
      </c>
    </row>
    <row r="476" spans="1:6" x14ac:dyDescent="0.3">
      <c r="A476" t="s">
        <v>1317</v>
      </c>
      <c r="B476" t="s">
        <v>1318</v>
      </c>
      <c r="C476" t="s">
        <v>1319</v>
      </c>
      <c r="D476" t="s">
        <v>223</v>
      </c>
      <c r="E476">
        <v>72346.635856000008</v>
      </c>
      <c r="F476">
        <v>46150.459065560513</v>
      </c>
    </row>
    <row r="477" spans="1:6" x14ac:dyDescent="0.3">
      <c r="A477" t="s">
        <v>1320</v>
      </c>
      <c r="B477" t="s">
        <v>1321</v>
      </c>
      <c r="C477" t="s">
        <v>84</v>
      </c>
      <c r="D477" t="s">
        <v>232</v>
      </c>
      <c r="E477">
        <v>133389.65563999995</v>
      </c>
      <c r="F477">
        <v>101355.83394335127</v>
      </c>
    </row>
    <row r="478" spans="1:6" x14ac:dyDescent="0.3">
      <c r="A478" t="s">
        <v>1322</v>
      </c>
      <c r="B478" t="s">
        <v>1323</v>
      </c>
      <c r="C478" t="s">
        <v>492</v>
      </c>
      <c r="D478" t="s">
        <v>192</v>
      </c>
      <c r="E478">
        <v>17719.207775999999</v>
      </c>
      <c r="F478">
        <v>17225.028982687571</v>
      </c>
    </row>
    <row r="479" spans="1:6" x14ac:dyDescent="0.3">
      <c r="A479" t="s">
        <v>1324</v>
      </c>
      <c r="B479" t="s">
        <v>1325</v>
      </c>
      <c r="C479" t="s">
        <v>239</v>
      </c>
      <c r="D479" t="s">
        <v>240</v>
      </c>
      <c r="E479">
        <v>42226.273440000004</v>
      </c>
      <c r="F479">
        <v>39124.253285223582</v>
      </c>
    </row>
    <row r="480" spans="1:6" x14ac:dyDescent="0.3">
      <c r="A480" t="s">
        <v>1326</v>
      </c>
      <c r="B480" t="s">
        <v>1327</v>
      </c>
      <c r="C480" t="s">
        <v>810</v>
      </c>
      <c r="D480" t="s">
        <v>209</v>
      </c>
      <c r="E480">
        <v>41922.825680000002</v>
      </c>
      <c r="F480">
        <v>31040.363214253928</v>
      </c>
    </row>
    <row r="481" spans="1:6" x14ac:dyDescent="0.3">
      <c r="A481" t="s">
        <v>1328</v>
      </c>
      <c r="B481" t="s">
        <v>1329</v>
      </c>
      <c r="C481" t="s">
        <v>307</v>
      </c>
      <c r="D481" t="s">
        <v>261</v>
      </c>
      <c r="E481">
        <v>97597.837055999989</v>
      </c>
      <c r="F481">
        <v>81972.503876495088</v>
      </c>
    </row>
    <row r="482" spans="1:6" x14ac:dyDescent="0.3">
      <c r="A482" t="s">
        <v>1330</v>
      </c>
      <c r="B482" t="s">
        <v>1331</v>
      </c>
      <c r="C482" t="s">
        <v>1332</v>
      </c>
      <c r="D482" t="s">
        <v>257</v>
      </c>
      <c r="E482">
        <v>173081.30800000002</v>
      </c>
      <c r="F482">
        <v>151600.26494323972</v>
      </c>
    </row>
    <row r="483" spans="1:6" x14ac:dyDescent="0.3">
      <c r="A483" t="s">
        <v>1333</v>
      </c>
      <c r="B483" t="s">
        <v>1334</v>
      </c>
      <c r="C483" t="s">
        <v>1022</v>
      </c>
      <c r="D483" t="s">
        <v>209</v>
      </c>
      <c r="E483">
        <v>27807.706799999996</v>
      </c>
      <c r="F483">
        <v>22429.513980498992</v>
      </c>
    </row>
    <row r="484" spans="1:6" x14ac:dyDescent="0.3">
      <c r="A484" t="s">
        <v>1335</v>
      </c>
      <c r="B484" t="s">
        <v>1336</v>
      </c>
      <c r="C484" t="s">
        <v>1022</v>
      </c>
      <c r="D484" t="s">
        <v>209</v>
      </c>
      <c r="E484">
        <v>98133.403199999986</v>
      </c>
      <c r="F484">
        <v>65067.235219078873</v>
      </c>
    </row>
    <row r="485" spans="1:6" x14ac:dyDescent="0.3">
      <c r="A485" t="s">
        <v>1337</v>
      </c>
      <c r="B485" t="s">
        <v>1338</v>
      </c>
      <c r="C485" t="s">
        <v>457</v>
      </c>
      <c r="D485" t="s">
        <v>188</v>
      </c>
      <c r="E485">
        <v>129969.768</v>
      </c>
      <c r="F485">
        <v>106080.05225669383</v>
      </c>
    </row>
    <row r="486" spans="1:6" x14ac:dyDescent="0.3">
      <c r="A486" t="s">
        <v>1339</v>
      </c>
      <c r="B486" t="s">
        <v>1340</v>
      </c>
      <c r="C486" t="s">
        <v>576</v>
      </c>
      <c r="D486" t="s">
        <v>188</v>
      </c>
      <c r="E486">
        <v>19153.303240000001</v>
      </c>
      <c r="F486">
        <v>11425.552408931993</v>
      </c>
    </row>
    <row r="487" spans="1:6" x14ac:dyDescent="0.3">
      <c r="A487" t="s">
        <v>1341</v>
      </c>
      <c r="B487" t="s">
        <v>1342</v>
      </c>
      <c r="C487" t="s">
        <v>280</v>
      </c>
      <c r="D487" t="s">
        <v>257</v>
      </c>
      <c r="E487">
        <v>133594.66432000001</v>
      </c>
      <c r="F487">
        <v>70624.213594291374</v>
      </c>
    </row>
    <row r="488" spans="1:6" x14ac:dyDescent="0.3">
      <c r="A488" t="s">
        <v>1343</v>
      </c>
      <c r="B488" t="s">
        <v>1344</v>
      </c>
      <c r="C488" t="s">
        <v>212</v>
      </c>
      <c r="D488" t="s">
        <v>213</v>
      </c>
      <c r="E488">
        <v>5979.2434000000003</v>
      </c>
      <c r="F488">
        <v>5415.9802125483093</v>
      </c>
    </row>
    <row r="489" spans="1:6" x14ac:dyDescent="0.3">
      <c r="A489" t="s">
        <v>1345</v>
      </c>
      <c r="B489" t="s">
        <v>1346</v>
      </c>
      <c r="C489" t="s">
        <v>528</v>
      </c>
      <c r="D489" t="s">
        <v>342</v>
      </c>
      <c r="E489">
        <v>41121.522800000006</v>
      </c>
      <c r="F489">
        <v>28966.539146269679</v>
      </c>
    </row>
    <row r="490" spans="1:6" x14ac:dyDescent="0.3">
      <c r="A490" t="s">
        <v>1347</v>
      </c>
      <c r="B490" t="s">
        <v>1348</v>
      </c>
      <c r="C490" t="s">
        <v>1349</v>
      </c>
      <c r="D490" t="s">
        <v>240</v>
      </c>
      <c r="E490">
        <v>26587.276239999999</v>
      </c>
      <c r="F490">
        <v>15195.693383818831</v>
      </c>
    </row>
    <row r="491" spans="1:6" x14ac:dyDescent="0.3">
      <c r="A491" t="s">
        <v>1350</v>
      </c>
      <c r="B491" t="s">
        <v>1351</v>
      </c>
      <c r="C491" t="s">
        <v>1000</v>
      </c>
      <c r="D491" t="s">
        <v>240</v>
      </c>
      <c r="E491">
        <v>2515.9364999999998</v>
      </c>
      <c r="F491">
        <v>2186.4292293891917</v>
      </c>
    </row>
    <row r="492" spans="1:6" x14ac:dyDescent="0.3">
      <c r="A492" t="s">
        <v>1352</v>
      </c>
      <c r="B492" t="s">
        <v>1353</v>
      </c>
      <c r="C492" t="s">
        <v>1354</v>
      </c>
      <c r="D492" t="s">
        <v>213</v>
      </c>
      <c r="E492">
        <v>50654.130759999993</v>
      </c>
      <c r="F492">
        <v>43421.944246805804</v>
      </c>
    </row>
    <row r="493" spans="1:6" x14ac:dyDescent="0.3">
      <c r="A493" t="s">
        <v>1355</v>
      </c>
      <c r="B493" t="s">
        <v>1356</v>
      </c>
      <c r="C493" t="s">
        <v>239</v>
      </c>
      <c r="D493" t="s">
        <v>240</v>
      </c>
      <c r="E493">
        <v>88824.978400000007</v>
      </c>
      <c r="F493">
        <v>76641.411390491863</v>
      </c>
    </row>
    <row r="494" spans="1:6" x14ac:dyDescent="0.3">
      <c r="A494" t="s">
        <v>1357</v>
      </c>
      <c r="B494" t="s">
        <v>1358</v>
      </c>
      <c r="C494" t="s">
        <v>1359</v>
      </c>
      <c r="D494" t="s">
        <v>240</v>
      </c>
      <c r="E494">
        <v>17445.2624</v>
      </c>
      <c r="F494">
        <v>8889.2397557355107</v>
      </c>
    </row>
    <row r="495" spans="1:6" x14ac:dyDescent="0.3">
      <c r="A495" t="s">
        <v>1360</v>
      </c>
      <c r="B495" t="s">
        <v>1361</v>
      </c>
      <c r="C495" t="s">
        <v>399</v>
      </c>
      <c r="D495" t="s">
        <v>178</v>
      </c>
      <c r="E495">
        <v>7254.3480000000009</v>
      </c>
      <c r="F495">
        <v>3916.8564974082296</v>
      </c>
    </row>
    <row r="496" spans="1:6" x14ac:dyDescent="0.3">
      <c r="A496" t="s">
        <v>1362</v>
      </c>
      <c r="B496" t="s">
        <v>1363</v>
      </c>
      <c r="C496" t="s">
        <v>465</v>
      </c>
      <c r="D496" t="s">
        <v>213</v>
      </c>
      <c r="E496">
        <v>17841.439999999999</v>
      </c>
      <c r="F496">
        <v>9653.0945370668469</v>
      </c>
    </row>
    <row r="497" spans="1:6" x14ac:dyDescent="0.3">
      <c r="A497" t="s">
        <v>1364</v>
      </c>
      <c r="B497" t="s">
        <v>1365</v>
      </c>
      <c r="C497" t="s">
        <v>1366</v>
      </c>
      <c r="D497" t="s">
        <v>213</v>
      </c>
      <c r="E497">
        <v>2362.6529599999999</v>
      </c>
      <c r="F497">
        <v>2265.7938081594007</v>
      </c>
    </row>
    <row r="498" spans="1:6" x14ac:dyDescent="0.3">
      <c r="A498" t="s">
        <v>1367</v>
      </c>
      <c r="B498" t="s">
        <v>1368</v>
      </c>
      <c r="C498" t="s">
        <v>1369</v>
      </c>
      <c r="D498" t="s">
        <v>261</v>
      </c>
      <c r="E498">
        <v>47524.304999999993</v>
      </c>
      <c r="F498">
        <v>43729.715622867123</v>
      </c>
    </row>
    <row r="499" spans="1:6" x14ac:dyDescent="0.3">
      <c r="A499" t="s">
        <v>1370</v>
      </c>
      <c r="B499" t="s">
        <v>1371</v>
      </c>
      <c r="C499" t="s">
        <v>1372</v>
      </c>
      <c r="D499" t="s">
        <v>213</v>
      </c>
      <c r="E499">
        <v>12697.089999999998</v>
      </c>
      <c r="F499">
        <v>7794.4042707552671</v>
      </c>
    </row>
    <row r="500" spans="1:6" x14ac:dyDescent="0.3">
      <c r="A500" t="s">
        <v>1373</v>
      </c>
      <c r="B500" t="s">
        <v>1374</v>
      </c>
      <c r="C500" t="s">
        <v>462</v>
      </c>
      <c r="D500" t="s">
        <v>303</v>
      </c>
      <c r="E500">
        <v>128866.26952000002</v>
      </c>
      <c r="F500">
        <v>102392.57420205684</v>
      </c>
    </row>
    <row r="501" spans="1:6" x14ac:dyDescent="0.3">
      <c r="A501" t="s">
        <v>1375</v>
      </c>
      <c r="B501" t="s">
        <v>1376</v>
      </c>
      <c r="C501" t="s">
        <v>187</v>
      </c>
      <c r="D501" t="s">
        <v>188</v>
      </c>
      <c r="E501">
        <v>44669.868000000002</v>
      </c>
      <c r="F501">
        <v>34243.291827068817</v>
      </c>
    </row>
    <row r="502" spans="1:6" x14ac:dyDescent="0.3">
      <c r="A502" t="s">
        <v>1377</v>
      </c>
      <c r="B502" t="s">
        <v>1378</v>
      </c>
      <c r="C502" t="s">
        <v>86</v>
      </c>
      <c r="D502" t="s">
        <v>232</v>
      </c>
      <c r="E502">
        <v>12390.439999999999</v>
      </c>
      <c r="F502">
        <v>2808.151979744011</v>
      </c>
    </row>
    <row r="503" spans="1:6" x14ac:dyDescent="0.3">
      <c r="A503" t="s">
        <v>1379</v>
      </c>
      <c r="B503" t="s">
        <v>1380</v>
      </c>
      <c r="C503" t="s">
        <v>187</v>
      </c>
      <c r="D503" t="s">
        <v>188</v>
      </c>
      <c r="E503">
        <v>26727.352799999993</v>
      </c>
      <c r="F503">
        <v>14766.067163885069</v>
      </c>
    </row>
    <row r="504" spans="1:6" x14ac:dyDescent="0.3">
      <c r="A504" t="s">
        <v>1381</v>
      </c>
      <c r="B504" t="s">
        <v>1382</v>
      </c>
      <c r="C504" t="s">
        <v>545</v>
      </c>
      <c r="D504" t="s">
        <v>244</v>
      </c>
      <c r="E504">
        <v>3174.4</v>
      </c>
      <c r="F504">
        <v>3121.4554673409857</v>
      </c>
    </row>
    <row r="505" spans="1:6" x14ac:dyDescent="0.3">
      <c r="A505" t="s">
        <v>1383</v>
      </c>
      <c r="B505" t="s">
        <v>1384</v>
      </c>
      <c r="C505" t="s">
        <v>830</v>
      </c>
      <c r="D505" t="s">
        <v>236</v>
      </c>
      <c r="E505">
        <v>8870.4432000000015</v>
      </c>
      <c r="F505">
        <v>5361.7401337184356</v>
      </c>
    </row>
    <row r="506" spans="1:6" x14ac:dyDescent="0.3">
      <c r="A506" t="s">
        <v>1385</v>
      </c>
      <c r="B506" t="s">
        <v>1386</v>
      </c>
      <c r="C506" t="s">
        <v>341</v>
      </c>
      <c r="D506" t="s">
        <v>342</v>
      </c>
      <c r="E506">
        <v>16994.239999999998</v>
      </c>
      <c r="F506">
        <v>12136.227813951271</v>
      </c>
    </row>
    <row r="507" spans="1:6" x14ac:dyDescent="0.3">
      <c r="A507" t="s">
        <v>1387</v>
      </c>
      <c r="B507" t="s">
        <v>1388</v>
      </c>
      <c r="C507" t="s">
        <v>341</v>
      </c>
      <c r="D507" t="s">
        <v>342</v>
      </c>
      <c r="E507">
        <v>8684.9359999999997</v>
      </c>
      <c r="F507">
        <v>6988.1097094752577</v>
      </c>
    </row>
    <row r="508" spans="1:6" x14ac:dyDescent="0.3">
      <c r="A508" t="s">
        <v>1389</v>
      </c>
      <c r="B508" t="s">
        <v>1390</v>
      </c>
      <c r="C508" t="s">
        <v>341</v>
      </c>
      <c r="D508" t="s">
        <v>342</v>
      </c>
      <c r="E508">
        <v>1209.2</v>
      </c>
      <c r="F508">
        <v>1201.8855175696976</v>
      </c>
    </row>
    <row r="509" spans="1:6" x14ac:dyDescent="0.3">
      <c r="A509" t="s">
        <v>1391</v>
      </c>
      <c r="B509" t="s">
        <v>1392</v>
      </c>
      <c r="C509" t="s">
        <v>1393</v>
      </c>
      <c r="D509" t="s">
        <v>303</v>
      </c>
      <c r="E509">
        <v>199.5</v>
      </c>
      <c r="F509">
        <v>186.03099995998926</v>
      </c>
    </row>
    <row r="510" spans="1:6" x14ac:dyDescent="0.3">
      <c r="A510" t="s">
        <v>1394</v>
      </c>
      <c r="B510" t="s">
        <v>1395</v>
      </c>
      <c r="C510" t="s">
        <v>1396</v>
      </c>
      <c r="D510" t="s">
        <v>342</v>
      </c>
      <c r="E510">
        <v>454.99999999999994</v>
      </c>
      <c r="F510">
        <v>304.29717440586973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5D4C-FC36-45BE-A069-ED8A3272D8DE}">
  <dimension ref="B1:M74"/>
  <sheetViews>
    <sheetView workbookViewId="0">
      <selection activeCell="H24" sqref="H24"/>
    </sheetView>
  </sheetViews>
  <sheetFormatPr defaultColWidth="9.109375" defaultRowHeight="14.4" x14ac:dyDescent="0.3"/>
  <cols>
    <col min="1" max="1" width="9.109375" style="6"/>
    <col min="2" max="2" width="20.109375" style="6" customWidth="1"/>
    <col min="3" max="3" width="14.6640625" style="6" customWidth="1"/>
    <col min="4" max="4" width="14" style="6" customWidth="1"/>
    <col min="5" max="5" width="14.5546875" style="6" customWidth="1"/>
    <col min="6" max="13" width="14" style="6" customWidth="1"/>
    <col min="14" max="16384" width="9.109375" style="6"/>
  </cols>
  <sheetData>
    <row r="1" spans="2:13" x14ac:dyDescent="0.3">
      <c r="B1" s="18" t="s">
        <v>167</v>
      </c>
      <c r="C1" s="6">
        <f>1*20000+2*8000</f>
        <v>36000</v>
      </c>
    </row>
    <row r="2" spans="2:13" x14ac:dyDescent="0.3">
      <c r="B2" s="6" t="s">
        <v>1440</v>
      </c>
      <c r="C2" s="6" t="s">
        <v>1441</v>
      </c>
    </row>
    <row r="3" spans="2:13" x14ac:dyDescent="0.3">
      <c r="B3" s="6">
        <v>20000</v>
      </c>
      <c r="C3" s="6">
        <v>8000</v>
      </c>
    </row>
    <row r="5" spans="2:13" x14ac:dyDescent="0.3">
      <c r="C5" s="6" t="s">
        <v>154</v>
      </c>
      <c r="D5" s="6" t="s">
        <v>8</v>
      </c>
      <c r="E5" s="6" t="s">
        <v>18</v>
      </c>
      <c r="F5" s="6" t="s">
        <v>12</v>
      </c>
      <c r="G5" s="6" t="s">
        <v>14</v>
      </c>
      <c r="H5" s="6" t="s">
        <v>16</v>
      </c>
      <c r="I5" s="6" t="s">
        <v>125</v>
      </c>
      <c r="J5" s="6" t="s">
        <v>34</v>
      </c>
      <c r="K5" s="6" t="s">
        <v>29</v>
      </c>
      <c r="L5" s="6" t="s">
        <v>110</v>
      </c>
      <c r="M5" s="6" t="s">
        <v>76</v>
      </c>
    </row>
    <row r="6" spans="2:13" x14ac:dyDescent="0.3">
      <c r="B6" s="76" t="s">
        <v>131</v>
      </c>
      <c r="C6" s="6" t="s">
        <v>80</v>
      </c>
      <c r="D6" s="9">
        <v>2.5</v>
      </c>
      <c r="E6" s="9">
        <v>0.75</v>
      </c>
      <c r="F6" s="9">
        <v>4.5</v>
      </c>
      <c r="G6" s="9">
        <v>1.5</v>
      </c>
      <c r="H6" s="9">
        <v>1.25</v>
      </c>
      <c r="I6" s="9">
        <v>6.8</v>
      </c>
      <c r="J6" s="9">
        <v>6.5</v>
      </c>
      <c r="K6" s="9">
        <v>1.2</v>
      </c>
      <c r="L6" s="9">
        <v>1.5</v>
      </c>
      <c r="M6" s="9">
        <v>6.5</v>
      </c>
    </row>
    <row r="7" spans="2:13" x14ac:dyDescent="0.3">
      <c r="B7" s="76"/>
      <c r="C7" s="6" t="s">
        <v>81</v>
      </c>
      <c r="D7" s="9">
        <v>1.3716279178867452</v>
      </c>
      <c r="E7" s="9">
        <v>0.87164452163370731</v>
      </c>
      <c r="F7" s="9">
        <v>6.5900268382448797</v>
      </c>
      <c r="G7" s="9">
        <v>1.7560710813108671</v>
      </c>
      <c r="H7" s="9">
        <v>1.4794834103460122</v>
      </c>
      <c r="I7" s="9">
        <v>6.1632258630205721</v>
      </c>
      <c r="J7" s="9">
        <v>6.3444422201305457</v>
      </c>
      <c r="K7" s="9">
        <v>1.2553873551357686</v>
      </c>
      <c r="L7" s="9">
        <v>2.0151745545610398</v>
      </c>
      <c r="M7" s="9">
        <v>8.3168758162833143</v>
      </c>
    </row>
    <row r="8" spans="2:13" x14ac:dyDescent="0.3">
      <c r="B8" s="76"/>
      <c r="C8" s="6" t="s">
        <v>82</v>
      </c>
      <c r="D8" s="9">
        <v>2.0894319729541331</v>
      </c>
      <c r="E8" s="9">
        <v>0.9429848152367003</v>
      </c>
      <c r="F8" s="9">
        <v>4.9355733512841624</v>
      </c>
      <c r="G8" s="9">
        <v>1.3894248629666022</v>
      </c>
      <c r="H8" s="9">
        <v>0.98274794067505944</v>
      </c>
      <c r="I8" s="9">
        <v>9.069599658896939</v>
      </c>
      <c r="J8" s="9">
        <v>9.061548312391233</v>
      </c>
      <c r="K8" s="9">
        <v>1.6608369539392234</v>
      </c>
      <c r="L8" s="9">
        <v>0.92312014901072148</v>
      </c>
      <c r="M8" s="9">
        <v>3.6366487426933163</v>
      </c>
    </row>
    <row r="9" spans="2:13" x14ac:dyDescent="0.3">
      <c r="B9" s="76"/>
      <c r="C9" s="6" t="s">
        <v>83</v>
      </c>
      <c r="D9" s="9">
        <v>3.2059714540845863</v>
      </c>
      <c r="E9" s="9">
        <v>0.75264980525332092</v>
      </c>
      <c r="F9" s="9">
        <v>2.6680743558814162</v>
      </c>
      <c r="G9" s="9">
        <v>1.4849540362195355</v>
      </c>
      <c r="H9" s="9">
        <v>1.5806763812306639</v>
      </c>
      <c r="I9" s="9">
        <v>7.0261544636506956</v>
      </c>
      <c r="J9" s="9">
        <v>8.020308897431061</v>
      </c>
      <c r="K9" s="9">
        <v>1.547136301399902</v>
      </c>
      <c r="L9" s="9">
        <v>1.2007936330416782</v>
      </c>
      <c r="M9" s="9">
        <v>9.1768169395911947</v>
      </c>
    </row>
    <row r="10" spans="2:13" x14ac:dyDescent="0.3">
      <c r="B10" s="76"/>
      <c r="C10" s="6" t="s">
        <v>84</v>
      </c>
      <c r="D10" s="9">
        <v>2.7317924077831095</v>
      </c>
      <c r="E10" s="9">
        <v>0.79022382032227789</v>
      </c>
      <c r="F10" s="9">
        <v>2.8878294364616104</v>
      </c>
      <c r="G10" s="9">
        <v>1.9500664008531057</v>
      </c>
      <c r="H10" s="9">
        <v>0.97146367060579686</v>
      </c>
      <c r="I10" s="9">
        <v>4.7806684737339911</v>
      </c>
      <c r="J10" s="9">
        <v>7.0555893958151774</v>
      </c>
      <c r="K10" s="9">
        <v>1.6651510049498304</v>
      </c>
      <c r="L10" s="9">
        <v>0.83978761210922248</v>
      </c>
      <c r="M10" s="9">
        <v>6.3812061973109184</v>
      </c>
    </row>
    <row r="11" spans="2:13" x14ac:dyDescent="0.3">
      <c r="B11" s="76"/>
      <c r="C11" s="6" t="s">
        <v>85</v>
      </c>
      <c r="D11" s="9">
        <v>3.0291773948414247</v>
      </c>
      <c r="E11" s="9">
        <v>0.78423707313208679</v>
      </c>
      <c r="F11" s="9">
        <v>6.6757292172846023</v>
      </c>
      <c r="G11" s="9">
        <v>1.4540544655013614</v>
      </c>
      <c r="H11" s="9">
        <v>1.255498666050832</v>
      </c>
      <c r="I11" s="9">
        <v>6.4148815692349324</v>
      </c>
      <c r="J11" s="9">
        <v>4.0107442824939792</v>
      </c>
      <c r="K11" s="9">
        <v>1.1330291042239415</v>
      </c>
      <c r="L11" s="9">
        <v>2.1684213935763577</v>
      </c>
      <c r="M11" s="9">
        <v>4.2079741306292213</v>
      </c>
    </row>
    <row r="12" spans="2:13" x14ac:dyDescent="0.3">
      <c r="B12" s="76"/>
      <c r="C12" s="6" t="s">
        <v>86</v>
      </c>
      <c r="D12" s="9">
        <v>2.042136553081618</v>
      </c>
      <c r="E12" s="9">
        <v>1.0764283836997799</v>
      </c>
      <c r="F12" s="9">
        <v>5.1635046388777424</v>
      </c>
      <c r="G12" s="9">
        <v>1.2956987206952588</v>
      </c>
      <c r="H12" s="9">
        <v>1.2307641755925045</v>
      </c>
      <c r="I12" s="9">
        <v>8.2407106661901022</v>
      </c>
      <c r="J12" s="9">
        <v>6.5338534098204377</v>
      </c>
      <c r="K12" s="9">
        <v>0.92367017907162885</v>
      </c>
      <c r="L12" s="9">
        <v>0.85302327747358231</v>
      </c>
      <c r="M12" s="9">
        <v>9.4574050799191856</v>
      </c>
    </row>
    <row r="13" spans="2:13" x14ac:dyDescent="0.3">
      <c r="B13" s="76"/>
      <c r="C13" s="6" t="s">
        <v>87</v>
      </c>
      <c r="D13" s="9">
        <v>2.4855141620694923</v>
      </c>
      <c r="E13" s="9">
        <v>0.82950150505402065</v>
      </c>
      <c r="F13" s="9">
        <v>4.1716886166186011</v>
      </c>
      <c r="G13" s="9">
        <v>0.76558845019723076</v>
      </c>
      <c r="H13" s="9">
        <v>1.7575650132846743</v>
      </c>
      <c r="I13" s="9">
        <v>6.1360596965497951</v>
      </c>
      <c r="J13" s="9">
        <v>8.6536756158497194</v>
      </c>
      <c r="K13" s="9">
        <v>1.1205580597561495</v>
      </c>
      <c r="L13" s="9">
        <v>1.7346249156634048</v>
      </c>
      <c r="M13" s="9">
        <v>5.4411169503480732</v>
      </c>
    </row>
    <row r="14" spans="2:13" x14ac:dyDescent="0.3">
      <c r="B14" s="76"/>
      <c r="C14" s="6" t="s">
        <v>88</v>
      </c>
      <c r="D14" s="9">
        <v>2.0129103980635716</v>
      </c>
      <c r="E14" s="9">
        <v>1.0426350561035722</v>
      </c>
      <c r="F14" s="9">
        <v>5.3300030951287276</v>
      </c>
      <c r="G14" s="9">
        <v>1.6899264933411371</v>
      </c>
      <c r="H14" s="9">
        <v>1.8308787786446832</v>
      </c>
      <c r="I14" s="9">
        <v>8.8007216306478302</v>
      </c>
      <c r="J14" s="9">
        <v>4.4660826723883362</v>
      </c>
      <c r="K14" s="9">
        <v>0.68840450123681141</v>
      </c>
      <c r="L14" s="9">
        <v>1.225391233329689</v>
      </c>
      <c r="M14" s="9">
        <v>9.1517289846133512</v>
      </c>
    </row>
    <row r="15" spans="2:13" x14ac:dyDescent="0.3">
      <c r="B15" s="76"/>
      <c r="C15" s="6" t="s">
        <v>89</v>
      </c>
      <c r="D15" s="9">
        <v>2.6626445587303422</v>
      </c>
      <c r="E15" s="9">
        <v>0.44282249549748876</v>
      </c>
      <c r="F15" s="9">
        <v>5.8262320774465675</v>
      </c>
      <c r="G15" s="9">
        <v>1.3434882381767432</v>
      </c>
      <c r="H15" s="9">
        <v>1.5525544279710768</v>
      </c>
      <c r="I15" s="9">
        <v>5.2185025659118063</v>
      </c>
      <c r="J15" s="9">
        <v>9.4243364400375302</v>
      </c>
      <c r="K15" s="9">
        <v>1.1466290648202664</v>
      </c>
      <c r="L15" s="9">
        <v>1.6537934308679081</v>
      </c>
      <c r="M15" s="9">
        <v>7.8069757401788316</v>
      </c>
    </row>
    <row r="16" spans="2:13" x14ac:dyDescent="0.3">
      <c r="B16" s="76"/>
      <c r="C16" s="6" t="s">
        <v>90</v>
      </c>
      <c r="D16" s="9">
        <v>2.613130034073432</v>
      </c>
      <c r="E16" s="9">
        <v>0.45292759460279902</v>
      </c>
      <c r="F16" s="9">
        <v>4.6254337117602384</v>
      </c>
      <c r="G16" s="9">
        <v>2.1170956821339351</v>
      </c>
      <c r="H16" s="9">
        <v>0.78073997010027973</v>
      </c>
      <c r="I16" s="9">
        <v>10.187370059062724</v>
      </c>
      <c r="J16" s="9">
        <v>5.8687448366557167</v>
      </c>
      <c r="K16" s="9">
        <v>1.4699018296884461</v>
      </c>
      <c r="L16" s="9">
        <v>0.88725614182146595</v>
      </c>
      <c r="M16" s="9">
        <v>8.9037175849455874</v>
      </c>
    </row>
    <row r="17" spans="2:13" x14ac:dyDescent="0.3">
      <c r="B17" s="76"/>
      <c r="C17" s="6" t="s">
        <v>91</v>
      </c>
      <c r="D17" s="9">
        <v>3.3408901233443706</v>
      </c>
      <c r="E17" s="9">
        <v>0.77022019432012823</v>
      </c>
      <c r="F17" s="9">
        <v>3.0816786589016365</v>
      </c>
      <c r="G17" s="9">
        <v>1.2440500295028665</v>
      </c>
      <c r="H17" s="9">
        <v>1.4205369964896497</v>
      </c>
      <c r="I17" s="9">
        <v>3.7420134153041862</v>
      </c>
      <c r="J17" s="9">
        <v>5.6191996273943161</v>
      </c>
      <c r="K17" s="9">
        <v>1.4187282288468177</v>
      </c>
      <c r="L17" s="9">
        <v>1.8257713460890383</v>
      </c>
      <c r="M17" s="9">
        <v>3.8054634216814738</v>
      </c>
    </row>
    <row r="18" spans="2:13" x14ac:dyDescent="0.3">
      <c r="B18" s="76"/>
      <c r="C18" s="6" t="s">
        <v>92</v>
      </c>
      <c r="D18" s="9">
        <v>3.2441979846420277</v>
      </c>
      <c r="E18" s="9">
        <v>1.020976097530419</v>
      </c>
      <c r="F18" s="9">
        <v>5.6018862439359944</v>
      </c>
      <c r="G18" s="9">
        <v>1.9605528224914877</v>
      </c>
      <c r="H18" s="9">
        <v>0.76225294046677505</v>
      </c>
      <c r="I18" s="9">
        <v>9.2078807414803201</v>
      </c>
      <c r="J18" s="9">
        <v>6.7713742213883412</v>
      </c>
      <c r="K18" s="9">
        <v>1.7484065208862694</v>
      </c>
      <c r="L18" s="9">
        <v>1.492156181046097</v>
      </c>
      <c r="M18" s="9">
        <v>6.6002157408820405</v>
      </c>
    </row>
    <row r="19" spans="2:13" x14ac:dyDescent="0.3">
      <c r="B19" s="76"/>
      <c r="C19" s="6" t="s">
        <v>93</v>
      </c>
      <c r="D19" s="9">
        <v>1.5222857777104877</v>
      </c>
      <c r="E19" s="9">
        <v>0.9287683414142236</v>
      </c>
      <c r="F19" s="9">
        <v>4.7828871387245444</v>
      </c>
      <c r="G19" s="9">
        <v>1.7903212444492185</v>
      </c>
      <c r="H19" s="9">
        <v>1.3162115733941109</v>
      </c>
      <c r="I19" s="9">
        <v>8.959702404147734</v>
      </c>
      <c r="J19" s="9">
        <v>7.5902606369029275</v>
      </c>
      <c r="K19" s="9">
        <v>1.0495342717236757</v>
      </c>
      <c r="L19" s="9">
        <v>2.1305400062346123</v>
      </c>
      <c r="M19" s="9">
        <v>7.7651840474784732</v>
      </c>
    </row>
    <row r="24" spans="2:13" x14ac:dyDescent="0.3">
      <c r="C24" s="6" t="s">
        <v>154</v>
      </c>
      <c r="D24" s="6" t="s">
        <v>8</v>
      </c>
      <c r="E24" s="6" t="s">
        <v>18</v>
      </c>
      <c r="F24" s="6" t="s">
        <v>12</v>
      </c>
      <c r="G24" s="6" t="s">
        <v>14</v>
      </c>
      <c r="H24" s="6" t="s">
        <v>16</v>
      </c>
      <c r="I24" s="6" t="s">
        <v>125</v>
      </c>
      <c r="J24" s="6" t="s">
        <v>34</v>
      </c>
      <c r="K24" s="6" t="s">
        <v>29</v>
      </c>
      <c r="L24" s="6" t="s">
        <v>110</v>
      </c>
      <c r="M24" s="6" t="s">
        <v>76</v>
      </c>
    </row>
    <row r="25" spans="2:13" x14ac:dyDescent="0.3">
      <c r="B25" s="76" t="s">
        <v>94</v>
      </c>
      <c r="C25" s="6" t="s">
        <v>80</v>
      </c>
      <c r="D25" s="9">
        <v>9</v>
      </c>
      <c r="E25" s="9">
        <v>14</v>
      </c>
      <c r="F25" s="9">
        <v>7</v>
      </c>
      <c r="G25" s="9">
        <v>12</v>
      </c>
      <c r="H25" s="9">
        <v>12</v>
      </c>
      <c r="I25" s="9">
        <v>5</v>
      </c>
      <c r="J25" s="9">
        <v>7</v>
      </c>
      <c r="K25" s="9">
        <v>15</v>
      </c>
      <c r="L25" s="9">
        <v>11</v>
      </c>
      <c r="M25" s="9">
        <v>7</v>
      </c>
    </row>
    <row r="26" spans="2:13" x14ac:dyDescent="0.3">
      <c r="B26" s="76"/>
      <c r="C26" s="6" t="s">
        <v>81</v>
      </c>
      <c r="D26" s="9">
        <v>10.654492757487054</v>
      </c>
      <c r="E26" s="9">
        <v>16.258602321977552</v>
      </c>
      <c r="F26" s="9">
        <v>6.5525461364709248</v>
      </c>
      <c r="G26" s="9">
        <v>17.993106857630693</v>
      </c>
      <c r="H26" s="9">
        <v>13.451738176402987</v>
      </c>
      <c r="I26" s="9">
        <v>5.6254865708170776</v>
      </c>
      <c r="J26" s="9">
        <v>6.9433969910850388</v>
      </c>
      <c r="K26" s="9">
        <v>19.727271829608707</v>
      </c>
      <c r="L26" s="9">
        <v>13.190684957906097</v>
      </c>
      <c r="M26" s="9">
        <v>6.4723728273148859</v>
      </c>
    </row>
    <row r="27" spans="2:13" x14ac:dyDescent="0.3">
      <c r="B27" s="76"/>
      <c r="C27" s="6" t="s">
        <v>82</v>
      </c>
      <c r="D27" s="9">
        <v>5.2860571752912939</v>
      </c>
      <c r="E27" s="9">
        <v>9.3641429387747763</v>
      </c>
      <c r="F27" s="9">
        <v>4.0027222860453167</v>
      </c>
      <c r="G27" s="9">
        <v>16.829787347508621</v>
      </c>
      <c r="H27" s="9">
        <v>10.825923490413658</v>
      </c>
      <c r="I27" s="9">
        <v>6.5482696853456179</v>
      </c>
      <c r="J27" s="9">
        <v>9.0542198135611471</v>
      </c>
      <c r="K27" s="9">
        <v>8.8911677945264511</v>
      </c>
      <c r="L27" s="9">
        <v>13.103715688180497</v>
      </c>
      <c r="M27" s="9">
        <v>5.0293330326925316</v>
      </c>
    </row>
    <row r="28" spans="2:13" x14ac:dyDescent="0.3">
      <c r="B28" s="76"/>
      <c r="C28" s="6" t="s">
        <v>83</v>
      </c>
      <c r="D28" s="9">
        <v>6.5643039231879792</v>
      </c>
      <c r="E28" s="9">
        <v>7.7853868200690899</v>
      </c>
      <c r="F28" s="9">
        <v>4.6995094079618678</v>
      </c>
      <c r="G28" s="9">
        <v>11.216814907083885</v>
      </c>
      <c r="H28" s="9">
        <v>15.340744990271009</v>
      </c>
      <c r="I28" s="9">
        <v>6.8437968681211503</v>
      </c>
      <c r="J28" s="9">
        <v>9.6136236006675535</v>
      </c>
      <c r="K28" s="9">
        <v>8.2634915425886728</v>
      </c>
      <c r="L28" s="9">
        <v>8.0856008470429561</v>
      </c>
      <c r="M28" s="9">
        <v>7.3902863487235058</v>
      </c>
    </row>
    <row r="29" spans="2:13" x14ac:dyDescent="0.3">
      <c r="B29" s="76"/>
      <c r="C29" s="6" t="s">
        <v>84</v>
      </c>
      <c r="D29" s="9">
        <v>12.597885435760045</v>
      </c>
      <c r="E29" s="9">
        <v>18.889971546597494</v>
      </c>
      <c r="F29" s="9">
        <v>6.3406780217955294</v>
      </c>
      <c r="G29" s="9">
        <v>7.8844367035453136</v>
      </c>
      <c r="H29" s="9">
        <v>16.206961290646341</v>
      </c>
      <c r="I29" s="9">
        <v>2.8057560647840889</v>
      </c>
      <c r="J29" s="9">
        <v>6.9913101718991655</v>
      </c>
      <c r="K29" s="9">
        <v>9.9226528824228826</v>
      </c>
      <c r="L29" s="9">
        <v>15.384025214500658</v>
      </c>
      <c r="M29" s="9">
        <v>9.0730417887051704</v>
      </c>
    </row>
    <row r="30" spans="2:13" x14ac:dyDescent="0.3">
      <c r="B30" s="76"/>
      <c r="C30" s="6" t="s">
        <v>85</v>
      </c>
      <c r="D30" s="9">
        <v>8.5572888357740542</v>
      </c>
      <c r="E30" s="9">
        <v>17.527489465012966</v>
      </c>
      <c r="F30" s="9">
        <v>8.8486362537342718</v>
      </c>
      <c r="G30" s="9">
        <v>11.470515915679254</v>
      </c>
      <c r="H30" s="9">
        <v>8.5913304450859602</v>
      </c>
      <c r="I30" s="9">
        <v>4.0225901389000622</v>
      </c>
      <c r="J30" s="9">
        <v>6.994169495781124</v>
      </c>
      <c r="K30" s="9">
        <v>14.607759197359787</v>
      </c>
      <c r="L30" s="9">
        <v>9.1992908703905929</v>
      </c>
      <c r="M30" s="9">
        <v>6.2066335027689687</v>
      </c>
    </row>
    <row r="31" spans="2:13" x14ac:dyDescent="0.3">
      <c r="B31" s="76"/>
      <c r="C31" s="6" t="s">
        <v>86</v>
      </c>
      <c r="D31" s="9">
        <v>13.044642984582476</v>
      </c>
      <c r="E31" s="9">
        <v>17.294647938760768</v>
      </c>
      <c r="F31" s="9">
        <v>7.7766332599738792</v>
      </c>
      <c r="G31" s="9">
        <v>10.993520457852068</v>
      </c>
      <c r="H31" s="9">
        <v>6.5028597954101208</v>
      </c>
      <c r="I31" s="9">
        <v>6.653749290515103</v>
      </c>
      <c r="J31" s="9">
        <v>5.9120870818290419</v>
      </c>
      <c r="K31" s="9">
        <v>9.9883862678539934</v>
      </c>
      <c r="L31" s="9">
        <v>15.950618522132626</v>
      </c>
      <c r="M31" s="9">
        <v>9.0992399082661102</v>
      </c>
    </row>
    <row r="32" spans="2:13" x14ac:dyDescent="0.3">
      <c r="B32" s="76"/>
      <c r="C32" s="6" t="s">
        <v>87</v>
      </c>
      <c r="D32" s="9">
        <v>9.095012736983012</v>
      </c>
      <c r="E32" s="9">
        <v>11.877483960310325</v>
      </c>
      <c r="F32" s="9">
        <v>4.7678225888124217</v>
      </c>
      <c r="G32" s="9">
        <v>12.660297306770655</v>
      </c>
      <c r="H32" s="9">
        <v>13.450349126762511</v>
      </c>
      <c r="I32" s="9">
        <v>6.9975104484458805</v>
      </c>
      <c r="J32" s="9">
        <v>3.5462174548919334</v>
      </c>
      <c r="K32" s="9">
        <v>14.772994987503026</v>
      </c>
      <c r="L32" s="9">
        <v>12.695068641582363</v>
      </c>
      <c r="M32" s="9">
        <v>4.2327868051101323</v>
      </c>
    </row>
    <row r="33" spans="2:13" x14ac:dyDescent="0.3">
      <c r="B33" s="76"/>
      <c r="C33" s="6" t="s">
        <v>88</v>
      </c>
      <c r="D33" s="9">
        <v>8.2263731614000832</v>
      </c>
      <c r="E33" s="9">
        <v>17.157710528177709</v>
      </c>
      <c r="F33" s="9">
        <v>8.8032810791224669</v>
      </c>
      <c r="G33" s="9">
        <v>16.94684534491298</v>
      </c>
      <c r="H33" s="9">
        <v>17.133678707427691</v>
      </c>
      <c r="I33" s="9">
        <v>5.7911383939256282</v>
      </c>
      <c r="J33" s="9">
        <v>6.2456335873807207</v>
      </c>
      <c r="K33" s="9">
        <v>19.007492702321208</v>
      </c>
      <c r="L33" s="9">
        <v>5.6009805031080173</v>
      </c>
      <c r="M33" s="9">
        <v>10.034716982431769</v>
      </c>
    </row>
    <row r="34" spans="2:13" x14ac:dyDescent="0.3">
      <c r="B34" s="76"/>
      <c r="C34" s="6" t="s">
        <v>89</v>
      </c>
      <c r="D34" s="9">
        <v>6.5026760227365354</v>
      </c>
      <c r="E34" s="9">
        <v>15.252132362435546</v>
      </c>
      <c r="F34" s="9">
        <v>8.1037665544709014</v>
      </c>
      <c r="G34" s="9">
        <v>9.8850325042295175</v>
      </c>
      <c r="H34" s="9">
        <v>15.809273684182674</v>
      </c>
      <c r="I34" s="9">
        <v>7.2151534677710956</v>
      </c>
      <c r="J34" s="9">
        <v>5.6071584887690609</v>
      </c>
      <c r="K34" s="9">
        <v>17.582051377297987</v>
      </c>
      <c r="L34" s="9">
        <v>13.840671454814565</v>
      </c>
      <c r="M34" s="9">
        <v>8.8687809718665012</v>
      </c>
    </row>
    <row r="35" spans="2:13" x14ac:dyDescent="0.3">
      <c r="B35" s="76"/>
      <c r="C35" s="6" t="s">
        <v>90</v>
      </c>
      <c r="D35" s="9">
        <v>6.5961908280535031</v>
      </c>
      <c r="E35" s="9">
        <v>16.063164089373629</v>
      </c>
      <c r="F35" s="9">
        <v>9.4413110792155983</v>
      </c>
      <c r="G35" s="9">
        <v>9.8332980589745791</v>
      </c>
      <c r="H35" s="9">
        <v>12.445383828353986</v>
      </c>
      <c r="I35" s="9">
        <v>7.4260551665578394</v>
      </c>
      <c r="J35" s="9">
        <v>8.0659641603692069</v>
      </c>
      <c r="K35" s="9">
        <v>22.078620079578279</v>
      </c>
      <c r="L35" s="9">
        <v>8.6712780635579705</v>
      </c>
      <c r="M35" s="9">
        <v>6.2331476963493078</v>
      </c>
    </row>
    <row r="36" spans="2:13" x14ac:dyDescent="0.3">
      <c r="B36" s="76"/>
      <c r="C36" s="6" t="s">
        <v>91</v>
      </c>
      <c r="D36" s="9">
        <v>11.882619935789156</v>
      </c>
      <c r="E36" s="9">
        <v>7.7547010800667442</v>
      </c>
      <c r="F36" s="9">
        <v>7.3075336265779267</v>
      </c>
      <c r="G36" s="9">
        <v>10.682038910356107</v>
      </c>
      <c r="H36" s="9">
        <v>12.342261159350826</v>
      </c>
      <c r="I36" s="9">
        <v>6.201983476391729</v>
      </c>
      <c r="J36" s="9">
        <v>9.0635584124837791</v>
      </c>
      <c r="K36" s="9">
        <v>7.9600123928705093</v>
      </c>
      <c r="L36" s="9">
        <v>9.0929087151551791</v>
      </c>
      <c r="M36" s="9">
        <v>10.421273741355064</v>
      </c>
    </row>
    <row r="37" spans="2:13" x14ac:dyDescent="0.3">
      <c r="B37" s="76"/>
      <c r="C37" s="6" t="s">
        <v>92</v>
      </c>
      <c r="D37" s="9">
        <v>9.7355167126903943</v>
      </c>
      <c r="E37" s="9">
        <v>10.173410042173559</v>
      </c>
      <c r="F37" s="9">
        <v>9.6221836408867674</v>
      </c>
      <c r="G37" s="9">
        <v>12.515256849225601</v>
      </c>
      <c r="H37" s="9">
        <v>10.600117423782359</v>
      </c>
      <c r="I37" s="9">
        <v>6.8346750563166569</v>
      </c>
      <c r="J37" s="9">
        <v>8.8926129273594867</v>
      </c>
      <c r="K37" s="9">
        <v>20.557655903160384</v>
      </c>
      <c r="L37" s="9">
        <v>13.686632682309099</v>
      </c>
      <c r="M37" s="9">
        <v>5.9341751044979203</v>
      </c>
    </row>
    <row r="38" spans="2:13" x14ac:dyDescent="0.3">
      <c r="B38" s="76"/>
      <c r="C38" s="6" t="s">
        <v>93</v>
      </c>
      <c r="D38" s="9">
        <v>9.5396895510436295</v>
      </c>
      <c r="E38" s="9">
        <v>15.121239176229034</v>
      </c>
      <c r="F38" s="9">
        <v>7.6975781451138134</v>
      </c>
      <c r="G38" s="9">
        <v>8.6217992604575731</v>
      </c>
      <c r="H38" s="9">
        <v>16.13123977077149</v>
      </c>
      <c r="I38" s="9">
        <v>7.4640669757528144</v>
      </c>
      <c r="J38" s="9">
        <v>8.0027294517711969</v>
      </c>
      <c r="K38" s="9">
        <v>21.282522450645846</v>
      </c>
      <c r="L38" s="9">
        <v>14.975739041824566</v>
      </c>
      <c r="M38" s="9">
        <v>7.5150284266945455</v>
      </c>
    </row>
    <row r="42" spans="2:13" x14ac:dyDescent="0.3">
      <c r="C42" s="6" t="s">
        <v>154</v>
      </c>
      <c r="D42" s="6" t="s">
        <v>126</v>
      </c>
      <c r="E42" s="6" t="s">
        <v>127</v>
      </c>
    </row>
    <row r="43" spans="2:13" x14ac:dyDescent="0.3">
      <c r="B43" s="77" t="s">
        <v>132</v>
      </c>
      <c r="C43" s="6" t="s">
        <v>80</v>
      </c>
      <c r="D43" s="6">
        <v>1600</v>
      </c>
      <c r="E43" s="6">
        <v>92.3</v>
      </c>
    </row>
    <row r="44" spans="2:13" x14ac:dyDescent="0.3">
      <c r="B44" s="77"/>
      <c r="C44" s="6" t="s">
        <v>81</v>
      </c>
      <c r="D44" s="8">
        <v>2900</v>
      </c>
      <c r="E44" s="7">
        <v>100.490621572495</v>
      </c>
      <c r="F44" s="8"/>
    </row>
    <row r="45" spans="2:13" x14ac:dyDescent="0.3">
      <c r="B45" s="77"/>
      <c r="C45" s="6" t="s">
        <v>82</v>
      </c>
      <c r="D45" s="8">
        <v>2700</v>
      </c>
      <c r="E45" s="7">
        <v>113.411129978113</v>
      </c>
      <c r="F45" s="8"/>
    </row>
    <row r="46" spans="2:13" x14ac:dyDescent="0.3">
      <c r="B46" s="77"/>
      <c r="C46" s="6" t="s">
        <v>83</v>
      </c>
      <c r="D46" s="8">
        <v>2600</v>
      </c>
      <c r="E46" s="7">
        <v>80.841831220499003</v>
      </c>
      <c r="F46" s="8"/>
    </row>
    <row r="47" spans="2:13" x14ac:dyDescent="0.3">
      <c r="B47" s="77"/>
      <c r="C47" s="6" t="s">
        <v>84</v>
      </c>
      <c r="D47" s="8">
        <v>3000</v>
      </c>
      <c r="E47" s="7">
        <v>78.562830363879911</v>
      </c>
      <c r="F47" s="8"/>
    </row>
    <row r="48" spans="2:13" x14ac:dyDescent="0.3">
      <c r="B48" s="77"/>
      <c r="C48" s="6" t="s">
        <v>85</v>
      </c>
      <c r="D48" s="8">
        <v>1900</v>
      </c>
      <c r="E48" s="7">
        <v>100.23638952450855</v>
      </c>
      <c r="F48" s="8"/>
    </row>
    <row r="49" spans="2:13" x14ac:dyDescent="0.3">
      <c r="B49" s="77"/>
      <c r="C49" s="6" t="s">
        <v>86</v>
      </c>
      <c r="D49" s="8">
        <v>2900</v>
      </c>
      <c r="E49" s="7">
        <v>99.413389578885443</v>
      </c>
      <c r="F49" s="8"/>
    </row>
    <row r="50" spans="2:13" x14ac:dyDescent="0.3">
      <c r="B50" s="77"/>
      <c r="C50" s="6" t="s">
        <v>87</v>
      </c>
      <c r="D50" s="8">
        <v>1800</v>
      </c>
      <c r="E50" s="7">
        <v>94.581378550804004</v>
      </c>
      <c r="F50" s="8"/>
    </row>
    <row r="51" spans="2:13" x14ac:dyDescent="0.3">
      <c r="B51" s="77"/>
      <c r="C51" s="6" t="s">
        <v>88</v>
      </c>
      <c r="D51" s="8">
        <v>3100</v>
      </c>
      <c r="E51" s="7">
        <v>93.069310566121402</v>
      </c>
      <c r="F51" s="8"/>
    </row>
    <row r="52" spans="2:13" x14ac:dyDescent="0.3">
      <c r="B52" s="77"/>
      <c r="C52" s="6" t="s">
        <v>89</v>
      </c>
      <c r="D52" s="8">
        <v>1800</v>
      </c>
      <c r="E52" s="7">
        <v>90.694100434826595</v>
      </c>
      <c r="F52" s="8"/>
    </row>
    <row r="53" spans="2:13" x14ac:dyDescent="0.3">
      <c r="B53" s="77"/>
      <c r="C53" s="6" t="s">
        <v>90</v>
      </c>
      <c r="D53" s="8">
        <v>2500</v>
      </c>
      <c r="E53" s="7">
        <v>96.102793427526507</v>
      </c>
      <c r="F53" s="8"/>
    </row>
    <row r="54" spans="2:13" x14ac:dyDescent="0.3">
      <c r="B54" s="77"/>
      <c r="C54" s="6" t="s">
        <v>91</v>
      </c>
      <c r="D54" s="8">
        <v>2400</v>
      </c>
      <c r="E54" s="7">
        <v>98.228263631632004</v>
      </c>
      <c r="F54" s="8"/>
    </row>
    <row r="55" spans="2:13" x14ac:dyDescent="0.3">
      <c r="B55" s="77"/>
      <c r="C55" s="6" t="s">
        <v>92</v>
      </c>
      <c r="D55" s="8">
        <v>1800</v>
      </c>
      <c r="E55" s="7">
        <v>81.927096694379998</v>
      </c>
      <c r="F55" s="8"/>
    </row>
    <row r="56" spans="2:13" x14ac:dyDescent="0.3">
      <c r="B56" s="77"/>
      <c r="C56" s="6" t="s">
        <v>93</v>
      </c>
      <c r="D56" s="8">
        <v>2000</v>
      </c>
      <c r="E56" s="7">
        <v>99.377580279295699</v>
      </c>
      <c r="F56" s="8"/>
    </row>
    <row r="60" spans="2:13" x14ac:dyDescent="0.3">
      <c r="C60" s="6" t="s">
        <v>154</v>
      </c>
      <c r="D60" s="6" t="s">
        <v>8</v>
      </c>
      <c r="E60" s="6" t="s">
        <v>18</v>
      </c>
      <c r="F60" s="6" t="s">
        <v>12</v>
      </c>
      <c r="G60" s="6" t="s">
        <v>14</v>
      </c>
      <c r="H60" s="6" t="s">
        <v>16</v>
      </c>
      <c r="I60" s="6" t="s">
        <v>125</v>
      </c>
      <c r="J60" s="6" t="s">
        <v>34</v>
      </c>
      <c r="K60" s="6" t="s">
        <v>29</v>
      </c>
      <c r="L60" s="6" t="s">
        <v>110</v>
      </c>
      <c r="M60" s="6" t="s">
        <v>76</v>
      </c>
    </row>
    <row r="61" spans="2:13" x14ac:dyDescent="0.3">
      <c r="B61" s="77" t="s">
        <v>133</v>
      </c>
      <c r="C61" s="6" t="s">
        <v>80</v>
      </c>
      <c r="D61" s="10">
        <v>9580</v>
      </c>
      <c r="E61" s="10">
        <v>5880</v>
      </c>
      <c r="F61" s="10">
        <v>10080</v>
      </c>
      <c r="G61" s="10">
        <v>6080</v>
      </c>
      <c r="H61" s="10">
        <v>5880</v>
      </c>
      <c r="I61" s="10">
        <v>11080</v>
      </c>
      <c r="J61" s="10">
        <v>11080</v>
      </c>
      <c r="K61" s="10">
        <v>6580</v>
      </c>
      <c r="L61" s="10">
        <v>6180</v>
      </c>
      <c r="M61" s="10">
        <v>11080</v>
      </c>
    </row>
    <row r="62" spans="2:13" x14ac:dyDescent="0.3">
      <c r="B62" s="77"/>
      <c r="C62" s="6" t="s">
        <v>81</v>
      </c>
      <c r="D62" s="10">
        <v>14000</v>
      </c>
      <c r="E62" s="10">
        <v>10400</v>
      </c>
      <c r="F62" s="10">
        <v>12500</v>
      </c>
      <c r="G62" s="10">
        <v>6500</v>
      </c>
      <c r="H62" s="10">
        <v>7600</v>
      </c>
      <c r="I62" s="10">
        <v>21400</v>
      </c>
      <c r="J62" s="10">
        <v>11400</v>
      </c>
      <c r="K62" s="10">
        <v>8400</v>
      </c>
      <c r="L62" s="10">
        <v>10400</v>
      </c>
      <c r="M62" s="10">
        <v>20100</v>
      </c>
    </row>
    <row r="63" spans="2:13" x14ac:dyDescent="0.3">
      <c r="B63" s="77"/>
      <c r="C63" s="6" t="s">
        <v>82</v>
      </c>
      <c r="D63" s="10">
        <v>18700</v>
      </c>
      <c r="E63" s="10">
        <v>7800</v>
      </c>
      <c r="F63" s="10">
        <v>19000</v>
      </c>
      <c r="G63" s="10">
        <v>8200</v>
      </c>
      <c r="H63" s="10">
        <v>8300</v>
      </c>
      <c r="I63" s="10">
        <v>13000</v>
      </c>
      <c r="J63" s="10">
        <v>12700</v>
      </c>
      <c r="K63" s="10">
        <v>7300</v>
      </c>
      <c r="L63" s="10">
        <v>7700</v>
      </c>
      <c r="M63" s="10">
        <v>17800</v>
      </c>
    </row>
    <row r="64" spans="2:13" x14ac:dyDescent="0.3">
      <c r="B64" s="77"/>
      <c r="C64" s="6" t="s">
        <v>83</v>
      </c>
      <c r="D64" s="10">
        <v>18500</v>
      </c>
      <c r="E64" s="10">
        <v>6900</v>
      </c>
      <c r="F64" s="10">
        <v>11200</v>
      </c>
      <c r="G64" s="10">
        <v>11200</v>
      </c>
      <c r="H64" s="10">
        <v>11400</v>
      </c>
      <c r="I64" s="10">
        <v>14500</v>
      </c>
      <c r="J64" s="10">
        <v>20300</v>
      </c>
      <c r="K64" s="10">
        <v>12200</v>
      </c>
      <c r="L64" s="10">
        <v>9800</v>
      </c>
      <c r="M64" s="10">
        <v>20700</v>
      </c>
    </row>
    <row r="65" spans="2:13" x14ac:dyDescent="0.3">
      <c r="B65" s="77"/>
      <c r="C65" s="6" t="s">
        <v>84</v>
      </c>
      <c r="D65" s="10">
        <v>15100</v>
      </c>
      <c r="E65" s="10">
        <v>10700</v>
      </c>
      <c r="F65" s="10">
        <v>10900</v>
      </c>
      <c r="G65" s="10">
        <v>9000</v>
      </c>
      <c r="H65" s="10">
        <v>10200</v>
      </c>
      <c r="I65" s="10">
        <v>17200</v>
      </c>
      <c r="J65" s="10">
        <v>21800</v>
      </c>
      <c r="K65" s="10">
        <v>10500</v>
      </c>
      <c r="L65" s="10">
        <v>10500</v>
      </c>
      <c r="M65" s="10">
        <v>17000</v>
      </c>
    </row>
    <row r="66" spans="2:13" x14ac:dyDescent="0.3">
      <c r="B66" s="77"/>
      <c r="C66" s="6" t="s">
        <v>85</v>
      </c>
      <c r="D66" s="10">
        <v>11900</v>
      </c>
      <c r="E66" s="10">
        <v>10700</v>
      </c>
      <c r="F66" s="10">
        <v>19600</v>
      </c>
      <c r="G66" s="10">
        <v>8000</v>
      </c>
      <c r="H66" s="10">
        <v>7900</v>
      </c>
      <c r="I66" s="10">
        <v>13600</v>
      </c>
      <c r="J66" s="10">
        <v>15300</v>
      </c>
      <c r="K66" s="10">
        <v>7900</v>
      </c>
      <c r="L66" s="10">
        <v>10800</v>
      </c>
      <c r="M66" s="10">
        <v>12000</v>
      </c>
    </row>
    <row r="67" spans="2:13" x14ac:dyDescent="0.3">
      <c r="B67" s="77"/>
      <c r="C67" s="6" t="s">
        <v>86</v>
      </c>
      <c r="D67" s="10">
        <v>18700</v>
      </c>
      <c r="E67" s="10">
        <v>11500</v>
      </c>
      <c r="F67" s="10">
        <v>15600</v>
      </c>
      <c r="G67" s="10">
        <v>10500</v>
      </c>
      <c r="H67" s="10">
        <v>11200</v>
      </c>
      <c r="I67" s="10">
        <v>22100</v>
      </c>
      <c r="J67" s="10">
        <v>19700</v>
      </c>
      <c r="K67" s="10">
        <v>9100</v>
      </c>
      <c r="L67" s="10">
        <v>10700</v>
      </c>
      <c r="M67" s="10">
        <v>16000</v>
      </c>
    </row>
    <row r="68" spans="2:13" x14ac:dyDescent="0.3">
      <c r="B68" s="77"/>
      <c r="C68" s="6" t="s">
        <v>87</v>
      </c>
      <c r="D68" s="10">
        <v>12000</v>
      </c>
      <c r="E68" s="10">
        <v>8800</v>
      </c>
      <c r="F68" s="10">
        <v>13500</v>
      </c>
      <c r="G68" s="10">
        <v>11800</v>
      </c>
      <c r="H68" s="10">
        <v>7700</v>
      </c>
      <c r="I68" s="10">
        <v>13300</v>
      </c>
      <c r="J68" s="10">
        <v>19000</v>
      </c>
      <c r="K68" s="10">
        <v>7900</v>
      </c>
      <c r="L68" s="10">
        <v>7800</v>
      </c>
      <c r="M68" s="10">
        <v>13400</v>
      </c>
    </row>
    <row r="69" spans="2:13" x14ac:dyDescent="0.3">
      <c r="B69" s="77"/>
      <c r="C69" s="6" t="s">
        <v>88</v>
      </c>
      <c r="D69" s="10">
        <v>10100</v>
      </c>
      <c r="E69" s="10">
        <v>11800</v>
      </c>
      <c r="F69" s="10">
        <v>12800</v>
      </c>
      <c r="G69" s="10">
        <v>7600</v>
      </c>
      <c r="H69" s="10">
        <v>11700</v>
      </c>
      <c r="I69" s="10">
        <v>12400</v>
      </c>
      <c r="J69" s="10">
        <v>16400</v>
      </c>
      <c r="K69" s="10">
        <v>7200</v>
      </c>
      <c r="L69" s="10">
        <v>6800</v>
      </c>
      <c r="M69" s="10">
        <v>20400</v>
      </c>
    </row>
    <row r="70" spans="2:13" x14ac:dyDescent="0.3">
      <c r="B70" s="77"/>
      <c r="C70" s="6" t="s">
        <v>89</v>
      </c>
      <c r="D70" s="10">
        <v>13400</v>
      </c>
      <c r="E70" s="10">
        <v>6200</v>
      </c>
      <c r="F70" s="10">
        <v>13700</v>
      </c>
      <c r="G70" s="10">
        <v>8600</v>
      </c>
      <c r="H70" s="10">
        <v>7600</v>
      </c>
      <c r="I70" s="10">
        <v>15300</v>
      </c>
      <c r="J70" s="10">
        <v>14000</v>
      </c>
      <c r="K70" s="10">
        <v>9900</v>
      </c>
      <c r="L70" s="10">
        <v>9300</v>
      </c>
      <c r="M70" s="10">
        <v>20300</v>
      </c>
    </row>
    <row r="71" spans="2:13" x14ac:dyDescent="0.3">
      <c r="B71" s="77"/>
      <c r="C71" s="6" t="s">
        <v>90</v>
      </c>
      <c r="D71" s="10">
        <v>17200</v>
      </c>
      <c r="E71" s="10">
        <v>9700</v>
      </c>
      <c r="F71" s="10">
        <v>19500</v>
      </c>
      <c r="G71" s="10">
        <v>10200</v>
      </c>
      <c r="H71" s="10">
        <v>9300</v>
      </c>
      <c r="I71" s="10">
        <v>16700</v>
      </c>
      <c r="J71" s="10">
        <v>21400</v>
      </c>
      <c r="K71" s="10">
        <v>6800</v>
      </c>
      <c r="L71" s="10">
        <v>6400</v>
      </c>
      <c r="M71" s="10">
        <v>19900</v>
      </c>
    </row>
    <row r="72" spans="2:13" x14ac:dyDescent="0.3">
      <c r="B72" s="77"/>
      <c r="C72" s="6" t="s">
        <v>91</v>
      </c>
      <c r="D72" s="10">
        <v>13500</v>
      </c>
      <c r="E72" s="10">
        <v>11000</v>
      </c>
      <c r="F72" s="10">
        <v>10500</v>
      </c>
      <c r="G72" s="10">
        <v>8200</v>
      </c>
      <c r="H72" s="10">
        <v>6500</v>
      </c>
      <c r="I72" s="10">
        <v>17500</v>
      </c>
      <c r="J72" s="10">
        <v>16200</v>
      </c>
      <c r="K72" s="10">
        <v>7300</v>
      </c>
      <c r="L72" s="10">
        <v>11500</v>
      </c>
      <c r="M72" s="10">
        <v>19400</v>
      </c>
    </row>
    <row r="73" spans="2:13" x14ac:dyDescent="0.3">
      <c r="B73" s="77"/>
      <c r="C73" s="6" t="s">
        <v>92</v>
      </c>
      <c r="D73" s="10">
        <v>13900</v>
      </c>
      <c r="E73" s="10">
        <v>9700</v>
      </c>
      <c r="F73" s="10">
        <v>12000</v>
      </c>
      <c r="G73" s="10">
        <v>6300</v>
      </c>
      <c r="H73" s="10">
        <v>10900</v>
      </c>
      <c r="I73" s="10">
        <v>16100</v>
      </c>
      <c r="J73" s="10">
        <v>13000</v>
      </c>
      <c r="K73" s="10">
        <v>11300</v>
      </c>
      <c r="L73" s="10">
        <v>7500</v>
      </c>
      <c r="M73" s="10">
        <v>18400</v>
      </c>
    </row>
    <row r="74" spans="2:13" x14ac:dyDescent="0.3">
      <c r="B74" s="77"/>
      <c r="C74" s="6" t="s">
        <v>93</v>
      </c>
      <c r="D74" s="10">
        <v>14800</v>
      </c>
      <c r="E74" s="10">
        <v>6400</v>
      </c>
      <c r="F74" s="10">
        <v>13900</v>
      </c>
      <c r="G74" s="10">
        <v>10200</v>
      </c>
      <c r="H74" s="10">
        <v>11500</v>
      </c>
      <c r="I74" s="10">
        <v>21300</v>
      </c>
      <c r="J74" s="10">
        <v>18900</v>
      </c>
      <c r="K74" s="10">
        <v>9800</v>
      </c>
      <c r="L74" s="10">
        <v>11900</v>
      </c>
      <c r="M74" s="10">
        <v>13700</v>
      </c>
    </row>
  </sheetData>
  <mergeCells count="4">
    <mergeCell ref="B6:B19"/>
    <mergeCell ref="B25:B38"/>
    <mergeCell ref="B43:B56"/>
    <mergeCell ref="B61:B74"/>
  </mergeCells>
  <pageMargins left="0.7" right="0.7" top="0.75" bottom="0.75" header="0.3" footer="0.3"/>
  <pageSetup orientation="portrait" horizontalDpi="300" verticalDpi="300" r:id="rId1"/>
  <tableParts count="5">
    <tablePart r:id="rId2"/>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869F6-7436-4CDE-B73F-53A29D0249A6}">
  <dimension ref="A1:R1006"/>
  <sheetViews>
    <sheetView workbookViewId="0">
      <selection activeCell="E8" sqref="E8"/>
    </sheetView>
  </sheetViews>
  <sheetFormatPr defaultColWidth="12.6640625" defaultRowHeight="15" customHeight="1" x14ac:dyDescent="0.3"/>
  <cols>
    <col min="1" max="1" width="17.33203125" style="6" customWidth="1"/>
    <col min="2" max="2" width="21" style="6" customWidth="1"/>
    <col min="3" max="3" width="23.6640625" style="6" bestFit="1" customWidth="1"/>
    <col min="4" max="4" width="23.6640625" style="6" customWidth="1"/>
    <col min="5" max="5" width="18.6640625" style="6" customWidth="1"/>
    <col min="6" max="6" width="8.33203125" style="6" customWidth="1"/>
    <col min="7" max="8" width="10.109375" style="6" bestFit="1" customWidth="1"/>
    <col min="9" max="18" width="8.33203125" style="6" customWidth="1"/>
    <col min="19" max="16384" width="12.6640625" style="6"/>
  </cols>
  <sheetData>
    <row r="1" spans="1:18" ht="15" customHeight="1" x14ac:dyDescent="0.3">
      <c r="A1" s="17" t="s">
        <v>148</v>
      </c>
      <c r="B1" s="14">
        <v>0.2</v>
      </c>
    </row>
    <row r="2" spans="1:18" ht="15" customHeight="1" x14ac:dyDescent="0.3">
      <c r="A2" s="17" t="s">
        <v>149</v>
      </c>
      <c r="B2" s="15">
        <v>6</v>
      </c>
    </row>
    <row r="3" spans="1:18" ht="15" customHeight="1" x14ac:dyDescent="0.3">
      <c r="A3" s="17" t="s">
        <v>150</v>
      </c>
      <c r="B3" s="15">
        <f>B2*12</f>
        <v>72</v>
      </c>
    </row>
    <row r="4" spans="1:18" ht="15" customHeight="1" x14ac:dyDescent="0.3">
      <c r="A4" s="17" t="s">
        <v>151</v>
      </c>
      <c r="B4" s="14">
        <v>0.11</v>
      </c>
    </row>
    <row r="5" spans="1:18" ht="15" customHeight="1" x14ac:dyDescent="0.3">
      <c r="A5" s="17" t="s">
        <v>155</v>
      </c>
      <c r="B5" s="16">
        <f>$B$4/12</f>
        <v>9.1666666666666667E-3</v>
      </c>
    </row>
    <row r="7" spans="1:18" ht="15.75" customHeight="1" x14ac:dyDescent="0.3">
      <c r="A7" s="13" t="s">
        <v>128</v>
      </c>
      <c r="B7" s="13" t="s">
        <v>130</v>
      </c>
      <c r="C7" s="13" t="s">
        <v>129</v>
      </c>
      <c r="D7" s="13" t="s">
        <v>147</v>
      </c>
      <c r="E7" s="13" t="s">
        <v>13</v>
      </c>
      <c r="F7" s="1"/>
      <c r="G7" s="1"/>
      <c r="H7" s="1"/>
      <c r="I7" s="1"/>
      <c r="J7" s="1"/>
      <c r="K7" s="1"/>
      <c r="L7" s="1"/>
      <c r="M7" s="1"/>
      <c r="N7" s="1"/>
      <c r="O7" s="1"/>
      <c r="P7" s="1"/>
      <c r="Q7" s="1"/>
      <c r="R7" s="1"/>
    </row>
    <row r="8" spans="1:18" ht="15.75" customHeight="1" x14ac:dyDescent="0.3">
      <c r="A8" s="6" t="s">
        <v>18</v>
      </c>
      <c r="B8" s="12">
        <v>400000</v>
      </c>
      <c r="C8" s="12">
        <f t="shared" ref="C8:C27" si="0">B8*$B$1</f>
        <v>80000</v>
      </c>
      <c r="D8" s="12">
        <f t="shared" ref="D8:D27" si="1">B8-C8</f>
        <v>320000</v>
      </c>
      <c r="E8" s="11">
        <f t="shared" ref="E8:E27" si="2">-PMT($B$5,$B$3,D8)</f>
        <v>6090.9052802258566</v>
      </c>
      <c r="F8" s="1"/>
      <c r="G8" s="1"/>
      <c r="H8" s="1"/>
      <c r="I8" s="1"/>
      <c r="J8" s="1"/>
      <c r="K8" s="1"/>
      <c r="L8" s="1"/>
      <c r="M8" s="1"/>
      <c r="N8" s="1"/>
      <c r="O8" s="1"/>
      <c r="P8" s="1"/>
      <c r="Q8" s="1"/>
      <c r="R8" s="1"/>
    </row>
    <row r="9" spans="1:18" ht="15.75" customHeight="1" x14ac:dyDescent="0.3">
      <c r="A9" s="6" t="s">
        <v>110</v>
      </c>
      <c r="B9" s="12">
        <v>650000</v>
      </c>
      <c r="C9" s="12">
        <f t="shared" si="0"/>
        <v>130000</v>
      </c>
      <c r="D9" s="12">
        <f t="shared" si="1"/>
        <v>520000</v>
      </c>
      <c r="E9" s="11">
        <f t="shared" si="2"/>
        <v>9897.7210803670168</v>
      </c>
      <c r="F9" s="1"/>
      <c r="G9" s="1"/>
      <c r="H9" s="1"/>
      <c r="I9" s="1"/>
      <c r="J9" s="1"/>
      <c r="K9" s="1"/>
      <c r="L9" s="1"/>
      <c r="M9" s="1"/>
      <c r="N9" s="1"/>
      <c r="O9" s="1"/>
      <c r="P9" s="1"/>
      <c r="Q9" s="1"/>
      <c r="R9" s="1"/>
    </row>
    <row r="10" spans="1:18" ht="15.75" customHeight="1" x14ac:dyDescent="0.3">
      <c r="A10" s="6" t="s">
        <v>111</v>
      </c>
      <c r="B10" s="12">
        <v>600000</v>
      </c>
      <c r="C10" s="12">
        <f t="shared" si="0"/>
        <v>120000</v>
      </c>
      <c r="D10" s="12">
        <f t="shared" si="1"/>
        <v>480000</v>
      </c>
      <c r="E10" s="11">
        <f t="shared" si="2"/>
        <v>9136.3579203387853</v>
      </c>
      <c r="F10" s="1"/>
      <c r="G10" s="1"/>
      <c r="H10" s="1"/>
      <c r="I10" s="1"/>
      <c r="J10" s="1"/>
      <c r="K10" s="1"/>
      <c r="L10" s="1"/>
      <c r="M10" s="1"/>
      <c r="N10" s="1"/>
      <c r="O10" s="1"/>
      <c r="P10" s="1"/>
      <c r="Q10" s="1"/>
      <c r="R10" s="1"/>
    </row>
    <row r="11" spans="1:18" ht="15.75" customHeight="1" x14ac:dyDescent="0.3">
      <c r="A11" s="6" t="s">
        <v>112</v>
      </c>
      <c r="B11" s="12">
        <v>750000</v>
      </c>
      <c r="C11" s="12">
        <f t="shared" si="0"/>
        <v>150000</v>
      </c>
      <c r="D11" s="12">
        <f t="shared" si="1"/>
        <v>600000</v>
      </c>
      <c r="E11" s="11">
        <f t="shared" si="2"/>
        <v>11420.447400423482</v>
      </c>
      <c r="F11" s="1"/>
      <c r="G11" s="1"/>
      <c r="H11" s="1"/>
      <c r="I11" s="1"/>
      <c r="J11" s="1"/>
      <c r="K11" s="1"/>
      <c r="L11" s="1"/>
      <c r="M11" s="1"/>
      <c r="N11" s="1"/>
      <c r="O11" s="1"/>
      <c r="P11" s="1"/>
      <c r="Q11" s="1"/>
      <c r="R11" s="1"/>
    </row>
    <row r="12" spans="1:18" ht="15.75" customHeight="1" x14ac:dyDescent="0.3">
      <c r="A12" s="6" t="s">
        <v>113</v>
      </c>
      <c r="B12" s="12">
        <v>1150000</v>
      </c>
      <c r="C12" s="12">
        <f t="shared" si="0"/>
        <v>230000</v>
      </c>
      <c r="D12" s="12">
        <f t="shared" si="1"/>
        <v>920000</v>
      </c>
      <c r="E12" s="11">
        <f t="shared" si="2"/>
        <v>17511.352680649339</v>
      </c>
      <c r="F12" s="1"/>
      <c r="G12" s="1"/>
      <c r="H12" s="1"/>
      <c r="I12" s="1"/>
      <c r="J12" s="1"/>
      <c r="K12" s="1"/>
      <c r="L12" s="1"/>
      <c r="M12" s="1"/>
      <c r="N12" s="1"/>
      <c r="O12" s="1"/>
      <c r="P12" s="1"/>
      <c r="Q12" s="1"/>
      <c r="R12" s="1"/>
    </row>
    <row r="13" spans="1:18" ht="15.75" customHeight="1" x14ac:dyDescent="0.3">
      <c r="A13" s="6" t="s">
        <v>114</v>
      </c>
      <c r="B13" s="12">
        <v>1150000</v>
      </c>
      <c r="C13" s="12">
        <f t="shared" si="0"/>
        <v>230000</v>
      </c>
      <c r="D13" s="12">
        <f t="shared" si="1"/>
        <v>920000</v>
      </c>
      <c r="E13" s="11">
        <f t="shared" si="2"/>
        <v>17511.352680649339</v>
      </c>
      <c r="F13" s="1"/>
      <c r="G13" s="1"/>
      <c r="H13" s="1"/>
      <c r="I13" s="1"/>
      <c r="J13" s="1"/>
      <c r="K13" s="1"/>
      <c r="L13" s="1"/>
      <c r="M13" s="1"/>
      <c r="N13" s="1"/>
      <c r="O13" s="1"/>
      <c r="P13" s="1"/>
      <c r="Q13" s="1"/>
      <c r="R13" s="1"/>
    </row>
    <row r="14" spans="1:18" ht="15.75" customHeight="1" x14ac:dyDescent="0.3">
      <c r="A14" s="6" t="s">
        <v>125</v>
      </c>
      <c r="B14" s="12">
        <v>1400000</v>
      </c>
      <c r="C14" s="12">
        <f t="shared" si="0"/>
        <v>280000</v>
      </c>
      <c r="D14" s="12">
        <f t="shared" si="1"/>
        <v>1120000</v>
      </c>
      <c r="E14" s="11">
        <f t="shared" si="2"/>
        <v>21318.1684807905</v>
      </c>
      <c r="F14" s="1"/>
      <c r="G14" s="1"/>
      <c r="H14" s="1"/>
      <c r="I14" s="1"/>
      <c r="J14" s="1"/>
      <c r="K14" s="1"/>
      <c r="L14" s="1"/>
      <c r="M14" s="1"/>
      <c r="N14" s="1"/>
      <c r="O14" s="1"/>
      <c r="P14" s="1"/>
      <c r="Q14" s="1"/>
      <c r="R14" s="1"/>
    </row>
    <row r="15" spans="1:18" ht="15.75" customHeight="1" x14ac:dyDescent="0.3">
      <c r="A15" s="6" t="s">
        <v>115</v>
      </c>
      <c r="B15" s="12">
        <v>1250000</v>
      </c>
      <c r="C15" s="12">
        <f t="shared" si="0"/>
        <v>250000</v>
      </c>
      <c r="D15" s="12">
        <f t="shared" si="1"/>
        <v>1000000</v>
      </c>
      <c r="E15" s="11">
        <f t="shared" si="2"/>
        <v>19034.079000705802</v>
      </c>
      <c r="F15" s="1"/>
      <c r="G15" s="1"/>
      <c r="H15" s="1"/>
      <c r="I15" s="1"/>
      <c r="J15" s="1"/>
      <c r="K15" s="1"/>
      <c r="L15" s="1"/>
      <c r="M15" s="1"/>
      <c r="N15" s="1"/>
      <c r="O15" s="1"/>
      <c r="P15" s="1"/>
      <c r="Q15" s="1"/>
      <c r="R15" s="1"/>
    </row>
    <row r="16" spans="1:18" ht="15.75" customHeight="1" x14ac:dyDescent="0.3">
      <c r="A16" s="6" t="s">
        <v>116</v>
      </c>
      <c r="B16" s="12">
        <v>1450000</v>
      </c>
      <c r="C16" s="12">
        <f t="shared" si="0"/>
        <v>290000</v>
      </c>
      <c r="D16" s="12">
        <f t="shared" si="1"/>
        <v>1160000</v>
      </c>
      <c r="E16" s="11">
        <f t="shared" si="2"/>
        <v>22079.531640818732</v>
      </c>
      <c r="F16" s="1"/>
      <c r="G16" s="1"/>
      <c r="H16" s="1"/>
      <c r="I16" s="1"/>
      <c r="J16" s="1"/>
      <c r="K16" s="1"/>
      <c r="L16" s="1"/>
      <c r="M16" s="1"/>
      <c r="N16" s="1"/>
      <c r="O16" s="1"/>
      <c r="P16" s="1"/>
      <c r="Q16" s="1"/>
      <c r="R16" s="1"/>
    </row>
    <row r="17" spans="1:18" ht="15.75" customHeight="1" x14ac:dyDescent="0.3">
      <c r="A17" s="6" t="s">
        <v>117</v>
      </c>
      <c r="B17" s="12">
        <v>250000</v>
      </c>
      <c r="C17" s="12">
        <f t="shared" si="0"/>
        <v>50000</v>
      </c>
      <c r="D17" s="12">
        <f t="shared" si="1"/>
        <v>200000</v>
      </c>
      <c r="E17" s="11">
        <f t="shared" si="2"/>
        <v>3806.8158001411603</v>
      </c>
      <c r="F17" s="1"/>
      <c r="G17" s="1"/>
      <c r="H17" s="1"/>
      <c r="I17" s="1"/>
      <c r="J17" s="1"/>
      <c r="K17" s="1"/>
      <c r="L17" s="1"/>
      <c r="M17" s="1"/>
      <c r="N17" s="1"/>
      <c r="O17" s="1"/>
      <c r="P17" s="1"/>
      <c r="Q17" s="1"/>
      <c r="R17" s="1"/>
    </row>
    <row r="18" spans="1:18" ht="15.75" customHeight="1" x14ac:dyDescent="0.3">
      <c r="A18" s="6" t="s">
        <v>118</v>
      </c>
      <c r="B18" s="12">
        <v>1200000</v>
      </c>
      <c r="C18" s="12">
        <f t="shared" si="0"/>
        <v>240000</v>
      </c>
      <c r="D18" s="12">
        <f t="shared" si="1"/>
        <v>960000</v>
      </c>
      <c r="E18" s="11">
        <f t="shared" si="2"/>
        <v>18272.715840677571</v>
      </c>
      <c r="F18" s="1"/>
      <c r="G18" s="1"/>
      <c r="H18" s="1"/>
      <c r="I18" s="1"/>
      <c r="J18" s="1"/>
      <c r="K18" s="1"/>
      <c r="L18" s="1"/>
      <c r="M18" s="1"/>
      <c r="N18" s="1"/>
      <c r="O18" s="1"/>
      <c r="P18" s="1"/>
      <c r="Q18" s="1"/>
      <c r="R18" s="1"/>
    </row>
    <row r="19" spans="1:18" ht="15.75" customHeight="1" x14ac:dyDescent="0.3">
      <c r="A19" s="6" t="s">
        <v>119</v>
      </c>
      <c r="B19" s="12">
        <v>1400000</v>
      </c>
      <c r="C19" s="12">
        <f t="shared" si="0"/>
        <v>280000</v>
      </c>
      <c r="D19" s="12">
        <f t="shared" si="1"/>
        <v>1120000</v>
      </c>
      <c r="E19" s="11">
        <f t="shared" si="2"/>
        <v>21318.1684807905</v>
      </c>
      <c r="F19" s="1"/>
      <c r="G19" s="1"/>
      <c r="H19" s="1"/>
      <c r="I19" s="1"/>
      <c r="J19" s="1"/>
      <c r="K19" s="1"/>
      <c r="L19" s="1"/>
      <c r="M19" s="1"/>
      <c r="N19" s="1"/>
      <c r="O19" s="1"/>
      <c r="P19" s="1"/>
      <c r="Q19" s="1"/>
      <c r="R19" s="1"/>
    </row>
    <row r="20" spans="1:18" ht="15.75" customHeight="1" x14ac:dyDescent="0.3">
      <c r="A20" s="6" t="s">
        <v>14</v>
      </c>
      <c r="B20" s="12">
        <v>750000</v>
      </c>
      <c r="C20" s="12">
        <f t="shared" si="0"/>
        <v>150000</v>
      </c>
      <c r="D20" s="12">
        <f t="shared" si="1"/>
        <v>600000</v>
      </c>
      <c r="E20" s="11">
        <f t="shared" si="2"/>
        <v>11420.447400423482</v>
      </c>
      <c r="F20" s="1"/>
      <c r="G20" s="1"/>
      <c r="H20" s="1"/>
      <c r="I20" s="1"/>
      <c r="J20" s="1"/>
      <c r="K20" s="1"/>
      <c r="L20" s="1"/>
      <c r="M20" s="1"/>
      <c r="N20" s="1"/>
      <c r="O20" s="1"/>
      <c r="P20" s="1"/>
      <c r="Q20" s="1"/>
      <c r="R20" s="1"/>
    </row>
    <row r="21" spans="1:18" ht="15.75" customHeight="1" x14ac:dyDescent="0.3">
      <c r="A21" s="6" t="s">
        <v>120</v>
      </c>
      <c r="B21" s="12">
        <v>300000</v>
      </c>
      <c r="C21" s="12">
        <f t="shared" si="0"/>
        <v>60000</v>
      </c>
      <c r="D21" s="12">
        <f t="shared" si="1"/>
        <v>240000</v>
      </c>
      <c r="E21" s="11">
        <f t="shared" si="2"/>
        <v>4568.1789601693927</v>
      </c>
      <c r="F21" s="1"/>
      <c r="G21" s="1"/>
      <c r="H21" s="1"/>
      <c r="I21" s="1"/>
      <c r="J21" s="1"/>
      <c r="K21" s="1"/>
      <c r="L21" s="1"/>
      <c r="M21" s="1"/>
      <c r="N21" s="1"/>
      <c r="O21" s="1"/>
      <c r="P21" s="1"/>
      <c r="Q21" s="1"/>
      <c r="R21" s="1"/>
    </row>
    <row r="22" spans="1:18" ht="15.75" customHeight="1" x14ac:dyDescent="0.3">
      <c r="A22" s="6" t="s">
        <v>121</v>
      </c>
      <c r="B22" s="12">
        <v>450000</v>
      </c>
      <c r="C22" s="12">
        <f t="shared" si="0"/>
        <v>90000</v>
      </c>
      <c r="D22" s="12">
        <f t="shared" si="1"/>
        <v>360000</v>
      </c>
      <c r="E22" s="11">
        <f t="shared" si="2"/>
        <v>6852.2684402540881</v>
      </c>
      <c r="F22" s="1"/>
      <c r="G22" s="1"/>
      <c r="H22" s="1"/>
      <c r="I22" s="1"/>
      <c r="J22" s="1"/>
      <c r="K22" s="1"/>
      <c r="L22" s="1"/>
      <c r="M22" s="1"/>
      <c r="N22" s="1"/>
      <c r="O22" s="1"/>
      <c r="P22" s="1"/>
      <c r="Q22" s="1"/>
      <c r="R22" s="1"/>
    </row>
    <row r="23" spans="1:18" ht="15.75" customHeight="1" x14ac:dyDescent="0.3">
      <c r="A23" s="6" t="s">
        <v>29</v>
      </c>
      <c r="B23" s="12">
        <v>550000</v>
      </c>
      <c r="C23" s="12">
        <f t="shared" si="0"/>
        <v>110000</v>
      </c>
      <c r="D23" s="12">
        <f t="shared" si="1"/>
        <v>440000</v>
      </c>
      <c r="E23" s="11">
        <f t="shared" si="2"/>
        <v>8374.9947603105538</v>
      </c>
      <c r="F23" s="1"/>
      <c r="G23" s="1"/>
      <c r="H23" s="1"/>
      <c r="I23" s="1"/>
      <c r="J23" s="1"/>
      <c r="K23" s="1"/>
      <c r="L23" s="1"/>
      <c r="M23" s="1"/>
      <c r="N23" s="1"/>
      <c r="O23" s="1"/>
      <c r="P23" s="1"/>
      <c r="Q23" s="1"/>
      <c r="R23" s="1"/>
    </row>
    <row r="24" spans="1:18" ht="15.75" customHeight="1" x14ac:dyDescent="0.3">
      <c r="A24" s="6" t="s">
        <v>122</v>
      </c>
      <c r="B24" s="12">
        <v>700000</v>
      </c>
      <c r="C24" s="12">
        <f t="shared" si="0"/>
        <v>140000</v>
      </c>
      <c r="D24" s="12">
        <f t="shared" si="1"/>
        <v>560000</v>
      </c>
      <c r="E24" s="11">
        <f t="shared" si="2"/>
        <v>10659.08424039525</v>
      </c>
      <c r="F24" s="1"/>
      <c r="G24" s="1"/>
      <c r="H24" s="1"/>
      <c r="I24" s="1"/>
      <c r="J24" s="1"/>
      <c r="K24" s="1"/>
      <c r="L24" s="1"/>
      <c r="M24" s="1"/>
      <c r="N24" s="1"/>
      <c r="O24" s="1"/>
      <c r="P24" s="1"/>
      <c r="Q24" s="1"/>
      <c r="R24" s="1"/>
    </row>
    <row r="25" spans="1:18" ht="15.75" customHeight="1" x14ac:dyDescent="0.3">
      <c r="A25" s="6" t="s">
        <v>123</v>
      </c>
      <c r="B25" s="12">
        <v>1200000</v>
      </c>
      <c r="C25" s="12">
        <f t="shared" si="0"/>
        <v>240000</v>
      </c>
      <c r="D25" s="12">
        <f t="shared" si="1"/>
        <v>960000</v>
      </c>
      <c r="E25" s="11">
        <f t="shared" si="2"/>
        <v>18272.715840677571</v>
      </c>
      <c r="F25" s="1"/>
      <c r="G25" s="1"/>
      <c r="H25" s="1"/>
      <c r="I25" s="1"/>
      <c r="J25" s="1"/>
      <c r="K25" s="1"/>
      <c r="L25" s="1"/>
      <c r="M25" s="1"/>
      <c r="N25" s="1"/>
      <c r="O25" s="1"/>
      <c r="P25" s="1"/>
      <c r="Q25" s="1"/>
      <c r="R25" s="1"/>
    </row>
    <row r="26" spans="1:18" ht="15.75" customHeight="1" x14ac:dyDescent="0.3">
      <c r="A26" s="6" t="s">
        <v>16</v>
      </c>
      <c r="B26" s="12">
        <v>500000</v>
      </c>
      <c r="C26" s="12">
        <f t="shared" si="0"/>
        <v>100000</v>
      </c>
      <c r="D26" s="12">
        <f t="shared" si="1"/>
        <v>400000</v>
      </c>
      <c r="E26" s="11">
        <f t="shared" si="2"/>
        <v>7613.6316002823205</v>
      </c>
      <c r="F26" s="1"/>
      <c r="G26" s="1"/>
      <c r="H26" s="1"/>
      <c r="I26" s="1"/>
      <c r="J26" s="1"/>
      <c r="K26" s="1"/>
      <c r="L26" s="1"/>
      <c r="M26" s="1"/>
      <c r="N26" s="1"/>
      <c r="O26" s="1"/>
      <c r="P26" s="1"/>
      <c r="Q26" s="1"/>
      <c r="R26" s="1"/>
    </row>
    <row r="27" spans="1:18" ht="15.75" customHeight="1" x14ac:dyDescent="0.3">
      <c r="A27" s="6" t="s">
        <v>124</v>
      </c>
      <c r="B27" s="12">
        <v>2000000</v>
      </c>
      <c r="C27" s="12">
        <f t="shared" si="0"/>
        <v>400000</v>
      </c>
      <c r="D27" s="12">
        <f t="shared" si="1"/>
        <v>1600000</v>
      </c>
      <c r="E27" s="11">
        <f t="shared" si="2"/>
        <v>30454.526401129282</v>
      </c>
      <c r="F27" s="1"/>
      <c r="G27" s="1"/>
      <c r="H27" s="1"/>
      <c r="I27" s="1"/>
      <c r="J27" s="1"/>
      <c r="K27" s="1"/>
      <c r="L27" s="1"/>
      <c r="M27" s="1"/>
      <c r="N27" s="1"/>
      <c r="O27" s="1"/>
      <c r="P27" s="1"/>
      <c r="Q27" s="1"/>
      <c r="R27" s="1"/>
    </row>
    <row r="28" spans="1:18" ht="15.75" customHeight="1" x14ac:dyDescent="0.3">
      <c r="A28" s="1"/>
      <c r="B28" s="1"/>
      <c r="C28" s="1"/>
      <c r="D28" s="1"/>
      <c r="E28" s="1"/>
      <c r="F28" s="1"/>
      <c r="G28" s="1"/>
      <c r="H28" s="1"/>
      <c r="I28" s="1"/>
      <c r="J28" s="1"/>
      <c r="K28" s="1"/>
      <c r="L28" s="1"/>
      <c r="M28" s="1"/>
      <c r="N28" s="1"/>
      <c r="O28" s="1"/>
      <c r="P28" s="1"/>
      <c r="Q28" s="1"/>
      <c r="R28" s="1"/>
    </row>
    <row r="29" spans="1:18" ht="15.75" customHeight="1" x14ac:dyDescent="0.3">
      <c r="A29" s="1"/>
      <c r="B29" s="1"/>
      <c r="C29" s="1"/>
      <c r="D29" s="1"/>
      <c r="E29" s="1"/>
      <c r="F29" s="1"/>
      <c r="G29" s="1"/>
      <c r="H29" s="1"/>
      <c r="I29" s="1"/>
      <c r="J29" s="1"/>
      <c r="K29" s="1"/>
      <c r="L29" s="1"/>
      <c r="M29" s="1"/>
      <c r="N29" s="1"/>
      <c r="O29" s="1"/>
      <c r="P29" s="1"/>
      <c r="Q29" s="1"/>
      <c r="R29" s="1"/>
    </row>
    <row r="30" spans="1:18" ht="15.75" customHeight="1" x14ac:dyDescent="0.3">
      <c r="A30" s="1"/>
      <c r="B30" s="1"/>
      <c r="C30" s="1"/>
      <c r="D30" s="1"/>
      <c r="E30" s="1"/>
      <c r="F30" s="1"/>
      <c r="G30" s="1"/>
      <c r="H30" s="1"/>
      <c r="I30" s="1"/>
      <c r="J30" s="1"/>
      <c r="K30" s="1"/>
      <c r="L30" s="1"/>
      <c r="M30" s="1"/>
      <c r="N30" s="1"/>
      <c r="O30" s="1"/>
      <c r="P30" s="1"/>
      <c r="Q30" s="1"/>
      <c r="R30" s="1"/>
    </row>
    <row r="31" spans="1:18" ht="15.75" customHeight="1" x14ac:dyDescent="0.3">
      <c r="A31" s="1"/>
      <c r="B31" s="1"/>
      <c r="C31" s="1"/>
      <c r="D31" s="1"/>
      <c r="E31" s="1"/>
      <c r="F31" s="1"/>
      <c r="G31" s="1"/>
      <c r="H31" s="1"/>
      <c r="I31" s="1"/>
      <c r="J31" s="1"/>
      <c r="K31" s="1"/>
      <c r="L31" s="1"/>
      <c r="M31" s="1"/>
      <c r="N31" s="1"/>
      <c r="O31" s="1"/>
      <c r="P31" s="1"/>
      <c r="Q31" s="1"/>
      <c r="R31" s="1"/>
    </row>
    <row r="32" spans="1:18" ht="15.75" customHeight="1" x14ac:dyDescent="0.3">
      <c r="A32" s="1"/>
      <c r="B32" s="1"/>
      <c r="C32" s="1"/>
      <c r="D32" s="1"/>
      <c r="E32" s="1"/>
      <c r="F32" s="1"/>
      <c r="G32" s="1"/>
      <c r="H32" s="1"/>
      <c r="I32" s="1"/>
      <c r="J32" s="1"/>
      <c r="K32" s="1"/>
      <c r="L32" s="1"/>
      <c r="M32" s="1"/>
      <c r="N32" s="1"/>
      <c r="O32" s="1"/>
      <c r="P32" s="1"/>
      <c r="Q32" s="1"/>
      <c r="R32" s="1"/>
    </row>
    <row r="33" spans="1:18" ht="15.75" customHeight="1" x14ac:dyDescent="0.3">
      <c r="A33" s="1"/>
      <c r="B33" s="1"/>
      <c r="C33" s="1"/>
      <c r="D33" s="1"/>
      <c r="E33" s="1"/>
      <c r="F33" s="1"/>
      <c r="G33" s="1"/>
      <c r="H33" s="1"/>
      <c r="I33" s="1"/>
      <c r="J33" s="1"/>
      <c r="K33" s="1"/>
      <c r="L33" s="1"/>
      <c r="M33" s="1"/>
      <c r="N33" s="1"/>
      <c r="O33" s="1"/>
      <c r="P33" s="1"/>
      <c r="Q33" s="1"/>
      <c r="R33" s="1"/>
    </row>
    <row r="34" spans="1:18" ht="15.75" customHeight="1" x14ac:dyDescent="0.3">
      <c r="A34" s="1"/>
      <c r="B34" s="1"/>
      <c r="C34" s="1"/>
      <c r="D34" s="1"/>
      <c r="E34" s="1"/>
      <c r="F34" s="1"/>
      <c r="G34" s="1"/>
      <c r="H34" s="1"/>
      <c r="I34" s="1"/>
      <c r="J34" s="1"/>
      <c r="K34" s="1"/>
      <c r="L34" s="1"/>
      <c r="M34" s="1"/>
      <c r="N34" s="1"/>
      <c r="O34" s="1"/>
      <c r="P34" s="1"/>
      <c r="Q34" s="1"/>
      <c r="R34" s="1"/>
    </row>
    <row r="35" spans="1:18" ht="15.75" customHeight="1" x14ac:dyDescent="0.3">
      <c r="A35" s="1"/>
      <c r="B35" s="1"/>
      <c r="C35" s="1"/>
      <c r="D35" s="1"/>
      <c r="E35" s="1"/>
      <c r="F35" s="1"/>
      <c r="G35" s="1"/>
      <c r="H35" s="1"/>
      <c r="I35" s="1"/>
      <c r="J35" s="1"/>
      <c r="K35" s="1"/>
      <c r="L35" s="1"/>
      <c r="M35" s="1"/>
      <c r="N35" s="1"/>
      <c r="O35" s="1"/>
      <c r="P35" s="1"/>
      <c r="Q35" s="1"/>
      <c r="R35" s="1"/>
    </row>
    <row r="36" spans="1:18" ht="15.75" customHeight="1" x14ac:dyDescent="0.3">
      <c r="A36" s="1"/>
      <c r="B36" s="1"/>
      <c r="C36" s="1"/>
      <c r="D36" s="1"/>
      <c r="E36" s="1"/>
      <c r="F36" s="1"/>
      <c r="G36" s="1"/>
      <c r="H36" s="1"/>
      <c r="I36" s="1"/>
      <c r="J36" s="1"/>
      <c r="K36" s="1"/>
      <c r="L36" s="1"/>
      <c r="M36" s="1"/>
      <c r="N36" s="1"/>
      <c r="O36" s="1"/>
      <c r="P36" s="1"/>
      <c r="Q36" s="1"/>
      <c r="R36" s="1"/>
    </row>
    <row r="37" spans="1:18" ht="15.75" customHeight="1" x14ac:dyDescent="0.3">
      <c r="A37" s="1"/>
      <c r="B37" s="1"/>
      <c r="C37" s="1"/>
      <c r="D37" s="1"/>
      <c r="E37" s="1"/>
      <c r="F37" s="1"/>
      <c r="G37" s="1"/>
      <c r="H37" s="1"/>
      <c r="I37" s="1"/>
      <c r="J37" s="1"/>
      <c r="K37" s="1"/>
      <c r="L37" s="1"/>
      <c r="M37" s="1"/>
      <c r="N37" s="1"/>
      <c r="O37" s="1"/>
      <c r="P37" s="1"/>
      <c r="Q37" s="1"/>
      <c r="R37" s="1"/>
    </row>
    <row r="38" spans="1:18" ht="15.75" customHeight="1" x14ac:dyDescent="0.3">
      <c r="A38" s="1"/>
      <c r="B38" s="1"/>
      <c r="C38" s="1"/>
      <c r="D38" s="1"/>
      <c r="E38" s="1"/>
      <c r="F38" s="1"/>
      <c r="G38" s="1"/>
      <c r="H38" s="1"/>
      <c r="I38" s="1"/>
      <c r="J38" s="1"/>
      <c r="K38" s="1"/>
      <c r="L38" s="1"/>
      <c r="M38" s="1"/>
      <c r="N38" s="1"/>
      <c r="O38" s="1"/>
      <c r="P38" s="1"/>
      <c r="Q38" s="1"/>
      <c r="R38" s="1"/>
    </row>
    <row r="39" spans="1:18" ht="15.75" customHeight="1" x14ac:dyDescent="0.3">
      <c r="A39" s="1"/>
      <c r="B39" s="1"/>
      <c r="C39" s="1"/>
      <c r="D39" s="1"/>
      <c r="E39" s="1"/>
      <c r="F39" s="1"/>
      <c r="G39" s="1"/>
      <c r="H39" s="1"/>
      <c r="I39" s="1"/>
      <c r="J39" s="1"/>
      <c r="K39" s="1"/>
      <c r="L39" s="1"/>
      <c r="M39" s="1"/>
      <c r="N39" s="1"/>
      <c r="O39" s="1"/>
      <c r="P39" s="1"/>
      <c r="Q39" s="1"/>
      <c r="R39" s="1"/>
    </row>
    <row r="40" spans="1:18" ht="15.75" customHeight="1" x14ac:dyDescent="0.3">
      <c r="A40" s="1"/>
      <c r="B40" s="1"/>
      <c r="C40" s="1"/>
      <c r="D40" s="1"/>
      <c r="E40" s="1"/>
      <c r="F40" s="1"/>
      <c r="G40" s="1"/>
      <c r="H40" s="1"/>
      <c r="I40" s="1"/>
      <c r="J40" s="1"/>
      <c r="K40" s="1"/>
      <c r="L40" s="1"/>
      <c r="M40" s="1"/>
      <c r="N40" s="1"/>
      <c r="O40" s="1"/>
      <c r="P40" s="1"/>
      <c r="Q40" s="1"/>
      <c r="R40" s="1"/>
    </row>
    <row r="41" spans="1:18" ht="15.75" customHeight="1" x14ac:dyDescent="0.3">
      <c r="A41" s="1"/>
      <c r="B41" s="1"/>
      <c r="C41" s="1"/>
      <c r="D41" s="1"/>
      <c r="E41" s="1"/>
      <c r="F41" s="1"/>
      <c r="G41" s="1"/>
      <c r="H41" s="1"/>
      <c r="I41" s="1"/>
      <c r="J41" s="1"/>
      <c r="K41" s="1"/>
      <c r="L41" s="1"/>
      <c r="M41" s="1"/>
      <c r="N41" s="1"/>
      <c r="O41" s="1"/>
      <c r="P41" s="1"/>
      <c r="Q41" s="1"/>
      <c r="R41" s="1"/>
    </row>
    <row r="42" spans="1:18" ht="15.75" customHeight="1" x14ac:dyDescent="0.3">
      <c r="A42" s="1"/>
      <c r="B42" s="1"/>
      <c r="C42" s="1"/>
      <c r="D42" s="1"/>
      <c r="E42" s="1"/>
      <c r="F42" s="1"/>
      <c r="G42" s="1"/>
      <c r="H42" s="1"/>
      <c r="I42" s="1"/>
      <c r="J42" s="1"/>
      <c r="K42" s="1"/>
      <c r="L42" s="1"/>
      <c r="M42" s="1"/>
      <c r="N42" s="1"/>
      <c r="O42" s="1"/>
      <c r="P42" s="1"/>
      <c r="Q42" s="1"/>
      <c r="R42" s="1"/>
    </row>
    <row r="43" spans="1:18" ht="15.75" customHeight="1" x14ac:dyDescent="0.3">
      <c r="A43" s="1"/>
      <c r="B43" s="1"/>
      <c r="C43" s="1"/>
      <c r="D43" s="1"/>
      <c r="E43" s="1"/>
      <c r="F43" s="1"/>
      <c r="G43" s="1"/>
      <c r="H43" s="1"/>
      <c r="I43" s="1"/>
      <c r="J43" s="1"/>
      <c r="K43" s="1"/>
      <c r="L43" s="1"/>
      <c r="M43" s="1"/>
      <c r="N43" s="1"/>
      <c r="O43" s="1"/>
      <c r="P43" s="1"/>
      <c r="Q43" s="1"/>
      <c r="R43" s="1"/>
    </row>
    <row r="44" spans="1:18" ht="15.75" customHeight="1" x14ac:dyDescent="0.3">
      <c r="A44" s="1"/>
      <c r="B44" s="1"/>
      <c r="C44" s="1"/>
      <c r="D44" s="1"/>
      <c r="E44" s="1"/>
      <c r="F44" s="1"/>
      <c r="G44" s="1"/>
      <c r="H44" s="1"/>
      <c r="I44" s="1"/>
      <c r="J44" s="1"/>
      <c r="K44" s="1"/>
      <c r="L44" s="1"/>
      <c r="M44" s="1"/>
      <c r="N44" s="1"/>
      <c r="O44" s="1"/>
      <c r="P44" s="1"/>
      <c r="Q44" s="1"/>
      <c r="R44" s="1"/>
    </row>
    <row r="45" spans="1:18" ht="15.75" customHeight="1" x14ac:dyDescent="0.3">
      <c r="A45" s="1"/>
      <c r="B45" s="1"/>
      <c r="C45" s="1"/>
      <c r="D45" s="1"/>
      <c r="E45" s="1"/>
      <c r="F45" s="1"/>
      <c r="G45" s="1"/>
      <c r="H45" s="1"/>
      <c r="I45" s="1"/>
      <c r="J45" s="1"/>
      <c r="K45" s="1"/>
      <c r="L45" s="1"/>
      <c r="M45" s="1"/>
      <c r="N45" s="1"/>
      <c r="O45" s="1"/>
      <c r="P45" s="1"/>
      <c r="Q45" s="1"/>
      <c r="R45" s="1"/>
    </row>
    <row r="46" spans="1:18" ht="15.75" customHeight="1" x14ac:dyDescent="0.3">
      <c r="A46" s="1"/>
      <c r="B46" s="1"/>
      <c r="C46" s="1"/>
      <c r="D46" s="1"/>
      <c r="E46" s="1"/>
      <c r="F46" s="1"/>
      <c r="G46" s="1"/>
      <c r="H46" s="1"/>
      <c r="I46" s="1"/>
      <c r="J46" s="1"/>
      <c r="K46" s="1"/>
      <c r="L46" s="1"/>
      <c r="M46" s="1"/>
      <c r="N46" s="1"/>
      <c r="O46" s="1"/>
      <c r="P46" s="1"/>
      <c r="Q46" s="1"/>
      <c r="R46" s="1"/>
    </row>
    <row r="47" spans="1:18" ht="15.75" customHeight="1" x14ac:dyDescent="0.3">
      <c r="A47" s="1"/>
      <c r="B47" s="1"/>
      <c r="C47" s="1"/>
      <c r="D47" s="1"/>
      <c r="E47" s="1"/>
      <c r="F47" s="1"/>
      <c r="G47" s="1"/>
      <c r="H47" s="1"/>
      <c r="I47" s="1"/>
      <c r="J47" s="1"/>
      <c r="K47" s="1"/>
      <c r="L47" s="1"/>
      <c r="M47" s="1"/>
      <c r="N47" s="1"/>
      <c r="O47" s="1"/>
      <c r="P47" s="1"/>
      <c r="Q47" s="1"/>
      <c r="R47" s="1"/>
    </row>
    <row r="48" spans="1:18" ht="15.75" customHeight="1" x14ac:dyDescent="0.3">
      <c r="A48" s="1"/>
      <c r="B48" s="1"/>
      <c r="C48" s="1"/>
      <c r="D48" s="1"/>
      <c r="E48" s="1"/>
      <c r="F48" s="1"/>
      <c r="G48" s="1"/>
      <c r="H48" s="1"/>
      <c r="I48" s="1"/>
      <c r="J48" s="1"/>
      <c r="K48" s="1"/>
      <c r="L48" s="1"/>
      <c r="M48" s="1"/>
      <c r="N48" s="1"/>
      <c r="O48" s="1"/>
      <c r="P48" s="1"/>
      <c r="Q48" s="1"/>
      <c r="R48" s="1"/>
    </row>
    <row r="49" spans="1:18" ht="15.75" customHeight="1" x14ac:dyDescent="0.3">
      <c r="A49" s="1"/>
      <c r="B49" s="1"/>
      <c r="C49" s="1"/>
      <c r="D49" s="1"/>
      <c r="E49" s="1"/>
      <c r="F49" s="1"/>
      <c r="G49" s="1"/>
      <c r="H49" s="1"/>
      <c r="I49" s="1"/>
      <c r="J49" s="1"/>
      <c r="K49" s="1"/>
      <c r="L49" s="1"/>
      <c r="M49" s="1"/>
      <c r="N49" s="1"/>
      <c r="O49" s="1"/>
      <c r="P49" s="1"/>
      <c r="Q49" s="1"/>
      <c r="R49" s="1"/>
    </row>
    <row r="50" spans="1:18" ht="15.75" customHeight="1" x14ac:dyDescent="0.3">
      <c r="A50" s="1"/>
      <c r="B50" s="1"/>
      <c r="C50" s="1"/>
      <c r="D50" s="1"/>
      <c r="E50" s="1"/>
      <c r="F50" s="1"/>
      <c r="G50" s="1"/>
      <c r="H50" s="1"/>
      <c r="I50" s="1"/>
      <c r="J50" s="1"/>
      <c r="K50" s="1"/>
      <c r="L50" s="1"/>
      <c r="M50" s="1"/>
      <c r="N50" s="1"/>
      <c r="O50" s="1"/>
      <c r="P50" s="1"/>
      <c r="Q50" s="1"/>
      <c r="R50" s="1"/>
    </row>
    <row r="51" spans="1:18" ht="15.75" customHeight="1" x14ac:dyDescent="0.3">
      <c r="A51" s="1"/>
      <c r="B51" s="1"/>
      <c r="C51" s="1"/>
      <c r="D51" s="1"/>
      <c r="E51" s="1"/>
      <c r="F51" s="1"/>
      <c r="G51" s="1"/>
      <c r="H51" s="1"/>
      <c r="I51" s="1"/>
      <c r="J51" s="1"/>
      <c r="K51" s="1"/>
      <c r="L51" s="1"/>
      <c r="M51" s="1"/>
      <c r="N51" s="1"/>
      <c r="O51" s="1"/>
      <c r="P51" s="1"/>
      <c r="Q51" s="1"/>
      <c r="R51" s="1"/>
    </row>
    <row r="52" spans="1:18" ht="15.75" customHeight="1" x14ac:dyDescent="0.3">
      <c r="A52" s="1"/>
      <c r="B52" s="1"/>
      <c r="C52" s="1"/>
      <c r="D52" s="1"/>
      <c r="E52" s="1"/>
      <c r="F52" s="1"/>
      <c r="G52" s="1"/>
      <c r="H52" s="1"/>
      <c r="I52" s="1"/>
      <c r="J52" s="1"/>
      <c r="K52" s="1"/>
      <c r="L52" s="1"/>
      <c r="M52" s="1"/>
      <c r="N52" s="1"/>
      <c r="O52" s="1"/>
      <c r="P52" s="1"/>
      <c r="Q52" s="1"/>
      <c r="R52" s="1"/>
    </row>
    <row r="53" spans="1:18" ht="15.75" customHeight="1" x14ac:dyDescent="0.3">
      <c r="A53" s="1"/>
      <c r="B53" s="1"/>
      <c r="C53" s="1"/>
      <c r="D53" s="1"/>
      <c r="E53" s="1"/>
      <c r="F53" s="1"/>
      <c r="G53" s="1"/>
      <c r="H53" s="1"/>
      <c r="I53" s="1"/>
      <c r="J53" s="1"/>
      <c r="K53" s="1"/>
      <c r="L53" s="1"/>
      <c r="M53" s="1"/>
      <c r="N53" s="1"/>
      <c r="O53" s="1"/>
      <c r="P53" s="1"/>
      <c r="Q53" s="1"/>
      <c r="R53" s="1"/>
    </row>
    <row r="54" spans="1:18" ht="15.75" customHeight="1" x14ac:dyDescent="0.3">
      <c r="A54" s="1"/>
      <c r="B54" s="1"/>
      <c r="C54" s="1"/>
      <c r="D54" s="1"/>
      <c r="E54" s="1"/>
      <c r="F54" s="1"/>
      <c r="G54" s="1"/>
      <c r="H54" s="1"/>
      <c r="I54" s="1"/>
      <c r="J54" s="1"/>
      <c r="K54" s="1"/>
      <c r="L54" s="1"/>
      <c r="M54" s="1"/>
      <c r="N54" s="1"/>
      <c r="O54" s="1"/>
      <c r="P54" s="1"/>
      <c r="Q54" s="1"/>
      <c r="R54" s="1"/>
    </row>
    <row r="55" spans="1:18" ht="15.75" customHeight="1" x14ac:dyDescent="0.3">
      <c r="A55" s="1"/>
      <c r="B55" s="1"/>
      <c r="C55" s="1"/>
      <c r="D55" s="1"/>
      <c r="E55" s="1"/>
      <c r="F55" s="1"/>
      <c r="G55" s="1"/>
      <c r="H55" s="1"/>
      <c r="I55" s="1"/>
      <c r="J55" s="1"/>
      <c r="K55" s="1"/>
      <c r="L55" s="1"/>
      <c r="M55" s="1"/>
      <c r="N55" s="1"/>
      <c r="O55" s="1"/>
      <c r="P55" s="1"/>
      <c r="Q55" s="1"/>
      <c r="R55" s="1"/>
    </row>
    <row r="56" spans="1:18" ht="15.75" customHeight="1" x14ac:dyDescent="0.3">
      <c r="A56" s="1"/>
      <c r="B56" s="1"/>
      <c r="C56" s="1"/>
      <c r="D56" s="1"/>
      <c r="E56" s="1"/>
      <c r="F56" s="1"/>
      <c r="G56" s="1"/>
      <c r="H56" s="1"/>
      <c r="I56" s="1"/>
      <c r="J56" s="1"/>
      <c r="K56" s="1"/>
      <c r="L56" s="1"/>
      <c r="M56" s="1"/>
      <c r="N56" s="1"/>
      <c r="O56" s="1"/>
      <c r="P56" s="1"/>
      <c r="Q56" s="1"/>
      <c r="R56" s="1"/>
    </row>
    <row r="57" spans="1:18" ht="15.75" customHeight="1" x14ac:dyDescent="0.3">
      <c r="A57" s="1"/>
      <c r="B57" s="1"/>
      <c r="C57" s="1"/>
      <c r="D57" s="1"/>
      <c r="E57" s="1"/>
      <c r="F57" s="1"/>
      <c r="G57" s="1"/>
      <c r="H57" s="1"/>
      <c r="I57" s="1"/>
      <c r="J57" s="1"/>
      <c r="K57" s="1"/>
      <c r="L57" s="1"/>
      <c r="M57" s="1"/>
      <c r="N57" s="1"/>
      <c r="O57" s="1"/>
      <c r="P57" s="1"/>
      <c r="Q57" s="1"/>
      <c r="R57" s="1"/>
    </row>
    <row r="58" spans="1:18" ht="15.75" customHeight="1" x14ac:dyDescent="0.3">
      <c r="A58" s="1"/>
      <c r="B58" s="1"/>
      <c r="C58" s="1"/>
      <c r="D58" s="1"/>
      <c r="E58" s="1"/>
      <c r="F58" s="1"/>
      <c r="G58" s="1"/>
      <c r="H58" s="1"/>
      <c r="I58" s="1"/>
      <c r="J58" s="1"/>
      <c r="K58" s="1"/>
      <c r="L58" s="1"/>
      <c r="M58" s="1"/>
      <c r="N58" s="1"/>
      <c r="O58" s="1"/>
      <c r="P58" s="1"/>
      <c r="Q58" s="1"/>
      <c r="R58" s="1"/>
    </row>
    <row r="59" spans="1:18" ht="15.75" customHeight="1" x14ac:dyDescent="0.3">
      <c r="A59" s="1"/>
      <c r="B59" s="1"/>
      <c r="C59" s="1"/>
      <c r="D59" s="1"/>
      <c r="E59" s="1"/>
      <c r="F59" s="1"/>
      <c r="G59" s="1"/>
      <c r="H59" s="1"/>
      <c r="I59" s="1"/>
      <c r="J59" s="1"/>
      <c r="K59" s="1"/>
      <c r="L59" s="1"/>
      <c r="M59" s="1"/>
      <c r="N59" s="1"/>
      <c r="O59" s="1"/>
      <c r="P59" s="1"/>
      <c r="Q59" s="1"/>
      <c r="R59" s="1"/>
    </row>
    <row r="60" spans="1:18" ht="15.75" customHeight="1" x14ac:dyDescent="0.3">
      <c r="A60" s="1"/>
      <c r="B60" s="1"/>
      <c r="C60" s="1"/>
      <c r="D60" s="1"/>
      <c r="E60" s="1"/>
      <c r="F60" s="1"/>
      <c r="G60" s="1"/>
      <c r="H60" s="1"/>
      <c r="I60" s="1"/>
      <c r="J60" s="1"/>
      <c r="K60" s="1"/>
      <c r="L60" s="1"/>
      <c r="M60" s="1"/>
      <c r="N60" s="1"/>
      <c r="O60" s="1"/>
      <c r="P60" s="1"/>
      <c r="Q60" s="1"/>
      <c r="R60" s="1"/>
    </row>
    <row r="61" spans="1:18" ht="15.75" customHeight="1" x14ac:dyDescent="0.3">
      <c r="A61" s="1"/>
      <c r="B61" s="1"/>
      <c r="C61" s="1"/>
      <c r="D61" s="1"/>
      <c r="E61" s="1"/>
      <c r="F61" s="1"/>
      <c r="G61" s="1"/>
      <c r="H61" s="1"/>
      <c r="I61" s="1"/>
      <c r="J61" s="1"/>
      <c r="K61" s="1"/>
      <c r="L61" s="1"/>
      <c r="M61" s="1"/>
      <c r="N61" s="1"/>
      <c r="O61" s="1"/>
      <c r="P61" s="1"/>
      <c r="Q61" s="1"/>
      <c r="R61" s="1"/>
    </row>
    <row r="62" spans="1:18" ht="15.75" customHeight="1" x14ac:dyDescent="0.3">
      <c r="A62" s="1"/>
      <c r="B62" s="1"/>
      <c r="C62" s="1"/>
      <c r="D62" s="1"/>
      <c r="E62" s="1"/>
      <c r="F62" s="1"/>
      <c r="G62" s="1"/>
      <c r="H62" s="1"/>
      <c r="I62" s="1"/>
      <c r="J62" s="1"/>
      <c r="K62" s="1"/>
      <c r="L62" s="1"/>
      <c r="M62" s="1"/>
      <c r="N62" s="1"/>
      <c r="O62" s="1"/>
      <c r="P62" s="1"/>
      <c r="Q62" s="1"/>
      <c r="R62" s="1"/>
    </row>
    <row r="63" spans="1:18" ht="15.75" customHeight="1" x14ac:dyDescent="0.3">
      <c r="A63" s="1"/>
      <c r="B63" s="1"/>
      <c r="C63" s="1"/>
      <c r="D63" s="1"/>
      <c r="E63" s="1"/>
      <c r="F63" s="1"/>
      <c r="G63" s="1"/>
      <c r="H63" s="1"/>
      <c r="I63" s="1"/>
      <c r="J63" s="1"/>
      <c r="K63" s="1"/>
      <c r="L63" s="1"/>
      <c r="M63" s="1"/>
      <c r="N63" s="1"/>
      <c r="O63" s="1"/>
      <c r="P63" s="1"/>
      <c r="Q63" s="1"/>
      <c r="R63" s="1"/>
    </row>
    <row r="64" spans="1:18" ht="15.75" customHeight="1" x14ac:dyDescent="0.3">
      <c r="A64" s="1"/>
      <c r="B64" s="1"/>
      <c r="C64" s="1"/>
      <c r="D64" s="1"/>
      <c r="E64" s="1"/>
      <c r="F64" s="1"/>
      <c r="G64" s="1"/>
      <c r="H64" s="1"/>
      <c r="I64" s="1"/>
      <c r="J64" s="1"/>
      <c r="K64" s="1"/>
      <c r="L64" s="1"/>
      <c r="M64" s="1"/>
      <c r="N64" s="1"/>
      <c r="O64" s="1"/>
      <c r="P64" s="1"/>
      <c r="Q64" s="1"/>
      <c r="R64" s="1"/>
    </row>
    <row r="65" spans="1:18" ht="15.75" customHeight="1" x14ac:dyDescent="0.3">
      <c r="A65" s="1"/>
      <c r="B65" s="1"/>
      <c r="C65" s="1"/>
      <c r="D65" s="1"/>
      <c r="E65" s="1"/>
      <c r="F65" s="1"/>
      <c r="G65" s="1"/>
      <c r="H65" s="1"/>
      <c r="I65" s="1"/>
      <c r="J65" s="1"/>
      <c r="K65" s="1"/>
      <c r="L65" s="1"/>
      <c r="M65" s="1"/>
      <c r="N65" s="1"/>
      <c r="O65" s="1"/>
      <c r="P65" s="1"/>
      <c r="Q65" s="1"/>
      <c r="R65" s="1"/>
    </row>
    <row r="66" spans="1:18" ht="15.75" customHeight="1" x14ac:dyDescent="0.3">
      <c r="A66" s="1"/>
      <c r="B66" s="1"/>
      <c r="C66" s="1"/>
      <c r="D66" s="1"/>
      <c r="E66" s="1"/>
      <c r="F66" s="1"/>
      <c r="G66" s="1"/>
      <c r="H66" s="1"/>
      <c r="I66" s="1"/>
      <c r="J66" s="1"/>
      <c r="K66" s="1"/>
      <c r="L66" s="1"/>
      <c r="M66" s="1"/>
      <c r="N66" s="1"/>
      <c r="O66" s="1"/>
      <c r="P66" s="1"/>
      <c r="Q66" s="1"/>
      <c r="R66" s="1"/>
    </row>
    <row r="67" spans="1:18" ht="15.75" customHeight="1" x14ac:dyDescent="0.3">
      <c r="A67" s="1"/>
      <c r="B67" s="1"/>
      <c r="C67" s="1"/>
      <c r="D67" s="1"/>
      <c r="E67" s="1"/>
      <c r="F67" s="1"/>
      <c r="G67" s="1"/>
      <c r="H67" s="1"/>
      <c r="I67" s="1"/>
      <c r="J67" s="1"/>
      <c r="K67" s="1"/>
      <c r="L67" s="1"/>
      <c r="M67" s="1"/>
      <c r="N67" s="1"/>
      <c r="O67" s="1"/>
      <c r="P67" s="1"/>
      <c r="Q67" s="1"/>
      <c r="R67" s="1"/>
    </row>
    <row r="68" spans="1:18" ht="15.75" customHeight="1" x14ac:dyDescent="0.3">
      <c r="A68" s="1"/>
      <c r="B68" s="1"/>
      <c r="C68" s="1"/>
      <c r="D68" s="1"/>
      <c r="E68" s="1"/>
      <c r="F68" s="1"/>
      <c r="G68" s="1"/>
      <c r="H68" s="1"/>
      <c r="I68" s="1"/>
      <c r="J68" s="1"/>
      <c r="K68" s="1"/>
      <c r="L68" s="1"/>
      <c r="M68" s="1"/>
      <c r="N68" s="1"/>
      <c r="O68" s="1"/>
      <c r="P68" s="1"/>
      <c r="Q68" s="1"/>
      <c r="R68" s="1"/>
    </row>
    <row r="69" spans="1:18" ht="15.75" customHeight="1" x14ac:dyDescent="0.3">
      <c r="A69" s="1"/>
      <c r="B69" s="1"/>
      <c r="C69" s="1"/>
      <c r="D69" s="1"/>
      <c r="E69" s="1"/>
      <c r="F69" s="1"/>
      <c r="G69" s="1"/>
      <c r="H69" s="1"/>
      <c r="I69" s="1"/>
      <c r="J69" s="1"/>
      <c r="K69" s="1"/>
      <c r="L69" s="1"/>
      <c r="M69" s="1"/>
      <c r="N69" s="1"/>
      <c r="O69" s="1"/>
      <c r="P69" s="1"/>
      <c r="Q69" s="1"/>
      <c r="R69" s="1"/>
    </row>
    <row r="70" spans="1:18" ht="15.75" customHeight="1" x14ac:dyDescent="0.3">
      <c r="A70" s="1"/>
      <c r="B70" s="1"/>
      <c r="C70" s="1"/>
      <c r="D70" s="1"/>
      <c r="E70" s="1"/>
      <c r="F70" s="1"/>
      <c r="G70" s="1"/>
      <c r="H70" s="1"/>
      <c r="I70" s="1"/>
      <c r="J70" s="1"/>
      <c r="K70" s="1"/>
      <c r="L70" s="1"/>
      <c r="M70" s="1"/>
      <c r="N70" s="1"/>
      <c r="O70" s="1"/>
      <c r="P70" s="1"/>
      <c r="Q70" s="1"/>
      <c r="R70" s="1"/>
    </row>
    <row r="71" spans="1:18" ht="15.75" customHeight="1" x14ac:dyDescent="0.3">
      <c r="A71" s="1"/>
      <c r="B71" s="1"/>
      <c r="C71" s="1"/>
      <c r="D71" s="1"/>
      <c r="E71" s="1"/>
      <c r="F71" s="1"/>
      <c r="G71" s="1"/>
      <c r="H71" s="1"/>
      <c r="I71" s="1"/>
      <c r="J71" s="1"/>
      <c r="K71" s="1"/>
      <c r="L71" s="1"/>
      <c r="M71" s="1"/>
      <c r="N71" s="1"/>
      <c r="O71" s="1"/>
      <c r="P71" s="1"/>
      <c r="Q71" s="1"/>
      <c r="R71" s="1"/>
    </row>
    <row r="72" spans="1:18" ht="15.75" customHeight="1" x14ac:dyDescent="0.3">
      <c r="A72" s="1"/>
      <c r="B72" s="1"/>
      <c r="C72" s="1"/>
      <c r="D72" s="1"/>
      <c r="E72" s="1"/>
      <c r="F72" s="1"/>
      <c r="G72" s="1"/>
      <c r="H72" s="1"/>
      <c r="I72" s="1"/>
      <c r="J72" s="1"/>
      <c r="K72" s="1"/>
      <c r="L72" s="1"/>
      <c r="M72" s="1"/>
      <c r="N72" s="1"/>
      <c r="O72" s="1"/>
      <c r="P72" s="1"/>
      <c r="Q72" s="1"/>
      <c r="R72" s="1"/>
    </row>
    <row r="73" spans="1:18" ht="15.75" customHeight="1" x14ac:dyDescent="0.3">
      <c r="A73" s="1"/>
      <c r="B73" s="1"/>
      <c r="C73" s="1"/>
      <c r="D73" s="1"/>
      <c r="E73" s="1"/>
      <c r="F73" s="1"/>
      <c r="G73" s="1"/>
      <c r="H73" s="1"/>
      <c r="I73" s="1"/>
      <c r="J73" s="1"/>
      <c r="K73" s="1"/>
      <c r="L73" s="1"/>
      <c r="M73" s="1"/>
      <c r="N73" s="1"/>
      <c r="O73" s="1"/>
      <c r="P73" s="1"/>
      <c r="Q73" s="1"/>
      <c r="R73" s="1"/>
    </row>
    <row r="74" spans="1:18" ht="15.75" customHeight="1" x14ac:dyDescent="0.3">
      <c r="A74" s="1"/>
      <c r="B74" s="1"/>
      <c r="C74" s="1"/>
      <c r="D74" s="1"/>
      <c r="E74" s="1"/>
      <c r="F74" s="1"/>
      <c r="G74" s="1"/>
      <c r="H74" s="1"/>
      <c r="I74" s="1"/>
      <c r="J74" s="1"/>
      <c r="K74" s="1"/>
      <c r="L74" s="1"/>
      <c r="M74" s="1"/>
      <c r="N74" s="1"/>
      <c r="O74" s="1"/>
      <c r="P74" s="1"/>
      <c r="Q74" s="1"/>
      <c r="R74" s="1"/>
    </row>
    <row r="75" spans="1:18" ht="15.75" customHeight="1" x14ac:dyDescent="0.3">
      <c r="A75" s="1"/>
      <c r="B75" s="1"/>
      <c r="C75" s="1"/>
      <c r="D75" s="1"/>
      <c r="E75" s="1"/>
      <c r="F75" s="1"/>
      <c r="G75" s="1"/>
      <c r="H75" s="1"/>
      <c r="I75" s="1"/>
      <c r="J75" s="1"/>
      <c r="K75" s="1"/>
      <c r="L75" s="1"/>
      <c r="M75" s="1"/>
      <c r="N75" s="1"/>
      <c r="O75" s="1"/>
      <c r="P75" s="1"/>
      <c r="Q75" s="1"/>
      <c r="R75" s="1"/>
    </row>
    <row r="76" spans="1:18" ht="15.75" customHeight="1" x14ac:dyDescent="0.3">
      <c r="A76" s="1"/>
      <c r="B76" s="1"/>
      <c r="C76" s="1"/>
      <c r="D76" s="1"/>
      <c r="E76" s="1"/>
      <c r="F76" s="1"/>
      <c r="G76" s="1"/>
      <c r="H76" s="1"/>
      <c r="I76" s="1"/>
      <c r="J76" s="1"/>
      <c r="K76" s="1"/>
      <c r="L76" s="1"/>
      <c r="M76" s="1"/>
      <c r="N76" s="1"/>
      <c r="O76" s="1"/>
      <c r="P76" s="1"/>
      <c r="Q76" s="1"/>
      <c r="R76" s="1"/>
    </row>
    <row r="77" spans="1:18" ht="15.75" customHeight="1" x14ac:dyDescent="0.3">
      <c r="A77" s="1"/>
      <c r="B77" s="1"/>
      <c r="C77" s="1"/>
      <c r="D77" s="1"/>
      <c r="E77" s="1"/>
      <c r="F77" s="1"/>
      <c r="G77" s="1"/>
      <c r="H77" s="1"/>
      <c r="I77" s="1"/>
      <c r="J77" s="1"/>
      <c r="K77" s="1"/>
      <c r="L77" s="1"/>
      <c r="M77" s="1"/>
      <c r="N77" s="1"/>
      <c r="O77" s="1"/>
      <c r="P77" s="1"/>
      <c r="Q77" s="1"/>
      <c r="R77" s="1"/>
    </row>
    <row r="78" spans="1:18" ht="15.75" customHeight="1" x14ac:dyDescent="0.3">
      <c r="A78" s="1"/>
      <c r="B78" s="1"/>
      <c r="C78" s="1"/>
      <c r="D78" s="1"/>
      <c r="E78" s="1"/>
      <c r="F78" s="1"/>
      <c r="G78" s="1"/>
      <c r="H78" s="1"/>
      <c r="I78" s="1"/>
      <c r="J78" s="1"/>
      <c r="K78" s="1"/>
      <c r="L78" s="1"/>
      <c r="M78" s="1"/>
      <c r="N78" s="1"/>
      <c r="O78" s="1"/>
      <c r="P78" s="1"/>
      <c r="Q78" s="1"/>
      <c r="R78" s="1"/>
    </row>
    <row r="79" spans="1:18" ht="15.75" customHeight="1" x14ac:dyDescent="0.3">
      <c r="A79" s="1"/>
      <c r="B79" s="1"/>
      <c r="C79" s="1"/>
      <c r="D79" s="1"/>
      <c r="E79" s="1"/>
      <c r="F79" s="1"/>
      <c r="G79" s="1"/>
      <c r="H79" s="1"/>
      <c r="I79" s="1"/>
      <c r="J79" s="1"/>
      <c r="K79" s="1"/>
      <c r="L79" s="1"/>
      <c r="M79" s="1"/>
      <c r="N79" s="1"/>
      <c r="O79" s="1"/>
      <c r="P79" s="1"/>
      <c r="Q79" s="1"/>
      <c r="R79" s="1"/>
    </row>
    <row r="80" spans="1:18" ht="15.75" customHeight="1" x14ac:dyDescent="0.3">
      <c r="A80" s="1"/>
      <c r="B80" s="1"/>
      <c r="C80" s="1"/>
      <c r="D80" s="1"/>
      <c r="E80" s="1"/>
      <c r="F80" s="1"/>
      <c r="G80" s="1"/>
      <c r="H80" s="1"/>
      <c r="I80" s="1"/>
      <c r="J80" s="1"/>
      <c r="K80" s="1"/>
      <c r="L80" s="1"/>
      <c r="M80" s="1"/>
      <c r="N80" s="1"/>
      <c r="O80" s="1"/>
      <c r="P80" s="1"/>
      <c r="Q80" s="1"/>
      <c r="R80" s="1"/>
    </row>
    <row r="81" spans="1:18" ht="15.75" customHeight="1" x14ac:dyDescent="0.3">
      <c r="A81" s="1"/>
      <c r="B81" s="1"/>
      <c r="C81" s="1"/>
      <c r="D81" s="1"/>
      <c r="E81" s="1"/>
      <c r="F81" s="1"/>
      <c r="G81" s="1"/>
      <c r="H81" s="1"/>
      <c r="I81" s="1"/>
      <c r="J81" s="1"/>
      <c r="K81" s="1"/>
      <c r="L81" s="1"/>
      <c r="M81" s="1"/>
      <c r="N81" s="1"/>
      <c r="O81" s="1"/>
      <c r="P81" s="1"/>
      <c r="Q81" s="1"/>
      <c r="R81" s="1"/>
    </row>
    <row r="82" spans="1:18" ht="15.75" customHeight="1" x14ac:dyDescent="0.3">
      <c r="A82" s="1"/>
      <c r="B82" s="1"/>
      <c r="C82" s="1"/>
      <c r="D82" s="1"/>
      <c r="E82" s="1"/>
      <c r="F82" s="1"/>
      <c r="G82" s="1"/>
      <c r="H82" s="1"/>
      <c r="I82" s="1"/>
      <c r="J82" s="1"/>
      <c r="K82" s="1"/>
      <c r="L82" s="1"/>
      <c r="M82" s="1"/>
      <c r="N82" s="1"/>
      <c r="O82" s="1"/>
      <c r="P82" s="1"/>
      <c r="Q82" s="1"/>
      <c r="R82" s="1"/>
    </row>
    <row r="83" spans="1:18" ht="15.75" customHeight="1" x14ac:dyDescent="0.3">
      <c r="A83" s="1"/>
      <c r="B83" s="1"/>
      <c r="C83" s="1"/>
      <c r="D83" s="1"/>
      <c r="E83" s="1"/>
      <c r="F83" s="1"/>
      <c r="G83" s="1"/>
      <c r="H83" s="1"/>
      <c r="I83" s="1"/>
      <c r="J83" s="1"/>
      <c r="K83" s="1"/>
      <c r="L83" s="1"/>
      <c r="M83" s="1"/>
      <c r="N83" s="1"/>
      <c r="O83" s="1"/>
      <c r="P83" s="1"/>
      <c r="Q83" s="1"/>
      <c r="R83" s="1"/>
    </row>
    <row r="84" spans="1:18" ht="15.75" customHeight="1" x14ac:dyDescent="0.3">
      <c r="A84" s="1"/>
      <c r="B84" s="1"/>
      <c r="C84" s="1"/>
      <c r="D84" s="1"/>
      <c r="E84" s="1"/>
      <c r="F84" s="1"/>
      <c r="G84" s="1"/>
      <c r="H84" s="1"/>
      <c r="I84" s="1"/>
      <c r="J84" s="1"/>
      <c r="K84" s="1"/>
      <c r="L84" s="1"/>
      <c r="M84" s="1"/>
      <c r="N84" s="1"/>
      <c r="O84" s="1"/>
      <c r="P84" s="1"/>
      <c r="Q84" s="1"/>
      <c r="R84" s="1"/>
    </row>
    <row r="85" spans="1:18" ht="15.75" customHeight="1" x14ac:dyDescent="0.3">
      <c r="A85" s="1"/>
      <c r="B85" s="1"/>
      <c r="C85" s="1"/>
      <c r="D85" s="1"/>
      <c r="E85" s="1"/>
      <c r="F85" s="1"/>
      <c r="G85" s="1"/>
      <c r="H85" s="1"/>
      <c r="I85" s="1"/>
      <c r="J85" s="1"/>
      <c r="K85" s="1"/>
      <c r="L85" s="1"/>
      <c r="M85" s="1"/>
      <c r="N85" s="1"/>
      <c r="O85" s="1"/>
      <c r="P85" s="1"/>
      <c r="Q85" s="1"/>
      <c r="R85" s="1"/>
    </row>
    <row r="86" spans="1:18" ht="15.75" customHeight="1" x14ac:dyDescent="0.3">
      <c r="A86" s="1"/>
      <c r="B86" s="1"/>
      <c r="C86" s="1"/>
      <c r="D86" s="1"/>
      <c r="E86" s="1"/>
      <c r="F86" s="1"/>
      <c r="G86" s="1"/>
      <c r="H86" s="1"/>
      <c r="I86" s="1"/>
      <c r="J86" s="1"/>
      <c r="K86" s="1"/>
      <c r="L86" s="1"/>
      <c r="M86" s="1"/>
      <c r="N86" s="1"/>
      <c r="O86" s="1"/>
      <c r="P86" s="1"/>
      <c r="Q86" s="1"/>
      <c r="R86" s="1"/>
    </row>
    <row r="87" spans="1:18" ht="15.75" customHeight="1" x14ac:dyDescent="0.3">
      <c r="A87" s="1"/>
      <c r="B87" s="1"/>
      <c r="C87" s="1"/>
      <c r="D87" s="1"/>
      <c r="E87" s="1"/>
      <c r="F87" s="1"/>
      <c r="G87" s="1"/>
      <c r="H87" s="1"/>
      <c r="I87" s="1"/>
      <c r="J87" s="1"/>
      <c r="K87" s="1"/>
      <c r="L87" s="1"/>
      <c r="M87" s="1"/>
      <c r="N87" s="1"/>
      <c r="O87" s="1"/>
      <c r="P87" s="1"/>
      <c r="Q87" s="1"/>
      <c r="R87" s="1"/>
    </row>
    <row r="88" spans="1:18" ht="15.75" customHeight="1" x14ac:dyDescent="0.3">
      <c r="A88" s="1"/>
      <c r="B88" s="1"/>
      <c r="C88" s="1"/>
      <c r="D88" s="1"/>
      <c r="E88" s="1"/>
      <c r="F88" s="1"/>
      <c r="G88" s="1"/>
      <c r="H88" s="1"/>
      <c r="I88" s="1"/>
      <c r="J88" s="1"/>
      <c r="K88" s="1"/>
      <c r="L88" s="1"/>
      <c r="M88" s="1"/>
      <c r="N88" s="1"/>
      <c r="O88" s="1"/>
      <c r="P88" s="1"/>
      <c r="Q88" s="1"/>
      <c r="R88" s="1"/>
    </row>
    <row r="89" spans="1:18" ht="15.75" customHeight="1" x14ac:dyDescent="0.3">
      <c r="A89" s="1"/>
      <c r="B89" s="1"/>
      <c r="C89" s="1"/>
      <c r="D89" s="1"/>
      <c r="E89" s="1"/>
      <c r="F89" s="1"/>
      <c r="G89" s="1"/>
      <c r="H89" s="1"/>
      <c r="I89" s="1"/>
      <c r="J89" s="1"/>
      <c r="K89" s="1"/>
      <c r="L89" s="1"/>
      <c r="M89" s="1"/>
      <c r="N89" s="1"/>
      <c r="O89" s="1"/>
      <c r="P89" s="1"/>
      <c r="Q89" s="1"/>
      <c r="R89" s="1"/>
    </row>
    <row r="90" spans="1:18" ht="15.75" customHeight="1" x14ac:dyDescent="0.3">
      <c r="A90" s="1"/>
      <c r="B90" s="1"/>
      <c r="C90" s="1"/>
      <c r="D90" s="1"/>
      <c r="E90" s="1"/>
      <c r="F90" s="1"/>
      <c r="G90" s="1"/>
      <c r="H90" s="1"/>
      <c r="I90" s="1"/>
      <c r="J90" s="1"/>
      <c r="K90" s="1"/>
      <c r="L90" s="1"/>
      <c r="M90" s="1"/>
      <c r="N90" s="1"/>
      <c r="O90" s="1"/>
      <c r="P90" s="1"/>
      <c r="Q90" s="1"/>
      <c r="R90" s="1"/>
    </row>
    <row r="91" spans="1:18" ht="15.75" customHeight="1" x14ac:dyDescent="0.3">
      <c r="A91" s="1"/>
      <c r="B91" s="1"/>
      <c r="C91" s="1"/>
      <c r="D91" s="1"/>
      <c r="E91" s="1"/>
      <c r="F91" s="1"/>
      <c r="G91" s="1"/>
      <c r="H91" s="1"/>
      <c r="I91" s="1"/>
      <c r="J91" s="1"/>
      <c r="K91" s="1"/>
      <c r="L91" s="1"/>
      <c r="M91" s="1"/>
      <c r="N91" s="1"/>
      <c r="O91" s="1"/>
      <c r="P91" s="1"/>
      <c r="Q91" s="1"/>
      <c r="R91" s="1"/>
    </row>
    <row r="92" spans="1:18" ht="15.75" customHeight="1" x14ac:dyDescent="0.3">
      <c r="A92" s="1"/>
      <c r="B92" s="1"/>
      <c r="C92" s="1"/>
      <c r="D92" s="1"/>
      <c r="E92" s="1"/>
      <c r="F92" s="1"/>
      <c r="G92" s="1"/>
      <c r="H92" s="1"/>
      <c r="I92" s="1"/>
      <c r="J92" s="1"/>
      <c r="K92" s="1"/>
      <c r="L92" s="1"/>
      <c r="M92" s="1"/>
      <c r="N92" s="1"/>
      <c r="O92" s="1"/>
      <c r="P92" s="1"/>
      <c r="Q92" s="1"/>
      <c r="R92" s="1"/>
    </row>
    <row r="93" spans="1:18" ht="15.75" customHeight="1" x14ac:dyDescent="0.3">
      <c r="A93" s="1"/>
      <c r="B93" s="1"/>
      <c r="C93" s="1"/>
      <c r="D93" s="1"/>
      <c r="E93" s="1"/>
      <c r="F93" s="1"/>
      <c r="G93" s="1"/>
      <c r="H93" s="1"/>
      <c r="I93" s="1"/>
      <c r="J93" s="1"/>
      <c r="K93" s="1"/>
      <c r="L93" s="1"/>
      <c r="M93" s="1"/>
      <c r="N93" s="1"/>
      <c r="O93" s="1"/>
      <c r="P93" s="1"/>
      <c r="Q93" s="1"/>
      <c r="R93" s="1"/>
    </row>
    <row r="94" spans="1:18" ht="15.75" customHeight="1" x14ac:dyDescent="0.3">
      <c r="A94" s="1"/>
      <c r="B94" s="1"/>
      <c r="C94" s="1"/>
      <c r="D94" s="1"/>
      <c r="E94" s="1"/>
      <c r="F94" s="1"/>
      <c r="G94" s="1"/>
      <c r="H94" s="1"/>
      <c r="I94" s="1"/>
      <c r="J94" s="1"/>
      <c r="K94" s="1"/>
      <c r="L94" s="1"/>
      <c r="M94" s="1"/>
      <c r="N94" s="1"/>
      <c r="O94" s="1"/>
      <c r="P94" s="1"/>
      <c r="Q94" s="1"/>
      <c r="R94" s="1"/>
    </row>
    <row r="95" spans="1:18" ht="15.75" customHeight="1" x14ac:dyDescent="0.3">
      <c r="A95" s="1"/>
      <c r="B95" s="1"/>
      <c r="C95" s="1"/>
      <c r="D95" s="1"/>
      <c r="E95" s="1"/>
      <c r="F95" s="1"/>
      <c r="G95" s="1"/>
      <c r="H95" s="1"/>
      <c r="I95" s="1"/>
      <c r="J95" s="1"/>
      <c r="K95" s="1"/>
      <c r="L95" s="1"/>
      <c r="M95" s="1"/>
      <c r="N95" s="1"/>
      <c r="O95" s="1"/>
      <c r="P95" s="1"/>
      <c r="Q95" s="1"/>
      <c r="R95" s="1"/>
    </row>
    <row r="96" spans="1:18" ht="15.75" customHeight="1" x14ac:dyDescent="0.3">
      <c r="A96" s="1"/>
      <c r="B96" s="1"/>
      <c r="C96" s="1"/>
      <c r="D96" s="1"/>
      <c r="E96" s="1"/>
      <c r="F96" s="1"/>
      <c r="G96" s="1"/>
      <c r="H96" s="1"/>
      <c r="I96" s="1"/>
      <c r="J96" s="1"/>
      <c r="K96" s="1"/>
      <c r="L96" s="1"/>
      <c r="M96" s="1"/>
      <c r="N96" s="1"/>
      <c r="O96" s="1"/>
      <c r="P96" s="1"/>
      <c r="Q96" s="1"/>
      <c r="R96" s="1"/>
    </row>
    <row r="97" spans="1:18" ht="15.75" customHeight="1" x14ac:dyDescent="0.3">
      <c r="A97" s="1"/>
      <c r="B97" s="1"/>
      <c r="C97" s="1"/>
      <c r="D97" s="1"/>
      <c r="E97" s="1"/>
      <c r="F97" s="1"/>
      <c r="G97" s="1"/>
      <c r="H97" s="1"/>
      <c r="I97" s="1"/>
      <c r="J97" s="1"/>
      <c r="K97" s="1"/>
      <c r="L97" s="1"/>
      <c r="M97" s="1"/>
      <c r="N97" s="1"/>
      <c r="O97" s="1"/>
      <c r="P97" s="1"/>
      <c r="Q97" s="1"/>
      <c r="R97" s="1"/>
    </row>
    <row r="98" spans="1:18" ht="15.75" customHeight="1" x14ac:dyDescent="0.3">
      <c r="A98" s="1"/>
      <c r="B98" s="1"/>
      <c r="C98" s="1"/>
      <c r="D98" s="1"/>
      <c r="E98" s="1"/>
      <c r="F98" s="1"/>
      <c r="G98" s="1"/>
      <c r="H98" s="1"/>
      <c r="I98" s="1"/>
      <c r="J98" s="1"/>
      <c r="K98" s="1"/>
      <c r="L98" s="1"/>
      <c r="M98" s="1"/>
      <c r="N98" s="1"/>
      <c r="O98" s="1"/>
      <c r="P98" s="1"/>
      <c r="Q98" s="1"/>
      <c r="R98" s="1"/>
    </row>
    <row r="99" spans="1:18" ht="15.75" customHeight="1" x14ac:dyDescent="0.3">
      <c r="A99" s="1"/>
      <c r="B99" s="1"/>
      <c r="C99" s="1"/>
      <c r="D99" s="1"/>
      <c r="E99" s="1"/>
      <c r="F99" s="1"/>
      <c r="G99" s="1"/>
      <c r="H99" s="1"/>
      <c r="I99" s="1"/>
      <c r="J99" s="1"/>
      <c r="K99" s="1"/>
      <c r="L99" s="1"/>
      <c r="M99" s="1"/>
      <c r="N99" s="1"/>
      <c r="O99" s="1"/>
      <c r="P99" s="1"/>
      <c r="Q99" s="1"/>
      <c r="R99" s="1"/>
    </row>
    <row r="100" spans="1:18" ht="15.75" customHeight="1" x14ac:dyDescent="0.3">
      <c r="A100" s="1"/>
      <c r="B100" s="1"/>
      <c r="C100" s="1"/>
      <c r="D100" s="1"/>
      <c r="E100" s="1"/>
      <c r="F100" s="1"/>
      <c r="G100" s="1"/>
      <c r="H100" s="1"/>
      <c r="I100" s="1"/>
      <c r="J100" s="1"/>
      <c r="K100" s="1"/>
      <c r="L100" s="1"/>
      <c r="M100" s="1"/>
      <c r="N100" s="1"/>
      <c r="O100" s="1"/>
      <c r="P100" s="1"/>
      <c r="Q100" s="1"/>
      <c r="R100" s="1"/>
    </row>
    <row r="101" spans="1:18" ht="15.75" customHeight="1" x14ac:dyDescent="0.3">
      <c r="A101" s="1"/>
      <c r="B101" s="1"/>
      <c r="C101" s="1"/>
      <c r="D101" s="1"/>
      <c r="E101" s="1"/>
      <c r="F101" s="1"/>
      <c r="G101" s="1"/>
      <c r="H101" s="1"/>
      <c r="I101" s="1"/>
      <c r="J101" s="1"/>
      <c r="K101" s="1"/>
      <c r="L101" s="1"/>
      <c r="M101" s="1"/>
      <c r="N101" s="1"/>
      <c r="O101" s="1"/>
      <c r="P101" s="1"/>
      <c r="Q101" s="1"/>
      <c r="R101" s="1"/>
    </row>
    <row r="102" spans="1:18" ht="15.75" customHeight="1" x14ac:dyDescent="0.3">
      <c r="A102" s="1"/>
      <c r="B102" s="1"/>
      <c r="C102" s="1"/>
      <c r="D102" s="1"/>
      <c r="E102" s="1"/>
      <c r="F102" s="1"/>
      <c r="G102" s="1"/>
      <c r="H102" s="1"/>
      <c r="I102" s="1"/>
      <c r="J102" s="1"/>
      <c r="K102" s="1"/>
      <c r="L102" s="1"/>
      <c r="M102" s="1"/>
      <c r="N102" s="1"/>
      <c r="O102" s="1"/>
      <c r="P102" s="1"/>
      <c r="Q102" s="1"/>
      <c r="R102" s="1"/>
    </row>
    <row r="103" spans="1:18" ht="15.75" customHeight="1" x14ac:dyDescent="0.3">
      <c r="A103" s="1"/>
      <c r="B103" s="1"/>
      <c r="C103" s="1"/>
      <c r="D103" s="1"/>
      <c r="E103" s="1"/>
      <c r="F103" s="1"/>
      <c r="G103" s="1"/>
      <c r="H103" s="1"/>
      <c r="I103" s="1"/>
      <c r="J103" s="1"/>
      <c r="K103" s="1"/>
      <c r="L103" s="1"/>
      <c r="M103" s="1"/>
      <c r="N103" s="1"/>
      <c r="O103" s="1"/>
      <c r="P103" s="1"/>
      <c r="Q103" s="1"/>
      <c r="R103" s="1"/>
    </row>
    <row r="104" spans="1:18" ht="15.75" customHeight="1" x14ac:dyDescent="0.3">
      <c r="A104" s="1"/>
      <c r="B104" s="1"/>
      <c r="C104" s="1"/>
      <c r="D104" s="1"/>
      <c r="E104" s="1"/>
      <c r="F104" s="1"/>
      <c r="G104" s="1"/>
      <c r="H104" s="1"/>
      <c r="I104" s="1"/>
      <c r="J104" s="1"/>
      <c r="K104" s="1"/>
      <c r="L104" s="1"/>
      <c r="M104" s="1"/>
      <c r="N104" s="1"/>
      <c r="O104" s="1"/>
      <c r="P104" s="1"/>
      <c r="Q104" s="1"/>
      <c r="R104" s="1"/>
    </row>
    <row r="105" spans="1:18" ht="15.75" customHeight="1" x14ac:dyDescent="0.3">
      <c r="A105" s="1"/>
      <c r="B105" s="1"/>
      <c r="C105" s="1"/>
      <c r="D105" s="1"/>
      <c r="E105" s="1"/>
      <c r="F105" s="1"/>
      <c r="G105" s="1"/>
      <c r="H105" s="1"/>
      <c r="I105" s="1"/>
      <c r="J105" s="1"/>
      <c r="K105" s="1"/>
      <c r="L105" s="1"/>
      <c r="M105" s="1"/>
      <c r="N105" s="1"/>
      <c r="O105" s="1"/>
      <c r="P105" s="1"/>
      <c r="Q105" s="1"/>
      <c r="R105" s="1"/>
    </row>
    <row r="106" spans="1:18" ht="15.75" customHeight="1" x14ac:dyDescent="0.3">
      <c r="A106" s="1"/>
      <c r="B106" s="1"/>
      <c r="C106" s="1"/>
      <c r="D106" s="1"/>
      <c r="E106" s="1"/>
      <c r="F106" s="1"/>
      <c r="G106" s="1"/>
      <c r="H106" s="1"/>
      <c r="I106" s="1"/>
      <c r="J106" s="1"/>
      <c r="K106" s="1"/>
      <c r="L106" s="1"/>
      <c r="M106" s="1"/>
      <c r="N106" s="1"/>
      <c r="O106" s="1"/>
      <c r="P106" s="1"/>
      <c r="Q106" s="1"/>
      <c r="R106" s="1"/>
    </row>
    <row r="107" spans="1:18" ht="15.75" customHeight="1" x14ac:dyDescent="0.3">
      <c r="A107" s="1"/>
      <c r="B107" s="1"/>
      <c r="C107" s="1"/>
      <c r="D107" s="1"/>
      <c r="E107" s="1"/>
      <c r="F107" s="1"/>
      <c r="G107" s="1"/>
      <c r="H107" s="1"/>
      <c r="I107" s="1"/>
      <c r="J107" s="1"/>
      <c r="K107" s="1"/>
      <c r="L107" s="1"/>
      <c r="M107" s="1"/>
      <c r="N107" s="1"/>
      <c r="O107" s="1"/>
      <c r="P107" s="1"/>
      <c r="Q107" s="1"/>
      <c r="R107" s="1"/>
    </row>
    <row r="108" spans="1:18" ht="15.75" customHeight="1" x14ac:dyDescent="0.3">
      <c r="A108" s="1"/>
      <c r="B108" s="1"/>
      <c r="C108" s="1"/>
      <c r="D108" s="1"/>
      <c r="E108" s="1"/>
      <c r="F108" s="1"/>
      <c r="G108" s="1"/>
      <c r="H108" s="1"/>
      <c r="I108" s="1"/>
      <c r="J108" s="1"/>
      <c r="K108" s="1"/>
      <c r="L108" s="1"/>
      <c r="M108" s="1"/>
      <c r="N108" s="1"/>
      <c r="O108" s="1"/>
      <c r="P108" s="1"/>
      <c r="Q108" s="1"/>
      <c r="R108" s="1"/>
    </row>
    <row r="109" spans="1:18" ht="15.75" customHeight="1" x14ac:dyDescent="0.3">
      <c r="A109" s="1"/>
      <c r="B109" s="1"/>
      <c r="C109" s="1"/>
      <c r="D109" s="1"/>
      <c r="E109" s="1"/>
      <c r="F109" s="1"/>
      <c r="G109" s="1"/>
      <c r="H109" s="1"/>
      <c r="I109" s="1"/>
      <c r="J109" s="1"/>
      <c r="K109" s="1"/>
      <c r="L109" s="1"/>
      <c r="M109" s="1"/>
      <c r="N109" s="1"/>
      <c r="O109" s="1"/>
      <c r="P109" s="1"/>
      <c r="Q109" s="1"/>
      <c r="R109" s="1"/>
    </row>
    <row r="110" spans="1:18" ht="15.75" customHeight="1" x14ac:dyDescent="0.3">
      <c r="A110" s="1"/>
      <c r="B110" s="1"/>
      <c r="C110" s="1"/>
      <c r="D110" s="1"/>
      <c r="E110" s="1"/>
      <c r="F110" s="1"/>
      <c r="G110" s="1"/>
      <c r="H110" s="1"/>
      <c r="I110" s="1"/>
      <c r="J110" s="1"/>
      <c r="K110" s="1"/>
      <c r="L110" s="1"/>
      <c r="M110" s="1"/>
      <c r="N110" s="1"/>
      <c r="O110" s="1"/>
      <c r="P110" s="1"/>
      <c r="Q110" s="1"/>
      <c r="R110" s="1"/>
    </row>
    <row r="111" spans="1:18" ht="15.75" customHeight="1" x14ac:dyDescent="0.3">
      <c r="A111" s="1"/>
      <c r="B111" s="1"/>
      <c r="C111" s="1"/>
      <c r="D111" s="1"/>
      <c r="E111" s="1"/>
      <c r="F111" s="1"/>
      <c r="G111" s="1"/>
      <c r="H111" s="1"/>
      <c r="I111" s="1"/>
      <c r="J111" s="1"/>
      <c r="K111" s="1"/>
      <c r="L111" s="1"/>
      <c r="M111" s="1"/>
      <c r="N111" s="1"/>
      <c r="O111" s="1"/>
      <c r="P111" s="1"/>
      <c r="Q111" s="1"/>
      <c r="R111" s="1"/>
    </row>
    <row r="112" spans="1:18" ht="15.75" customHeight="1" x14ac:dyDescent="0.3">
      <c r="A112" s="1"/>
      <c r="B112" s="1"/>
      <c r="C112" s="1"/>
      <c r="D112" s="1"/>
      <c r="E112" s="1"/>
      <c r="F112" s="1"/>
      <c r="G112" s="1"/>
      <c r="H112" s="1"/>
      <c r="I112" s="1"/>
      <c r="J112" s="1"/>
      <c r="K112" s="1"/>
      <c r="L112" s="1"/>
      <c r="M112" s="1"/>
      <c r="N112" s="1"/>
      <c r="O112" s="1"/>
      <c r="P112" s="1"/>
      <c r="Q112" s="1"/>
      <c r="R112" s="1"/>
    </row>
    <row r="113" spans="1:18" ht="15.75" customHeight="1" x14ac:dyDescent="0.3">
      <c r="A113" s="1"/>
      <c r="B113" s="1"/>
      <c r="C113" s="1"/>
      <c r="D113" s="1"/>
      <c r="E113" s="1"/>
      <c r="F113" s="1"/>
      <c r="G113" s="1"/>
      <c r="H113" s="1"/>
      <c r="I113" s="1"/>
      <c r="J113" s="1"/>
      <c r="K113" s="1"/>
      <c r="L113" s="1"/>
      <c r="M113" s="1"/>
      <c r="N113" s="1"/>
      <c r="O113" s="1"/>
      <c r="P113" s="1"/>
      <c r="Q113" s="1"/>
      <c r="R113" s="1"/>
    </row>
    <row r="114" spans="1:18" ht="15.75" customHeight="1" x14ac:dyDescent="0.3">
      <c r="A114" s="1"/>
      <c r="B114" s="1"/>
      <c r="C114" s="1"/>
      <c r="D114" s="1"/>
      <c r="E114" s="1"/>
      <c r="F114" s="1"/>
      <c r="G114" s="1"/>
      <c r="H114" s="1"/>
      <c r="I114" s="1"/>
      <c r="J114" s="1"/>
      <c r="K114" s="1"/>
      <c r="L114" s="1"/>
      <c r="M114" s="1"/>
      <c r="N114" s="1"/>
      <c r="O114" s="1"/>
      <c r="P114" s="1"/>
      <c r="Q114" s="1"/>
      <c r="R114" s="1"/>
    </row>
    <row r="115" spans="1:18" ht="15.75" customHeight="1" x14ac:dyDescent="0.3">
      <c r="A115" s="1"/>
      <c r="B115" s="1"/>
      <c r="C115" s="1"/>
      <c r="D115" s="1"/>
      <c r="E115" s="1"/>
      <c r="F115" s="1"/>
      <c r="G115" s="1"/>
      <c r="H115" s="1"/>
      <c r="I115" s="1"/>
      <c r="J115" s="1"/>
      <c r="K115" s="1"/>
      <c r="L115" s="1"/>
      <c r="M115" s="1"/>
      <c r="N115" s="1"/>
      <c r="O115" s="1"/>
      <c r="P115" s="1"/>
      <c r="Q115" s="1"/>
      <c r="R115" s="1"/>
    </row>
    <row r="116" spans="1:18" ht="15.75" customHeight="1" x14ac:dyDescent="0.3">
      <c r="A116" s="1"/>
      <c r="B116" s="1"/>
      <c r="C116" s="1"/>
      <c r="D116" s="1"/>
      <c r="E116" s="1"/>
      <c r="F116" s="1"/>
      <c r="G116" s="1"/>
      <c r="H116" s="1"/>
      <c r="I116" s="1"/>
      <c r="J116" s="1"/>
      <c r="K116" s="1"/>
      <c r="L116" s="1"/>
      <c r="M116" s="1"/>
      <c r="N116" s="1"/>
      <c r="O116" s="1"/>
      <c r="P116" s="1"/>
      <c r="Q116" s="1"/>
      <c r="R116" s="1"/>
    </row>
    <row r="117" spans="1:18" ht="15.75" customHeight="1" x14ac:dyDescent="0.3">
      <c r="A117" s="1"/>
      <c r="B117" s="1"/>
      <c r="C117" s="1"/>
      <c r="D117" s="1"/>
      <c r="E117" s="1"/>
      <c r="F117" s="1"/>
      <c r="G117" s="1"/>
      <c r="H117" s="1"/>
      <c r="I117" s="1"/>
      <c r="J117" s="1"/>
      <c r="K117" s="1"/>
      <c r="L117" s="1"/>
      <c r="M117" s="1"/>
      <c r="N117" s="1"/>
      <c r="O117" s="1"/>
      <c r="P117" s="1"/>
      <c r="Q117" s="1"/>
      <c r="R117" s="1"/>
    </row>
    <row r="118" spans="1:18" ht="15.75" customHeight="1" x14ac:dyDescent="0.3">
      <c r="A118" s="1"/>
      <c r="B118" s="1"/>
      <c r="C118" s="1"/>
      <c r="D118" s="1"/>
      <c r="E118" s="1"/>
      <c r="F118" s="1"/>
      <c r="G118" s="1"/>
      <c r="H118" s="1"/>
      <c r="I118" s="1"/>
      <c r="J118" s="1"/>
      <c r="K118" s="1"/>
      <c r="L118" s="1"/>
      <c r="M118" s="1"/>
      <c r="N118" s="1"/>
      <c r="O118" s="1"/>
      <c r="P118" s="1"/>
      <c r="Q118" s="1"/>
      <c r="R118" s="1"/>
    </row>
    <row r="119" spans="1:18" ht="15.75" customHeight="1" x14ac:dyDescent="0.3">
      <c r="A119" s="1"/>
      <c r="B119" s="1"/>
      <c r="C119" s="1"/>
      <c r="D119" s="1"/>
      <c r="E119" s="1"/>
      <c r="F119" s="1"/>
      <c r="G119" s="1"/>
      <c r="H119" s="1"/>
      <c r="I119" s="1"/>
      <c r="J119" s="1"/>
      <c r="K119" s="1"/>
      <c r="L119" s="1"/>
      <c r="M119" s="1"/>
      <c r="N119" s="1"/>
      <c r="O119" s="1"/>
      <c r="P119" s="1"/>
      <c r="Q119" s="1"/>
      <c r="R119" s="1"/>
    </row>
    <row r="120" spans="1:18" ht="15.75" customHeight="1" x14ac:dyDescent="0.3">
      <c r="A120" s="1"/>
      <c r="B120" s="1"/>
      <c r="C120" s="1"/>
      <c r="D120" s="1"/>
      <c r="E120" s="1"/>
      <c r="F120" s="1"/>
      <c r="G120" s="1"/>
      <c r="H120" s="1"/>
      <c r="I120" s="1"/>
      <c r="J120" s="1"/>
      <c r="K120" s="1"/>
      <c r="L120" s="1"/>
      <c r="M120" s="1"/>
      <c r="N120" s="1"/>
      <c r="O120" s="1"/>
      <c r="P120" s="1"/>
      <c r="Q120" s="1"/>
      <c r="R120" s="1"/>
    </row>
    <row r="121" spans="1:18" ht="15.75" customHeight="1" x14ac:dyDescent="0.3">
      <c r="A121" s="1"/>
      <c r="B121" s="1"/>
      <c r="C121" s="1"/>
      <c r="D121" s="1"/>
      <c r="E121" s="1"/>
      <c r="F121" s="1"/>
      <c r="G121" s="1"/>
      <c r="H121" s="1"/>
      <c r="I121" s="1"/>
      <c r="J121" s="1"/>
      <c r="K121" s="1"/>
      <c r="L121" s="1"/>
      <c r="M121" s="1"/>
      <c r="N121" s="1"/>
      <c r="O121" s="1"/>
      <c r="P121" s="1"/>
      <c r="Q121" s="1"/>
      <c r="R121" s="1"/>
    </row>
    <row r="122" spans="1:18" ht="15.75" customHeight="1" x14ac:dyDescent="0.3">
      <c r="A122" s="1"/>
      <c r="B122" s="1"/>
      <c r="C122" s="1"/>
      <c r="D122" s="1"/>
      <c r="E122" s="1"/>
      <c r="F122" s="1"/>
      <c r="G122" s="1"/>
      <c r="H122" s="1"/>
      <c r="I122" s="1"/>
      <c r="J122" s="1"/>
      <c r="K122" s="1"/>
      <c r="L122" s="1"/>
      <c r="M122" s="1"/>
      <c r="N122" s="1"/>
      <c r="O122" s="1"/>
      <c r="P122" s="1"/>
      <c r="Q122" s="1"/>
      <c r="R122" s="1"/>
    </row>
    <row r="123" spans="1:18" ht="15.75" customHeight="1" x14ac:dyDescent="0.3">
      <c r="A123" s="1"/>
      <c r="B123" s="1"/>
      <c r="C123" s="1"/>
      <c r="D123" s="1"/>
      <c r="E123" s="1"/>
      <c r="F123" s="1"/>
      <c r="G123" s="1"/>
      <c r="H123" s="1"/>
      <c r="I123" s="1"/>
      <c r="J123" s="1"/>
      <c r="K123" s="1"/>
      <c r="L123" s="1"/>
      <c r="M123" s="1"/>
      <c r="N123" s="1"/>
      <c r="O123" s="1"/>
      <c r="P123" s="1"/>
      <c r="Q123" s="1"/>
      <c r="R123" s="1"/>
    </row>
    <row r="124" spans="1:18" ht="15.75" customHeight="1" x14ac:dyDescent="0.3">
      <c r="A124" s="1"/>
      <c r="B124" s="1"/>
      <c r="C124" s="1"/>
      <c r="D124" s="1"/>
      <c r="E124" s="1"/>
      <c r="F124" s="1"/>
      <c r="G124" s="1"/>
      <c r="H124" s="1"/>
      <c r="I124" s="1"/>
      <c r="J124" s="1"/>
      <c r="K124" s="1"/>
      <c r="L124" s="1"/>
      <c r="M124" s="1"/>
      <c r="N124" s="1"/>
      <c r="O124" s="1"/>
      <c r="P124" s="1"/>
      <c r="Q124" s="1"/>
      <c r="R124" s="1"/>
    </row>
    <row r="125" spans="1:18" ht="15.75" customHeight="1" x14ac:dyDescent="0.3">
      <c r="A125" s="1"/>
      <c r="B125" s="1"/>
      <c r="C125" s="1"/>
      <c r="D125" s="1"/>
      <c r="E125" s="1"/>
      <c r="F125" s="1"/>
      <c r="G125" s="1"/>
      <c r="H125" s="1"/>
      <c r="I125" s="1"/>
      <c r="J125" s="1"/>
      <c r="K125" s="1"/>
      <c r="L125" s="1"/>
      <c r="M125" s="1"/>
      <c r="N125" s="1"/>
      <c r="O125" s="1"/>
      <c r="P125" s="1"/>
      <c r="Q125" s="1"/>
      <c r="R125" s="1"/>
    </row>
    <row r="126" spans="1:18" ht="15.75" customHeight="1" x14ac:dyDescent="0.3">
      <c r="A126" s="1"/>
      <c r="B126" s="1"/>
      <c r="C126" s="1"/>
      <c r="D126" s="1"/>
      <c r="E126" s="1"/>
      <c r="F126" s="1"/>
      <c r="G126" s="1"/>
      <c r="H126" s="1"/>
      <c r="I126" s="1"/>
      <c r="J126" s="1"/>
      <c r="K126" s="1"/>
      <c r="L126" s="1"/>
      <c r="M126" s="1"/>
      <c r="N126" s="1"/>
      <c r="O126" s="1"/>
      <c r="P126" s="1"/>
      <c r="Q126" s="1"/>
      <c r="R126" s="1"/>
    </row>
    <row r="127" spans="1:18" ht="15.75" customHeight="1" x14ac:dyDescent="0.3">
      <c r="A127" s="1"/>
      <c r="B127" s="1"/>
      <c r="C127" s="1"/>
      <c r="D127" s="1"/>
      <c r="E127" s="1"/>
      <c r="F127" s="1"/>
      <c r="G127" s="1"/>
      <c r="H127" s="1"/>
      <c r="I127" s="1"/>
      <c r="J127" s="1"/>
      <c r="K127" s="1"/>
      <c r="L127" s="1"/>
      <c r="M127" s="1"/>
      <c r="N127" s="1"/>
      <c r="O127" s="1"/>
      <c r="P127" s="1"/>
      <c r="Q127" s="1"/>
      <c r="R127" s="1"/>
    </row>
    <row r="128" spans="1:18" ht="15.75" customHeight="1" x14ac:dyDescent="0.3">
      <c r="A128" s="1"/>
      <c r="B128" s="1"/>
      <c r="C128" s="1"/>
      <c r="D128" s="1"/>
      <c r="E128" s="1"/>
      <c r="F128" s="1"/>
      <c r="G128" s="1"/>
      <c r="H128" s="1"/>
      <c r="I128" s="1"/>
      <c r="J128" s="1"/>
      <c r="K128" s="1"/>
      <c r="L128" s="1"/>
      <c r="M128" s="1"/>
      <c r="N128" s="1"/>
      <c r="O128" s="1"/>
      <c r="P128" s="1"/>
      <c r="Q128" s="1"/>
      <c r="R128" s="1"/>
    </row>
    <row r="129" spans="1:18" ht="15.75" customHeight="1" x14ac:dyDescent="0.3">
      <c r="A129" s="1"/>
      <c r="B129" s="1"/>
      <c r="C129" s="1"/>
      <c r="D129" s="1"/>
      <c r="E129" s="1"/>
      <c r="F129" s="1"/>
      <c r="G129" s="1"/>
      <c r="H129" s="1"/>
      <c r="I129" s="1"/>
      <c r="J129" s="1"/>
      <c r="K129" s="1"/>
      <c r="L129" s="1"/>
      <c r="M129" s="1"/>
      <c r="N129" s="1"/>
      <c r="O129" s="1"/>
      <c r="P129" s="1"/>
      <c r="Q129" s="1"/>
      <c r="R129" s="1"/>
    </row>
    <row r="130" spans="1:18" ht="15.75" customHeight="1" x14ac:dyDescent="0.3">
      <c r="A130" s="1"/>
      <c r="B130" s="1"/>
      <c r="C130" s="1"/>
      <c r="D130" s="1"/>
      <c r="E130" s="1"/>
      <c r="F130" s="1"/>
      <c r="G130" s="1"/>
      <c r="H130" s="1"/>
      <c r="I130" s="1"/>
      <c r="J130" s="1"/>
      <c r="K130" s="1"/>
      <c r="L130" s="1"/>
      <c r="M130" s="1"/>
      <c r="N130" s="1"/>
      <c r="O130" s="1"/>
      <c r="P130" s="1"/>
      <c r="Q130" s="1"/>
      <c r="R130" s="1"/>
    </row>
    <row r="131" spans="1:18" ht="15.75" customHeight="1" x14ac:dyDescent="0.3">
      <c r="A131" s="1"/>
      <c r="B131" s="1"/>
      <c r="C131" s="1"/>
      <c r="D131" s="1"/>
      <c r="E131" s="1"/>
      <c r="F131" s="1"/>
      <c r="G131" s="1"/>
      <c r="H131" s="1"/>
      <c r="I131" s="1"/>
      <c r="J131" s="1"/>
      <c r="K131" s="1"/>
      <c r="L131" s="1"/>
      <c r="M131" s="1"/>
      <c r="N131" s="1"/>
      <c r="O131" s="1"/>
      <c r="P131" s="1"/>
      <c r="Q131" s="1"/>
      <c r="R131" s="1"/>
    </row>
    <row r="132" spans="1:18" ht="15.75" customHeight="1" x14ac:dyDescent="0.3">
      <c r="A132" s="1"/>
      <c r="B132" s="1"/>
      <c r="C132" s="1"/>
      <c r="D132" s="1"/>
      <c r="E132" s="1"/>
      <c r="F132" s="1"/>
      <c r="G132" s="1"/>
      <c r="H132" s="1"/>
      <c r="I132" s="1"/>
      <c r="J132" s="1"/>
      <c r="K132" s="1"/>
      <c r="L132" s="1"/>
      <c r="M132" s="1"/>
      <c r="N132" s="1"/>
      <c r="O132" s="1"/>
      <c r="P132" s="1"/>
      <c r="Q132" s="1"/>
      <c r="R132" s="1"/>
    </row>
    <row r="133" spans="1:18" ht="15.75" customHeight="1" x14ac:dyDescent="0.3">
      <c r="A133" s="1"/>
      <c r="B133" s="1"/>
      <c r="C133" s="1"/>
      <c r="D133" s="1"/>
      <c r="E133" s="1"/>
      <c r="F133" s="1"/>
      <c r="G133" s="1"/>
      <c r="H133" s="1"/>
      <c r="I133" s="1"/>
      <c r="J133" s="1"/>
      <c r="K133" s="1"/>
      <c r="L133" s="1"/>
      <c r="M133" s="1"/>
      <c r="N133" s="1"/>
      <c r="O133" s="1"/>
      <c r="P133" s="1"/>
      <c r="Q133" s="1"/>
      <c r="R133" s="1"/>
    </row>
    <row r="134" spans="1:18" ht="15.75" customHeight="1" x14ac:dyDescent="0.3">
      <c r="A134" s="1"/>
      <c r="B134" s="1"/>
      <c r="C134" s="1"/>
      <c r="D134" s="1"/>
      <c r="E134" s="1"/>
      <c r="F134" s="1"/>
      <c r="G134" s="1"/>
      <c r="H134" s="1"/>
      <c r="I134" s="1"/>
      <c r="J134" s="1"/>
      <c r="K134" s="1"/>
      <c r="L134" s="1"/>
      <c r="M134" s="1"/>
      <c r="N134" s="1"/>
      <c r="O134" s="1"/>
      <c r="P134" s="1"/>
      <c r="Q134" s="1"/>
      <c r="R134" s="1"/>
    </row>
    <row r="135" spans="1:18" ht="15.75" customHeight="1" x14ac:dyDescent="0.3">
      <c r="A135" s="1"/>
      <c r="B135" s="1"/>
      <c r="C135" s="1"/>
      <c r="D135" s="1"/>
      <c r="E135" s="1"/>
      <c r="F135" s="1"/>
      <c r="G135" s="1"/>
      <c r="H135" s="1"/>
      <c r="I135" s="1"/>
      <c r="J135" s="1"/>
      <c r="K135" s="1"/>
      <c r="L135" s="1"/>
      <c r="M135" s="1"/>
      <c r="N135" s="1"/>
      <c r="O135" s="1"/>
      <c r="P135" s="1"/>
      <c r="Q135" s="1"/>
      <c r="R135" s="1"/>
    </row>
    <row r="136" spans="1:18" ht="15.75" customHeight="1" x14ac:dyDescent="0.3">
      <c r="A136" s="1"/>
      <c r="B136" s="1"/>
      <c r="C136" s="1"/>
      <c r="D136" s="1"/>
      <c r="E136" s="1"/>
      <c r="F136" s="1"/>
      <c r="G136" s="1"/>
      <c r="H136" s="1"/>
      <c r="I136" s="1"/>
      <c r="J136" s="1"/>
      <c r="K136" s="1"/>
      <c r="L136" s="1"/>
      <c r="M136" s="1"/>
      <c r="N136" s="1"/>
      <c r="O136" s="1"/>
      <c r="P136" s="1"/>
      <c r="Q136" s="1"/>
      <c r="R136" s="1"/>
    </row>
    <row r="137" spans="1:18" ht="15.75" customHeight="1" x14ac:dyDescent="0.3">
      <c r="A137" s="1"/>
      <c r="B137" s="1"/>
      <c r="C137" s="1"/>
      <c r="D137" s="1"/>
      <c r="E137" s="1"/>
      <c r="F137" s="1"/>
      <c r="G137" s="1"/>
      <c r="H137" s="1"/>
      <c r="I137" s="1"/>
      <c r="J137" s="1"/>
      <c r="K137" s="1"/>
      <c r="L137" s="1"/>
      <c r="M137" s="1"/>
      <c r="N137" s="1"/>
      <c r="O137" s="1"/>
      <c r="P137" s="1"/>
      <c r="Q137" s="1"/>
      <c r="R137" s="1"/>
    </row>
    <row r="138" spans="1:18" ht="15.75" customHeight="1" x14ac:dyDescent="0.3">
      <c r="A138" s="1"/>
      <c r="B138" s="1"/>
      <c r="C138" s="1"/>
      <c r="D138" s="1"/>
      <c r="E138" s="1"/>
      <c r="F138" s="1"/>
      <c r="G138" s="1"/>
      <c r="H138" s="1"/>
      <c r="I138" s="1"/>
      <c r="J138" s="1"/>
      <c r="K138" s="1"/>
      <c r="L138" s="1"/>
      <c r="M138" s="1"/>
      <c r="N138" s="1"/>
      <c r="O138" s="1"/>
      <c r="P138" s="1"/>
      <c r="Q138" s="1"/>
      <c r="R138" s="1"/>
    </row>
    <row r="139" spans="1:18" ht="15.75" customHeight="1" x14ac:dyDescent="0.3">
      <c r="A139" s="1"/>
      <c r="B139" s="1"/>
      <c r="C139" s="1"/>
      <c r="D139" s="1"/>
      <c r="E139" s="1"/>
      <c r="F139" s="1"/>
      <c r="G139" s="1"/>
      <c r="H139" s="1"/>
      <c r="I139" s="1"/>
      <c r="J139" s="1"/>
      <c r="K139" s="1"/>
      <c r="L139" s="1"/>
      <c r="M139" s="1"/>
      <c r="N139" s="1"/>
      <c r="O139" s="1"/>
      <c r="P139" s="1"/>
      <c r="Q139" s="1"/>
      <c r="R139" s="1"/>
    </row>
    <row r="140" spans="1:18" ht="15.75" customHeight="1" x14ac:dyDescent="0.3">
      <c r="A140" s="1"/>
      <c r="B140" s="1"/>
      <c r="C140" s="1"/>
      <c r="D140" s="1"/>
      <c r="E140" s="1"/>
      <c r="F140" s="1"/>
      <c r="G140" s="1"/>
      <c r="H140" s="1"/>
      <c r="I140" s="1"/>
      <c r="J140" s="1"/>
      <c r="K140" s="1"/>
      <c r="L140" s="1"/>
      <c r="M140" s="1"/>
      <c r="N140" s="1"/>
      <c r="O140" s="1"/>
      <c r="P140" s="1"/>
      <c r="Q140" s="1"/>
      <c r="R140" s="1"/>
    </row>
    <row r="141" spans="1:18" ht="15.75" customHeight="1" x14ac:dyDescent="0.3">
      <c r="A141" s="1"/>
      <c r="B141" s="1"/>
      <c r="C141" s="1"/>
      <c r="D141" s="1"/>
      <c r="E141" s="1"/>
      <c r="F141" s="1"/>
      <c r="G141" s="1"/>
      <c r="H141" s="1"/>
      <c r="I141" s="1"/>
      <c r="J141" s="1"/>
      <c r="K141" s="1"/>
      <c r="L141" s="1"/>
      <c r="M141" s="1"/>
      <c r="N141" s="1"/>
      <c r="O141" s="1"/>
      <c r="P141" s="1"/>
      <c r="Q141" s="1"/>
      <c r="R141" s="1"/>
    </row>
    <row r="142" spans="1:18" ht="15.75" customHeight="1" x14ac:dyDescent="0.3">
      <c r="A142" s="1"/>
      <c r="B142" s="1"/>
      <c r="C142" s="1"/>
      <c r="D142" s="1"/>
      <c r="E142" s="1"/>
      <c r="F142" s="1"/>
      <c r="G142" s="1"/>
      <c r="H142" s="1"/>
      <c r="I142" s="1"/>
      <c r="J142" s="1"/>
      <c r="K142" s="1"/>
      <c r="L142" s="1"/>
      <c r="M142" s="1"/>
      <c r="N142" s="1"/>
      <c r="O142" s="1"/>
      <c r="P142" s="1"/>
      <c r="Q142" s="1"/>
      <c r="R142" s="1"/>
    </row>
    <row r="143" spans="1:18" ht="15.75" customHeight="1" x14ac:dyDescent="0.3">
      <c r="A143" s="1"/>
      <c r="B143" s="1"/>
      <c r="C143" s="1"/>
      <c r="D143" s="1"/>
      <c r="E143" s="1"/>
      <c r="F143" s="1"/>
      <c r="G143" s="1"/>
      <c r="H143" s="1"/>
      <c r="I143" s="1"/>
      <c r="J143" s="1"/>
      <c r="K143" s="1"/>
      <c r="L143" s="1"/>
      <c r="M143" s="1"/>
      <c r="N143" s="1"/>
      <c r="O143" s="1"/>
      <c r="P143" s="1"/>
      <c r="Q143" s="1"/>
      <c r="R143" s="1"/>
    </row>
    <row r="144" spans="1:18" ht="15.75" customHeight="1" x14ac:dyDescent="0.3">
      <c r="A144" s="1"/>
      <c r="B144" s="1"/>
      <c r="C144" s="1"/>
      <c r="D144" s="1"/>
      <c r="E144" s="1"/>
      <c r="F144" s="1"/>
      <c r="G144" s="1"/>
      <c r="H144" s="1"/>
      <c r="I144" s="1"/>
      <c r="J144" s="1"/>
      <c r="K144" s="1"/>
      <c r="L144" s="1"/>
      <c r="M144" s="1"/>
      <c r="N144" s="1"/>
      <c r="O144" s="1"/>
      <c r="P144" s="1"/>
      <c r="Q144" s="1"/>
      <c r="R144" s="1"/>
    </row>
    <row r="145" spans="1:18" ht="15.75" customHeight="1" x14ac:dyDescent="0.3">
      <c r="A145" s="1"/>
      <c r="B145" s="1"/>
      <c r="C145" s="1"/>
      <c r="D145" s="1"/>
      <c r="E145" s="1"/>
      <c r="F145" s="1"/>
      <c r="G145" s="1"/>
      <c r="H145" s="1"/>
      <c r="I145" s="1"/>
      <c r="J145" s="1"/>
      <c r="K145" s="1"/>
      <c r="L145" s="1"/>
      <c r="M145" s="1"/>
      <c r="N145" s="1"/>
      <c r="O145" s="1"/>
      <c r="P145" s="1"/>
      <c r="Q145" s="1"/>
      <c r="R145" s="1"/>
    </row>
    <row r="146" spans="1:18" ht="15.75" customHeight="1" x14ac:dyDescent="0.3">
      <c r="A146" s="1"/>
      <c r="B146" s="1"/>
      <c r="C146" s="1"/>
      <c r="D146" s="1"/>
      <c r="E146" s="1"/>
      <c r="F146" s="1"/>
      <c r="G146" s="1"/>
      <c r="H146" s="1"/>
      <c r="I146" s="1"/>
      <c r="J146" s="1"/>
      <c r="K146" s="1"/>
      <c r="L146" s="1"/>
      <c r="M146" s="1"/>
      <c r="N146" s="1"/>
      <c r="O146" s="1"/>
      <c r="P146" s="1"/>
      <c r="Q146" s="1"/>
      <c r="R146" s="1"/>
    </row>
    <row r="147" spans="1:18" ht="15.75" customHeight="1" x14ac:dyDescent="0.3">
      <c r="A147" s="1"/>
      <c r="B147" s="1"/>
      <c r="C147" s="1"/>
      <c r="D147" s="1"/>
      <c r="E147" s="1"/>
      <c r="F147" s="1"/>
      <c r="G147" s="1"/>
      <c r="H147" s="1"/>
      <c r="I147" s="1"/>
      <c r="J147" s="1"/>
      <c r="K147" s="1"/>
      <c r="L147" s="1"/>
      <c r="M147" s="1"/>
      <c r="N147" s="1"/>
      <c r="O147" s="1"/>
      <c r="P147" s="1"/>
      <c r="Q147" s="1"/>
      <c r="R147" s="1"/>
    </row>
    <row r="148" spans="1:18" ht="15.75" customHeight="1" x14ac:dyDescent="0.3">
      <c r="A148" s="1"/>
      <c r="B148" s="1"/>
      <c r="C148" s="1"/>
      <c r="D148" s="1"/>
      <c r="E148" s="1"/>
      <c r="F148" s="1"/>
      <c r="G148" s="1"/>
      <c r="H148" s="1"/>
      <c r="I148" s="1"/>
      <c r="J148" s="1"/>
      <c r="K148" s="1"/>
      <c r="L148" s="1"/>
      <c r="M148" s="1"/>
      <c r="N148" s="1"/>
      <c r="O148" s="1"/>
      <c r="P148" s="1"/>
      <c r="Q148" s="1"/>
      <c r="R148" s="1"/>
    </row>
    <row r="149" spans="1:18" ht="15.75" customHeight="1" x14ac:dyDescent="0.3">
      <c r="A149" s="1"/>
      <c r="B149" s="1"/>
      <c r="C149" s="1"/>
      <c r="D149" s="1"/>
      <c r="E149" s="1"/>
      <c r="F149" s="1"/>
      <c r="G149" s="1"/>
      <c r="H149" s="1"/>
      <c r="I149" s="1"/>
      <c r="J149" s="1"/>
      <c r="K149" s="1"/>
      <c r="L149" s="1"/>
      <c r="M149" s="1"/>
      <c r="N149" s="1"/>
      <c r="O149" s="1"/>
      <c r="P149" s="1"/>
      <c r="Q149" s="1"/>
      <c r="R149" s="1"/>
    </row>
    <row r="150" spans="1:18" ht="15.75" customHeight="1" x14ac:dyDescent="0.3">
      <c r="A150" s="1"/>
      <c r="B150" s="1"/>
      <c r="C150" s="1"/>
      <c r="D150" s="1"/>
      <c r="E150" s="1"/>
      <c r="F150" s="1"/>
      <c r="G150" s="1"/>
      <c r="H150" s="1"/>
      <c r="I150" s="1"/>
      <c r="J150" s="1"/>
      <c r="K150" s="1"/>
      <c r="L150" s="1"/>
      <c r="M150" s="1"/>
      <c r="N150" s="1"/>
      <c r="O150" s="1"/>
      <c r="P150" s="1"/>
      <c r="Q150" s="1"/>
      <c r="R150" s="1"/>
    </row>
    <row r="151" spans="1:18" ht="15.75" customHeight="1" x14ac:dyDescent="0.3">
      <c r="A151" s="1"/>
      <c r="B151" s="1"/>
      <c r="C151" s="1"/>
      <c r="D151" s="1"/>
      <c r="E151" s="1"/>
      <c r="F151" s="1"/>
      <c r="G151" s="1"/>
      <c r="H151" s="1"/>
      <c r="I151" s="1"/>
      <c r="J151" s="1"/>
      <c r="K151" s="1"/>
      <c r="L151" s="1"/>
      <c r="M151" s="1"/>
      <c r="N151" s="1"/>
      <c r="O151" s="1"/>
      <c r="P151" s="1"/>
      <c r="Q151" s="1"/>
      <c r="R151" s="1"/>
    </row>
    <row r="152" spans="1:18" ht="15.75" customHeight="1" x14ac:dyDescent="0.3">
      <c r="A152" s="1"/>
      <c r="B152" s="1"/>
      <c r="C152" s="1"/>
      <c r="D152" s="1"/>
      <c r="E152" s="1"/>
      <c r="F152" s="1"/>
      <c r="G152" s="1"/>
      <c r="H152" s="1"/>
      <c r="I152" s="1"/>
      <c r="J152" s="1"/>
      <c r="K152" s="1"/>
      <c r="L152" s="1"/>
      <c r="M152" s="1"/>
      <c r="N152" s="1"/>
      <c r="O152" s="1"/>
      <c r="P152" s="1"/>
      <c r="Q152" s="1"/>
      <c r="R152" s="1"/>
    </row>
    <row r="153" spans="1:18" ht="15.75" customHeight="1" x14ac:dyDescent="0.3">
      <c r="A153" s="1"/>
      <c r="B153" s="1"/>
      <c r="C153" s="1"/>
      <c r="D153" s="1"/>
      <c r="E153" s="1"/>
      <c r="F153" s="1"/>
      <c r="G153" s="1"/>
      <c r="H153" s="1"/>
      <c r="I153" s="1"/>
      <c r="J153" s="1"/>
      <c r="K153" s="1"/>
      <c r="L153" s="1"/>
      <c r="M153" s="1"/>
      <c r="N153" s="1"/>
      <c r="O153" s="1"/>
      <c r="P153" s="1"/>
      <c r="Q153" s="1"/>
      <c r="R153" s="1"/>
    </row>
    <row r="154" spans="1:18" ht="15.75" customHeight="1" x14ac:dyDescent="0.3">
      <c r="A154" s="1"/>
      <c r="B154" s="1"/>
      <c r="C154" s="1"/>
      <c r="D154" s="1"/>
      <c r="E154" s="1"/>
      <c r="F154" s="1"/>
      <c r="G154" s="1"/>
      <c r="H154" s="1"/>
      <c r="I154" s="1"/>
      <c r="J154" s="1"/>
      <c r="K154" s="1"/>
      <c r="L154" s="1"/>
      <c r="M154" s="1"/>
      <c r="N154" s="1"/>
      <c r="O154" s="1"/>
      <c r="P154" s="1"/>
      <c r="Q154" s="1"/>
      <c r="R154" s="1"/>
    </row>
    <row r="155" spans="1:18" ht="15.75" customHeight="1" x14ac:dyDescent="0.3">
      <c r="A155" s="1"/>
      <c r="B155" s="1"/>
      <c r="C155" s="1"/>
      <c r="D155" s="1"/>
      <c r="E155" s="1"/>
      <c r="F155" s="1"/>
      <c r="G155" s="1"/>
      <c r="H155" s="1"/>
      <c r="I155" s="1"/>
      <c r="J155" s="1"/>
      <c r="K155" s="1"/>
      <c r="L155" s="1"/>
      <c r="M155" s="1"/>
      <c r="N155" s="1"/>
      <c r="O155" s="1"/>
      <c r="P155" s="1"/>
      <c r="Q155" s="1"/>
      <c r="R155" s="1"/>
    </row>
    <row r="156" spans="1:18" ht="15.75" customHeight="1" x14ac:dyDescent="0.3">
      <c r="A156" s="1"/>
      <c r="B156" s="1"/>
      <c r="C156" s="1"/>
      <c r="D156" s="1"/>
      <c r="E156" s="1"/>
      <c r="F156" s="1"/>
      <c r="G156" s="1"/>
      <c r="H156" s="1"/>
      <c r="I156" s="1"/>
      <c r="J156" s="1"/>
      <c r="K156" s="1"/>
      <c r="L156" s="1"/>
      <c r="M156" s="1"/>
      <c r="N156" s="1"/>
      <c r="O156" s="1"/>
      <c r="P156" s="1"/>
      <c r="Q156" s="1"/>
      <c r="R156" s="1"/>
    </row>
    <row r="157" spans="1:18" ht="15.75" customHeight="1" x14ac:dyDescent="0.3">
      <c r="A157" s="1"/>
      <c r="B157" s="1"/>
      <c r="C157" s="1"/>
      <c r="D157" s="1"/>
      <c r="E157" s="1"/>
      <c r="F157" s="1"/>
      <c r="G157" s="1"/>
      <c r="H157" s="1"/>
      <c r="I157" s="1"/>
      <c r="J157" s="1"/>
      <c r="K157" s="1"/>
      <c r="L157" s="1"/>
      <c r="M157" s="1"/>
      <c r="N157" s="1"/>
      <c r="O157" s="1"/>
      <c r="P157" s="1"/>
      <c r="Q157" s="1"/>
      <c r="R157" s="1"/>
    </row>
    <row r="158" spans="1:18" ht="15.75" customHeight="1" x14ac:dyDescent="0.3">
      <c r="A158" s="1"/>
      <c r="B158" s="1"/>
      <c r="C158" s="1"/>
      <c r="D158" s="1"/>
      <c r="E158" s="1"/>
      <c r="F158" s="1"/>
      <c r="G158" s="1"/>
      <c r="H158" s="1"/>
      <c r="I158" s="1"/>
      <c r="J158" s="1"/>
      <c r="K158" s="1"/>
      <c r="L158" s="1"/>
      <c r="M158" s="1"/>
      <c r="N158" s="1"/>
      <c r="O158" s="1"/>
      <c r="P158" s="1"/>
      <c r="Q158" s="1"/>
      <c r="R158" s="1"/>
    </row>
    <row r="159" spans="1:18" ht="15.75" customHeight="1" x14ac:dyDescent="0.3">
      <c r="A159" s="1"/>
      <c r="B159" s="1"/>
      <c r="C159" s="1"/>
      <c r="D159" s="1"/>
      <c r="E159" s="1"/>
      <c r="F159" s="1"/>
      <c r="G159" s="1"/>
      <c r="H159" s="1"/>
      <c r="I159" s="1"/>
      <c r="J159" s="1"/>
      <c r="K159" s="1"/>
      <c r="L159" s="1"/>
      <c r="M159" s="1"/>
      <c r="N159" s="1"/>
      <c r="O159" s="1"/>
      <c r="P159" s="1"/>
      <c r="Q159" s="1"/>
      <c r="R159" s="1"/>
    </row>
    <row r="160" spans="1:18" ht="15.75" customHeight="1" x14ac:dyDescent="0.3">
      <c r="A160" s="1"/>
      <c r="B160" s="1"/>
      <c r="C160" s="1"/>
      <c r="D160" s="1"/>
      <c r="E160" s="1"/>
      <c r="F160" s="1"/>
      <c r="G160" s="1"/>
      <c r="H160" s="1"/>
      <c r="I160" s="1"/>
      <c r="J160" s="1"/>
      <c r="K160" s="1"/>
      <c r="L160" s="1"/>
      <c r="M160" s="1"/>
      <c r="N160" s="1"/>
      <c r="O160" s="1"/>
      <c r="P160" s="1"/>
      <c r="Q160" s="1"/>
      <c r="R160" s="1"/>
    </row>
    <row r="161" spans="1:18" ht="15.75" customHeight="1" x14ac:dyDescent="0.3">
      <c r="A161" s="1"/>
      <c r="B161" s="1"/>
      <c r="C161" s="1"/>
      <c r="D161" s="1"/>
      <c r="E161" s="1"/>
      <c r="F161" s="1"/>
      <c r="G161" s="1"/>
      <c r="H161" s="1"/>
      <c r="I161" s="1"/>
      <c r="J161" s="1"/>
      <c r="K161" s="1"/>
      <c r="L161" s="1"/>
      <c r="M161" s="1"/>
      <c r="N161" s="1"/>
      <c r="O161" s="1"/>
      <c r="P161" s="1"/>
      <c r="Q161" s="1"/>
      <c r="R161" s="1"/>
    </row>
    <row r="162" spans="1:18" ht="15.75" customHeight="1" x14ac:dyDescent="0.3">
      <c r="A162" s="1"/>
      <c r="B162" s="1"/>
      <c r="C162" s="1"/>
      <c r="D162" s="1"/>
      <c r="E162" s="1"/>
      <c r="F162" s="1"/>
      <c r="G162" s="1"/>
      <c r="H162" s="1"/>
      <c r="I162" s="1"/>
      <c r="J162" s="1"/>
      <c r="K162" s="1"/>
      <c r="L162" s="1"/>
      <c r="M162" s="1"/>
      <c r="N162" s="1"/>
      <c r="O162" s="1"/>
      <c r="P162" s="1"/>
      <c r="Q162" s="1"/>
      <c r="R162" s="1"/>
    </row>
    <row r="163" spans="1:18" ht="15.75" customHeight="1" x14ac:dyDescent="0.3">
      <c r="A163" s="1"/>
      <c r="B163" s="1"/>
      <c r="C163" s="1"/>
      <c r="D163" s="1"/>
      <c r="E163" s="1"/>
      <c r="F163" s="1"/>
      <c r="G163" s="1"/>
      <c r="H163" s="1"/>
      <c r="I163" s="1"/>
      <c r="J163" s="1"/>
      <c r="K163" s="1"/>
      <c r="L163" s="1"/>
      <c r="M163" s="1"/>
      <c r="N163" s="1"/>
      <c r="O163" s="1"/>
      <c r="P163" s="1"/>
      <c r="Q163" s="1"/>
      <c r="R163" s="1"/>
    </row>
    <row r="164" spans="1:18" ht="15.75" customHeight="1" x14ac:dyDescent="0.3">
      <c r="A164" s="1"/>
      <c r="B164" s="1"/>
      <c r="C164" s="1"/>
      <c r="D164" s="1"/>
      <c r="E164" s="1"/>
      <c r="F164" s="1"/>
      <c r="G164" s="1"/>
      <c r="H164" s="1"/>
      <c r="I164" s="1"/>
      <c r="J164" s="1"/>
      <c r="K164" s="1"/>
      <c r="L164" s="1"/>
      <c r="M164" s="1"/>
      <c r="N164" s="1"/>
      <c r="O164" s="1"/>
      <c r="P164" s="1"/>
      <c r="Q164" s="1"/>
      <c r="R164" s="1"/>
    </row>
    <row r="165" spans="1:18" ht="15.75" customHeight="1" x14ac:dyDescent="0.3">
      <c r="A165" s="1"/>
      <c r="B165" s="1"/>
      <c r="C165" s="1"/>
      <c r="D165" s="1"/>
      <c r="E165" s="1"/>
      <c r="F165" s="1"/>
      <c r="G165" s="1"/>
      <c r="H165" s="1"/>
      <c r="I165" s="1"/>
      <c r="J165" s="1"/>
      <c r="K165" s="1"/>
      <c r="L165" s="1"/>
      <c r="M165" s="1"/>
      <c r="N165" s="1"/>
      <c r="O165" s="1"/>
      <c r="P165" s="1"/>
      <c r="Q165" s="1"/>
      <c r="R165" s="1"/>
    </row>
    <row r="166" spans="1:18" ht="15.75" customHeight="1" x14ac:dyDescent="0.3">
      <c r="A166" s="1"/>
      <c r="B166" s="1"/>
      <c r="C166" s="1"/>
      <c r="D166" s="1"/>
      <c r="E166" s="1"/>
      <c r="F166" s="1"/>
      <c r="G166" s="1"/>
      <c r="H166" s="1"/>
      <c r="I166" s="1"/>
      <c r="J166" s="1"/>
      <c r="K166" s="1"/>
      <c r="L166" s="1"/>
      <c r="M166" s="1"/>
      <c r="N166" s="1"/>
      <c r="O166" s="1"/>
      <c r="P166" s="1"/>
      <c r="Q166" s="1"/>
      <c r="R166" s="1"/>
    </row>
    <row r="167" spans="1:18" ht="15.75" customHeight="1" x14ac:dyDescent="0.3">
      <c r="A167" s="1"/>
      <c r="B167" s="1"/>
      <c r="C167" s="1"/>
      <c r="D167" s="1"/>
      <c r="E167" s="1"/>
      <c r="F167" s="1"/>
      <c r="G167" s="1"/>
      <c r="H167" s="1"/>
      <c r="I167" s="1"/>
      <c r="J167" s="1"/>
      <c r="K167" s="1"/>
      <c r="L167" s="1"/>
      <c r="M167" s="1"/>
      <c r="N167" s="1"/>
      <c r="O167" s="1"/>
      <c r="P167" s="1"/>
      <c r="Q167" s="1"/>
      <c r="R167" s="1"/>
    </row>
    <row r="168" spans="1:18" ht="15.75" customHeight="1" x14ac:dyDescent="0.3">
      <c r="A168" s="1"/>
      <c r="B168" s="1"/>
      <c r="C168" s="1"/>
      <c r="D168" s="1"/>
      <c r="E168" s="1"/>
      <c r="F168" s="1"/>
      <c r="G168" s="1"/>
      <c r="H168" s="1"/>
      <c r="I168" s="1"/>
      <c r="J168" s="1"/>
      <c r="K168" s="1"/>
      <c r="L168" s="1"/>
      <c r="M168" s="1"/>
      <c r="N168" s="1"/>
      <c r="O168" s="1"/>
      <c r="P168" s="1"/>
      <c r="Q168" s="1"/>
      <c r="R168" s="1"/>
    </row>
    <row r="169" spans="1:18" ht="15.75" customHeight="1" x14ac:dyDescent="0.3">
      <c r="A169" s="1"/>
      <c r="B169" s="1"/>
      <c r="C169" s="1"/>
      <c r="D169" s="1"/>
      <c r="E169" s="1"/>
      <c r="F169" s="1"/>
      <c r="G169" s="1"/>
      <c r="H169" s="1"/>
      <c r="I169" s="1"/>
      <c r="J169" s="1"/>
      <c r="K169" s="1"/>
      <c r="L169" s="1"/>
      <c r="M169" s="1"/>
      <c r="N169" s="1"/>
      <c r="O169" s="1"/>
      <c r="P169" s="1"/>
      <c r="Q169" s="1"/>
      <c r="R169" s="1"/>
    </row>
    <row r="170" spans="1:18" ht="15.75" customHeight="1" x14ac:dyDescent="0.3">
      <c r="A170" s="1"/>
      <c r="B170" s="1"/>
      <c r="C170" s="1"/>
      <c r="D170" s="1"/>
      <c r="E170" s="1"/>
      <c r="F170" s="1"/>
      <c r="G170" s="1"/>
      <c r="H170" s="1"/>
      <c r="I170" s="1"/>
      <c r="J170" s="1"/>
      <c r="K170" s="1"/>
      <c r="L170" s="1"/>
      <c r="M170" s="1"/>
      <c r="N170" s="1"/>
      <c r="O170" s="1"/>
      <c r="P170" s="1"/>
      <c r="Q170" s="1"/>
      <c r="R170" s="1"/>
    </row>
    <row r="171" spans="1:18" ht="15.75" customHeight="1" x14ac:dyDescent="0.3">
      <c r="A171" s="1"/>
      <c r="B171" s="1"/>
      <c r="C171" s="1"/>
      <c r="D171" s="1"/>
      <c r="E171" s="1"/>
      <c r="F171" s="1"/>
      <c r="G171" s="1"/>
      <c r="H171" s="1"/>
      <c r="I171" s="1"/>
      <c r="J171" s="1"/>
      <c r="K171" s="1"/>
      <c r="L171" s="1"/>
      <c r="M171" s="1"/>
      <c r="N171" s="1"/>
      <c r="O171" s="1"/>
      <c r="P171" s="1"/>
      <c r="Q171" s="1"/>
      <c r="R171" s="1"/>
    </row>
    <row r="172" spans="1:18" ht="15.75" customHeight="1" x14ac:dyDescent="0.3">
      <c r="A172" s="1"/>
      <c r="B172" s="1"/>
      <c r="C172" s="1"/>
      <c r="D172" s="1"/>
      <c r="E172" s="1"/>
      <c r="F172" s="1"/>
      <c r="G172" s="1"/>
      <c r="H172" s="1"/>
      <c r="I172" s="1"/>
      <c r="J172" s="1"/>
      <c r="K172" s="1"/>
      <c r="L172" s="1"/>
      <c r="M172" s="1"/>
      <c r="N172" s="1"/>
      <c r="O172" s="1"/>
      <c r="P172" s="1"/>
      <c r="Q172" s="1"/>
      <c r="R172" s="1"/>
    </row>
    <row r="173" spans="1:18" ht="15.75" customHeight="1" x14ac:dyDescent="0.3">
      <c r="A173" s="1"/>
      <c r="B173" s="1"/>
      <c r="C173" s="1"/>
      <c r="D173" s="1"/>
      <c r="E173" s="1"/>
      <c r="F173" s="1"/>
      <c r="G173" s="1"/>
      <c r="H173" s="1"/>
      <c r="I173" s="1"/>
      <c r="J173" s="1"/>
      <c r="K173" s="1"/>
      <c r="L173" s="1"/>
      <c r="M173" s="1"/>
      <c r="N173" s="1"/>
      <c r="O173" s="1"/>
      <c r="P173" s="1"/>
      <c r="Q173" s="1"/>
      <c r="R173" s="1"/>
    </row>
    <row r="174" spans="1:18" ht="15.75" customHeight="1" x14ac:dyDescent="0.3">
      <c r="A174" s="1"/>
      <c r="B174" s="1"/>
      <c r="C174" s="1"/>
      <c r="D174" s="1"/>
      <c r="E174" s="1"/>
      <c r="F174" s="1"/>
      <c r="G174" s="1"/>
      <c r="H174" s="1"/>
      <c r="I174" s="1"/>
      <c r="J174" s="1"/>
      <c r="K174" s="1"/>
      <c r="L174" s="1"/>
      <c r="M174" s="1"/>
      <c r="N174" s="1"/>
      <c r="O174" s="1"/>
      <c r="P174" s="1"/>
      <c r="Q174" s="1"/>
      <c r="R174" s="1"/>
    </row>
    <row r="175" spans="1:18" ht="15.75" customHeight="1" x14ac:dyDescent="0.3">
      <c r="A175" s="1"/>
      <c r="B175" s="1"/>
      <c r="C175" s="1"/>
      <c r="D175" s="1"/>
      <c r="E175" s="1"/>
      <c r="F175" s="1"/>
      <c r="G175" s="1"/>
      <c r="H175" s="1"/>
      <c r="I175" s="1"/>
      <c r="J175" s="1"/>
      <c r="K175" s="1"/>
      <c r="L175" s="1"/>
      <c r="M175" s="1"/>
      <c r="N175" s="1"/>
      <c r="O175" s="1"/>
      <c r="P175" s="1"/>
      <c r="Q175" s="1"/>
      <c r="R175" s="1"/>
    </row>
    <row r="176" spans="1:18" ht="15.75" customHeight="1" x14ac:dyDescent="0.3">
      <c r="A176" s="1"/>
      <c r="B176" s="1"/>
      <c r="C176" s="1"/>
      <c r="D176" s="1"/>
      <c r="E176" s="1"/>
      <c r="F176" s="1"/>
      <c r="G176" s="1"/>
      <c r="H176" s="1"/>
      <c r="I176" s="1"/>
      <c r="J176" s="1"/>
      <c r="K176" s="1"/>
      <c r="L176" s="1"/>
      <c r="M176" s="1"/>
      <c r="N176" s="1"/>
      <c r="O176" s="1"/>
      <c r="P176" s="1"/>
      <c r="Q176" s="1"/>
      <c r="R176" s="1"/>
    </row>
    <row r="177" spans="1:18" ht="15.75" customHeight="1" x14ac:dyDescent="0.3">
      <c r="A177" s="1"/>
      <c r="B177" s="1"/>
      <c r="C177" s="1"/>
      <c r="D177" s="1"/>
      <c r="E177" s="1"/>
      <c r="F177" s="1"/>
      <c r="G177" s="1"/>
      <c r="H177" s="1"/>
      <c r="I177" s="1"/>
      <c r="J177" s="1"/>
      <c r="K177" s="1"/>
      <c r="L177" s="1"/>
      <c r="M177" s="1"/>
      <c r="N177" s="1"/>
      <c r="O177" s="1"/>
      <c r="P177" s="1"/>
      <c r="Q177" s="1"/>
      <c r="R177" s="1"/>
    </row>
    <row r="178" spans="1:18" ht="15.75" customHeight="1" x14ac:dyDescent="0.3">
      <c r="A178" s="1"/>
      <c r="B178" s="1"/>
      <c r="C178" s="1"/>
      <c r="D178" s="1"/>
      <c r="E178" s="1"/>
      <c r="F178" s="1"/>
      <c r="G178" s="1"/>
      <c r="H178" s="1"/>
      <c r="I178" s="1"/>
      <c r="J178" s="1"/>
      <c r="K178" s="1"/>
      <c r="L178" s="1"/>
      <c r="M178" s="1"/>
      <c r="N178" s="1"/>
      <c r="O178" s="1"/>
      <c r="P178" s="1"/>
      <c r="Q178" s="1"/>
      <c r="R178" s="1"/>
    </row>
    <row r="179" spans="1:18" ht="15.75" customHeight="1" x14ac:dyDescent="0.3">
      <c r="A179" s="1"/>
      <c r="B179" s="1"/>
      <c r="C179" s="1"/>
      <c r="D179" s="1"/>
      <c r="E179" s="1"/>
      <c r="F179" s="1"/>
      <c r="G179" s="1"/>
      <c r="H179" s="1"/>
      <c r="I179" s="1"/>
      <c r="J179" s="1"/>
      <c r="K179" s="1"/>
      <c r="L179" s="1"/>
      <c r="M179" s="1"/>
      <c r="N179" s="1"/>
      <c r="O179" s="1"/>
      <c r="P179" s="1"/>
      <c r="Q179" s="1"/>
      <c r="R179" s="1"/>
    </row>
    <row r="180" spans="1:18" ht="15.75" customHeight="1" x14ac:dyDescent="0.3">
      <c r="A180" s="1"/>
      <c r="B180" s="1"/>
      <c r="C180" s="1"/>
      <c r="D180" s="1"/>
      <c r="E180" s="1"/>
      <c r="F180" s="1"/>
      <c r="G180" s="1"/>
      <c r="H180" s="1"/>
      <c r="I180" s="1"/>
      <c r="J180" s="1"/>
      <c r="K180" s="1"/>
      <c r="L180" s="1"/>
      <c r="M180" s="1"/>
      <c r="N180" s="1"/>
      <c r="O180" s="1"/>
      <c r="P180" s="1"/>
      <c r="Q180" s="1"/>
      <c r="R180" s="1"/>
    </row>
    <row r="181" spans="1:18" ht="15.75" customHeight="1" x14ac:dyDescent="0.3">
      <c r="A181" s="1"/>
      <c r="B181" s="1"/>
      <c r="C181" s="1"/>
      <c r="D181" s="1"/>
      <c r="E181" s="1"/>
      <c r="F181" s="1"/>
      <c r="G181" s="1"/>
      <c r="H181" s="1"/>
      <c r="I181" s="1"/>
      <c r="J181" s="1"/>
      <c r="K181" s="1"/>
      <c r="L181" s="1"/>
      <c r="M181" s="1"/>
      <c r="N181" s="1"/>
      <c r="O181" s="1"/>
      <c r="P181" s="1"/>
      <c r="Q181" s="1"/>
      <c r="R181" s="1"/>
    </row>
    <row r="182" spans="1:18" ht="15.75" customHeight="1" x14ac:dyDescent="0.3">
      <c r="A182" s="1"/>
      <c r="B182" s="1"/>
      <c r="C182" s="1"/>
      <c r="D182" s="1"/>
      <c r="E182" s="1"/>
      <c r="F182" s="1"/>
      <c r="G182" s="1"/>
      <c r="H182" s="1"/>
      <c r="I182" s="1"/>
      <c r="J182" s="1"/>
      <c r="K182" s="1"/>
      <c r="L182" s="1"/>
      <c r="M182" s="1"/>
      <c r="N182" s="1"/>
      <c r="O182" s="1"/>
      <c r="P182" s="1"/>
      <c r="Q182" s="1"/>
      <c r="R182" s="1"/>
    </row>
    <row r="183" spans="1:18" ht="15.75" customHeight="1" x14ac:dyDescent="0.3">
      <c r="A183" s="1"/>
      <c r="B183" s="1"/>
      <c r="C183" s="1"/>
      <c r="D183" s="1"/>
      <c r="E183" s="1"/>
      <c r="F183" s="1"/>
      <c r="G183" s="1"/>
      <c r="H183" s="1"/>
      <c r="I183" s="1"/>
      <c r="J183" s="1"/>
      <c r="K183" s="1"/>
      <c r="L183" s="1"/>
      <c r="M183" s="1"/>
      <c r="N183" s="1"/>
      <c r="O183" s="1"/>
      <c r="P183" s="1"/>
      <c r="Q183" s="1"/>
      <c r="R183" s="1"/>
    </row>
    <row r="184" spans="1:18" ht="15.75" customHeight="1" x14ac:dyDescent="0.3">
      <c r="A184" s="1"/>
      <c r="B184" s="1"/>
      <c r="C184" s="1"/>
      <c r="D184" s="1"/>
      <c r="E184" s="1"/>
      <c r="F184" s="1"/>
      <c r="G184" s="1"/>
      <c r="H184" s="1"/>
      <c r="I184" s="1"/>
      <c r="J184" s="1"/>
      <c r="K184" s="1"/>
      <c r="L184" s="1"/>
      <c r="M184" s="1"/>
      <c r="N184" s="1"/>
      <c r="O184" s="1"/>
      <c r="P184" s="1"/>
      <c r="Q184" s="1"/>
      <c r="R184" s="1"/>
    </row>
    <row r="185" spans="1:18" ht="15.75" customHeight="1" x14ac:dyDescent="0.3">
      <c r="A185" s="1"/>
      <c r="B185" s="1"/>
      <c r="C185" s="1"/>
      <c r="D185" s="1"/>
      <c r="E185" s="1"/>
      <c r="F185" s="1"/>
      <c r="G185" s="1"/>
      <c r="H185" s="1"/>
      <c r="I185" s="1"/>
      <c r="J185" s="1"/>
      <c r="K185" s="1"/>
      <c r="L185" s="1"/>
      <c r="M185" s="1"/>
      <c r="N185" s="1"/>
      <c r="O185" s="1"/>
      <c r="P185" s="1"/>
      <c r="Q185" s="1"/>
      <c r="R185" s="1"/>
    </row>
    <row r="186" spans="1:18" ht="15.75" customHeight="1" x14ac:dyDescent="0.3">
      <c r="A186" s="1"/>
      <c r="B186" s="1"/>
      <c r="C186" s="1"/>
      <c r="D186" s="1"/>
      <c r="E186" s="1"/>
      <c r="F186" s="1"/>
      <c r="G186" s="1"/>
      <c r="H186" s="1"/>
      <c r="I186" s="1"/>
      <c r="J186" s="1"/>
      <c r="K186" s="1"/>
      <c r="L186" s="1"/>
      <c r="M186" s="1"/>
      <c r="N186" s="1"/>
      <c r="O186" s="1"/>
      <c r="P186" s="1"/>
      <c r="Q186" s="1"/>
      <c r="R186" s="1"/>
    </row>
    <row r="187" spans="1:18" ht="15.75" customHeight="1" x14ac:dyDescent="0.3">
      <c r="A187" s="1"/>
      <c r="B187" s="1"/>
      <c r="C187" s="1"/>
      <c r="D187" s="1"/>
      <c r="E187" s="1"/>
      <c r="F187" s="1"/>
      <c r="G187" s="1"/>
      <c r="H187" s="1"/>
      <c r="I187" s="1"/>
      <c r="J187" s="1"/>
      <c r="K187" s="1"/>
      <c r="L187" s="1"/>
      <c r="M187" s="1"/>
      <c r="N187" s="1"/>
      <c r="O187" s="1"/>
      <c r="P187" s="1"/>
      <c r="Q187" s="1"/>
      <c r="R187" s="1"/>
    </row>
    <row r="188" spans="1:18" ht="15.75" customHeight="1" x14ac:dyDescent="0.3">
      <c r="A188" s="1"/>
      <c r="B188" s="1"/>
      <c r="C188" s="1"/>
      <c r="D188" s="1"/>
      <c r="E188" s="1"/>
      <c r="F188" s="1"/>
      <c r="G188" s="1"/>
      <c r="H188" s="1"/>
      <c r="I188" s="1"/>
      <c r="J188" s="1"/>
      <c r="K188" s="1"/>
      <c r="L188" s="1"/>
      <c r="M188" s="1"/>
      <c r="N188" s="1"/>
      <c r="O188" s="1"/>
      <c r="P188" s="1"/>
      <c r="Q188" s="1"/>
      <c r="R188" s="1"/>
    </row>
    <row r="189" spans="1:18" ht="15.75" customHeight="1" x14ac:dyDescent="0.3">
      <c r="A189" s="1"/>
      <c r="B189" s="1"/>
      <c r="C189" s="1"/>
      <c r="D189" s="1"/>
      <c r="E189" s="1"/>
      <c r="F189" s="1"/>
      <c r="G189" s="1"/>
      <c r="H189" s="1"/>
      <c r="I189" s="1"/>
      <c r="J189" s="1"/>
      <c r="K189" s="1"/>
      <c r="L189" s="1"/>
      <c r="M189" s="1"/>
      <c r="N189" s="1"/>
      <c r="O189" s="1"/>
      <c r="P189" s="1"/>
      <c r="Q189" s="1"/>
      <c r="R189" s="1"/>
    </row>
    <row r="190" spans="1:18" ht="15.75" customHeight="1" x14ac:dyDescent="0.3">
      <c r="A190" s="1"/>
      <c r="B190" s="1"/>
      <c r="C190" s="1"/>
      <c r="D190" s="1"/>
      <c r="E190" s="1"/>
      <c r="F190" s="1"/>
      <c r="G190" s="1"/>
      <c r="H190" s="1"/>
      <c r="I190" s="1"/>
      <c r="J190" s="1"/>
      <c r="K190" s="1"/>
      <c r="L190" s="1"/>
      <c r="M190" s="1"/>
      <c r="N190" s="1"/>
      <c r="O190" s="1"/>
      <c r="P190" s="1"/>
      <c r="Q190" s="1"/>
      <c r="R190" s="1"/>
    </row>
    <row r="191" spans="1:18" ht="15.75" customHeight="1" x14ac:dyDescent="0.3">
      <c r="A191" s="1"/>
      <c r="B191" s="1"/>
      <c r="C191" s="1"/>
      <c r="D191" s="1"/>
      <c r="E191" s="1"/>
      <c r="F191" s="1"/>
      <c r="G191" s="1"/>
      <c r="H191" s="1"/>
      <c r="I191" s="1"/>
      <c r="J191" s="1"/>
      <c r="K191" s="1"/>
      <c r="L191" s="1"/>
      <c r="M191" s="1"/>
      <c r="N191" s="1"/>
      <c r="O191" s="1"/>
      <c r="P191" s="1"/>
      <c r="Q191" s="1"/>
      <c r="R191" s="1"/>
    </row>
    <row r="192" spans="1:18" ht="15.75" customHeight="1" x14ac:dyDescent="0.3">
      <c r="A192" s="1"/>
      <c r="B192" s="1"/>
      <c r="C192" s="1"/>
      <c r="D192" s="1"/>
      <c r="E192" s="1"/>
      <c r="F192" s="1"/>
      <c r="G192" s="1"/>
      <c r="H192" s="1"/>
      <c r="I192" s="1"/>
      <c r="J192" s="1"/>
      <c r="K192" s="1"/>
      <c r="L192" s="1"/>
      <c r="M192" s="1"/>
      <c r="N192" s="1"/>
      <c r="O192" s="1"/>
      <c r="P192" s="1"/>
      <c r="Q192" s="1"/>
      <c r="R192" s="1"/>
    </row>
    <row r="193" spans="1:18" ht="15.75" customHeight="1" x14ac:dyDescent="0.3">
      <c r="A193" s="1"/>
      <c r="B193" s="1"/>
      <c r="C193" s="1"/>
      <c r="D193" s="1"/>
      <c r="E193" s="1"/>
      <c r="F193" s="1"/>
      <c r="G193" s="1"/>
      <c r="H193" s="1"/>
      <c r="I193" s="1"/>
      <c r="J193" s="1"/>
      <c r="K193" s="1"/>
      <c r="L193" s="1"/>
      <c r="M193" s="1"/>
      <c r="N193" s="1"/>
      <c r="O193" s="1"/>
      <c r="P193" s="1"/>
      <c r="Q193" s="1"/>
      <c r="R193" s="1"/>
    </row>
    <row r="194" spans="1:18" ht="15.75" customHeight="1" x14ac:dyDescent="0.3">
      <c r="A194" s="1"/>
      <c r="B194" s="1"/>
      <c r="C194" s="1"/>
      <c r="D194" s="1"/>
      <c r="E194" s="1"/>
      <c r="F194" s="1"/>
      <c r="G194" s="1"/>
      <c r="H194" s="1"/>
      <c r="I194" s="1"/>
      <c r="J194" s="1"/>
      <c r="K194" s="1"/>
      <c r="L194" s="1"/>
      <c r="M194" s="1"/>
      <c r="N194" s="1"/>
      <c r="O194" s="1"/>
      <c r="P194" s="1"/>
      <c r="Q194" s="1"/>
      <c r="R194" s="1"/>
    </row>
    <row r="195" spans="1:18" ht="15.75" customHeight="1" x14ac:dyDescent="0.3">
      <c r="A195" s="1"/>
      <c r="B195" s="1"/>
      <c r="C195" s="1"/>
      <c r="D195" s="1"/>
      <c r="E195" s="1"/>
      <c r="F195" s="1"/>
      <c r="G195" s="1"/>
      <c r="H195" s="1"/>
      <c r="I195" s="1"/>
      <c r="J195" s="1"/>
      <c r="K195" s="1"/>
      <c r="L195" s="1"/>
      <c r="M195" s="1"/>
      <c r="N195" s="1"/>
      <c r="O195" s="1"/>
      <c r="P195" s="1"/>
      <c r="Q195" s="1"/>
      <c r="R195" s="1"/>
    </row>
    <row r="196" spans="1:18" ht="15.75" customHeight="1" x14ac:dyDescent="0.3">
      <c r="A196" s="1"/>
      <c r="B196" s="1"/>
      <c r="C196" s="1"/>
      <c r="D196" s="1"/>
      <c r="E196" s="1"/>
      <c r="F196" s="1"/>
      <c r="G196" s="1"/>
      <c r="H196" s="1"/>
      <c r="I196" s="1"/>
      <c r="J196" s="1"/>
      <c r="K196" s="1"/>
      <c r="L196" s="1"/>
      <c r="M196" s="1"/>
      <c r="N196" s="1"/>
      <c r="O196" s="1"/>
      <c r="P196" s="1"/>
      <c r="Q196" s="1"/>
      <c r="R196" s="1"/>
    </row>
    <row r="197" spans="1:18" ht="15.75" customHeight="1" x14ac:dyDescent="0.3">
      <c r="A197" s="1"/>
      <c r="B197" s="1"/>
      <c r="C197" s="1"/>
      <c r="D197" s="1"/>
      <c r="E197" s="1"/>
      <c r="F197" s="1"/>
      <c r="G197" s="1"/>
      <c r="H197" s="1"/>
      <c r="I197" s="1"/>
      <c r="J197" s="1"/>
      <c r="K197" s="1"/>
      <c r="L197" s="1"/>
      <c r="M197" s="1"/>
      <c r="N197" s="1"/>
      <c r="O197" s="1"/>
      <c r="P197" s="1"/>
      <c r="Q197" s="1"/>
      <c r="R197" s="1"/>
    </row>
    <row r="198" spans="1:18" ht="15.75" customHeight="1" x14ac:dyDescent="0.3">
      <c r="A198" s="1"/>
      <c r="B198" s="1"/>
      <c r="C198" s="1"/>
      <c r="D198" s="1"/>
      <c r="E198" s="1"/>
      <c r="F198" s="1"/>
      <c r="G198" s="1"/>
      <c r="H198" s="1"/>
      <c r="I198" s="1"/>
      <c r="J198" s="1"/>
      <c r="K198" s="1"/>
      <c r="L198" s="1"/>
      <c r="M198" s="1"/>
      <c r="N198" s="1"/>
      <c r="O198" s="1"/>
      <c r="P198" s="1"/>
      <c r="Q198" s="1"/>
      <c r="R198" s="1"/>
    </row>
    <row r="199" spans="1:18" ht="15.75" customHeight="1" x14ac:dyDescent="0.3">
      <c r="A199" s="1"/>
      <c r="B199" s="1"/>
      <c r="C199" s="1"/>
      <c r="D199" s="1"/>
      <c r="E199" s="1"/>
      <c r="F199" s="1"/>
      <c r="G199" s="1"/>
      <c r="H199" s="1"/>
      <c r="I199" s="1"/>
      <c r="J199" s="1"/>
      <c r="K199" s="1"/>
      <c r="L199" s="1"/>
      <c r="M199" s="1"/>
      <c r="N199" s="1"/>
      <c r="O199" s="1"/>
      <c r="P199" s="1"/>
      <c r="Q199" s="1"/>
      <c r="R199" s="1"/>
    </row>
    <row r="200" spans="1:18" ht="15.75" customHeight="1" x14ac:dyDescent="0.3">
      <c r="A200" s="1"/>
      <c r="B200" s="1"/>
      <c r="C200" s="1"/>
      <c r="D200" s="1"/>
      <c r="E200" s="1"/>
      <c r="F200" s="1"/>
      <c r="G200" s="1"/>
      <c r="H200" s="1"/>
      <c r="I200" s="1"/>
      <c r="J200" s="1"/>
      <c r="K200" s="1"/>
      <c r="L200" s="1"/>
      <c r="M200" s="1"/>
      <c r="N200" s="1"/>
      <c r="O200" s="1"/>
      <c r="P200" s="1"/>
      <c r="Q200" s="1"/>
      <c r="R200" s="1"/>
    </row>
    <row r="201" spans="1:18" ht="15.75" customHeight="1" x14ac:dyDescent="0.3">
      <c r="A201" s="1"/>
      <c r="B201" s="1"/>
      <c r="C201" s="1"/>
      <c r="D201" s="1"/>
      <c r="E201" s="1"/>
      <c r="F201" s="1"/>
      <c r="G201" s="1"/>
      <c r="H201" s="1"/>
      <c r="I201" s="1"/>
      <c r="J201" s="1"/>
      <c r="K201" s="1"/>
      <c r="L201" s="1"/>
      <c r="M201" s="1"/>
      <c r="N201" s="1"/>
      <c r="O201" s="1"/>
      <c r="P201" s="1"/>
      <c r="Q201" s="1"/>
      <c r="R201" s="1"/>
    </row>
    <row r="202" spans="1:18" ht="15.75" customHeight="1" x14ac:dyDescent="0.3">
      <c r="A202" s="1"/>
      <c r="B202" s="1"/>
      <c r="C202" s="1"/>
      <c r="D202" s="1"/>
      <c r="E202" s="1"/>
      <c r="F202" s="1"/>
      <c r="G202" s="1"/>
      <c r="H202" s="1"/>
      <c r="I202" s="1"/>
      <c r="J202" s="1"/>
      <c r="K202" s="1"/>
      <c r="L202" s="1"/>
      <c r="M202" s="1"/>
      <c r="N202" s="1"/>
      <c r="O202" s="1"/>
      <c r="P202" s="1"/>
      <c r="Q202" s="1"/>
      <c r="R202" s="1"/>
    </row>
    <row r="203" spans="1:18" ht="15.75" customHeight="1" x14ac:dyDescent="0.3">
      <c r="A203" s="1"/>
      <c r="B203" s="1"/>
      <c r="C203" s="1"/>
      <c r="D203" s="1"/>
      <c r="E203" s="1"/>
      <c r="F203" s="1"/>
      <c r="G203" s="1"/>
      <c r="H203" s="1"/>
      <c r="I203" s="1"/>
      <c r="J203" s="1"/>
      <c r="K203" s="1"/>
      <c r="L203" s="1"/>
      <c r="M203" s="1"/>
      <c r="N203" s="1"/>
      <c r="O203" s="1"/>
      <c r="P203" s="1"/>
      <c r="Q203" s="1"/>
      <c r="R203" s="1"/>
    </row>
    <row r="204" spans="1:18" ht="15.75" customHeight="1" x14ac:dyDescent="0.3">
      <c r="A204" s="1"/>
      <c r="B204" s="1"/>
      <c r="C204" s="1"/>
      <c r="D204" s="1"/>
      <c r="E204" s="1"/>
      <c r="F204" s="1"/>
      <c r="G204" s="1"/>
      <c r="H204" s="1"/>
      <c r="I204" s="1"/>
      <c r="J204" s="1"/>
      <c r="K204" s="1"/>
      <c r="L204" s="1"/>
      <c r="M204" s="1"/>
      <c r="N204" s="1"/>
      <c r="O204" s="1"/>
      <c r="P204" s="1"/>
      <c r="Q204" s="1"/>
      <c r="R204" s="1"/>
    </row>
    <row r="205" spans="1:18" ht="15.75" customHeight="1" x14ac:dyDescent="0.3">
      <c r="A205" s="1"/>
      <c r="B205" s="1"/>
      <c r="C205" s="1"/>
      <c r="D205" s="1"/>
      <c r="E205" s="1"/>
      <c r="F205" s="1"/>
      <c r="G205" s="1"/>
      <c r="H205" s="1"/>
      <c r="I205" s="1"/>
      <c r="J205" s="1"/>
      <c r="K205" s="1"/>
      <c r="L205" s="1"/>
      <c r="M205" s="1"/>
      <c r="N205" s="1"/>
      <c r="O205" s="1"/>
      <c r="P205" s="1"/>
      <c r="Q205" s="1"/>
      <c r="R205" s="1"/>
    </row>
    <row r="206" spans="1:18" ht="15.75" customHeight="1" x14ac:dyDescent="0.3">
      <c r="A206" s="1"/>
      <c r="B206" s="1"/>
      <c r="C206" s="1"/>
      <c r="D206" s="1"/>
      <c r="E206" s="1"/>
      <c r="F206" s="1"/>
      <c r="G206" s="1"/>
      <c r="H206" s="1"/>
      <c r="I206" s="1"/>
      <c r="J206" s="1"/>
      <c r="K206" s="1"/>
      <c r="L206" s="1"/>
      <c r="M206" s="1"/>
      <c r="N206" s="1"/>
      <c r="O206" s="1"/>
      <c r="P206" s="1"/>
      <c r="Q206" s="1"/>
      <c r="R206" s="1"/>
    </row>
    <row r="207" spans="1:18" ht="15.75" customHeight="1" x14ac:dyDescent="0.3">
      <c r="A207" s="1"/>
      <c r="B207" s="1"/>
      <c r="C207" s="1"/>
      <c r="D207" s="1"/>
      <c r="E207" s="1"/>
      <c r="F207" s="1"/>
      <c r="G207" s="1"/>
      <c r="H207" s="1"/>
      <c r="I207" s="1"/>
      <c r="J207" s="1"/>
      <c r="K207" s="1"/>
      <c r="L207" s="1"/>
      <c r="M207" s="1"/>
      <c r="N207" s="1"/>
      <c r="O207" s="1"/>
      <c r="P207" s="1"/>
      <c r="Q207" s="1"/>
      <c r="R207" s="1"/>
    </row>
    <row r="208" spans="1:18" ht="15.75" customHeight="1" x14ac:dyDescent="0.3">
      <c r="A208" s="1"/>
      <c r="B208" s="1"/>
      <c r="C208" s="1"/>
      <c r="D208" s="1"/>
      <c r="E208" s="1"/>
      <c r="F208" s="1"/>
      <c r="G208" s="1"/>
      <c r="H208" s="1"/>
      <c r="I208" s="1"/>
      <c r="J208" s="1"/>
      <c r="K208" s="1"/>
      <c r="L208" s="1"/>
      <c r="M208" s="1"/>
      <c r="N208" s="1"/>
      <c r="O208" s="1"/>
      <c r="P208" s="1"/>
      <c r="Q208" s="1"/>
      <c r="R208" s="1"/>
    </row>
    <row r="209" spans="1:18" ht="15.75" customHeight="1" x14ac:dyDescent="0.3">
      <c r="A209" s="1"/>
      <c r="B209" s="1"/>
      <c r="C209" s="1"/>
      <c r="D209" s="1"/>
      <c r="E209" s="1"/>
      <c r="F209" s="1"/>
      <c r="G209" s="1"/>
      <c r="H209" s="1"/>
      <c r="I209" s="1"/>
      <c r="J209" s="1"/>
      <c r="K209" s="1"/>
      <c r="L209" s="1"/>
      <c r="M209" s="1"/>
      <c r="N209" s="1"/>
      <c r="O209" s="1"/>
      <c r="P209" s="1"/>
      <c r="Q209" s="1"/>
      <c r="R209" s="1"/>
    </row>
    <row r="210" spans="1:18" ht="15.75" customHeight="1" x14ac:dyDescent="0.3">
      <c r="A210" s="1"/>
      <c r="B210" s="1"/>
      <c r="C210" s="1"/>
      <c r="D210" s="1"/>
      <c r="E210" s="1"/>
      <c r="F210" s="1"/>
      <c r="G210" s="1"/>
      <c r="H210" s="1"/>
      <c r="I210" s="1"/>
      <c r="J210" s="1"/>
      <c r="K210" s="1"/>
      <c r="L210" s="1"/>
      <c r="M210" s="1"/>
      <c r="N210" s="1"/>
      <c r="O210" s="1"/>
      <c r="P210" s="1"/>
      <c r="Q210" s="1"/>
      <c r="R210" s="1"/>
    </row>
    <row r="211" spans="1:18" ht="15.75" customHeight="1" x14ac:dyDescent="0.3">
      <c r="A211" s="1"/>
      <c r="B211" s="1"/>
      <c r="C211" s="1"/>
      <c r="D211" s="1"/>
      <c r="E211" s="1"/>
      <c r="F211" s="1"/>
      <c r="G211" s="1"/>
      <c r="H211" s="1"/>
      <c r="I211" s="1"/>
      <c r="J211" s="1"/>
      <c r="K211" s="1"/>
      <c r="L211" s="1"/>
      <c r="M211" s="1"/>
      <c r="N211" s="1"/>
      <c r="O211" s="1"/>
      <c r="P211" s="1"/>
      <c r="Q211" s="1"/>
      <c r="R211" s="1"/>
    </row>
    <row r="212" spans="1:18" ht="15.75" customHeight="1" x14ac:dyDescent="0.3">
      <c r="A212" s="1"/>
      <c r="B212" s="1"/>
      <c r="C212" s="1"/>
      <c r="D212" s="1"/>
      <c r="E212" s="1"/>
      <c r="F212" s="1"/>
      <c r="G212" s="1"/>
      <c r="H212" s="1"/>
      <c r="I212" s="1"/>
      <c r="J212" s="1"/>
      <c r="K212" s="1"/>
      <c r="L212" s="1"/>
      <c r="M212" s="1"/>
      <c r="N212" s="1"/>
      <c r="O212" s="1"/>
      <c r="P212" s="1"/>
      <c r="Q212" s="1"/>
      <c r="R212" s="1"/>
    </row>
    <row r="213" spans="1:18" ht="15.75" customHeight="1" x14ac:dyDescent="0.3">
      <c r="A213" s="1"/>
      <c r="B213" s="1"/>
      <c r="C213" s="1"/>
      <c r="D213" s="1"/>
      <c r="E213" s="1"/>
      <c r="F213" s="1"/>
      <c r="G213" s="1"/>
      <c r="H213" s="1"/>
      <c r="I213" s="1"/>
      <c r="J213" s="1"/>
      <c r="K213" s="1"/>
      <c r="L213" s="1"/>
      <c r="M213" s="1"/>
      <c r="N213" s="1"/>
      <c r="O213" s="1"/>
      <c r="P213" s="1"/>
      <c r="Q213" s="1"/>
      <c r="R213" s="1"/>
    </row>
    <row r="214" spans="1:18" ht="15.75" customHeight="1" x14ac:dyDescent="0.3">
      <c r="A214" s="1"/>
      <c r="B214" s="1"/>
      <c r="C214" s="1"/>
      <c r="D214" s="1"/>
      <c r="E214" s="1"/>
      <c r="F214" s="1"/>
      <c r="G214" s="1"/>
      <c r="H214" s="1"/>
      <c r="I214" s="1"/>
      <c r="J214" s="1"/>
      <c r="K214" s="1"/>
      <c r="L214" s="1"/>
      <c r="M214" s="1"/>
      <c r="N214" s="1"/>
      <c r="O214" s="1"/>
      <c r="P214" s="1"/>
      <c r="Q214" s="1"/>
      <c r="R214" s="1"/>
    </row>
    <row r="215" spans="1:18" ht="15.75" customHeight="1" x14ac:dyDescent="0.3">
      <c r="A215" s="1"/>
      <c r="B215" s="1"/>
      <c r="C215" s="1"/>
      <c r="D215" s="1"/>
      <c r="E215" s="1"/>
      <c r="F215" s="1"/>
      <c r="G215" s="1"/>
      <c r="H215" s="1"/>
      <c r="I215" s="1"/>
      <c r="J215" s="1"/>
      <c r="K215" s="1"/>
      <c r="L215" s="1"/>
      <c r="M215" s="1"/>
      <c r="N215" s="1"/>
      <c r="O215" s="1"/>
      <c r="P215" s="1"/>
      <c r="Q215" s="1"/>
      <c r="R215" s="1"/>
    </row>
    <row r="216" spans="1:18" ht="15.75" customHeight="1" x14ac:dyDescent="0.3">
      <c r="A216" s="1"/>
      <c r="B216" s="1"/>
      <c r="C216" s="1"/>
      <c r="D216" s="1"/>
      <c r="E216" s="1"/>
      <c r="F216" s="1"/>
      <c r="G216" s="1"/>
      <c r="H216" s="1"/>
      <c r="I216" s="1"/>
      <c r="J216" s="1"/>
      <c r="K216" s="1"/>
      <c r="L216" s="1"/>
      <c r="M216" s="1"/>
      <c r="N216" s="1"/>
      <c r="O216" s="1"/>
      <c r="P216" s="1"/>
      <c r="Q216" s="1"/>
      <c r="R216" s="1"/>
    </row>
    <row r="217" spans="1:18" ht="15.75" customHeight="1" x14ac:dyDescent="0.3">
      <c r="A217" s="1"/>
      <c r="B217" s="1"/>
      <c r="C217" s="1"/>
      <c r="D217" s="1"/>
      <c r="E217" s="1"/>
      <c r="F217" s="1"/>
      <c r="G217" s="1"/>
      <c r="H217" s="1"/>
      <c r="I217" s="1"/>
      <c r="J217" s="1"/>
      <c r="K217" s="1"/>
      <c r="L217" s="1"/>
      <c r="M217" s="1"/>
      <c r="N217" s="1"/>
      <c r="O217" s="1"/>
      <c r="P217" s="1"/>
      <c r="Q217" s="1"/>
      <c r="R217" s="1"/>
    </row>
    <row r="218" spans="1:18" ht="15.75" customHeight="1" x14ac:dyDescent="0.3">
      <c r="A218" s="1"/>
      <c r="B218" s="1"/>
      <c r="C218" s="1"/>
      <c r="D218" s="1"/>
      <c r="E218" s="1"/>
      <c r="F218" s="1"/>
      <c r="G218" s="1"/>
      <c r="H218" s="1"/>
      <c r="I218" s="1"/>
      <c r="J218" s="1"/>
      <c r="K218" s="1"/>
      <c r="L218" s="1"/>
      <c r="M218" s="1"/>
      <c r="N218" s="1"/>
      <c r="O218" s="1"/>
      <c r="P218" s="1"/>
      <c r="Q218" s="1"/>
      <c r="R218" s="1"/>
    </row>
    <row r="219" spans="1:18" ht="15.75" customHeight="1" x14ac:dyDescent="0.3">
      <c r="A219" s="1"/>
      <c r="B219" s="1"/>
      <c r="C219" s="1"/>
      <c r="D219" s="1"/>
      <c r="E219" s="1"/>
      <c r="F219" s="1"/>
      <c r="G219" s="1"/>
      <c r="H219" s="1"/>
      <c r="I219" s="1"/>
      <c r="J219" s="1"/>
      <c r="K219" s="1"/>
      <c r="L219" s="1"/>
      <c r="M219" s="1"/>
      <c r="N219" s="1"/>
      <c r="O219" s="1"/>
      <c r="P219" s="1"/>
      <c r="Q219" s="1"/>
      <c r="R219" s="1"/>
    </row>
    <row r="220" spans="1:18" ht="15.75" customHeight="1" x14ac:dyDescent="0.3">
      <c r="A220" s="1"/>
      <c r="B220" s="1"/>
      <c r="C220" s="1"/>
      <c r="D220" s="1"/>
      <c r="E220" s="1"/>
      <c r="F220" s="1"/>
      <c r="G220" s="1"/>
      <c r="H220" s="1"/>
      <c r="I220" s="1"/>
      <c r="J220" s="1"/>
      <c r="K220" s="1"/>
      <c r="L220" s="1"/>
      <c r="M220" s="1"/>
      <c r="N220" s="1"/>
      <c r="O220" s="1"/>
      <c r="P220" s="1"/>
      <c r="Q220" s="1"/>
      <c r="R220" s="1"/>
    </row>
    <row r="221" spans="1:18" ht="15.75" customHeight="1" x14ac:dyDescent="0.3">
      <c r="A221" s="1"/>
      <c r="B221" s="1"/>
      <c r="C221" s="1"/>
      <c r="D221" s="1"/>
      <c r="E221" s="1"/>
      <c r="F221" s="1"/>
      <c r="G221" s="1"/>
      <c r="H221" s="1"/>
      <c r="I221" s="1"/>
      <c r="J221" s="1"/>
      <c r="K221" s="1"/>
      <c r="L221" s="1"/>
      <c r="M221" s="1"/>
      <c r="N221" s="1"/>
      <c r="O221" s="1"/>
      <c r="P221" s="1"/>
      <c r="Q221" s="1"/>
      <c r="R221" s="1"/>
    </row>
    <row r="222" spans="1:18" ht="15.75" customHeight="1" x14ac:dyDescent="0.3">
      <c r="A222" s="1"/>
      <c r="B222" s="1"/>
      <c r="C222" s="1"/>
      <c r="D222" s="1"/>
      <c r="E222" s="1"/>
      <c r="F222" s="1"/>
      <c r="G222" s="1"/>
      <c r="H222" s="1"/>
      <c r="I222" s="1"/>
      <c r="J222" s="1"/>
      <c r="K222" s="1"/>
      <c r="L222" s="1"/>
      <c r="M222" s="1"/>
      <c r="N222" s="1"/>
      <c r="O222" s="1"/>
      <c r="P222" s="1"/>
      <c r="Q222" s="1"/>
      <c r="R222" s="1"/>
    </row>
    <row r="223" spans="1:18" ht="15.75" customHeight="1" x14ac:dyDescent="0.3">
      <c r="A223" s="1"/>
      <c r="B223" s="1"/>
      <c r="C223" s="1"/>
      <c r="D223" s="1"/>
      <c r="E223" s="1"/>
      <c r="F223" s="1"/>
      <c r="G223" s="1"/>
      <c r="H223" s="1"/>
      <c r="I223" s="1"/>
      <c r="J223" s="1"/>
      <c r="K223" s="1"/>
      <c r="L223" s="1"/>
      <c r="M223" s="1"/>
      <c r="N223" s="1"/>
      <c r="O223" s="1"/>
      <c r="P223" s="1"/>
      <c r="Q223" s="1"/>
      <c r="R223" s="1"/>
    </row>
    <row r="224" spans="1:18" ht="15.75" customHeight="1" x14ac:dyDescent="0.3">
      <c r="A224" s="1"/>
      <c r="B224" s="1"/>
      <c r="C224" s="1"/>
      <c r="D224" s="1"/>
      <c r="E224" s="1"/>
      <c r="F224" s="1"/>
      <c r="G224" s="1"/>
      <c r="H224" s="1"/>
      <c r="I224" s="1"/>
      <c r="J224" s="1"/>
      <c r="K224" s="1"/>
      <c r="L224" s="1"/>
      <c r="M224" s="1"/>
      <c r="N224" s="1"/>
      <c r="O224" s="1"/>
      <c r="P224" s="1"/>
      <c r="Q224" s="1"/>
      <c r="R224" s="1"/>
    </row>
    <row r="225" spans="1:18" ht="15.75" customHeight="1" x14ac:dyDescent="0.3">
      <c r="A225" s="1"/>
      <c r="B225" s="1"/>
      <c r="C225" s="1"/>
      <c r="D225" s="1"/>
      <c r="E225" s="1"/>
      <c r="F225" s="1"/>
      <c r="G225" s="1"/>
      <c r="H225" s="1"/>
      <c r="I225" s="1"/>
      <c r="J225" s="1"/>
      <c r="K225" s="1"/>
      <c r="L225" s="1"/>
      <c r="M225" s="1"/>
      <c r="N225" s="1"/>
      <c r="O225" s="1"/>
      <c r="P225" s="1"/>
      <c r="Q225" s="1"/>
      <c r="R225" s="1"/>
    </row>
    <row r="226" spans="1:18" ht="15.75" customHeight="1" x14ac:dyDescent="0.3">
      <c r="A226" s="1"/>
      <c r="B226" s="1"/>
      <c r="C226" s="1"/>
      <c r="D226" s="1"/>
      <c r="E226" s="1"/>
      <c r="F226" s="1"/>
      <c r="G226" s="1"/>
      <c r="H226" s="1"/>
      <c r="I226" s="1"/>
      <c r="J226" s="1"/>
      <c r="K226" s="1"/>
      <c r="L226" s="1"/>
      <c r="M226" s="1"/>
      <c r="N226" s="1"/>
      <c r="O226" s="1"/>
      <c r="P226" s="1"/>
      <c r="Q226" s="1"/>
      <c r="R226" s="1"/>
    </row>
    <row r="227" spans="1:18" ht="15.75" customHeight="1" x14ac:dyDescent="0.3">
      <c r="A227" s="1"/>
      <c r="B227" s="1"/>
      <c r="C227" s="1"/>
      <c r="D227" s="1"/>
      <c r="E227" s="1"/>
      <c r="F227" s="1"/>
      <c r="G227" s="1"/>
      <c r="H227" s="1"/>
      <c r="I227" s="1"/>
      <c r="J227" s="1"/>
      <c r="K227" s="1"/>
      <c r="L227" s="1"/>
      <c r="M227" s="1"/>
      <c r="N227" s="1"/>
      <c r="O227" s="1"/>
      <c r="P227" s="1"/>
      <c r="Q227" s="1"/>
      <c r="R227" s="1"/>
    </row>
    <row r="228" spans="1:18" ht="15.75" customHeight="1" x14ac:dyDescent="0.3">
      <c r="A228" s="1"/>
      <c r="B228" s="1"/>
      <c r="C228" s="1"/>
      <c r="D228" s="1"/>
      <c r="E228" s="1"/>
      <c r="F228" s="1"/>
      <c r="G228" s="1"/>
      <c r="H228" s="1"/>
      <c r="I228" s="1"/>
      <c r="J228" s="1"/>
      <c r="K228" s="1"/>
      <c r="L228" s="1"/>
      <c r="M228" s="1"/>
      <c r="N228" s="1"/>
      <c r="O228" s="1"/>
      <c r="P228" s="1"/>
      <c r="Q228" s="1"/>
      <c r="R228" s="1"/>
    </row>
    <row r="229" spans="1:18" ht="15.75" customHeight="1" x14ac:dyDescent="0.3">
      <c r="A229" s="1"/>
      <c r="B229" s="1"/>
      <c r="C229" s="1"/>
      <c r="D229" s="1"/>
      <c r="E229" s="1"/>
      <c r="F229" s="1"/>
      <c r="G229" s="1"/>
      <c r="H229" s="1"/>
      <c r="I229" s="1"/>
      <c r="J229" s="1"/>
      <c r="K229" s="1"/>
      <c r="L229" s="1"/>
      <c r="M229" s="1"/>
      <c r="N229" s="1"/>
      <c r="O229" s="1"/>
      <c r="P229" s="1"/>
      <c r="Q229" s="1"/>
      <c r="R229" s="1"/>
    </row>
    <row r="230" spans="1:18" ht="15.75" customHeight="1" x14ac:dyDescent="0.3">
      <c r="A230" s="1"/>
      <c r="B230" s="1"/>
      <c r="C230" s="1"/>
      <c r="D230" s="1"/>
      <c r="E230" s="1"/>
      <c r="F230" s="1"/>
      <c r="G230" s="1"/>
      <c r="H230" s="1"/>
      <c r="I230" s="1"/>
      <c r="J230" s="1"/>
      <c r="K230" s="1"/>
      <c r="L230" s="1"/>
      <c r="M230" s="1"/>
      <c r="N230" s="1"/>
      <c r="O230" s="1"/>
      <c r="P230" s="1"/>
      <c r="Q230" s="1"/>
      <c r="R230" s="1"/>
    </row>
    <row r="231" spans="1:18" ht="15.75" customHeight="1" x14ac:dyDescent="0.3">
      <c r="A231" s="1"/>
      <c r="B231" s="1"/>
      <c r="C231" s="1"/>
      <c r="D231" s="1"/>
      <c r="E231" s="1"/>
      <c r="F231" s="1"/>
      <c r="G231" s="1"/>
      <c r="H231" s="1"/>
      <c r="I231" s="1"/>
      <c r="J231" s="1"/>
      <c r="K231" s="1"/>
      <c r="L231" s="1"/>
      <c r="M231" s="1"/>
      <c r="N231" s="1"/>
      <c r="O231" s="1"/>
      <c r="P231" s="1"/>
      <c r="Q231" s="1"/>
      <c r="R231" s="1"/>
    </row>
    <row r="232" spans="1:18" ht="15.75" customHeight="1" x14ac:dyDescent="0.3">
      <c r="A232" s="1"/>
      <c r="B232" s="1"/>
      <c r="C232" s="1"/>
      <c r="D232" s="1"/>
      <c r="E232" s="1"/>
      <c r="F232" s="1"/>
      <c r="G232" s="1"/>
      <c r="H232" s="1"/>
      <c r="I232" s="1"/>
      <c r="J232" s="1"/>
      <c r="K232" s="1"/>
      <c r="L232" s="1"/>
      <c r="M232" s="1"/>
      <c r="N232" s="1"/>
      <c r="O232" s="1"/>
      <c r="P232" s="1"/>
      <c r="Q232" s="1"/>
      <c r="R232" s="1"/>
    </row>
    <row r="233" spans="1:18" ht="15.75" customHeight="1" x14ac:dyDescent="0.3"/>
    <row r="234" spans="1:18" ht="15.75" customHeight="1" x14ac:dyDescent="0.3"/>
    <row r="235" spans="1:18" ht="15.75" customHeight="1" x14ac:dyDescent="0.3"/>
    <row r="236" spans="1:18" ht="15.75" customHeight="1" x14ac:dyDescent="0.3"/>
    <row r="237" spans="1:18" ht="15.75" customHeight="1" x14ac:dyDescent="0.3"/>
    <row r="238" spans="1:18" ht="15.75" customHeight="1" x14ac:dyDescent="0.3"/>
    <row r="239" spans="1:18" ht="15.75" customHeight="1" x14ac:dyDescent="0.3"/>
    <row r="240" spans="1:18"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sheetData>
  <pageMargins left="0.7" right="0.7" top="0.75" bottom="0.75" header="0" footer="0"/>
  <pageSetup paperSize="9"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D3047-36FA-44DE-9380-CFFB362163C5}">
  <dimension ref="A1:E49"/>
  <sheetViews>
    <sheetView workbookViewId="0"/>
  </sheetViews>
  <sheetFormatPr defaultRowHeight="13.8" x14ac:dyDescent="0.3"/>
  <cols>
    <col min="1" max="1" width="16.21875" bestFit="1" customWidth="1"/>
    <col min="2" max="2" width="26.44140625" bestFit="1" customWidth="1"/>
    <col min="3" max="3" width="25.6640625" bestFit="1" customWidth="1"/>
    <col min="4" max="4" width="17.88671875" bestFit="1" customWidth="1"/>
    <col min="5" max="5" width="16.77734375" bestFit="1" customWidth="1"/>
  </cols>
  <sheetData>
    <row r="1" spans="1:5" x14ac:dyDescent="0.3">
      <c r="A1" t="s">
        <v>95</v>
      </c>
      <c r="B1" t="s">
        <v>0</v>
      </c>
      <c r="C1" t="s">
        <v>1</v>
      </c>
      <c r="D1" t="s">
        <v>137</v>
      </c>
      <c r="E1" t="s">
        <v>2</v>
      </c>
    </row>
    <row r="2" spans="1:5" x14ac:dyDescent="0.3">
      <c r="A2" t="s">
        <v>99</v>
      </c>
      <c r="B2" t="s">
        <v>873</v>
      </c>
      <c r="C2" t="s">
        <v>4</v>
      </c>
      <c r="D2" t="s">
        <v>5</v>
      </c>
      <c r="E2" t="s">
        <v>6</v>
      </c>
    </row>
    <row r="3" spans="1:5" x14ac:dyDescent="0.3">
      <c r="A3" t="s">
        <v>99</v>
      </c>
      <c r="B3" t="s">
        <v>7</v>
      </c>
      <c r="C3" t="s">
        <v>8</v>
      </c>
      <c r="D3" t="s">
        <v>9</v>
      </c>
      <c r="E3" t="s">
        <v>10</v>
      </c>
    </row>
    <row r="4" spans="1:5" x14ac:dyDescent="0.3">
      <c r="A4" t="s">
        <v>98</v>
      </c>
      <c r="B4" t="s">
        <v>346</v>
      </c>
      <c r="C4" t="s">
        <v>12</v>
      </c>
      <c r="D4" t="s">
        <v>13</v>
      </c>
      <c r="E4">
        <v>2014</v>
      </c>
    </row>
    <row r="5" spans="1:5" x14ac:dyDescent="0.3">
      <c r="A5" t="s">
        <v>109</v>
      </c>
      <c r="B5" t="s">
        <v>925</v>
      </c>
      <c r="C5" t="s">
        <v>14</v>
      </c>
      <c r="D5" t="s">
        <v>13</v>
      </c>
      <c r="E5">
        <v>2019</v>
      </c>
    </row>
    <row r="6" spans="1:5" x14ac:dyDescent="0.3">
      <c r="A6" t="s">
        <v>106</v>
      </c>
      <c r="B6" t="s">
        <v>812</v>
      </c>
      <c r="C6" t="s">
        <v>16</v>
      </c>
      <c r="D6" t="s">
        <v>13</v>
      </c>
      <c r="E6">
        <v>2016</v>
      </c>
    </row>
    <row r="7" spans="1:5" x14ac:dyDescent="0.3">
      <c r="A7" t="s">
        <v>106</v>
      </c>
      <c r="B7" t="s">
        <v>862</v>
      </c>
      <c r="C7" t="s">
        <v>18</v>
      </c>
      <c r="D7" t="s">
        <v>13</v>
      </c>
      <c r="E7">
        <v>2012</v>
      </c>
    </row>
    <row r="8" spans="1:5" x14ac:dyDescent="0.3">
      <c r="A8" t="s">
        <v>96</v>
      </c>
      <c r="B8" t="s">
        <v>882</v>
      </c>
      <c r="C8" t="s">
        <v>18</v>
      </c>
      <c r="D8" t="s">
        <v>13</v>
      </c>
      <c r="E8">
        <v>2019</v>
      </c>
    </row>
    <row r="9" spans="1:5" x14ac:dyDescent="0.3">
      <c r="A9" t="s">
        <v>100</v>
      </c>
      <c r="B9" t="s">
        <v>21</v>
      </c>
      <c r="C9" t="s">
        <v>22</v>
      </c>
      <c r="D9" t="s">
        <v>134</v>
      </c>
      <c r="E9" t="s">
        <v>142</v>
      </c>
    </row>
    <row r="10" spans="1:5" x14ac:dyDescent="0.3">
      <c r="A10" t="s">
        <v>102</v>
      </c>
      <c r="B10" t="s">
        <v>852</v>
      </c>
      <c r="C10" t="s">
        <v>18</v>
      </c>
      <c r="D10" t="s">
        <v>19</v>
      </c>
      <c r="E10">
        <v>2016</v>
      </c>
    </row>
    <row r="11" spans="1:5" x14ac:dyDescent="0.3">
      <c r="A11" t="s">
        <v>97</v>
      </c>
      <c r="B11" t="s">
        <v>24</v>
      </c>
      <c r="C11" t="s">
        <v>25</v>
      </c>
      <c r="D11" t="s">
        <v>135</v>
      </c>
      <c r="E11" t="s">
        <v>143</v>
      </c>
    </row>
    <row r="12" spans="1:5" x14ac:dyDescent="0.3">
      <c r="A12" t="s">
        <v>101</v>
      </c>
      <c r="B12" t="s">
        <v>775</v>
      </c>
      <c r="C12" t="s">
        <v>18</v>
      </c>
      <c r="D12" t="s">
        <v>13</v>
      </c>
      <c r="E12">
        <v>2020</v>
      </c>
    </row>
    <row r="13" spans="1:5" x14ac:dyDescent="0.3">
      <c r="A13" t="s">
        <v>99</v>
      </c>
      <c r="B13" t="s">
        <v>886</v>
      </c>
      <c r="C13" t="s">
        <v>18</v>
      </c>
      <c r="D13" t="s">
        <v>13</v>
      </c>
      <c r="E13">
        <v>2010</v>
      </c>
    </row>
    <row r="14" spans="1:5" x14ac:dyDescent="0.3">
      <c r="A14" t="s">
        <v>103</v>
      </c>
      <c r="B14" t="s">
        <v>878</v>
      </c>
      <c r="C14" t="s">
        <v>29</v>
      </c>
      <c r="D14" t="s">
        <v>19</v>
      </c>
      <c r="E14">
        <v>2019</v>
      </c>
    </row>
    <row r="15" spans="1:5" x14ac:dyDescent="0.3">
      <c r="A15" t="s">
        <v>109</v>
      </c>
      <c r="B15" t="s">
        <v>952</v>
      </c>
      <c r="C15" t="s">
        <v>14</v>
      </c>
      <c r="D15" t="s">
        <v>13</v>
      </c>
      <c r="E15">
        <v>2019</v>
      </c>
    </row>
    <row r="16" spans="1:5" x14ac:dyDescent="0.3">
      <c r="A16" t="s">
        <v>104</v>
      </c>
      <c r="B16" t="s">
        <v>631</v>
      </c>
      <c r="C16" t="s">
        <v>14</v>
      </c>
      <c r="D16" t="s">
        <v>19</v>
      </c>
      <c r="E16">
        <v>2020</v>
      </c>
    </row>
    <row r="17" spans="1:5" x14ac:dyDescent="0.3">
      <c r="A17" t="s">
        <v>98</v>
      </c>
      <c r="B17" t="s">
        <v>32</v>
      </c>
      <c r="C17" t="s">
        <v>12</v>
      </c>
      <c r="D17" t="s">
        <v>19</v>
      </c>
      <c r="E17">
        <v>2012</v>
      </c>
    </row>
    <row r="18" spans="1:5" x14ac:dyDescent="0.3">
      <c r="A18" t="s">
        <v>98</v>
      </c>
      <c r="B18" t="s">
        <v>733</v>
      </c>
      <c r="C18" t="s">
        <v>34</v>
      </c>
      <c r="D18" t="s">
        <v>9</v>
      </c>
      <c r="E18" t="s">
        <v>10</v>
      </c>
    </row>
    <row r="19" spans="1:5" x14ac:dyDescent="0.3">
      <c r="A19" t="s">
        <v>96</v>
      </c>
      <c r="B19" t="s">
        <v>35</v>
      </c>
      <c r="C19" t="s">
        <v>4</v>
      </c>
      <c r="D19" t="s">
        <v>36</v>
      </c>
      <c r="E19" t="s">
        <v>37</v>
      </c>
    </row>
    <row r="20" spans="1:5" x14ac:dyDescent="0.3">
      <c r="A20" t="s">
        <v>103</v>
      </c>
      <c r="B20" t="s">
        <v>38</v>
      </c>
      <c r="C20" t="s">
        <v>14</v>
      </c>
      <c r="D20" t="s">
        <v>19</v>
      </c>
      <c r="E20">
        <v>2013</v>
      </c>
    </row>
    <row r="21" spans="1:5" x14ac:dyDescent="0.3">
      <c r="A21" t="s">
        <v>102</v>
      </c>
      <c r="B21" t="s">
        <v>660</v>
      </c>
      <c r="C21" t="s">
        <v>40</v>
      </c>
      <c r="D21" t="s">
        <v>136</v>
      </c>
      <c r="E21" t="s">
        <v>145</v>
      </c>
    </row>
    <row r="22" spans="1:5" x14ac:dyDescent="0.3">
      <c r="A22" t="s">
        <v>102</v>
      </c>
      <c r="B22" t="s">
        <v>41</v>
      </c>
      <c r="C22" t="s">
        <v>42</v>
      </c>
      <c r="D22" t="s">
        <v>36</v>
      </c>
      <c r="E22" t="s">
        <v>43</v>
      </c>
    </row>
    <row r="23" spans="1:5" x14ac:dyDescent="0.3">
      <c r="A23" t="s">
        <v>98</v>
      </c>
      <c r="B23" t="s">
        <v>854</v>
      </c>
      <c r="C23" t="s">
        <v>16</v>
      </c>
      <c r="D23" t="s">
        <v>13</v>
      </c>
      <c r="E23">
        <v>2013</v>
      </c>
    </row>
    <row r="24" spans="1:5" x14ac:dyDescent="0.3">
      <c r="A24" t="s">
        <v>107</v>
      </c>
      <c r="B24" t="s">
        <v>817</v>
      </c>
      <c r="C24" t="s">
        <v>16</v>
      </c>
      <c r="D24" t="s">
        <v>19</v>
      </c>
      <c r="E24">
        <v>2011</v>
      </c>
    </row>
    <row r="25" spans="1:5" x14ac:dyDescent="0.3">
      <c r="A25" t="s">
        <v>100</v>
      </c>
      <c r="B25" t="s">
        <v>522</v>
      </c>
      <c r="C25" t="s">
        <v>4</v>
      </c>
      <c r="D25" t="s">
        <v>138</v>
      </c>
      <c r="E25" t="s">
        <v>144</v>
      </c>
    </row>
    <row r="26" spans="1:5" x14ac:dyDescent="0.3">
      <c r="A26" t="s">
        <v>102</v>
      </c>
      <c r="B26" t="s">
        <v>48</v>
      </c>
      <c r="C26" t="s">
        <v>16</v>
      </c>
      <c r="D26" t="s">
        <v>19</v>
      </c>
      <c r="E26">
        <v>2015</v>
      </c>
    </row>
    <row r="27" spans="1:5" x14ac:dyDescent="0.3">
      <c r="A27" t="s">
        <v>100</v>
      </c>
      <c r="B27" t="s">
        <v>850</v>
      </c>
      <c r="C27" t="s">
        <v>16</v>
      </c>
      <c r="D27" t="s">
        <v>19</v>
      </c>
      <c r="E27">
        <v>2014</v>
      </c>
    </row>
    <row r="28" spans="1:5" x14ac:dyDescent="0.3">
      <c r="A28" t="s">
        <v>109</v>
      </c>
      <c r="B28" t="s">
        <v>927</v>
      </c>
      <c r="C28" t="s">
        <v>18</v>
      </c>
      <c r="D28" t="s">
        <v>13</v>
      </c>
      <c r="E28">
        <v>2012</v>
      </c>
    </row>
    <row r="29" spans="1:5" x14ac:dyDescent="0.3">
      <c r="A29" t="s">
        <v>106</v>
      </c>
      <c r="B29" t="s">
        <v>880</v>
      </c>
      <c r="C29" t="s">
        <v>14</v>
      </c>
      <c r="D29" t="s">
        <v>13</v>
      </c>
      <c r="E29" t="s">
        <v>140</v>
      </c>
    </row>
    <row r="30" spans="1:5" x14ac:dyDescent="0.3">
      <c r="A30" t="s">
        <v>98</v>
      </c>
      <c r="B30" t="s">
        <v>799</v>
      </c>
      <c r="C30" t="s">
        <v>12</v>
      </c>
      <c r="D30" t="s">
        <v>9</v>
      </c>
      <c r="E30" t="s">
        <v>10</v>
      </c>
    </row>
    <row r="31" spans="1:5" x14ac:dyDescent="0.3">
      <c r="A31" t="s">
        <v>102</v>
      </c>
      <c r="B31" t="s">
        <v>864</v>
      </c>
      <c r="C31" t="s">
        <v>16</v>
      </c>
      <c r="D31" t="s">
        <v>19</v>
      </c>
      <c r="E31">
        <v>2014</v>
      </c>
    </row>
    <row r="32" spans="1:5" x14ac:dyDescent="0.3">
      <c r="A32" t="s">
        <v>103</v>
      </c>
      <c r="B32" t="s">
        <v>54</v>
      </c>
      <c r="C32" t="s">
        <v>55</v>
      </c>
      <c r="D32" t="s">
        <v>47</v>
      </c>
      <c r="E32" t="s">
        <v>56</v>
      </c>
    </row>
    <row r="33" spans="1:5" x14ac:dyDescent="0.3">
      <c r="A33" t="s">
        <v>106</v>
      </c>
      <c r="B33" t="s">
        <v>825</v>
      </c>
      <c r="C33" t="s">
        <v>18</v>
      </c>
      <c r="D33" t="s">
        <v>13</v>
      </c>
      <c r="E33">
        <v>2012</v>
      </c>
    </row>
    <row r="34" spans="1:5" x14ac:dyDescent="0.3">
      <c r="A34" t="s">
        <v>100</v>
      </c>
      <c r="B34" t="s">
        <v>58</v>
      </c>
      <c r="C34" t="s">
        <v>18</v>
      </c>
      <c r="D34" t="s">
        <v>19</v>
      </c>
      <c r="E34">
        <v>2019</v>
      </c>
    </row>
    <row r="35" spans="1:5" x14ac:dyDescent="0.3">
      <c r="A35" t="s">
        <v>98</v>
      </c>
      <c r="B35" t="s">
        <v>59</v>
      </c>
      <c r="C35" t="s">
        <v>12</v>
      </c>
      <c r="D35" t="s">
        <v>9</v>
      </c>
      <c r="E35" t="s">
        <v>10</v>
      </c>
    </row>
    <row r="36" spans="1:5" x14ac:dyDescent="0.3">
      <c r="A36" t="s">
        <v>109</v>
      </c>
      <c r="B36" t="s">
        <v>912</v>
      </c>
      <c r="C36" t="s">
        <v>18</v>
      </c>
      <c r="D36" t="s">
        <v>19</v>
      </c>
      <c r="E36">
        <v>2020</v>
      </c>
    </row>
    <row r="37" spans="1:5" x14ac:dyDescent="0.3">
      <c r="A37" t="s">
        <v>102</v>
      </c>
      <c r="B37" t="s">
        <v>61</v>
      </c>
      <c r="C37" t="s">
        <v>62</v>
      </c>
      <c r="D37" t="s">
        <v>47</v>
      </c>
      <c r="E37" t="s">
        <v>63</v>
      </c>
    </row>
    <row r="38" spans="1:5" x14ac:dyDescent="0.3">
      <c r="A38" t="s">
        <v>108</v>
      </c>
      <c r="B38" t="s">
        <v>897</v>
      </c>
      <c r="C38" t="s">
        <v>18</v>
      </c>
      <c r="D38" t="s">
        <v>19</v>
      </c>
      <c r="E38">
        <v>2015</v>
      </c>
    </row>
    <row r="39" spans="1:5" x14ac:dyDescent="0.3">
      <c r="A39" t="s">
        <v>105</v>
      </c>
      <c r="B39" t="s">
        <v>691</v>
      </c>
      <c r="C39" t="s">
        <v>66</v>
      </c>
      <c r="D39" t="s">
        <v>36</v>
      </c>
      <c r="E39" t="s">
        <v>67</v>
      </c>
    </row>
    <row r="40" spans="1:5" x14ac:dyDescent="0.3">
      <c r="A40" t="s">
        <v>98</v>
      </c>
      <c r="B40" t="s">
        <v>687</v>
      </c>
      <c r="C40" t="s">
        <v>12</v>
      </c>
      <c r="D40" t="s">
        <v>9</v>
      </c>
      <c r="E40" t="s">
        <v>10</v>
      </c>
    </row>
    <row r="41" spans="1:5" x14ac:dyDescent="0.3">
      <c r="A41" t="s">
        <v>106</v>
      </c>
      <c r="B41" t="s">
        <v>884</v>
      </c>
      <c r="C41" t="s">
        <v>14</v>
      </c>
      <c r="D41" t="s">
        <v>13</v>
      </c>
      <c r="E41">
        <v>2011</v>
      </c>
    </row>
    <row r="42" spans="1:5" x14ac:dyDescent="0.3">
      <c r="A42" t="s">
        <v>102</v>
      </c>
      <c r="B42" t="s">
        <v>70</v>
      </c>
      <c r="C42" t="s">
        <v>16</v>
      </c>
      <c r="D42" t="s">
        <v>19</v>
      </c>
      <c r="E42">
        <v>2015</v>
      </c>
    </row>
    <row r="43" spans="1:5" x14ac:dyDescent="0.3">
      <c r="A43" t="s">
        <v>100</v>
      </c>
      <c r="B43" t="s">
        <v>71</v>
      </c>
      <c r="C43" t="s">
        <v>18</v>
      </c>
      <c r="D43" t="s">
        <v>19</v>
      </c>
      <c r="E43">
        <v>2019</v>
      </c>
    </row>
    <row r="44" spans="1:5" x14ac:dyDescent="0.3">
      <c r="A44" t="s">
        <v>106</v>
      </c>
      <c r="B44" t="s">
        <v>869</v>
      </c>
      <c r="C44" t="s">
        <v>73</v>
      </c>
      <c r="D44" t="s">
        <v>139</v>
      </c>
      <c r="E44" t="s">
        <v>146</v>
      </c>
    </row>
    <row r="45" spans="1:5" x14ac:dyDescent="0.3">
      <c r="A45" t="s">
        <v>97</v>
      </c>
      <c r="B45" t="s">
        <v>871</v>
      </c>
      <c r="C45" t="s">
        <v>14</v>
      </c>
      <c r="D45" t="s">
        <v>13</v>
      </c>
      <c r="E45">
        <v>2019</v>
      </c>
    </row>
    <row r="46" spans="1:5" x14ac:dyDescent="0.3">
      <c r="A46" t="s">
        <v>99</v>
      </c>
      <c r="B46" t="s">
        <v>440</v>
      </c>
      <c r="C46" t="s">
        <v>76</v>
      </c>
      <c r="D46" t="s">
        <v>9</v>
      </c>
      <c r="E46" t="s">
        <v>10</v>
      </c>
    </row>
    <row r="47" spans="1:5" x14ac:dyDescent="0.3">
      <c r="A47" t="s">
        <v>101</v>
      </c>
      <c r="B47" t="s">
        <v>438</v>
      </c>
      <c r="C47" t="s">
        <v>16</v>
      </c>
      <c r="D47" t="s">
        <v>13</v>
      </c>
      <c r="E47">
        <v>2010</v>
      </c>
    </row>
    <row r="48" spans="1:5" x14ac:dyDescent="0.3">
      <c r="A48" t="s">
        <v>101</v>
      </c>
      <c r="B48" t="s">
        <v>78</v>
      </c>
      <c r="C48" t="s">
        <v>16</v>
      </c>
      <c r="D48" t="s">
        <v>13</v>
      </c>
      <c r="E48">
        <v>2015</v>
      </c>
    </row>
    <row r="49" spans="1:5" x14ac:dyDescent="0.3">
      <c r="A49" t="s">
        <v>102</v>
      </c>
      <c r="B49" t="s">
        <v>532</v>
      </c>
      <c r="C49" t="s">
        <v>8</v>
      </c>
      <c r="D49" t="s">
        <v>13</v>
      </c>
      <c r="E49">
        <v>2015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40D8-B213-4F59-A225-2477B94DF6E9}">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9" bestFit="1" customWidth="1"/>
  </cols>
  <sheetData>
    <row r="1" spans="1:4" x14ac:dyDescent="0.3">
      <c r="A1" t="s">
        <v>156</v>
      </c>
      <c r="B1" t="s">
        <v>95</v>
      </c>
      <c r="C1" t="s">
        <v>0</v>
      </c>
      <c r="D1" t="s">
        <v>1</v>
      </c>
    </row>
    <row r="2" spans="1:4" x14ac:dyDescent="0.3">
      <c r="A2">
        <v>1</v>
      </c>
      <c r="B2" t="s">
        <v>99</v>
      </c>
      <c r="C2" t="s">
        <v>873</v>
      </c>
      <c r="D2" t="s">
        <v>8</v>
      </c>
    </row>
    <row r="3" spans="1:4" x14ac:dyDescent="0.3">
      <c r="A3">
        <v>2</v>
      </c>
      <c r="B3" t="s">
        <v>99</v>
      </c>
      <c r="C3" t="s">
        <v>873</v>
      </c>
      <c r="D3" t="s">
        <v>18</v>
      </c>
    </row>
    <row r="4" spans="1:4" x14ac:dyDescent="0.3">
      <c r="A4">
        <v>3</v>
      </c>
      <c r="B4" t="s">
        <v>99</v>
      </c>
      <c r="C4" t="s">
        <v>7</v>
      </c>
      <c r="D4" t="s">
        <v>8</v>
      </c>
    </row>
    <row r="5" spans="1:4" x14ac:dyDescent="0.3">
      <c r="A5">
        <v>4</v>
      </c>
      <c r="B5" t="s">
        <v>98</v>
      </c>
      <c r="C5" t="s">
        <v>346</v>
      </c>
      <c r="D5" t="s">
        <v>12</v>
      </c>
    </row>
    <row r="6" spans="1:4" x14ac:dyDescent="0.3">
      <c r="A6">
        <v>5</v>
      </c>
      <c r="B6" t="s">
        <v>109</v>
      </c>
      <c r="C6" t="s">
        <v>925</v>
      </c>
      <c r="D6" t="s">
        <v>14</v>
      </c>
    </row>
    <row r="7" spans="1:4" x14ac:dyDescent="0.3">
      <c r="A7">
        <v>6</v>
      </c>
      <c r="B7" t="s">
        <v>106</v>
      </c>
      <c r="C7" t="s">
        <v>812</v>
      </c>
      <c r="D7" t="s">
        <v>16</v>
      </c>
    </row>
    <row r="8" spans="1:4" x14ac:dyDescent="0.3">
      <c r="A8">
        <v>7</v>
      </c>
      <c r="B8" t="s">
        <v>106</v>
      </c>
      <c r="C8" t="s">
        <v>862</v>
      </c>
      <c r="D8" t="s">
        <v>18</v>
      </c>
    </row>
    <row r="9" spans="1:4" x14ac:dyDescent="0.3">
      <c r="A9">
        <v>8</v>
      </c>
      <c r="B9" t="s">
        <v>96</v>
      </c>
      <c r="C9" t="s">
        <v>882</v>
      </c>
      <c r="D9" t="s">
        <v>18</v>
      </c>
    </row>
    <row r="10" spans="1:4" x14ac:dyDescent="0.3">
      <c r="A10">
        <v>9</v>
      </c>
      <c r="B10" t="s">
        <v>100</v>
      </c>
      <c r="C10" t="s">
        <v>21</v>
      </c>
      <c r="D10" t="s">
        <v>8</v>
      </c>
    </row>
    <row r="11" spans="1:4" x14ac:dyDescent="0.3">
      <c r="A11">
        <v>10</v>
      </c>
      <c r="B11" t="s">
        <v>100</v>
      </c>
      <c r="C11" t="s">
        <v>21</v>
      </c>
      <c r="D11" t="s">
        <v>12</v>
      </c>
    </row>
    <row r="12" spans="1:4" x14ac:dyDescent="0.3">
      <c r="A12">
        <v>11</v>
      </c>
      <c r="B12" t="s">
        <v>100</v>
      </c>
      <c r="C12" t="s">
        <v>21</v>
      </c>
      <c r="D12" t="s">
        <v>125</v>
      </c>
    </row>
    <row r="13" spans="1:4" x14ac:dyDescent="0.3">
      <c r="A13">
        <v>12</v>
      </c>
      <c r="B13" t="s">
        <v>102</v>
      </c>
      <c r="C13" t="s">
        <v>852</v>
      </c>
      <c r="D13" t="s">
        <v>18</v>
      </c>
    </row>
    <row r="14" spans="1:4" x14ac:dyDescent="0.3">
      <c r="A14">
        <v>13</v>
      </c>
      <c r="B14" t="s">
        <v>97</v>
      </c>
      <c r="C14" t="s">
        <v>24</v>
      </c>
      <c r="D14" t="s">
        <v>8</v>
      </c>
    </row>
    <row r="15" spans="1:4" x14ac:dyDescent="0.3">
      <c r="A15">
        <v>14</v>
      </c>
      <c r="B15" t="s">
        <v>97</v>
      </c>
      <c r="C15" t="s">
        <v>24</v>
      </c>
      <c r="D15" t="s">
        <v>34</v>
      </c>
    </row>
    <row r="16" spans="1:4" x14ac:dyDescent="0.3">
      <c r="A16">
        <v>15</v>
      </c>
      <c r="B16" t="s">
        <v>101</v>
      </c>
      <c r="C16" t="s">
        <v>775</v>
      </c>
      <c r="D16" t="s">
        <v>18</v>
      </c>
    </row>
    <row r="17" spans="1:4" x14ac:dyDescent="0.3">
      <c r="A17">
        <v>16</v>
      </c>
      <c r="B17" t="s">
        <v>99</v>
      </c>
      <c r="C17" t="s">
        <v>886</v>
      </c>
      <c r="D17" t="s">
        <v>18</v>
      </c>
    </row>
    <row r="18" spans="1:4" x14ac:dyDescent="0.3">
      <c r="A18">
        <v>17</v>
      </c>
      <c r="B18" t="s">
        <v>103</v>
      </c>
      <c r="C18" t="s">
        <v>878</v>
      </c>
      <c r="D18" t="s">
        <v>29</v>
      </c>
    </row>
    <row r="19" spans="1:4" x14ac:dyDescent="0.3">
      <c r="A19">
        <v>18</v>
      </c>
      <c r="B19" t="s">
        <v>109</v>
      </c>
      <c r="C19" t="s">
        <v>952</v>
      </c>
      <c r="D19" t="s">
        <v>14</v>
      </c>
    </row>
    <row r="20" spans="1:4" x14ac:dyDescent="0.3">
      <c r="A20">
        <v>19</v>
      </c>
      <c r="B20" t="s">
        <v>104</v>
      </c>
      <c r="C20" t="s">
        <v>631</v>
      </c>
      <c r="D20" t="s">
        <v>14</v>
      </c>
    </row>
    <row r="21" spans="1:4" x14ac:dyDescent="0.3">
      <c r="A21">
        <v>20</v>
      </c>
      <c r="B21" t="s">
        <v>98</v>
      </c>
      <c r="C21" t="s">
        <v>32</v>
      </c>
      <c r="D21" t="s">
        <v>12</v>
      </c>
    </row>
    <row r="22" spans="1:4" x14ac:dyDescent="0.3">
      <c r="A22">
        <v>21</v>
      </c>
      <c r="B22" t="s">
        <v>98</v>
      </c>
      <c r="C22" t="s">
        <v>733</v>
      </c>
      <c r="D22" t="s">
        <v>34</v>
      </c>
    </row>
    <row r="23" spans="1:4" x14ac:dyDescent="0.3">
      <c r="A23">
        <v>22</v>
      </c>
      <c r="B23" t="s">
        <v>96</v>
      </c>
      <c r="C23" t="s">
        <v>35</v>
      </c>
      <c r="D23" t="s">
        <v>8</v>
      </c>
    </row>
    <row r="24" spans="1:4" x14ac:dyDescent="0.3">
      <c r="A24">
        <v>23</v>
      </c>
      <c r="B24" t="s">
        <v>96</v>
      </c>
      <c r="C24" t="s">
        <v>35</v>
      </c>
      <c r="D24" t="s">
        <v>18</v>
      </c>
    </row>
    <row r="25" spans="1:4" x14ac:dyDescent="0.3">
      <c r="A25">
        <v>24</v>
      </c>
      <c r="B25" t="s">
        <v>103</v>
      </c>
      <c r="C25" t="s">
        <v>38</v>
      </c>
      <c r="D25" t="s">
        <v>14</v>
      </c>
    </row>
    <row r="26" spans="1:4" x14ac:dyDescent="0.3">
      <c r="A26">
        <v>25</v>
      </c>
      <c r="B26" t="s">
        <v>102</v>
      </c>
      <c r="C26" t="s">
        <v>660</v>
      </c>
      <c r="D26" t="s">
        <v>8</v>
      </c>
    </row>
    <row r="27" spans="1:4" x14ac:dyDescent="0.3">
      <c r="A27">
        <v>26</v>
      </c>
      <c r="B27" t="s">
        <v>102</v>
      </c>
      <c r="C27" t="s">
        <v>660</v>
      </c>
      <c r="D27" t="s">
        <v>16</v>
      </c>
    </row>
    <row r="28" spans="1:4" x14ac:dyDescent="0.3">
      <c r="A28">
        <v>27</v>
      </c>
      <c r="B28" t="s">
        <v>102</v>
      </c>
      <c r="C28" t="s">
        <v>660</v>
      </c>
      <c r="D28" t="s">
        <v>29</v>
      </c>
    </row>
    <row r="29" spans="1:4" x14ac:dyDescent="0.3">
      <c r="A29">
        <v>28</v>
      </c>
      <c r="B29" t="s">
        <v>102</v>
      </c>
      <c r="C29" t="s">
        <v>41</v>
      </c>
      <c r="D29" t="s">
        <v>18</v>
      </c>
    </row>
    <row r="30" spans="1:4" x14ac:dyDescent="0.3">
      <c r="A30">
        <v>29</v>
      </c>
      <c r="B30" t="s">
        <v>102</v>
      </c>
      <c r="C30" t="s">
        <v>41</v>
      </c>
      <c r="D30" t="s">
        <v>29</v>
      </c>
    </row>
    <row r="31" spans="1:4" x14ac:dyDescent="0.3">
      <c r="A31">
        <v>30</v>
      </c>
      <c r="B31" t="s">
        <v>98</v>
      </c>
      <c r="C31" t="s">
        <v>854</v>
      </c>
      <c r="D31" t="s">
        <v>16</v>
      </c>
    </row>
    <row r="32" spans="1:4" x14ac:dyDescent="0.3">
      <c r="A32">
        <v>31</v>
      </c>
      <c r="B32" t="s">
        <v>107</v>
      </c>
      <c r="C32" t="s">
        <v>817</v>
      </c>
      <c r="D32" t="s">
        <v>16</v>
      </c>
    </row>
    <row r="33" spans="1:4" x14ac:dyDescent="0.3">
      <c r="A33">
        <v>32</v>
      </c>
      <c r="B33" t="s">
        <v>100</v>
      </c>
      <c r="C33" t="s">
        <v>522</v>
      </c>
      <c r="D33" t="s">
        <v>8</v>
      </c>
    </row>
    <row r="34" spans="1:4" x14ac:dyDescent="0.3">
      <c r="A34">
        <v>33</v>
      </c>
      <c r="B34" t="s">
        <v>100</v>
      </c>
      <c r="C34" t="s">
        <v>522</v>
      </c>
      <c r="D34" t="s">
        <v>18</v>
      </c>
    </row>
    <row r="35" spans="1:4" x14ac:dyDescent="0.3">
      <c r="A35">
        <v>34</v>
      </c>
      <c r="B35" t="s">
        <v>102</v>
      </c>
      <c r="C35" t="s">
        <v>48</v>
      </c>
      <c r="D35" t="s">
        <v>16</v>
      </c>
    </row>
    <row r="36" spans="1:4" x14ac:dyDescent="0.3">
      <c r="A36">
        <v>35</v>
      </c>
      <c r="B36" t="s">
        <v>100</v>
      </c>
      <c r="C36" t="s">
        <v>850</v>
      </c>
      <c r="D36" t="s">
        <v>16</v>
      </c>
    </row>
    <row r="37" spans="1:4" x14ac:dyDescent="0.3">
      <c r="A37">
        <v>36</v>
      </c>
      <c r="B37" t="s">
        <v>109</v>
      </c>
      <c r="C37" t="s">
        <v>927</v>
      </c>
      <c r="D37" t="s">
        <v>18</v>
      </c>
    </row>
    <row r="38" spans="1:4" x14ac:dyDescent="0.3">
      <c r="A38">
        <v>37</v>
      </c>
      <c r="B38" t="s">
        <v>106</v>
      </c>
      <c r="C38" t="s">
        <v>880</v>
      </c>
      <c r="D38" t="s">
        <v>14</v>
      </c>
    </row>
    <row r="39" spans="1:4" x14ac:dyDescent="0.3">
      <c r="A39">
        <v>38</v>
      </c>
      <c r="B39" t="s">
        <v>98</v>
      </c>
      <c r="C39" t="s">
        <v>799</v>
      </c>
      <c r="D39" t="s">
        <v>12</v>
      </c>
    </row>
    <row r="40" spans="1:4" x14ac:dyDescent="0.3">
      <c r="A40">
        <v>39</v>
      </c>
      <c r="B40" t="s">
        <v>102</v>
      </c>
      <c r="C40" t="s">
        <v>864</v>
      </c>
      <c r="D40" t="s">
        <v>16</v>
      </c>
    </row>
    <row r="41" spans="1:4" x14ac:dyDescent="0.3">
      <c r="A41">
        <v>40</v>
      </c>
      <c r="B41" t="s">
        <v>103</v>
      </c>
      <c r="C41" t="s">
        <v>54</v>
      </c>
      <c r="D41" t="s">
        <v>110</v>
      </c>
    </row>
    <row r="42" spans="1:4" x14ac:dyDescent="0.3">
      <c r="A42">
        <v>41</v>
      </c>
      <c r="B42" t="s">
        <v>103</v>
      </c>
      <c r="C42" t="s">
        <v>54</v>
      </c>
      <c r="D42" t="s">
        <v>18</v>
      </c>
    </row>
    <row r="43" spans="1:4" x14ac:dyDescent="0.3">
      <c r="A43">
        <v>42</v>
      </c>
      <c r="B43" t="s">
        <v>106</v>
      </c>
      <c r="C43" t="s">
        <v>825</v>
      </c>
      <c r="D43" t="s">
        <v>18</v>
      </c>
    </row>
    <row r="44" spans="1:4" x14ac:dyDescent="0.3">
      <c r="A44">
        <v>43</v>
      </c>
      <c r="B44" t="s">
        <v>100</v>
      </c>
      <c r="C44" t="s">
        <v>58</v>
      </c>
      <c r="D44" t="s">
        <v>18</v>
      </c>
    </row>
    <row r="45" spans="1:4" x14ac:dyDescent="0.3">
      <c r="A45">
        <v>44</v>
      </c>
      <c r="B45" t="s">
        <v>98</v>
      </c>
      <c r="C45" t="s">
        <v>59</v>
      </c>
      <c r="D45" t="s">
        <v>12</v>
      </c>
    </row>
    <row r="46" spans="1:4" x14ac:dyDescent="0.3">
      <c r="A46">
        <v>45</v>
      </c>
      <c r="B46" t="s">
        <v>109</v>
      </c>
      <c r="C46" t="s">
        <v>912</v>
      </c>
      <c r="D46" t="s">
        <v>18</v>
      </c>
    </row>
    <row r="47" spans="1:4" x14ac:dyDescent="0.3">
      <c r="A47">
        <v>46</v>
      </c>
      <c r="B47" t="s">
        <v>102</v>
      </c>
      <c r="C47" t="s">
        <v>61</v>
      </c>
      <c r="D47" t="s">
        <v>29</v>
      </c>
    </row>
    <row r="48" spans="1:4" x14ac:dyDescent="0.3">
      <c r="A48">
        <v>47</v>
      </c>
      <c r="B48" t="s">
        <v>102</v>
      </c>
      <c r="C48" t="s">
        <v>61</v>
      </c>
      <c r="D48" t="s">
        <v>16</v>
      </c>
    </row>
    <row r="49" spans="1:4" x14ac:dyDescent="0.3">
      <c r="A49">
        <v>48</v>
      </c>
      <c r="B49" t="s">
        <v>108</v>
      </c>
      <c r="C49" t="s">
        <v>897</v>
      </c>
      <c r="D49" t="s">
        <v>18</v>
      </c>
    </row>
    <row r="50" spans="1:4" x14ac:dyDescent="0.3">
      <c r="A50">
        <v>49</v>
      </c>
      <c r="B50" t="s">
        <v>105</v>
      </c>
      <c r="C50" t="s">
        <v>691</v>
      </c>
      <c r="D50" t="s">
        <v>14</v>
      </c>
    </row>
    <row r="51" spans="1:4" x14ac:dyDescent="0.3">
      <c r="A51">
        <v>50</v>
      </c>
      <c r="B51" t="s">
        <v>105</v>
      </c>
      <c r="C51" t="s">
        <v>691</v>
      </c>
      <c r="D51" t="s">
        <v>14</v>
      </c>
    </row>
    <row r="52" spans="1:4" x14ac:dyDescent="0.3">
      <c r="A52">
        <v>51</v>
      </c>
      <c r="B52" t="s">
        <v>98</v>
      </c>
      <c r="C52" t="s">
        <v>687</v>
      </c>
      <c r="D52" t="s">
        <v>12</v>
      </c>
    </row>
    <row r="53" spans="1:4" x14ac:dyDescent="0.3">
      <c r="A53">
        <v>52</v>
      </c>
      <c r="B53" t="s">
        <v>106</v>
      </c>
      <c r="C53" t="s">
        <v>884</v>
      </c>
      <c r="D53" t="s">
        <v>14</v>
      </c>
    </row>
    <row r="54" spans="1:4" x14ac:dyDescent="0.3">
      <c r="A54">
        <v>53</v>
      </c>
      <c r="B54" t="s">
        <v>102</v>
      </c>
      <c r="C54" t="s">
        <v>70</v>
      </c>
      <c r="D54" t="s">
        <v>16</v>
      </c>
    </row>
    <row r="55" spans="1:4" x14ac:dyDescent="0.3">
      <c r="A55">
        <v>54</v>
      </c>
      <c r="B55" t="s">
        <v>100</v>
      </c>
      <c r="C55" t="s">
        <v>71</v>
      </c>
      <c r="D55" t="s">
        <v>18</v>
      </c>
    </row>
    <row r="56" spans="1:4" x14ac:dyDescent="0.3">
      <c r="A56">
        <v>55</v>
      </c>
      <c r="B56" t="s">
        <v>106</v>
      </c>
      <c r="C56" t="s">
        <v>869</v>
      </c>
      <c r="D56" t="s">
        <v>12</v>
      </c>
    </row>
    <row r="57" spans="1:4" x14ac:dyDescent="0.3">
      <c r="A57">
        <v>56</v>
      </c>
      <c r="B57" t="s">
        <v>106</v>
      </c>
      <c r="C57" t="s">
        <v>869</v>
      </c>
      <c r="D57" t="s">
        <v>14</v>
      </c>
    </row>
    <row r="58" spans="1:4" x14ac:dyDescent="0.3">
      <c r="A58">
        <v>57</v>
      </c>
      <c r="B58" t="s">
        <v>106</v>
      </c>
      <c r="C58" t="s">
        <v>869</v>
      </c>
      <c r="D58" t="s">
        <v>110</v>
      </c>
    </row>
    <row r="59" spans="1:4" x14ac:dyDescent="0.3">
      <c r="A59">
        <v>58</v>
      </c>
      <c r="B59" t="s">
        <v>106</v>
      </c>
      <c r="C59" t="s">
        <v>869</v>
      </c>
      <c r="D59" t="s">
        <v>18</v>
      </c>
    </row>
    <row r="60" spans="1:4" x14ac:dyDescent="0.3">
      <c r="A60">
        <v>59</v>
      </c>
      <c r="B60" t="s">
        <v>97</v>
      </c>
      <c r="C60" t="s">
        <v>871</v>
      </c>
      <c r="D60" t="s">
        <v>14</v>
      </c>
    </row>
    <row r="61" spans="1:4" x14ac:dyDescent="0.3">
      <c r="A61">
        <v>60</v>
      </c>
      <c r="B61" t="s">
        <v>99</v>
      </c>
      <c r="C61" t="s">
        <v>440</v>
      </c>
      <c r="D61" t="s">
        <v>76</v>
      </c>
    </row>
    <row r="62" spans="1:4" x14ac:dyDescent="0.3">
      <c r="A62">
        <v>61</v>
      </c>
      <c r="B62" t="s">
        <v>101</v>
      </c>
      <c r="C62" t="s">
        <v>438</v>
      </c>
      <c r="D62" t="s">
        <v>16</v>
      </c>
    </row>
    <row r="63" spans="1:4" x14ac:dyDescent="0.3">
      <c r="A63">
        <v>62</v>
      </c>
      <c r="B63" t="s">
        <v>101</v>
      </c>
      <c r="C63" t="s">
        <v>78</v>
      </c>
      <c r="D63" t="s">
        <v>16</v>
      </c>
    </row>
    <row r="64" spans="1:4" x14ac:dyDescent="0.3">
      <c r="A64">
        <v>63</v>
      </c>
      <c r="B64" t="s">
        <v>102</v>
      </c>
      <c r="C64" t="s">
        <v>532</v>
      </c>
      <c r="D64" t="s">
        <v>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AA97A-19EB-4308-A163-3E2856D8860C}">
  <dimension ref="A1:D64"/>
  <sheetViews>
    <sheetView topLeftCell="A35" workbookViewId="0"/>
  </sheetViews>
  <sheetFormatPr defaultRowHeight="13.8" x14ac:dyDescent="0.3"/>
  <cols>
    <col min="1" max="1" width="7.6640625" bestFit="1" customWidth="1"/>
    <col min="2" max="2" width="16.21875" bestFit="1" customWidth="1"/>
    <col min="3" max="3" width="26.44140625" bestFit="1" customWidth="1"/>
    <col min="4" max="4" width="17.88671875" bestFit="1" customWidth="1"/>
  </cols>
  <sheetData>
    <row r="1" spans="1:4" x14ac:dyDescent="0.3">
      <c r="A1" t="s">
        <v>156</v>
      </c>
      <c r="B1" t="s">
        <v>95</v>
      </c>
      <c r="C1" t="s">
        <v>0</v>
      </c>
      <c r="D1" t="s">
        <v>137</v>
      </c>
    </row>
    <row r="2" spans="1:4" x14ac:dyDescent="0.3">
      <c r="A2">
        <v>1</v>
      </c>
      <c r="B2" t="s">
        <v>99</v>
      </c>
      <c r="C2" t="s">
        <v>873</v>
      </c>
      <c r="D2" t="s">
        <v>13</v>
      </c>
    </row>
    <row r="3" spans="1:4" x14ac:dyDescent="0.3">
      <c r="A3">
        <v>2</v>
      </c>
      <c r="B3" t="s">
        <v>99</v>
      </c>
      <c r="C3" t="s">
        <v>873</v>
      </c>
      <c r="D3" t="s">
        <v>13</v>
      </c>
    </row>
    <row r="4" spans="1:4" x14ac:dyDescent="0.3">
      <c r="A4">
        <v>3</v>
      </c>
      <c r="B4" t="s">
        <v>99</v>
      </c>
      <c r="C4" t="s">
        <v>7</v>
      </c>
      <c r="D4" t="s">
        <v>9</v>
      </c>
    </row>
    <row r="5" spans="1:4" x14ac:dyDescent="0.3">
      <c r="A5">
        <v>4</v>
      </c>
      <c r="B5" t="s">
        <v>98</v>
      </c>
      <c r="C5" t="s">
        <v>346</v>
      </c>
      <c r="D5" t="s">
        <v>13</v>
      </c>
    </row>
    <row r="6" spans="1:4" x14ac:dyDescent="0.3">
      <c r="A6">
        <v>5</v>
      </c>
      <c r="B6" t="s">
        <v>109</v>
      </c>
      <c r="C6" t="s">
        <v>925</v>
      </c>
      <c r="D6" t="s">
        <v>13</v>
      </c>
    </row>
    <row r="7" spans="1:4" x14ac:dyDescent="0.3">
      <c r="A7">
        <v>6</v>
      </c>
      <c r="B7" t="s">
        <v>106</v>
      </c>
      <c r="C7" t="s">
        <v>812</v>
      </c>
      <c r="D7" t="s">
        <v>13</v>
      </c>
    </row>
    <row r="8" spans="1:4" x14ac:dyDescent="0.3">
      <c r="A8">
        <v>7</v>
      </c>
      <c r="B8" t="s">
        <v>106</v>
      </c>
      <c r="C8" t="s">
        <v>862</v>
      </c>
      <c r="D8" t="s">
        <v>13</v>
      </c>
    </row>
    <row r="9" spans="1:4" x14ac:dyDescent="0.3">
      <c r="A9">
        <v>8</v>
      </c>
      <c r="B9" t="s">
        <v>96</v>
      </c>
      <c r="C9" t="s">
        <v>882</v>
      </c>
      <c r="D9" t="s">
        <v>13</v>
      </c>
    </row>
    <row r="10" spans="1:4" x14ac:dyDescent="0.3">
      <c r="A10">
        <v>9</v>
      </c>
      <c r="B10" t="s">
        <v>100</v>
      </c>
      <c r="C10" t="s">
        <v>21</v>
      </c>
      <c r="D10" t="s">
        <v>13</v>
      </c>
    </row>
    <row r="11" spans="1:4" x14ac:dyDescent="0.3">
      <c r="A11">
        <v>10</v>
      </c>
      <c r="B11" t="s">
        <v>100</v>
      </c>
      <c r="C11" t="s">
        <v>21</v>
      </c>
      <c r="D11" t="s">
        <v>13</v>
      </c>
    </row>
    <row r="12" spans="1:4" x14ac:dyDescent="0.3">
      <c r="A12">
        <v>11</v>
      </c>
      <c r="B12" t="s">
        <v>100</v>
      </c>
      <c r="C12" t="s">
        <v>21</v>
      </c>
      <c r="D12" t="s">
        <v>9</v>
      </c>
    </row>
    <row r="13" spans="1:4" x14ac:dyDescent="0.3">
      <c r="A13">
        <v>12</v>
      </c>
      <c r="B13" t="s">
        <v>102</v>
      </c>
      <c r="C13" t="s">
        <v>852</v>
      </c>
      <c r="D13" t="s">
        <v>19</v>
      </c>
    </row>
    <row r="14" spans="1:4" x14ac:dyDescent="0.3">
      <c r="A14">
        <v>13</v>
      </c>
      <c r="B14" t="s">
        <v>97</v>
      </c>
      <c r="C14" t="s">
        <v>24</v>
      </c>
      <c r="D14" t="s">
        <v>13</v>
      </c>
    </row>
    <row r="15" spans="1:4" x14ac:dyDescent="0.3">
      <c r="A15">
        <v>14</v>
      </c>
      <c r="B15" t="s">
        <v>97</v>
      </c>
      <c r="C15" t="s">
        <v>24</v>
      </c>
      <c r="D15" t="s">
        <v>9</v>
      </c>
    </row>
    <row r="16" spans="1:4" x14ac:dyDescent="0.3">
      <c r="A16">
        <v>15</v>
      </c>
      <c r="B16" t="s">
        <v>101</v>
      </c>
      <c r="C16" t="s">
        <v>775</v>
      </c>
      <c r="D16" t="s">
        <v>13</v>
      </c>
    </row>
    <row r="17" spans="1:4" x14ac:dyDescent="0.3">
      <c r="A17">
        <v>16</v>
      </c>
      <c r="B17" t="s">
        <v>99</v>
      </c>
      <c r="C17" t="s">
        <v>886</v>
      </c>
      <c r="D17" t="s">
        <v>13</v>
      </c>
    </row>
    <row r="18" spans="1:4" x14ac:dyDescent="0.3">
      <c r="A18">
        <v>17</v>
      </c>
      <c r="B18" t="s">
        <v>103</v>
      </c>
      <c r="C18" t="s">
        <v>878</v>
      </c>
      <c r="D18" t="s">
        <v>19</v>
      </c>
    </row>
    <row r="19" spans="1:4" x14ac:dyDescent="0.3">
      <c r="A19">
        <v>18</v>
      </c>
      <c r="B19" t="s">
        <v>109</v>
      </c>
      <c r="C19" t="s">
        <v>952</v>
      </c>
      <c r="D19" t="s">
        <v>13</v>
      </c>
    </row>
    <row r="20" spans="1:4" x14ac:dyDescent="0.3">
      <c r="A20">
        <v>19</v>
      </c>
      <c r="B20" t="s">
        <v>104</v>
      </c>
      <c r="C20" t="s">
        <v>631</v>
      </c>
      <c r="D20" t="s">
        <v>19</v>
      </c>
    </row>
    <row r="21" spans="1:4" x14ac:dyDescent="0.3">
      <c r="A21">
        <v>20</v>
      </c>
      <c r="B21" t="s">
        <v>98</v>
      </c>
      <c r="C21" t="s">
        <v>32</v>
      </c>
      <c r="D21" t="s">
        <v>19</v>
      </c>
    </row>
    <row r="22" spans="1:4" x14ac:dyDescent="0.3">
      <c r="A22">
        <v>21</v>
      </c>
      <c r="B22" t="s">
        <v>98</v>
      </c>
      <c r="C22" t="s">
        <v>733</v>
      </c>
      <c r="D22" t="s">
        <v>9</v>
      </c>
    </row>
    <row r="23" spans="1:4" x14ac:dyDescent="0.3">
      <c r="A23">
        <v>22</v>
      </c>
      <c r="B23" t="s">
        <v>96</v>
      </c>
      <c r="C23" t="s">
        <v>35</v>
      </c>
      <c r="D23" t="s">
        <v>13</v>
      </c>
    </row>
    <row r="24" spans="1:4" x14ac:dyDescent="0.3">
      <c r="A24">
        <v>23</v>
      </c>
      <c r="B24" t="s">
        <v>96</v>
      </c>
      <c r="C24" t="s">
        <v>35</v>
      </c>
      <c r="D24" t="s">
        <v>19</v>
      </c>
    </row>
    <row r="25" spans="1:4" x14ac:dyDescent="0.3">
      <c r="A25">
        <v>24</v>
      </c>
      <c r="B25" t="s">
        <v>103</v>
      </c>
      <c r="C25" t="s">
        <v>38</v>
      </c>
      <c r="D25" t="s">
        <v>19</v>
      </c>
    </row>
    <row r="26" spans="1:4" x14ac:dyDescent="0.3">
      <c r="A26">
        <v>25</v>
      </c>
      <c r="B26" t="s">
        <v>102</v>
      </c>
      <c r="C26" t="s">
        <v>660</v>
      </c>
      <c r="D26" t="s">
        <v>9</v>
      </c>
    </row>
    <row r="27" spans="1:4" x14ac:dyDescent="0.3">
      <c r="A27">
        <v>26</v>
      </c>
      <c r="B27" t="s">
        <v>102</v>
      </c>
      <c r="C27" t="s">
        <v>660</v>
      </c>
      <c r="D27" t="s">
        <v>13</v>
      </c>
    </row>
    <row r="28" spans="1:4" x14ac:dyDescent="0.3">
      <c r="A28">
        <v>27</v>
      </c>
      <c r="B28" t="s">
        <v>102</v>
      </c>
      <c r="C28" t="s">
        <v>660</v>
      </c>
      <c r="D28" t="s">
        <v>13</v>
      </c>
    </row>
    <row r="29" spans="1:4" x14ac:dyDescent="0.3">
      <c r="A29">
        <v>28</v>
      </c>
      <c r="B29" t="s">
        <v>102</v>
      </c>
      <c r="C29" t="s">
        <v>41</v>
      </c>
      <c r="D29" t="s">
        <v>13</v>
      </c>
    </row>
    <row r="30" spans="1:4" x14ac:dyDescent="0.3">
      <c r="A30">
        <v>29</v>
      </c>
      <c r="B30" t="s">
        <v>102</v>
      </c>
      <c r="C30" t="s">
        <v>41</v>
      </c>
      <c r="D30" t="s">
        <v>19</v>
      </c>
    </row>
    <row r="31" spans="1:4" x14ac:dyDescent="0.3">
      <c r="A31">
        <v>30</v>
      </c>
      <c r="B31" t="s">
        <v>98</v>
      </c>
      <c r="C31" t="s">
        <v>854</v>
      </c>
      <c r="D31" t="s">
        <v>13</v>
      </c>
    </row>
    <row r="32" spans="1:4" x14ac:dyDescent="0.3">
      <c r="A32">
        <v>31</v>
      </c>
      <c r="B32" t="s">
        <v>107</v>
      </c>
      <c r="C32" t="s">
        <v>817</v>
      </c>
      <c r="D32" t="s">
        <v>19</v>
      </c>
    </row>
    <row r="33" spans="1:4" x14ac:dyDescent="0.3">
      <c r="A33">
        <v>32</v>
      </c>
      <c r="B33" t="s">
        <v>100</v>
      </c>
      <c r="C33" t="s">
        <v>522</v>
      </c>
      <c r="D33" t="s">
        <v>9</v>
      </c>
    </row>
    <row r="34" spans="1:4" x14ac:dyDescent="0.3">
      <c r="A34">
        <v>33</v>
      </c>
      <c r="B34" t="s">
        <v>100</v>
      </c>
      <c r="C34" t="s">
        <v>522</v>
      </c>
      <c r="D34" t="s">
        <v>19</v>
      </c>
    </row>
    <row r="35" spans="1:4" x14ac:dyDescent="0.3">
      <c r="A35">
        <v>34</v>
      </c>
      <c r="B35" t="s">
        <v>102</v>
      </c>
      <c r="C35" t="s">
        <v>48</v>
      </c>
      <c r="D35" t="s">
        <v>19</v>
      </c>
    </row>
    <row r="36" spans="1:4" x14ac:dyDescent="0.3">
      <c r="A36">
        <v>35</v>
      </c>
      <c r="B36" t="s">
        <v>100</v>
      </c>
      <c r="C36" t="s">
        <v>850</v>
      </c>
      <c r="D36" t="s">
        <v>19</v>
      </c>
    </row>
    <row r="37" spans="1:4" x14ac:dyDescent="0.3">
      <c r="A37">
        <v>36</v>
      </c>
      <c r="B37" t="s">
        <v>109</v>
      </c>
      <c r="C37" t="s">
        <v>927</v>
      </c>
      <c r="D37" t="s">
        <v>13</v>
      </c>
    </row>
    <row r="38" spans="1:4" x14ac:dyDescent="0.3">
      <c r="A38">
        <v>37</v>
      </c>
      <c r="B38" t="s">
        <v>106</v>
      </c>
      <c r="C38" t="s">
        <v>880</v>
      </c>
      <c r="D38" t="s">
        <v>13</v>
      </c>
    </row>
    <row r="39" spans="1:4" x14ac:dyDescent="0.3">
      <c r="A39">
        <v>38</v>
      </c>
      <c r="B39" t="s">
        <v>98</v>
      </c>
      <c r="C39" t="s">
        <v>799</v>
      </c>
      <c r="D39" t="s">
        <v>9</v>
      </c>
    </row>
    <row r="40" spans="1:4" x14ac:dyDescent="0.3">
      <c r="A40">
        <v>39</v>
      </c>
      <c r="B40" t="s">
        <v>102</v>
      </c>
      <c r="C40" t="s">
        <v>864</v>
      </c>
      <c r="D40" t="s">
        <v>19</v>
      </c>
    </row>
    <row r="41" spans="1:4" x14ac:dyDescent="0.3">
      <c r="A41">
        <v>40</v>
      </c>
      <c r="B41" t="s">
        <v>103</v>
      </c>
      <c r="C41" t="s">
        <v>54</v>
      </c>
      <c r="D41" t="s">
        <v>19</v>
      </c>
    </row>
    <row r="42" spans="1:4" x14ac:dyDescent="0.3">
      <c r="A42">
        <v>41</v>
      </c>
      <c r="B42" t="s">
        <v>103</v>
      </c>
      <c r="C42" t="s">
        <v>54</v>
      </c>
      <c r="D42" t="s">
        <v>19</v>
      </c>
    </row>
    <row r="43" spans="1:4" x14ac:dyDescent="0.3">
      <c r="A43">
        <v>42</v>
      </c>
      <c r="B43" t="s">
        <v>106</v>
      </c>
      <c r="C43" t="s">
        <v>825</v>
      </c>
      <c r="D43" t="s">
        <v>13</v>
      </c>
    </row>
    <row r="44" spans="1:4" x14ac:dyDescent="0.3">
      <c r="A44">
        <v>43</v>
      </c>
      <c r="B44" t="s">
        <v>100</v>
      </c>
      <c r="C44" t="s">
        <v>58</v>
      </c>
      <c r="D44" t="s">
        <v>19</v>
      </c>
    </row>
    <row r="45" spans="1:4" x14ac:dyDescent="0.3">
      <c r="A45">
        <v>44</v>
      </c>
      <c r="B45" t="s">
        <v>98</v>
      </c>
      <c r="C45" t="s">
        <v>59</v>
      </c>
      <c r="D45" t="s">
        <v>9</v>
      </c>
    </row>
    <row r="46" spans="1:4" x14ac:dyDescent="0.3">
      <c r="A46">
        <v>45</v>
      </c>
      <c r="B46" t="s">
        <v>109</v>
      </c>
      <c r="C46" t="s">
        <v>912</v>
      </c>
      <c r="D46" t="s">
        <v>19</v>
      </c>
    </row>
    <row r="47" spans="1:4" x14ac:dyDescent="0.3">
      <c r="A47">
        <v>46</v>
      </c>
      <c r="B47" t="s">
        <v>102</v>
      </c>
      <c r="C47" t="s">
        <v>61</v>
      </c>
      <c r="D47" t="s">
        <v>19</v>
      </c>
    </row>
    <row r="48" spans="1:4" x14ac:dyDescent="0.3">
      <c r="A48">
        <v>47</v>
      </c>
      <c r="B48" t="s">
        <v>102</v>
      </c>
      <c r="C48" t="s">
        <v>61</v>
      </c>
      <c r="D48" t="s">
        <v>19</v>
      </c>
    </row>
    <row r="49" spans="1:4" x14ac:dyDescent="0.3">
      <c r="A49">
        <v>48</v>
      </c>
      <c r="B49" t="s">
        <v>108</v>
      </c>
      <c r="C49" t="s">
        <v>897</v>
      </c>
      <c r="D49" t="s">
        <v>19</v>
      </c>
    </row>
    <row r="50" spans="1:4" x14ac:dyDescent="0.3">
      <c r="A50">
        <v>49</v>
      </c>
      <c r="B50" t="s">
        <v>105</v>
      </c>
      <c r="C50" t="s">
        <v>691</v>
      </c>
      <c r="D50" t="s">
        <v>13</v>
      </c>
    </row>
    <row r="51" spans="1:4" x14ac:dyDescent="0.3">
      <c r="A51">
        <v>50</v>
      </c>
      <c r="B51" t="s">
        <v>105</v>
      </c>
      <c r="C51" t="s">
        <v>691</v>
      </c>
      <c r="D51" t="s">
        <v>19</v>
      </c>
    </row>
    <row r="52" spans="1:4" x14ac:dyDescent="0.3">
      <c r="A52">
        <v>51</v>
      </c>
      <c r="B52" t="s">
        <v>98</v>
      </c>
      <c r="C52" t="s">
        <v>687</v>
      </c>
      <c r="D52" t="s">
        <v>9</v>
      </c>
    </row>
    <row r="53" spans="1:4" x14ac:dyDescent="0.3">
      <c r="A53">
        <v>52</v>
      </c>
      <c r="B53" t="s">
        <v>106</v>
      </c>
      <c r="C53" t="s">
        <v>884</v>
      </c>
      <c r="D53" t="s">
        <v>13</v>
      </c>
    </row>
    <row r="54" spans="1:4" x14ac:dyDescent="0.3">
      <c r="A54">
        <v>53</v>
      </c>
      <c r="B54" t="s">
        <v>102</v>
      </c>
      <c r="C54" t="s">
        <v>70</v>
      </c>
      <c r="D54" t="s">
        <v>19</v>
      </c>
    </row>
    <row r="55" spans="1:4" x14ac:dyDescent="0.3">
      <c r="A55">
        <v>54</v>
      </c>
      <c r="B55" t="s">
        <v>100</v>
      </c>
      <c r="C55" t="s">
        <v>71</v>
      </c>
      <c r="D55" t="s">
        <v>19</v>
      </c>
    </row>
    <row r="56" spans="1:4" x14ac:dyDescent="0.3">
      <c r="A56">
        <v>55</v>
      </c>
      <c r="B56" t="s">
        <v>106</v>
      </c>
      <c r="C56" t="s">
        <v>869</v>
      </c>
      <c r="D56" t="s">
        <v>9</v>
      </c>
    </row>
    <row r="57" spans="1:4" x14ac:dyDescent="0.3">
      <c r="A57">
        <v>56</v>
      </c>
      <c r="B57" t="s">
        <v>106</v>
      </c>
      <c r="C57" t="s">
        <v>869</v>
      </c>
      <c r="D57" t="s">
        <v>13</v>
      </c>
    </row>
    <row r="58" spans="1:4" x14ac:dyDescent="0.3">
      <c r="A58">
        <v>57</v>
      </c>
      <c r="B58" t="s">
        <v>106</v>
      </c>
      <c r="C58" t="s">
        <v>869</v>
      </c>
      <c r="D58" t="s">
        <v>13</v>
      </c>
    </row>
    <row r="59" spans="1:4" x14ac:dyDescent="0.3">
      <c r="A59">
        <v>58</v>
      </c>
      <c r="B59" t="s">
        <v>106</v>
      </c>
      <c r="C59" t="s">
        <v>869</v>
      </c>
      <c r="D59" t="s">
        <v>13</v>
      </c>
    </row>
    <row r="60" spans="1:4" x14ac:dyDescent="0.3">
      <c r="A60">
        <v>59</v>
      </c>
      <c r="B60" t="s">
        <v>97</v>
      </c>
      <c r="C60" t="s">
        <v>871</v>
      </c>
      <c r="D60" t="s">
        <v>13</v>
      </c>
    </row>
    <row r="61" spans="1:4" x14ac:dyDescent="0.3">
      <c r="A61">
        <v>60</v>
      </c>
      <c r="B61" t="s">
        <v>99</v>
      </c>
      <c r="C61" t="s">
        <v>440</v>
      </c>
      <c r="D61" t="s">
        <v>9</v>
      </c>
    </row>
    <row r="62" spans="1:4" x14ac:dyDescent="0.3">
      <c r="A62">
        <v>61</v>
      </c>
      <c r="B62" t="s">
        <v>101</v>
      </c>
      <c r="C62" t="s">
        <v>438</v>
      </c>
      <c r="D62" t="s">
        <v>13</v>
      </c>
    </row>
    <row r="63" spans="1:4" x14ac:dyDescent="0.3">
      <c r="A63">
        <v>62</v>
      </c>
      <c r="B63" t="s">
        <v>101</v>
      </c>
      <c r="C63" t="s">
        <v>78</v>
      </c>
      <c r="D63" t="s">
        <v>13</v>
      </c>
    </row>
    <row r="64" spans="1:4" x14ac:dyDescent="0.3">
      <c r="A64">
        <v>63</v>
      </c>
      <c r="B64" t="s">
        <v>102</v>
      </c>
      <c r="C64" t="s">
        <v>532</v>
      </c>
      <c r="D64" t="s">
        <v>13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AAF5-8653-4D7B-8ECC-256D7359DB5B}">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16.44140625" bestFit="1" customWidth="1"/>
  </cols>
  <sheetData>
    <row r="1" spans="1:4" x14ac:dyDescent="0.3">
      <c r="A1" t="s">
        <v>156</v>
      </c>
      <c r="B1" t="s">
        <v>95</v>
      </c>
      <c r="C1" t="s">
        <v>0</v>
      </c>
      <c r="D1" t="s">
        <v>2</v>
      </c>
    </row>
    <row r="2" spans="1:4" x14ac:dyDescent="0.3">
      <c r="A2">
        <v>1</v>
      </c>
      <c r="B2" t="s">
        <v>99</v>
      </c>
      <c r="C2" t="s">
        <v>873</v>
      </c>
      <c r="D2">
        <v>2018</v>
      </c>
    </row>
    <row r="3" spans="1:4" x14ac:dyDescent="0.3">
      <c r="A3">
        <v>2</v>
      </c>
      <c r="B3" t="s">
        <v>99</v>
      </c>
      <c r="C3" t="s">
        <v>873</v>
      </c>
      <c r="D3">
        <v>2017</v>
      </c>
    </row>
    <row r="4" spans="1:4" x14ac:dyDescent="0.3">
      <c r="A4">
        <v>3</v>
      </c>
      <c r="B4" t="s">
        <v>99</v>
      </c>
      <c r="C4" t="s">
        <v>7</v>
      </c>
      <c r="D4">
        <v>0</v>
      </c>
    </row>
    <row r="5" spans="1:4" x14ac:dyDescent="0.3">
      <c r="A5">
        <v>4</v>
      </c>
      <c r="B5" t="s">
        <v>98</v>
      </c>
      <c r="C5" t="s">
        <v>346</v>
      </c>
      <c r="D5">
        <v>2014</v>
      </c>
    </row>
    <row r="6" spans="1:4" x14ac:dyDescent="0.3">
      <c r="A6">
        <v>5</v>
      </c>
      <c r="B6" t="s">
        <v>109</v>
      </c>
      <c r="C6" t="s">
        <v>925</v>
      </c>
      <c r="D6">
        <v>2019</v>
      </c>
    </row>
    <row r="7" spans="1:4" x14ac:dyDescent="0.3">
      <c r="A7">
        <v>6</v>
      </c>
      <c r="B7" t="s">
        <v>106</v>
      </c>
      <c r="C7" t="s">
        <v>812</v>
      </c>
      <c r="D7">
        <v>2016</v>
      </c>
    </row>
    <row r="8" spans="1:4" x14ac:dyDescent="0.3">
      <c r="A8">
        <v>7</v>
      </c>
      <c r="B8" t="s">
        <v>106</v>
      </c>
      <c r="C8" t="s">
        <v>862</v>
      </c>
      <c r="D8">
        <v>2012</v>
      </c>
    </row>
    <row r="9" spans="1:4" x14ac:dyDescent="0.3">
      <c r="A9">
        <v>8</v>
      </c>
      <c r="B9" t="s">
        <v>96</v>
      </c>
      <c r="C9" t="s">
        <v>882</v>
      </c>
      <c r="D9">
        <v>2019</v>
      </c>
    </row>
    <row r="10" spans="1:4" x14ac:dyDescent="0.3">
      <c r="A10">
        <v>9</v>
      </c>
      <c r="B10" t="s">
        <v>100</v>
      </c>
      <c r="C10" t="s">
        <v>21</v>
      </c>
      <c r="D10">
        <v>2016</v>
      </c>
    </row>
    <row r="11" spans="1:4" x14ac:dyDescent="0.3">
      <c r="A11">
        <v>10</v>
      </c>
      <c r="B11" t="s">
        <v>100</v>
      </c>
      <c r="C11" t="s">
        <v>21</v>
      </c>
      <c r="D11">
        <v>2017</v>
      </c>
    </row>
    <row r="12" spans="1:4" x14ac:dyDescent="0.3">
      <c r="A12">
        <v>11</v>
      </c>
      <c r="B12" t="s">
        <v>100</v>
      </c>
      <c r="C12" t="s">
        <v>21</v>
      </c>
      <c r="D12">
        <v>0</v>
      </c>
    </row>
    <row r="13" spans="1:4" x14ac:dyDescent="0.3">
      <c r="A13">
        <v>12</v>
      </c>
      <c r="B13" t="s">
        <v>102</v>
      </c>
      <c r="C13" t="s">
        <v>852</v>
      </c>
      <c r="D13">
        <v>2016</v>
      </c>
    </row>
    <row r="14" spans="1:4" x14ac:dyDescent="0.3">
      <c r="A14">
        <v>13</v>
      </c>
      <c r="B14" t="s">
        <v>97</v>
      </c>
      <c r="C14" t="s">
        <v>24</v>
      </c>
      <c r="D14">
        <v>2013</v>
      </c>
    </row>
    <row r="15" spans="1:4" x14ac:dyDescent="0.3">
      <c r="A15">
        <v>14</v>
      </c>
      <c r="B15" t="s">
        <v>97</v>
      </c>
      <c r="C15" t="s">
        <v>24</v>
      </c>
      <c r="D15">
        <v>0</v>
      </c>
    </row>
    <row r="16" spans="1:4" x14ac:dyDescent="0.3">
      <c r="A16">
        <v>15</v>
      </c>
      <c r="B16" t="s">
        <v>101</v>
      </c>
      <c r="C16" t="s">
        <v>775</v>
      </c>
      <c r="D16">
        <v>2020</v>
      </c>
    </row>
    <row r="17" spans="1:4" x14ac:dyDescent="0.3">
      <c r="A17">
        <v>16</v>
      </c>
      <c r="B17" t="s">
        <v>99</v>
      </c>
      <c r="C17" t="s">
        <v>886</v>
      </c>
      <c r="D17">
        <v>2010</v>
      </c>
    </row>
    <row r="18" spans="1:4" x14ac:dyDescent="0.3">
      <c r="A18">
        <v>17</v>
      </c>
      <c r="B18" t="s">
        <v>103</v>
      </c>
      <c r="C18" t="s">
        <v>878</v>
      </c>
      <c r="D18">
        <v>2019</v>
      </c>
    </row>
    <row r="19" spans="1:4" x14ac:dyDescent="0.3">
      <c r="A19">
        <v>18</v>
      </c>
      <c r="B19" t="s">
        <v>109</v>
      </c>
      <c r="C19" t="s">
        <v>952</v>
      </c>
      <c r="D19">
        <v>2019</v>
      </c>
    </row>
    <row r="20" spans="1:4" x14ac:dyDescent="0.3">
      <c r="A20">
        <v>19</v>
      </c>
      <c r="B20" t="s">
        <v>104</v>
      </c>
      <c r="C20" t="s">
        <v>631</v>
      </c>
      <c r="D20">
        <v>2020</v>
      </c>
    </row>
    <row r="21" spans="1:4" x14ac:dyDescent="0.3">
      <c r="A21">
        <v>20</v>
      </c>
      <c r="B21" t="s">
        <v>98</v>
      </c>
      <c r="C21" t="s">
        <v>32</v>
      </c>
      <c r="D21">
        <v>2012</v>
      </c>
    </row>
    <row r="22" spans="1:4" x14ac:dyDescent="0.3">
      <c r="A22">
        <v>21</v>
      </c>
      <c r="B22" t="s">
        <v>98</v>
      </c>
      <c r="C22" t="s">
        <v>733</v>
      </c>
      <c r="D22">
        <v>0</v>
      </c>
    </row>
    <row r="23" spans="1:4" x14ac:dyDescent="0.3">
      <c r="A23">
        <v>22</v>
      </c>
      <c r="B23" t="s">
        <v>96</v>
      </c>
      <c r="C23" t="s">
        <v>35</v>
      </c>
      <c r="D23">
        <v>2020</v>
      </c>
    </row>
    <row r="24" spans="1:4" x14ac:dyDescent="0.3">
      <c r="A24">
        <v>23</v>
      </c>
      <c r="B24" t="s">
        <v>96</v>
      </c>
      <c r="C24" t="s">
        <v>35</v>
      </c>
      <c r="D24">
        <v>2018</v>
      </c>
    </row>
    <row r="25" spans="1:4" x14ac:dyDescent="0.3">
      <c r="A25">
        <v>24</v>
      </c>
      <c r="B25" t="s">
        <v>103</v>
      </c>
      <c r="C25" t="s">
        <v>38</v>
      </c>
      <c r="D25">
        <v>2013</v>
      </c>
    </row>
    <row r="26" spans="1:4" x14ac:dyDescent="0.3">
      <c r="A26">
        <v>25</v>
      </c>
      <c r="B26" t="s">
        <v>102</v>
      </c>
      <c r="C26" t="s">
        <v>660</v>
      </c>
      <c r="D26">
        <v>0</v>
      </c>
    </row>
    <row r="27" spans="1:4" x14ac:dyDescent="0.3">
      <c r="A27">
        <v>26</v>
      </c>
      <c r="B27" t="s">
        <v>102</v>
      </c>
      <c r="C27" t="s">
        <v>660</v>
      </c>
      <c r="D27">
        <v>2019</v>
      </c>
    </row>
    <row r="28" spans="1:4" x14ac:dyDescent="0.3">
      <c r="A28">
        <v>27</v>
      </c>
      <c r="B28" t="s">
        <v>102</v>
      </c>
      <c r="C28" t="s">
        <v>660</v>
      </c>
      <c r="D28">
        <v>2018</v>
      </c>
    </row>
    <row r="29" spans="1:4" x14ac:dyDescent="0.3">
      <c r="A29">
        <v>28</v>
      </c>
      <c r="B29" t="s">
        <v>102</v>
      </c>
      <c r="C29" t="s">
        <v>41</v>
      </c>
      <c r="D29">
        <v>2013</v>
      </c>
    </row>
    <row r="30" spans="1:4" x14ac:dyDescent="0.3">
      <c r="A30">
        <v>29</v>
      </c>
      <c r="B30" t="s">
        <v>102</v>
      </c>
      <c r="C30" t="s">
        <v>41</v>
      </c>
      <c r="D30">
        <v>2015</v>
      </c>
    </row>
    <row r="31" spans="1:4" x14ac:dyDescent="0.3">
      <c r="A31">
        <v>30</v>
      </c>
      <c r="B31" t="s">
        <v>98</v>
      </c>
      <c r="C31" t="s">
        <v>854</v>
      </c>
      <c r="D31">
        <v>2013</v>
      </c>
    </row>
    <row r="32" spans="1:4" x14ac:dyDescent="0.3">
      <c r="A32">
        <v>31</v>
      </c>
      <c r="B32" t="s">
        <v>107</v>
      </c>
      <c r="C32" t="s">
        <v>817</v>
      </c>
      <c r="D32">
        <v>2011</v>
      </c>
    </row>
    <row r="33" spans="1:4" x14ac:dyDescent="0.3">
      <c r="A33">
        <v>32</v>
      </c>
      <c r="B33" t="s">
        <v>100</v>
      </c>
      <c r="C33" t="s">
        <v>522</v>
      </c>
      <c r="D33">
        <v>0</v>
      </c>
    </row>
    <row r="34" spans="1:4" x14ac:dyDescent="0.3">
      <c r="A34">
        <v>33</v>
      </c>
      <c r="B34" t="s">
        <v>100</v>
      </c>
      <c r="C34" t="s">
        <v>522</v>
      </c>
      <c r="D34">
        <v>2013</v>
      </c>
    </row>
    <row r="35" spans="1:4" x14ac:dyDescent="0.3">
      <c r="A35">
        <v>34</v>
      </c>
      <c r="B35" t="s">
        <v>102</v>
      </c>
      <c r="C35" t="s">
        <v>48</v>
      </c>
      <c r="D35">
        <v>2015</v>
      </c>
    </row>
    <row r="36" spans="1:4" x14ac:dyDescent="0.3">
      <c r="A36">
        <v>35</v>
      </c>
      <c r="B36" t="s">
        <v>100</v>
      </c>
      <c r="C36" t="s">
        <v>850</v>
      </c>
      <c r="D36">
        <v>2014</v>
      </c>
    </row>
    <row r="37" spans="1:4" x14ac:dyDescent="0.3">
      <c r="A37">
        <v>36</v>
      </c>
      <c r="B37" t="s">
        <v>109</v>
      </c>
      <c r="C37" t="s">
        <v>927</v>
      </c>
      <c r="D37">
        <v>2012</v>
      </c>
    </row>
    <row r="38" spans="1:4" x14ac:dyDescent="0.3">
      <c r="A38">
        <v>37</v>
      </c>
      <c r="B38" t="s">
        <v>106</v>
      </c>
      <c r="C38" t="s">
        <v>880</v>
      </c>
      <c r="D38">
        <v>2015</v>
      </c>
    </row>
    <row r="39" spans="1:4" x14ac:dyDescent="0.3">
      <c r="A39">
        <v>38</v>
      </c>
      <c r="B39" t="s">
        <v>98</v>
      </c>
      <c r="C39" t="s">
        <v>799</v>
      </c>
      <c r="D39">
        <v>0</v>
      </c>
    </row>
    <row r="40" spans="1:4" x14ac:dyDescent="0.3">
      <c r="A40">
        <v>39</v>
      </c>
      <c r="B40" t="s">
        <v>102</v>
      </c>
      <c r="C40" t="s">
        <v>864</v>
      </c>
      <c r="D40">
        <v>2014</v>
      </c>
    </row>
    <row r="41" spans="1:4" x14ac:dyDescent="0.3">
      <c r="A41">
        <v>40</v>
      </c>
      <c r="B41" t="s">
        <v>103</v>
      </c>
      <c r="C41" t="s">
        <v>54</v>
      </c>
      <c r="D41">
        <v>2014</v>
      </c>
    </row>
    <row r="42" spans="1:4" x14ac:dyDescent="0.3">
      <c r="A42">
        <v>41</v>
      </c>
      <c r="B42" t="s">
        <v>103</v>
      </c>
      <c r="C42" t="s">
        <v>54</v>
      </c>
      <c r="D42">
        <v>2020</v>
      </c>
    </row>
    <row r="43" spans="1:4" x14ac:dyDescent="0.3">
      <c r="A43">
        <v>42</v>
      </c>
      <c r="B43" t="s">
        <v>106</v>
      </c>
      <c r="C43" t="s">
        <v>825</v>
      </c>
      <c r="D43">
        <v>2012</v>
      </c>
    </row>
    <row r="44" spans="1:4" x14ac:dyDescent="0.3">
      <c r="A44">
        <v>43</v>
      </c>
      <c r="B44" t="s">
        <v>100</v>
      </c>
      <c r="C44" t="s">
        <v>58</v>
      </c>
      <c r="D44">
        <v>2019</v>
      </c>
    </row>
    <row r="45" spans="1:4" x14ac:dyDescent="0.3">
      <c r="A45">
        <v>44</v>
      </c>
      <c r="B45" t="s">
        <v>98</v>
      </c>
      <c r="C45" t="s">
        <v>59</v>
      </c>
      <c r="D45">
        <v>0</v>
      </c>
    </row>
    <row r="46" spans="1:4" x14ac:dyDescent="0.3">
      <c r="A46">
        <v>45</v>
      </c>
      <c r="B46" t="s">
        <v>109</v>
      </c>
      <c r="C46" t="s">
        <v>912</v>
      </c>
      <c r="D46">
        <v>2020</v>
      </c>
    </row>
    <row r="47" spans="1:4" x14ac:dyDescent="0.3">
      <c r="A47">
        <v>46</v>
      </c>
      <c r="B47" t="s">
        <v>102</v>
      </c>
      <c r="C47" t="s">
        <v>61</v>
      </c>
      <c r="D47">
        <v>2014</v>
      </c>
    </row>
    <row r="48" spans="1:4" x14ac:dyDescent="0.3">
      <c r="A48">
        <v>47</v>
      </c>
      <c r="B48" t="s">
        <v>102</v>
      </c>
      <c r="C48" t="s">
        <v>61</v>
      </c>
      <c r="D48">
        <v>2018</v>
      </c>
    </row>
    <row r="49" spans="1:4" x14ac:dyDescent="0.3">
      <c r="A49">
        <v>48</v>
      </c>
      <c r="B49" t="s">
        <v>108</v>
      </c>
      <c r="C49" t="s">
        <v>897</v>
      </c>
      <c r="D49">
        <v>2015</v>
      </c>
    </row>
    <row r="50" spans="1:4" x14ac:dyDescent="0.3">
      <c r="A50">
        <v>49</v>
      </c>
      <c r="B50" t="s">
        <v>105</v>
      </c>
      <c r="C50" t="s">
        <v>691</v>
      </c>
      <c r="D50">
        <v>2019</v>
      </c>
    </row>
    <row r="51" spans="1:4" x14ac:dyDescent="0.3">
      <c r="A51">
        <v>50</v>
      </c>
      <c r="B51" t="s">
        <v>105</v>
      </c>
      <c r="C51" t="s">
        <v>691</v>
      </c>
      <c r="D51">
        <v>2018</v>
      </c>
    </row>
    <row r="52" spans="1:4" x14ac:dyDescent="0.3">
      <c r="A52">
        <v>51</v>
      </c>
      <c r="B52" t="s">
        <v>98</v>
      </c>
      <c r="C52" t="s">
        <v>687</v>
      </c>
      <c r="D52">
        <v>0</v>
      </c>
    </row>
    <row r="53" spans="1:4" x14ac:dyDescent="0.3">
      <c r="A53">
        <v>52</v>
      </c>
      <c r="B53" t="s">
        <v>106</v>
      </c>
      <c r="C53" t="s">
        <v>884</v>
      </c>
      <c r="D53">
        <v>2011</v>
      </c>
    </row>
    <row r="54" spans="1:4" x14ac:dyDescent="0.3">
      <c r="A54">
        <v>53</v>
      </c>
      <c r="B54" t="s">
        <v>102</v>
      </c>
      <c r="C54" t="s">
        <v>70</v>
      </c>
      <c r="D54">
        <v>2015</v>
      </c>
    </row>
    <row r="55" spans="1:4" x14ac:dyDescent="0.3">
      <c r="A55">
        <v>54</v>
      </c>
      <c r="B55" t="s">
        <v>100</v>
      </c>
      <c r="C55" t="s">
        <v>71</v>
      </c>
      <c r="D55">
        <v>2019</v>
      </c>
    </row>
    <row r="56" spans="1:4" x14ac:dyDescent="0.3">
      <c r="A56">
        <v>55</v>
      </c>
      <c r="B56" t="s">
        <v>106</v>
      </c>
      <c r="C56" t="s">
        <v>869</v>
      </c>
      <c r="D56">
        <v>0</v>
      </c>
    </row>
    <row r="57" spans="1:4" x14ac:dyDescent="0.3">
      <c r="A57">
        <v>56</v>
      </c>
      <c r="B57" t="s">
        <v>106</v>
      </c>
      <c r="C57" t="s">
        <v>869</v>
      </c>
      <c r="D57">
        <v>2018</v>
      </c>
    </row>
    <row r="58" spans="1:4" x14ac:dyDescent="0.3">
      <c r="A58">
        <v>57</v>
      </c>
      <c r="B58" t="s">
        <v>106</v>
      </c>
      <c r="C58" t="s">
        <v>869</v>
      </c>
      <c r="D58">
        <v>2018</v>
      </c>
    </row>
    <row r="59" spans="1:4" x14ac:dyDescent="0.3">
      <c r="A59">
        <v>58</v>
      </c>
      <c r="B59" t="s">
        <v>106</v>
      </c>
      <c r="C59" t="s">
        <v>869</v>
      </c>
      <c r="D59">
        <v>2014</v>
      </c>
    </row>
    <row r="60" spans="1:4" x14ac:dyDescent="0.3">
      <c r="A60">
        <v>59</v>
      </c>
      <c r="B60" t="s">
        <v>97</v>
      </c>
      <c r="C60" t="s">
        <v>871</v>
      </c>
      <c r="D60">
        <v>2019</v>
      </c>
    </row>
    <row r="61" spans="1:4" x14ac:dyDescent="0.3">
      <c r="A61">
        <v>60</v>
      </c>
      <c r="B61" t="s">
        <v>99</v>
      </c>
      <c r="C61" t="s">
        <v>440</v>
      </c>
      <c r="D61">
        <v>0</v>
      </c>
    </row>
    <row r="62" spans="1:4" x14ac:dyDescent="0.3">
      <c r="A62">
        <v>61</v>
      </c>
      <c r="B62" t="s">
        <v>101</v>
      </c>
      <c r="C62" t="s">
        <v>438</v>
      </c>
      <c r="D62">
        <v>2010</v>
      </c>
    </row>
    <row r="63" spans="1:4" x14ac:dyDescent="0.3">
      <c r="A63">
        <v>62</v>
      </c>
      <c r="B63" t="s">
        <v>101</v>
      </c>
      <c r="C63" t="s">
        <v>78</v>
      </c>
      <c r="D63">
        <v>2015</v>
      </c>
    </row>
    <row r="64" spans="1:4" x14ac:dyDescent="0.3">
      <c r="A64">
        <v>63</v>
      </c>
      <c r="B64" t="s">
        <v>102</v>
      </c>
      <c r="C64" t="s">
        <v>532</v>
      </c>
      <c r="D64">
        <v>2015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E733-BA09-4EE4-9ACB-5885F09AA38C}">
  <dimension ref="A1:B11"/>
  <sheetViews>
    <sheetView workbookViewId="0">
      <selection activeCell="J29" sqref="J29"/>
    </sheetView>
  </sheetViews>
  <sheetFormatPr defaultColWidth="9.109375" defaultRowHeight="14.4" x14ac:dyDescent="0.3"/>
  <cols>
    <col min="1" max="2" width="10.109375" style="6" bestFit="1" customWidth="1"/>
    <col min="3" max="16384" width="9.109375" style="6"/>
  </cols>
  <sheetData>
    <row r="1" spans="1:2" x14ac:dyDescent="0.3">
      <c r="A1" s="13" t="s">
        <v>152</v>
      </c>
      <c r="B1" s="13" t="s">
        <v>153</v>
      </c>
    </row>
    <row r="2" spans="1:2" x14ac:dyDescent="0.3">
      <c r="A2" s="6" t="s">
        <v>8</v>
      </c>
      <c r="B2" s="6" t="s">
        <v>112</v>
      </c>
    </row>
    <row r="3" spans="1:2" x14ac:dyDescent="0.3">
      <c r="A3" s="6" t="s">
        <v>18</v>
      </c>
      <c r="B3" s="6" t="s">
        <v>18</v>
      </c>
    </row>
    <row r="4" spans="1:2" x14ac:dyDescent="0.3">
      <c r="A4" s="6" t="s">
        <v>12</v>
      </c>
      <c r="B4" s="6" t="s">
        <v>113</v>
      </c>
    </row>
    <row r="5" spans="1:2" x14ac:dyDescent="0.3">
      <c r="A5" s="6" t="s">
        <v>14</v>
      </c>
      <c r="B5" s="6" t="s">
        <v>14</v>
      </c>
    </row>
    <row r="6" spans="1:2" x14ac:dyDescent="0.3">
      <c r="A6" s="6" t="s">
        <v>16</v>
      </c>
      <c r="B6" s="6" t="s">
        <v>16</v>
      </c>
    </row>
    <row r="7" spans="1:2" x14ac:dyDescent="0.3">
      <c r="A7" s="6" t="s">
        <v>125</v>
      </c>
      <c r="B7" s="6" t="s">
        <v>125</v>
      </c>
    </row>
    <row r="8" spans="1:2" x14ac:dyDescent="0.3">
      <c r="A8" s="6" t="s">
        <v>34</v>
      </c>
      <c r="B8" s="6" t="s">
        <v>114</v>
      </c>
    </row>
    <row r="9" spans="1:2" x14ac:dyDescent="0.3">
      <c r="A9" s="6" t="s">
        <v>29</v>
      </c>
      <c r="B9" s="6" t="s">
        <v>29</v>
      </c>
    </row>
    <row r="10" spans="1:2" x14ac:dyDescent="0.3">
      <c r="A10" s="6" t="s">
        <v>110</v>
      </c>
      <c r="B10" s="6" t="s">
        <v>110</v>
      </c>
    </row>
    <row r="11" spans="1:2" x14ac:dyDescent="0.3">
      <c r="A11" s="6" t="s">
        <v>76</v>
      </c>
      <c r="B11" s="6" t="s">
        <v>115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0495C-F738-4BF4-A0FE-5C684A3F92EE}">
  <dimension ref="A1:C49"/>
  <sheetViews>
    <sheetView workbookViewId="0"/>
  </sheetViews>
  <sheetFormatPr defaultRowHeight="13.8" x14ac:dyDescent="0.3"/>
  <cols>
    <col min="1" max="1" width="26.44140625" bestFit="1" customWidth="1"/>
    <col min="2" max="2" width="16.21875" bestFit="1" customWidth="1"/>
    <col min="3" max="3" width="10.21875" bestFit="1" customWidth="1"/>
  </cols>
  <sheetData>
    <row r="1" spans="1:3" x14ac:dyDescent="0.3">
      <c r="A1" t="s">
        <v>0</v>
      </c>
      <c r="B1" t="s">
        <v>95</v>
      </c>
      <c r="C1" t="s">
        <v>154</v>
      </c>
    </row>
    <row r="2" spans="1:3" x14ac:dyDescent="0.3">
      <c r="A2" t="s">
        <v>35</v>
      </c>
      <c r="B2" t="s">
        <v>96</v>
      </c>
      <c r="C2" t="s">
        <v>85</v>
      </c>
    </row>
    <row r="3" spans="1:3" x14ac:dyDescent="0.3">
      <c r="A3" t="s">
        <v>59</v>
      </c>
      <c r="B3" t="s">
        <v>98</v>
      </c>
      <c r="C3" t="s">
        <v>81</v>
      </c>
    </row>
    <row r="4" spans="1:3" x14ac:dyDescent="0.3">
      <c r="A4" t="s">
        <v>54</v>
      </c>
      <c r="B4" t="s">
        <v>103</v>
      </c>
      <c r="C4" t="s">
        <v>89</v>
      </c>
    </row>
    <row r="5" spans="1:3" x14ac:dyDescent="0.3">
      <c r="A5" t="s">
        <v>24</v>
      </c>
      <c r="B5" t="s">
        <v>97</v>
      </c>
      <c r="C5" t="s">
        <v>87</v>
      </c>
    </row>
    <row r="6" spans="1:3" x14ac:dyDescent="0.3">
      <c r="A6" t="s">
        <v>346</v>
      </c>
      <c r="B6" t="s">
        <v>98</v>
      </c>
      <c r="C6" t="s">
        <v>81</v>
      </c>
    </row>
    <row r="7" spans="1:3" x14ac:dyDescent="0.3">
      <c r="A7" t="s">
        <v>7</v>
      </c>
      <c r="B7" t="s">
        <v>99</v>
      </c>
      <c r="C7" t="s">
        <v>80</v>
      </c>
    </row>
    <row r="8" spans="1:3" x14ac:dyDescent="0.3">
      <c r="A8" t="s">
        <v>41</v>
      </c>
      <c r="B8" t="s">
        <v>102</v>
      </c>
      <c r="C8" t="s">
        <v>84</v>
      </c>
    </row>
    <row r="9" spans="1:3" x14ac:dyDescent="0.3">
      <c r="A9" t="s">
        <v>438</v>
      </c>
      <c r="B9" t="s">
        <v>101</v>
      </c>
      <c r="C9" t="s">
        <v>81</v>
      </c>
    </row>
    <row r="10" spans="1:3" x14ac:dyDescent="0.3">
      <c r="A10" t="s">
        <v>440</v>
      </c>
      <c r="B10" t="s">
        <v>99</v>
      </c>
      <c r="C10" t="s">
        <v>80</v>
      </c>
    </row>
    <row r="11" spans="1:3" x14ac:dyDescent="0.3">
      <c r="A11" t="s">
        <v>21</v>
      </c>
      <c r="B11" t="s">
        <v>100</v>
      </c>
      <c r="C11" t="s">
        <v>86</v>
      </c>
    </row>
    <row r="12" spans="1:3" x14ac:dyDescent="0.3">
      <c r="A12" t="s">
        <v>32</v>
      </c>
      <c r="B12" t="s">
        <v>98</v>
      </c>
      <c r="C12" t="s">
        <v>81</v>
      </c>
    </row>
    <row r="13" spans="1:3" x14ac:dyDescent="0.3">
      <c r="A13" t="s">
        <v>522</v>
      </c>
      <c r="B13" t="s">
        <v>100</v>
      </c>
      <c r="C13" t="s">
        <v>86</v>
      </c>
    </row>
    <row r="14" spans="1:3" x14ac:dyDescent="0.3">
      <c r="A14" t="s">
        <v>532</v>
      </c>
      <c r="B14" t="s">
        <v>102</v>
      </c>
      <c r="C14" t="s">
        <v>84</v>
      </c>
    </row>
    <row r="15" spans="1:3" x14ac:dyDescent="0.3">
      <c r="A15" t="s">
        <v>78</v>
      </c>
      <c r="B15" t="s">
        <v>101</v>
      </c>
      <c r="C15" t="s">
        <v>88</v>
      </c>
    </row>
    <row r="16" spans="1:3" x14ac:dyDescent="0.3">
      <c r="A16" t="s">
        <v>631</v>
      </c>
      <c r="B16" t="s">
        <v>104</v>
      </c>
      <c r="C16" t="s">
        <v>90</v>
      </c>
    </row>
    <row r="17" spans="1:3" x14ac:dyDescent="0.3">
      <c r="A17" t="s">
        <v>38</v>
      </c>
      <c r="B17" t="s">
        <v>103</v>
      </c>
      <c r="C17" t="s">
        <v>89</v>
      </c>
    </row>
    <row r="18" spans="1:3" x14ac:dyDescent="0.3">
      <c r="A18" t="s">
        <v>660</v>
      </c>
      <c r="B18" t="s">
        <v>102</v>
      </c>
      <c r="C18" t="s">
        <v>84</v>
      </c>
    </row>
    <row r="19" spans="1:3" x14ac:dyDescent="0.3">
      <c r="A19" t="s">
        <v>58</v>
      </c>
      <c r="B19" t="s">
        <v>100</v>
      </c>
      <c r="C19" t="s">
        <v>86</v>
      </c>
    </row>
    <row r="20" spans="1:3" x14ac:dyDescent="0.3">
      <c r="A20" t="s">
        <v>687</v>
      </c>
      <c r="B20" t="s">
        <v>98</v>
      </c>
      <c r="C20" t="s">
        <v>81</v>
      </c>
    </row>
    <row r="21" spans="1:3" x14ac:dyDescent="0.3">
      <c r="A21" t="s">
        <v>691</v>
      </c>
      <c r="B21" t="s">
        <v>105</v>
      </c>
      <c r="C21" t="s">
        <v>93</v>
      </c>
    </row>
    <row r="22" spans="1:3" x14ac:dyDescent="0.3">
      <c r="A22" t="s">
        <v>733</v>
      </c>
      <c r="B22" t="s">
        <v>98</v>
      </c>
      <c r="C22" t="s">
        <v>81</v>
      </c>
    </row>
    <row r="23" spans="1:3" x14ac:dyDescent="0.3">
      <c r="A23" t="s">
        <v>775</v>
      </c>
      <c r="B23" t="s">
        <v>101</v>
      </c>
      <c r="C23" t="s">
        <v>88</v>
      </c>
    </row>
    <row r="24" spans="1:3" x14ac:dyDescent="0.3">
      <c r="A24" t="s">
        <v>799</v>
      </c>
      <c r="B24" t="s">
        <v>98</v>
      </c>
      <c r="C24" t="s">
        <v>81</v>
      </c>
    </row>
    <row r="25" spans="1:3" x14ac:dyDescent="0.3">
      <c r="A25" t="s">
        <v>812</v>
      </c>
      <c r="B25" t="s">
        <v>106</v>
      </c>
      <c r="C25" t="s">
        <v>83</v>
      </c>
    </row>
    <row r="26" spans="1:3" x14ac:dyDescent="0.3">
      <c r="A26" t="s">
        <v>817</v>
      </c>
      <c r="B26" t="s">
        <v>107</v>
      </c>
      <c r="C26" t="s">
        <v>91</v>
      </c>
    </row>
    <row r="27" spans="1:3" x14ac:dyDescent="0.3">
      <c r="A27" t="s">
        <v>71</v>
      </c>
      <c r="B27" t="s">
        <v>100</v>
      </c>
      <c r="C27" t="s">
        <v>86</v>
      </c>
    </row>
    <row r="28" spans="1:3" x14ac:dyDescent="0.3">
      <c r="A28" t="s">
        <v>825</v>
      </c>
      <c r="B28" t="s">
        <v>106</v>
      </c>
      <c r="C28" t="s">
        <v>88</v>
      </c>
    </row>
    <row r="29" spans="1:3" x14ac:dyDescent="0.3">
      <c r="A29" t="s">
        <v>850</v>
      </c>
      <c r="B29" t="s">
        <v>100</v>
      </c>
      <c r="C29" t="s">
        <v>86</v>
      </c>
    </row>
    <row r="30" spans="1:3" x14ac:dyDescent="0.3">
      <c r="A30" t="s">
        <v>852</v>
      </c>
      <c r="B30" t="s">
        <v>102</v>
      </c>
      <c r="C30" t="s">
        <v>84</v>
      </c>
    </row>
    <row r="31" spans="1:3" x14ac:dyDescent="0.3">
      <c r="A31" t="s">
        <v>854</v>
      </c>
      <c r="B31" t="s">
        <v>98</v>
      </c>
      <c r="C31" t="s">
        <v>81</v>
      </c>
    </row>
    <row r="32" spans="1:3" x14ac:dyDescent="0.3">
      <c r="A32" t="s">
        <v>862</v>
      </c>
      <c r="B32" t="s">
        <v>106</v>
      </c>
      <c r="C32" t="s">
        <v>83</v>
      </c>
    </row>
    <row r="33" spans="1:3" x14ac:dyDescent="0.3">
      <c r="A33" t="s">
        <v>864</v>
      </c>
      <c r="B33" t="s">
        <v>102</v>
      </c>
      <c r="C33" t="s">
        <v>84</v>
      </c>
    </row>
    <row r="34" spans="1:3" x14ac:dyDescent="0.3">
      <c r="A34" t="s">
        <v>61</v>
      </c>
      <c r="B34" t="s">
        <v>102</v>
      </c>
      <c r="C34" t="s">
        <v>84</v>
      </c>
    </row>
    <row r="35" spans="1:3" x14ac:dyDescent="0.3">
      <c r="A35" t="s">
        <v>869</v>
      </c>
      <c r="B35" t="s">
        <v>106</v>
      </c>
      <c r="C35" t="s">
        <v>83</v>
      </c>
    </row>
    <row r="36" spans="1:3" x14ac:dyDescent="0.3">
      <c r="A36" t="s">
        <v>871</v>
      </c>
      <c r="B36" t="s">
        <v>97</v>
      </c>
      <c r="C36" t="s">
        <v>87</v>
      </c>
    </row>
    <row r="37" spans="1:3" x14ac:dyDescent="0.3">
      <c r="A37" t="s">
        <v>873</v>
      </c>
      <c r="B37" t="s">
        <v>99</v>
      </c>
      <c r="C37" t="s">
        <v>80</v>
      </c>
    </row>
    <row r="38" spans="1:3" x14ac:dyDescent="0.3">
      <c r="A38" t="s">
        <v>878</v>
      </c>
      <c r="B38" t="s">
        <v>103</v>
      </c>
      <c r="C38" t="s">
        <v>89</v>
      </c>
    </row>
    <row r="39" spans="1:3" x14ac:dyDescent="0.3">
      <c r="A39" t="s">
        <v>880</v>
      </c>
      <c r="B39" t="s">
        <v>106</v>
      </c>
      <c r="C39" t="s">
        <v>83</v>
      </c>
    </row>
    <row r="40" spans="1:3" x14ac:dyDescent="0.3">
      <c r="A40" t="s">
        <v>882</v>
      </c>
      <c r="B40" t="s">
        <v>96</v>
      </c>
      <c r="C40" t="s">
        <v>85</v>
      </c>
    </row>
    <row r="41" spans="1:3" x14ac:dyDescent="0.3">
      <c r="A41" t="s">
        <v>884</v>
      </c>
      <c r="B41" t="s">
        <v>106</v>
      </c>
      <c r="C41" t="s">
        <v>83</v>
      </c>
    </row>
    <row r="42" spans="1:3" x14ac:dyDescent="0.3">
      <c r="A42" t="s">
        <v>886</v>
      </c>
      <c r="B42" t="s">
        <v>99</v>
      </c>
      <c r="C42" t="s">
        <v>80</v>
      </c>
    </row>
    <row r="43" spans="1:3" x14ac:dyDescent="0.3">
      <c r="A43" t="s">
        <v>48</v>
      </c>
      <c r="B43" t="s">
        <v>102</v>
      </c>
      <c r="C43" t="s">
        <v>84</v>
      </c>
    </row>
    <row r="44" spans="1:3" x14ac:dyDescent="0.3">
      <c r="A44" t="s">
        <v>897</v>
      </c>
      <c r="B44" t="s">
        <v>108</v>
      </c>
      <c r="C44" t="s">
        <v>92</v>
      </c>
    </row>
    <row r="45" spans="1:3" x14ac:dyDescent="0.3">
      <c r="A45" t="s">
        <v>912</v>
      </c>
      <c r="B45" t="s">
        <v>109</v>
      </c>
      <c r="C45" t="s">
        <v>82</v>
      </c>
    </row>
    <row r="46" spans="1:3" x14ac:dyDescent="0.3">
      <c r="A46" t="s">
        <v>925</v>
      </c>
      <c r="B46" t="s">
        <v>109</v>
      </c>
      <c r="C46" t="s">
        <v>82</v>
      </c>
    </row>
    <row r="47" spans="1:3" x14ac:dyDescent="0.3">
      <c r="A47" t="s">
        <v>927</v>
      </c>
      <c r="B47" t="s">
        <v>109</v>
      </c>
      <c r="C47" t="s">
        <v>82</v>
      </c>
    </row>
    <row r="48" spans="1:3" x14ac:dyDescent="0.3">
      <c r="A48" t="s">
        <v>70</v>
      </c>
      <c r="B48" t="s">
        <v>102</v>
      </c>
      <c r="C48" t="s">
        <v>84</v>
      </c>
    </row>
    <row r="49" spans="1:3" x14ac:dyDescent="0.3">
      <c r="A49" t="s">
        <v>952</v>
      </c>
      <c r="B49" t="s">
        <v>109</v>
      </c>
      <c r="C49" t="s">
        <v>82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2FC7-8EBE-44AC-AFEC-32FFEC487167}">
  <sheetPr>
    <outlinePr summaryBelow="0" summaryRight="0"/>
  </sheetPr>
  <dimension ref="A1:AM69"/>
  <sheetViews>
    <sheetView zoomScaleNormal="100" workbookViewId="0">
      <selection activeCell="G11" sqref="G11"/>
    </sheetView>
  </sheetViews>
  <sheetFormatPr defaultColWidth="12.5546875" defaultRowHeight="15.75" customHeight="1" x14ac:dyDescent="0.3"/>
  <cols>
    <col min="1" max="1" width="7.5546875" style="21" customWidth="1"/>
    <col min="2" max="2" width="32.88671875" style="21" bestFit="1" customWidth="1"/>
    <col min="3" max="3" width="17.33203125" style="21" bestFit="1" customWidth="1"/>
    <col min="4" max="4" width="11.33203125" style="21" customWidth="1"/>
    <col min="5" max="5" width="15.109375" style="21" customWidth="1"/>
    <col min="6" max="6" width="12" style="21" customWidth="1"/>
    <col min="7" max="8" width="11.109375" style="21" customWidth="1"/>
    <col min="9" max="9" width="0" style="21" hidden="1" customWidth="1"/>
    <col min="10" max="10" width="11.33203125" style="21" hidden="1" customWidth="1"/>
    <col min="11" max="11" width="15" style="21" hidden="1" customWidth="1"/>
    <col min="12" max="12" width="18" style="21" hidden="1" customWidth="1"/>
    <col min="13" max="13" width="11.109375" style="21" hidden="1" customWidth="1"/>
    <col min="14" max="14" width="17.5546875" style="21" hidden="1" customWidth="1"/>
    <col min="15" max="15" width="15" style="21" hidden="1" customWidth="1"/>
    <col min="16" max="19" width="0" style="21" hidden="1" customWidth="1"/>
    <col min="20" max="20" width="6.109375" style="21" hidden="1" customWidth="1"/>
    <col min="21" max="21" width="10.44140625" style="21" customWidth="1"/>
    <col min="22" max="22" width="8.5546875" style="21" customWidth="1"/>
    <col min="23" max="23" width="6.88671875" style="21" customWidth="1"/>
    <col min="24" max="24" width="10.88671875" style="21" customWidth="1"/>
    <col min="25" max="25" width="10.5546875" style="21" customWidth="1"/>
    <col min="26" max="26" width="12.6640625" style="21" customWidth="1"/>
    <col min="27" max="27" width="13" style="21" customWidth="1"/>
    <col min="28" max="31" width="17.5546875" style="21" customWidth="1"/>
    <col min="32" max="32" width="14.88671875" style="21" customWidth="1"/>
    <col min="33" max="33" width="19.5546875" style="21" customWidth="1"/>
    <col min="34" max="34" width="22.6640625" style="21" customWidth="1"/>
    <col min="35" max="35" width="11.33203125" style="21" customWidth="1"/>
    <col min="36" max="36" width="14.5546875" style="21" customWidth="1"/>
    <col min="37" max="37" width="12.5546875" style="21"/>
    <col min="38" max="38" width="12.6640625" style="21" customWidth="1"/>
    <col min="39" max="16384" width="12.5546875" style="21"/>
  </cols>
  <sheetData>
    <row r="1" spans="1:39" ht="15.75" customHeight="1" x14ac:dyDescent="0.3">
      <c r="A1" s="51" t="s">
        <v>1436</v>
      </c>
      <c r="B1" s="51" t="s">
        <v>1435</v>
      </c>
      <c r="C1" s="51" t="s">
        <v>1434</v>
      </c>
      <c r="D1" s="51" t="s">
        <v>1433</v>
      </c>
      <c r="E1" s="51" t="s">
        <v>1432</v>
      </c>
      <c r="F1" s="50"/>
      <c r="G1" s="50"/>
      <c r="H1" s="50"/>
      <c r="I1" s="50"/>
      <c r="J1" s="50"/>
      <c r="K1" s="50"/>
      <c r="L1" s="50"/>
      <c r="M1" s="50"/>
      <c r="N1" s="50"/>
      <c r="O1" s="50"/>
      <c r="P1" s="50"/>
      <c r="AF1" s="49"/>
      <c r="AG1" s="50"/>
      <c r="AH1" s="50"/>
      <c r="AJ1" s="55"/>
      <c r="AM1" s="44"/>
    </row>
    <row r="2" spans="1:39" ht="15.75" customHeight="1" x14ac:dyDescent="0.3">
      <c r="A2" s="50">
        <v>1022</v>
      </c>
      <c r="B2" s="50" t="s">
        <v>35</v>
      </c>
      <c r="C2" s="50" t="s">
        <v>96</v>
      </c>
      <c r="D2" s="44">
        <v>4</v>
      </c>
      <c r="E2" s="44">
        <v>66343</v>
      </c>
      <c r="F2" s="52"/>
      <c r="G2" s="52"/>
      <c r="H2" s="52"/>
      <c r="I2" s="43"/>
      <c r="M2" s="43"/>
      <c r="O2" s="48"/>
      <c r="T2" s="44"/>
      <c r="U2" s="44"/>
      <c r="V2" s="44"/>
      <c r="W2" s="44"/>
      <c r="X2" s="44"/>
      <c r="AF2" s="49"/>
      <c r="AG2" s="50"/>
      <c r="AH2" s="50"/>
      <c r="AJ2" s="55"/>
      <c r="AM2" s="44"/>
    </row>
    <row r="3" spans="1:39" ht="15.75" customHeight="1" x14ac:dyDescent="0.3">
      <c r="A3" s="50">
        <v>1057</v>
      </c>
      <c r="B3" s="50" t="s">
        <v>24</v>
      </c>
      <c r="C3" s="50" t="s">
        <v>97</v>
      </c>
      <c r="D3" s="44">
        <v>3</v>
      </c>
      <c r="E3" s="44">
        <v>34688.666666666664</v>
      </c>
      <c r="F3" s="52"/>
      <c r="G3" s="52"/>
      <c r="H3" s="52"/>
      <c r="I3" s="43"/>
      <c r="M3" s="43"/>
      <c r="O3" s="48"/>
      <c r="S3" s="57"/>
      <c r="T3" s="44"/>
      <c r="U3" s="44"/>
      <c r="V3" s="44"/>
      <c r="W3" s="44"/>
      <c r="X3" s="44"/>
      <c r="AF3" s="49"/>
      <c r="AG3" s="50"/>
      <c r="AH3" s="50"/>
      <c r="AJ3" s="55"/>
      <c r="AM3" s="44"/>
    </row>
    <row r="4" spans="1:39" ht="15.75" customHeight="1" x14ac:dyDescent="0.3">
      <c r="A4" s="50">
        <v>1061</v>
      </c>
      <c r="B4" s="50" t="s">
        <v>1431</v>
      </c>
      <c r="C4" s="50" t="s">
        <v>98</v>
      </c>
      <c r="D4" s="44">
        <v>5</v>
      </c>
      <c r="E4" s="44">
        <v>29269</v>
      </c>
      <c r="F4" s="52"/>
      <c r="G4" s="52"/>
      <c r="H4" s="52"/>
      <c r="I4" s="43"/>
      <c r="M4" s="43"/>
      <c r="O4" s="48"/>
      <c r="T4" s="44"/>
      <c r="U4" s="44"/>
      <c r="V4" s="44"/>
      <c r="W4" s="44"/>
      <c r="X4" s="44"/>
      <c r="AF4" s="49"/>
      <c r="AG4" s="50"/>
      <c r="AH4" s="50"/>
      <c r="AJ4" s="55"/>
      <c r="AM4" s="44"/>
    </row>
    <row r="5" spans="1:39" ht="15.75" customHeight="1" thickBot="1" x14ac:dyDescent="0.35">
      <c r="A5" s="50">
        <v>1070</v>
      </c>
      <c r="B5" s="50" t="s">
        <v>7</v>
      </c>
      <c r="C5" s="50" t="s">
        <v>99</v>
      </c>
      <c r="D5" s="44">
        <v>5</v>
      </c>
      <c r="E5" s="44">
        <v>36413.599999999999</v>
      </c>
      <c r="F5" s="52"/>
      <c r="G5" s="52"/>
      <c r="H5" s="52"/>
      <c r="I5" s="43"/>
      <c r="M5" s="43"/>
      <c r="O5" s="48"/>
      <c r="T5" s="44"/>
      <c r="U5" s="44"/>
      <c r="V5" s="44"/>
      <c r="W5" s="44"/>
      <c r="X5" s="44"/>
      <c r="AF5" s="49"/>
      <c r="AG5" s="50"/>
      <c r="AH5" s="50"/>
      <c r="AJ5" s="55"/>
      <c r="AM5" s="44"/>
    </row>
    <row r="6" spans="1:39" ht="15.75" customHeight="1" x14ac:dyDescent="0.3">
      <c r="A6" s="50">
        <v>1107</v>
      </c>
      <c r="B6" s="50" t="s">
        <v>21</v>
      </c>
      <c r="C6" s="50" t="s">
        <v>100</v>
      </c>
      <c r="D6" s="44">
        <v>5</v>
      </c>
      <c r="E6" s="44">
        <v>14851.2</v>
      </c>
      <c r="F6" s="52"/>
      <c r="G6" s="52"/>
      <c r="H6" s="52"/>
      <c r="I6" s="43"/>
      <c r="J6" s="78" t="s">
        <v>1430</v>
      </c>
      <c r="K6" s="79"/>
      <c r="L6" s="79"/>
      <c r="M6" s="79"/>
      <c r="N6" s="79"/>
      <c r="O6" s="80"/>
      <c r="S6" s="56"/>
      <c r="T6" s="44"/>
      <c r="U6" s="44"/>
      <c r="V6" s="44"/>
      <c r="W6" s="44"/>
      <c r="X6" s="44"/>
      <c r="AF6" s="49"/>
      <c r="AG6" s="50"/>
      <c r="AH6" s="50"/>
      <c r="AJ6" s="55"/>
      <c r="AM6" s="44"/>
    </row>
    <row r="7" spans="1:39" ht="15.75" customHeight="1" x14ac:dyDescent="0.3">
      <c r="A7" s="50">
        <v>1104</v>
      </c>
      <c r="B7" s="50" t="s">
        <v>77</v>
      </c>
      <c r="C7" s="50" t="s">
        <v>101</v>
      </c>
      <c r="D7" s="44">
        <v>5</v>
      </c>
      <c r="E7" s="44">
        <v>5479.6</v>
      </c>
      <c r="F7" s="52"/>
      <c r="G7" s="52"/>
      <c r="H7" s="52"/>
      <c r="I7" s="43"/>
      <c r="J7" s="81"/>
      <c r="K7" s="82"/>
      <c r="L7" s="82"/>
      <c r="M7" s="82"/>
      <c r="N7" s="82"/>
      <c r="O7" s="83"/>
      <c r="T7" s="44"/>
      <c r="U7" s="44"/>
      <c r="V7" s="44"/>
      <c r="W7" s="44"/>
      <c r="X7" s="44"/>
      <c r="AF7" s="49"/>
      <c r="AG7" s="50"/>
      <c r="AH7" s="50"/>
      <c r="AJ7" s="55"/>
      <c r="AM7" s="44"/>
    </row>
    <row r="8" spans="1:39" ht="15.75" customHeight="1" x14ac:dyDescent="0.3">
      <c r="A8" s="50">
        <v>1105</v>
      </c>
      <c r="B8" s="50" t="s">
        <v>75</v>
      </c>
      <c r="C8" s="50" t="s">
        <v>99</v>
      </c>
      <c r="D8" s="44">
        <v>5</v>
      </c>
      <c r="E8" s="44">
        <v>12176.6</v>
      </c>
      <c r="F8" s="52"/>
      <c r="G8" s="52"/>
      <c r="H8" s="52"/>
      <c r="I8" s="43"/>
      <c r="J8" s="81"/>
      <c r="K8" s="82"/>
      <c r="L8" s="82"/>
      <c r="M8" s="82"/>
      <c r="N8" s="82"/>
      <c r="O8" s="83"/>
      <c r="T8" s="44"/>
      <c r="U8" s="44"/>
      <c r="V8" s="44"/>
      <c r="W8" s="44"/>
      <c r="X8" s="44"/>
      <c r="AF8" s="49"/>
      <c r="AG8" s="50"/>
      <c r="AH8" s="50"/>
      <c r="AJ8" s="55"/>
      <c r="AM8" s="44"/>
    </row>
    <row r="9" spans="1:39" ht="15.75" customHeight="1" x14ac:dyDescent="0.3">
      <c r="A9" s="50">
        <v>1143</v>
      </c>
      <c r="B9" s="50" t="s">
        <v>32</v>
      </c>
      <c r="C9" s="50" t="s">
        <v>98</v>
      </c>
      <c r="D9" s="44">
        <v>5</v>
      </c>
      <c r="E9" s="44">
        <v>30367.4</v>
      </c>
      <c r="F9" s="52"/>
      <c r="G9" s="52"/>
      <c r="H9" s="52"/>
      <c r="I9" s="43"/>
      <c r="J9" s="81"/>
      <c r="K9" s="82"/>
      <c r="L9" s="82"/>
      <c r="M9" s="82"/>
      <c r="N9" s="82"/>
      <c r="O9" s="83"/>
      <c r="T9" s="44"/>
      <c r="U9" s="44"/>
      <c r="V9" s="44"/>
      <c r="W9" s="44"/>
      <c r="X9" s="44"/>
    </row>
    <row r="10" spans="1:39" ht="15.75" customHeight="1" x14ac:dyDescent="0.3">
      <c r="A10" s="50">
        <v>1146</v>
      </c>
      <c r="B10" s="50" t="s">
        <v>46</v>
      </c>
      <c r="C10" s="50" t="s">
        <v>100</v>
      </c>
      <c r="D10" s="44">
        <v>5</v>
      </c>
      <c r="E10" s="44">
        <v>15057.4</v>
      </c>
      <c r="F10" s="52"/>
      <c r="G10" s="52"/>
      <c r="H10" s="52"/>
      <c r="I10" s="43"/>
      <c r="J10" s="81"/>
      <c r="K10" s="82"/>
      <c r="L10" s="82"/>
      <c r="M10" s="82"/>
      <c r="N10" s="82"/>
      <c r="O10" s="83"/>
      <c r="T10" s="44"/>
      <c r="U10" s="44"/>
      <c r="V10" s="44"/>
      <c r="W10" s="44"/>
      <c r="X10" s="44"/>
    </row>
    <row r="11" spans="1:39" ht="15.75" customHeight="1" x14ac:dyDescent="0.3">
      <c r="A11" s="50">
        <v>1203</v>
      </c>
      <c r="B11" s="50" t="s">
        <v>1429</v>
      </c>
      <c r="C11" s="50" t="s">
        <v>102</v>
      </c>
      <c r="D11" s="44">
        <v>5</v>
      </c>
      <c r="E11" s="44">
        <v>7678</v>
      </c>
      <c r="F11" s="52"/>
      <c r="G11" s="52"/>
      <c r="H11" s="52"/>
      <c r="I11" s="43"/>
      <c r="J11" s="81"/>
      <c r="K11" s="82"/>
      <c r="L11" s="82"/>
      <c r="M11" s="82"/>
      <c r="N11" s="82"/>
      <c r="O11" s="83"/>
      <c r="T11" s="44"/>
      <c r="U11" s="44"/>
      <c r="V11" s="44"/>
      <c r="W11" s="44"/>
      <c r="X11" s="44"/>
      <c r="AK11" s="50"/>
    </row>
    <row r="12" spans="1:39" ht="15.75" customHeight="1" x14ac:dyDescent="0.3">
      <c r="A12" s="50">
        <v>1229</v>
      </c>
      <c r="B12" s="50" t="s">
        <v>58</v>
      </c>
      <c r="C12" s="50" t="s">
        <v>100</v>
      </c>
      <c r="D12" s="44">
        <v>14</v>
      </c>
      <c r="E12" s="44">
        <v>17967.571428571428</v>
      </c>
      <c r="F12" s="52"/>
      <c r="G12" s="52"/>
      <c r="H12" s="52"/>
      <c r="I12" s="43"/>
      <c r="J12" s="81"/>
      <c r="K12" s="82"/>
      <c r="L12" s="82"/>
      <c r="M12" s="82"/>
      <c r="N12" s="82"/>
      <c r="O12" s="83"/>
      <c r="T12" s="44"/>
      <c r="U12" s="44"/>
      <c r="V12" s="44"/>
      <c r="W12" s="44"/>
      <c r="X12" s="44"/>
      <c r="AK12" s="50"/>
    </row>
    <row r="13" spans="1:39" ht="15.75" customHeight="1" thickBot="1" x14ac:dyDescent="0.35">
      <c r="A13" s="50">
        <v>1217</v>
      </c>
      <c r="B13" s="50" t="s">
        <v>38</v>
      </c>
      <c r="C13" s="50" t="s">
        <v>103</v>
      </c>
      <c r="D13" s="44">
        <v>7</v>
      </c>
      <c r="E13" s="44">
        <v>11221.857142857143</v>
      </c>
      <c r="F13" s="52"/>
      <c r="G13" s="52"/>
      <c r="H13" s="52"/>
      <c r="I13" s="43"/>
      <c r="J13" s="84"/>
      <c r="K13" s="85"/>
      <c r="L13" s="85"/>
      <c r="M13" s="85"/>
      <c r="N13" s="85"/>
      <c r="O13" s="86"/>
      <c r="T13" s="44"/>
      <c r="U13" s="44"/>
      <c r="V13" s="44"/>
      <c r="W13" s="44"/>
      <c r="X13" s="44"/>
      <c r="AK13" s="50"/>
    </row>
    <row r="14" spans="1:39" ht="15.75" customHeight="1" x14ac:dyDescent="0.3">
      <c r="A14" s="50">
        <v>1223</v>
      </c>
      <c r="B14" s="50" t="s">
        <v>39</v>
      </c>
      <c r="C14" s="50" t="s">
        <v>102</v>
      </c>
      <c r="D14" s="44">
        <v>5</v>
      </c>
      <c r="E14" s="44">
        <v>37402.800000000003</v>
      </c>
      <c r="F14" s="52"/>
      <c r="G14" s="52"/>
      <c r="H14" s="52"/>
      <c r="I14" s="43"/>
      <c r="M14" s="43"/>
      <c r="O14" s="48"/>
      <c r="T14" s="44"/>
      <c r="U14" s="44"/>
      <c r="V14" s="44"/>
      <c r="W14" s="44"/>
      <c r="X14" s="44"/>
      <c r="AK14" s="50"/>
    </row>
    <row r="15" spans="1:39" ht="15.75" customHeight="1" thickBot="1" x14ac:dyDescent="0.35">
      <c r="A15" s="50">
        <v>1209</v>
      </c>
      <c r="B15" s="50" t="s">
        <v>31</v>
      </c>
      <c r="C15" s="50" t="s">
        <v>104</v>
      </c>
      <c r="D15" s="44">
        <v>7</v>
      </c>
      <c r="E15" s="44">
        <v>2739.4285714285716</v>
      </c>
      <c r="F15" s="52"/>
      <c r="G15" s="52"/>
      <c r="H15" s="52"/>
      <c r="I15" s="43"/>
      <c r="M15" s="43"/>
      <c r="O15" s="48"/>
      <c r="T15" s="44"/>
      <c r="U15" s="44"/>
      <c r="V15" s="44"/>
      <c r="W15" s="44"/>
      <c r="X15" s="44"/>
      <c r="AK15" s="50"/>
    </row>
    <row r="16" spans="1:39" ht="15.75" customHeight="1" x14ac:dyDescent="0.3">
      <c r="A16" s="50">
        <v>1237</v>
      </c>
      <c r="B16" s="50" t="s">
        <v>68</v>
      </c>
      <c r="C16" s="50" t="s">
        <v>98</v>
      </c>
      <c r="D16" s="44">
        <v>5</v>
      </c>
      <c r="E16" s="44">
        <v>12357.2</v>
      </c>
      <c r="F16" s="52"/>
      <c r="G16" s="52"/>
      <c r="H16" s="52"/>
      <c r="I16" s="43"/>
      <c r="J16" s="78" t="s">
        <v>1428</v>
      </c>
      <c r="K16" s="79"/>
      <c r="L16" s="79"/>
      <c r="M16" s="79"/>
      <c r="N16" s="79"/>
      <c r="O16" s="80"/>
      <c r="T16" s="44"/>
      <c r="U16" s="44"/>
      <c r="V16" s="44"/>
      <c r="W16" s="44"/>
      <c r="X16" s="44"/>
      <c r="AK16" s="50"/>
    </row>
    <row r="17" spans="1:37" ht="15.75" customHeight="1" x14ac:dyDescent="0.3">
      <c r="A17" s="50">
        <v>1240</v>
      </c>
      <c r="B17" s="50" t="s">
        <v>65</v>
      </c>
      <c r="C17" s="50" t="s">
        <v>105</v>
      </c>
      <c r="D17" s="44">
        <v>7</v>
      </c>
      <c r="E17" s="44">
        <v>1583.1428571428571</v>
      </c>
      <c r="F17" s="52"/>
      <c r="G17" s="52"/>
      <c r="H17" s="52"/>
      <c r="I17" s="43"/>
      <c r="J17" s="81"/>
      <c r="K17" s="82"/>
      <c r="L17" s="82"/>
      <c r="M17" s="82"/>
      <c r="N17" s="82"/>
      <c r="O17" s="83"/>
      <c r="T17" s="44"/>
      <c r="U17" s="44"/>
      <c r="V17" s="44"/>
      <c r="W17" s="44"/>
      <c r="X17" s="44"/>
      <c r="AK17" s="50"/>
    </row>
    <row r="18" spans="1:37" ht="15.75" customHeight="1" x14ac:dyDescent="0.3">
      <c r="A18" s="50">
        <v>1259</v>
      </c>
      <c r="B18" s="50" t="s">
        <v>33</v>
      </c>
      <c r="C18" s="50" t="s">
        <v>98</v>
      </c>
      <c r="D18" s="44">
        <v>5</v>
      </c>
      <c r="E18" s="44">
        <v>8948.2000000000007</v>
      </c>
      <c r="F18" s="52"/>
      <c r="G18" s="52"/>
      <c r="H18" s="52"/>
      <c r="I18" s="43"/>
      <c r="J18" s="81"/>
      <c r="K18" s="82"/>
      <c r="L18" s="82"/>
      <c r="M18" s="82"/>
      <c r="N18" s="82"/>
      <c r="O18" s="83"/>
      <c r="T18" s="44"/>
      <c r="U18" s="44"/>
      <c r="V18" s="44"/>
      <c r="W18" s="44"/>
      <c r="X18" s="44"/>
      <c r="AK18" s="50"/>
    </row>
    <row r="19" spans="1:37" ht="15.75" customHeight="1" x14ac:dyDescent="0.3">
      <c r="A19" s="50">
        <v>1275</v>
      </c>
      <c r="B19" s="50" t="s">
        <v>26</v>
      </c>
      <c r="C19" s="50" t="s">
        <v>101</v>
      </c>
      <c r="D19" s="44">
        <v>5</v>
      </c>
      <c r="E19" s="44">
        <v>162.47999999999999</v>
      </c>
      <c r="F19" s="54"/>
      <c r="G19" s="52"/>
      <c r="H19" s="52"/>
      <c r="I19" s="43"/>
      <c r="J19" s="81"/>
      <c r="K19" s="82"/>
      <c r="L19" s="82"/>
      <c r="M19" s="82"/>
      <c r="N19" s="82"/>
      <c r="O19" s="83"/>
      <c r="T19" s="44"/>
      <c r="U19" s="44"/>
      <c r="V19" s="44"/>
      <c r="W19" s="44"/>
      <c r="X19" s="44"/>
      <c r="AK19" s="50"/>
    </row>
    <row r="20" spans="1:37" ht="15.75" customHeight="1" thickBot="1" x14ac:dyDescent="0.35">
      <c r="A20" s="50">
        <v>1289</v>
      </c>
      <c r="B20" s="50" t="s">
        <v>52</v>
      </c>
      <c r="C20" s="50" t="s">
        <v>98</v>
      </c>
      <c r="D20" s="44">
        <v>5</v>
      </c>
      <c r="E20" s="44">
        <v>25992</v>
      </c>
      <c r="F20" s="52"/>
      <c r="G20" s="52"/>
      <c r="H20" s="52"/>
      <c r="I20" s="43"/>
      <c r="J20" s="84"/>
      <c r="K20" s="85"/>
      <c r="L20" s="85"/>
      <c r="M20" s="85"/>
      <c r="N20" s="85"/>
      <c r="O20" s="86"/>
      <c r="T20" s="44"/>
      <c r="U20" s="44"/>
      <c r="V20" s="44"/>
      <c r="W20" s="44"/>
      <c r="X20" s="44"/>
    </row>
    <row r="21" spans="1:37" ht="15.75" customHeight="1" x14ac:dyDescent="0.3">
      <c r="A21" s="50">
        <v>1299</v>
      </c>
      <c r="B21" s="50" t="s">
        <v>71</v>
      </c>
      <c r="C21" s="50" t="s">
        <v>100</v>
      </c>
      <c r="D21" s="44">
        <v>5</v>
      </c>
      <c r="E21" s="44">
        <v>9403.6</v>
      </c>
      <c r="F21" s="52"/>
      <c r="G21" s="52"/>
      <c r="H21" s="52"/>
      <c r="I21" s="43"/>
      <c r="J21" s="53"/>
      <c r="K21" s="53"/>
      <c r="L21" s="53"/>
      <c r="M21" s="53"/>
      <c r="N21" s="53"/>
      <c r="O21" s="53"/>
      <c r="T21" s="44"/>
      <c r="U21" s="44"/>
      <c r="V21" s="44"/>
      <c r="W21" s="44"/>
      <c r="X21" s="44"/>
    </row>
    <row r="22" spans="1:37" ht="15.75" customHeight="1" x14ac:dyDescent="0.3">
      <c r="A22" s="50">
        <v>1302</v>
      </c>
      <c r="B22" s="50" t="s">
        <v>57</v>
      </c>
      <c r="C22" s="50" t="s">
        <v>106</v>
      </c>
      <c r="D22" s="44">
        <v>9</v>
      </c>
      <c r="E22" s="44">
        <v>7681.4444444444443</v>
      </c>
      <c r="F22" s="52"/>
      <c r="G22" s="52"/>
      <c r="H22" s="52"/>
      <c r="I22" s="43"/>
      <c r="N22" s="44"/>
      <c r="O22" s="44"/>
      <c r="P22" s="44"/>
      <c r="Q22" s="44"/>
      <c r="R22" s="44"/>
    </row>
    <row r="23" spans="1:37" ht="15.75" customHeight="1" x14ac:dyDescent="0.3">
      <c r="A23" s="50">
        <v>1296</v>
      </c>
      <c r="B23" s="50" t="s">
        <v>15</v>
      </c>
      <c r="C23" s="50" t="s">
        <v>106</v>
      </c>
      <c r="D23" s="44">
        <v>9</v>
      </c>
      <c r="E23" s="44">
        <v>2553.3333333333335</v>
      </c>
      <c r="F23" s="52"/>
      <c r="G23" s="52"/>
      <c r="H23" s="52"/>
      <c r="I23" s="43"/>
      <c r="N23" s="44"/>
      <c r="O23" s="44"/>
      <c r="P23" s="44"/>
      <c r="Q23" s="44"/>
      <c r="R23" s="44"/>
    </row>
    <row r="24" spans="1:37" ht="15.75" customHeight="1" x14ac:dyDescent="0.3">
      <c r="A24" s="50">
        <v>1298</v>
      </c>
      <c r="B24" s="50" t="s">
        <v>45</v>
      </c>
      <c r="C24" s="50" t="s">
        <v>107</v>
      </c>
      <c r="D24" s="44">
        <v>4</v>
      </c>
      <c r="E24" s="44">
        <v>15837.5</v>
      </c>
      <c r="F24" s="52"/>
      <c r="G24" s="52"/>
      <c r="H24" s="52"/>
      <c r="I24" s="43"/>
      <c r="M24" s="43"/>
      <c r="O24" s="48"/>
      <c r="T24" s="44"/>
      <c r="U24" s="44"/>
      <c r="V24" s="44"/>
      <c r="W24" s="44"/>
      <c r="X24" s="44"/>
    </row>
    <row r="25" spans="1:37" ht="15.75" customHeight="1" thickBot="1" x14ac:dyDescent="0.35">
      <c r="A25" s="50">
        <v>1324</v>
      </c>
      <c r="B25" s="50" t="s">
        <v>17</v>
      </c>
      <c r="C25" s="50" t="s">
        <v>106</v>
      </c>
      <c r="D25" s="44">
        <v>9</v>
      </c>
      <c r="E25" s="44">
        <v>4069</v>
      </c>
      <c r="F25" s="52"/>
      <c r="G25" s="52"/>
      <c r="H25" s="52"/>
      <c r="I25" s="43"/>
      <c r="M25" s="43"/>
      <c r="O25" s="48"/>
      <c r="T25" s="44"/>
      <c r="U25" s="44"/>
      <c r="V25" s="44"/>
      <c r="W25" s="44"/>
      <c r="X25" s="44"/>
    </row>
    <row r="26" spans="1:37" ht="15.75" customHeight="1" x14ac:dyDescent="0.3">
      <c r="A26" s="50">
        <v>1331</v>
      </c>
      <c r="B26" s="50" t="s">
        <v>74</v>
      </c>
      <c r="C26" s="50" t="s">
        <v>97</v>
      </c>
      <c r="D26" s="44">
        <v>3</v>
      </c>
      <c r="E26" s="44">
        <v>20175</v>
      </c>
      <c r="F26" s="52"/>
      <c r="G26" s="52"/>
      <c r="H26" s="52"/>
      <c r="I26" s="43"/>
      <c r="J26" s="78" t="s">
        <v>1427</v>
      </c>
      <c r="K26" s="79"/>
      <c r="L26" s="79"/>
      <c r="M26" s="79"/>
      <c r="N26" s="79"/>
      <c r="O26" s="80"/>
      <c r="Q26" s="87" t="s">
        <v>1426</v>
      </c>
      <c r="S26" s="89" t="s">
        <v>1425</v>
      </c>
      <c r="T26" s="44"/>
      <c r="U26" s="44"/>
      <c r="V26" s="44"/>
      <c r="W26" s="44"/>
      <c r="X26" s="44"/>
    </row>
    <row r="27" spans="1:37" ht="15.75" customHeight="1" thickBot="1" x14ac:dyDescent="0.35">
      <c r="A27" s="50">
        <v>1330</v>
      </c>
      <c r="B27" s="50" t="s">
        <v>72</v>
      </c>
      <c r="C27" s="50" t="s">
        <v>106</v>
      </c>
      <c r="D27" s="44">
        <v>9</v>
      </c>
      <c r="E27" s="44">
        <v>11325</v>
      </c>
      <c r="F27" s="52"/>
      <c r="G27" s="52"/>
      <c r="H27" s="52"/>
      <c r="I27" s="43"/>
      <c r="J27" s="84"/>
      <c r="K27" s="85"/>
      <c r="L27" s="85"/>
      <c r="M27" s="85"/>
      <c r="N27" s="85"/>
      <c r="O27" s="86"/>
      <c r="Q27" s="88"/>
      <c r="S27" s="90"/>
      <c r="T27" s="44"/>
      <c r="U27" s="44"/>
      <c r="V27" s="44"/>
      <c r="W27" s="44"/>
      <c r="X27" s="44"/>
    </row>
    <row r="28" spans="1:37" ht="15.75" customHeight="1" thickBot="1" x14ac:dyDescent="0.35">
      <c r="A28" s="50">
        <v>1332</v>
      </c>
      <c r="B28" s="50" t="s">
        <v>3</v>
      </c>
      <c r="C28" s="50" t="s">
        <v>99</v>
      </c>
      <c r="D28" s="44">
        <v>5</v>
      </c>
      <c r="E28" s="44">
        <v>16347.6</v>
      </c>
      <c r="F28" s="52"/>
      <c r="G28" s="52"/>
      <c r="H28" s="52"/>
      <c r="I28" s="43"/>
      <c r="J28" s="53"/>
      <c r="K28" s="53"/>
      <c r="L28" s="53"/>
      <c r="M28" s="53"/>
      <c r="N28" s="53"/>
      <c r="O28" s="53"/>
      <c r="T28" s="44"/>
      <c r="U28" s="44"/>
      <c r="V28" s="44"/>
      <c r="W28" s="44"/>
      <c r="X28" s="44"/>
    </row>
    <row r="29" spans="1:37" ht="15.75" customHeight="1" thickBot="1" x14ac:dyDescent="0.35">
      <c r="A29" s="50">
        <v>1335</v>
      </c>
      <c r="B29" s="50" t="s">
        <v>51</v>
      </c>
      <c r="C29" s="50" t="s">
        <v>106</v>
      </c>
      <c r="D29" s="44">
        <v>9</v>
      </c>
      <c r="E29" s="44">
        <v>9502.6666666666661</v>
      </c>
      <c r="F29" s="52"/>
      <c r="G29" s="52"/>
      <c r="H29" s="52"/>
      <c r="I29" s="43"/>
      <c r="J29" s="43"/>
      <c r="K29" s="91" t="s">
        <v>1424</v>
      </c>
      <c r="L29" s="92"/>
      <c r="M29" s="92"/>
      <c r="N29" s="92"/>
      <c r="O29" s="93"/>
      <c r="T29" s="44"/>
      <c r="U29" s="44"/>
      <c r="V29" s="44"/>
      <c r="W29" s="44"/>
      <c r="X29" s="44"/>
    </row>
    <row r="30" spans="1:37" ht="15.75" customHeight="1" thickBot="1" x14ac:dyDescent="0.35">
      <c r="A30" s="50">
        <v>1339</v>
      </c>
      <c r="B30" s="50" t="s">
        <v>27</v>
      </c>
      <c r="C30" s="50" t="s">
        <v>99</v>
      </c>
      <c r="D30" s="44">
        <v>5</v>
      </c>
      <c r="E30" s="44">
        <v>6016.6</v>
      </c>
      <c r="F30" s="52"/>
      <c r="G30" s="52"/>
      <c r="H30" s="52"/>
      <c r="I30" s="43"/>
      <c r="T30" s="44"/>
      <c r="U30" s="44"/>
      <c r="V30" s="44"/>
      <c r="W30" s="44"/>
      <c r="X30" s="44"/>
    </row>
    <row r="31" spans="1:37" ht="15.75" customHeight="1" thickBot="1" x14ac:dyDescent="0.35">
      <c r="A31" s="50">
        <v>1338</v>
      </c>
      <c r="B31" s="50" t="s">
        <v>69</v>
      </c>
      <c r="C31" s="50" t="s">
        <v>106</v>
      </c>
      <c r="D31" s="44">
        <v>9</v>
      </c>
      <c r="E31" s="44">
        <v>4789</v>
      </c>
      <c r="F31" s="52"/>
      <c r="G31" s="52"/>
      <c r="H31" s="52"/>
      <c r="I31" s="43"/>
      <c r="J31" s="43"/>
      <c r="K31" s="91" t="s">
        <v>1423</v>
      </c>
      <c r="L31" s="92"/>
      <c r="M31" s="92"/>
      <c r="N31" s="92"/>
      <c r="O31" s="93"/>
      <c r="T31" s="44"/>
      <c r="U31" s="44"/>
      <c r="V31" s="44"/>
      <c r="W31" s="44"/>
      <c r="X31" s="44"/>
    </row>
    <row r="32" spans="1:37" ht="15.75" customHeight="1" thickBot="1" x14ac:dyDescent="0.35">
      <c r="A32" s="50">
        <v>1344</v>
      </c>
      <c r="B32" s="50" t="s">
        <v>64</v>
      </c>
      <c r="C32" s="50" t="s">
        <v>108</v>
      </c>
      <c r="D32" s="44">
        <v>6</v>
      </c>
      <c r="E32" s="44">
        <v>3031.3333333333335</v>
      </c>
      <c r="F32" s="52"/>
      <c r="G32" s="52"/>
      <c r="H32" s="52"/>
      <c r="I32" s="43"/>
      <c r="J32" s="53"/>
      <c r="K32" s="53"/>
      <c r="L32" s="53"/>
      <c r="M32" s="53"/>
      <c r="N32" s="53"/>
      <c r="O32" s="53"/>
      <c r="T32" s="44"/>
      <c r="U32" s="44"/>
      <c r="V32" s="44"/>
      <c r="W32" s="44"/>
      <c r="X32" s="44"/>
    </row>
    <row r="33" spans="1:24" ht="15.75" customHeight="1" thickBot="1" x14ac:dyDescent="0.35">
      <c r="A33" s="50">
        <v>1357</v>
      </c>
      <c r="B33" s="50" t="s">
        <v>60</v>
      </c>
      <c r="C33" s="50" t="s">
        <v>109</v>
      </c>
      <c r="D33" s="44">
        <v>19</v>
      </c>
      <c r="E33" s="44">
        <v>1308.8421052631579</v>
      </c>
      <c r="F33" s="52"/>
      <c r="G33" s="52"/>
      <c r="H33" s="52"/>
      <c r="I33" s="43"/>
      <c r="J33" s="53"/>
      <c r="K33" s="94" t="s">
        <v>1422</v>
      </c>
      <c r="L33" s="95"/>
      <c r="M33" s="95"/>
      <c r="N33" s="95"/>
      <c r="O33" s="96"/>
      <c r="T33" s="44"/>
      <c r="U33" s="44"/>
      <c r="V33" s="44"/>
      <c r="W33" s="44"/>
      <c r="X33" s="44"/>
    </row>
    <row r="34" spans="1:24" ht="15.75" customHeight="1" thickBot="1" x14ac:dyDescent="0.35">
      <c r="A34" s="50">
        <v>1377</v>
      </c>
      <c r="B34" s="50" t="s">
        <v>30</v>
      </c>
      <c r="C34" s="50" t="s">
        <v>109</v>
      </c>
      <c r="D34" s="44">
        <v>19</v>
      </c>
      <c r="E34" s="44">
        <v>3100</v>
      </c>
      <c r="F34" s="52"/>
      <c r="G34" s="52"/>
      <c r="H34" s="52"/>
      <c r="I34" s="43"/>
      <c r="J34" s="53"/>
      <c r="K34" s="53"/>
      <c r="L34" s="53"/>
      <c r="M34" s="53"/>
      <c r="N34" s="53"/>
      <c r="O34" s="53"/>
      <c r="T34" s="44"/>
      <c r="U34" s="44"/>
      <c r="V34" s="44"/>
      <c r="W34" s="44"/>
      <c r="X34" s="44"/>
    </row>
    <row r="35" spans="1:24" ht="15.75" customHeight="1" thickBot="1" x14ac:dyDescent="0.35">
      <c r="A35" s="50">
        <v>1334</v>
      </c>
      <c r="B35" s="50" t="s">
        <v>28</v>
      </c>
      <c r="C35" s="50" t="s">
        <v>103</v>
      </c>
      <c r="D35" s="44">
        <v>7</v>
      </c>
      <c r="E35" s="44">
        <v>4040.4285714285716</v>
      </c>
      <c r="F35" s="52"/>
      <c r="G35" s="52"/>
      <c r="H35" s="52"/>
      <c r="I35" s="43"/>
      <c r="J35" s="53"/>
      <c r="K35" s="94" t="s">
        <v>1421</v>
      </c>
      <c r="L35" s="95"/>
      <c r="M35" s="95"/>
      <c r="N35" s="95"/>
      <c r="O35" s="96"/>
      <c r="T35" s="44"/>
      <c r="U35" s="44"/>
      <c r="V35" s="44"/>
      <c r="W35" s="44"/>
      <c r="X35" s="44"/>
    </row>
    <row r="36" spans="1:24" ht="15" thickBot="1" x14ac:dyDescent="0.35">
      <c r="A36" s="50">
        <v>1363</v>
      </c>
      <c r="B36" s="50" t="s">
        <v>141</v>
      </c>
      <c r="C36" s="50" t="s">
        <v>109</v>
      </c>
      <c r="D36" s="44">
        <v>19</v>
      </c>
      <c r="E36" s="44">
        <v>6740.5789473684208</v>
      </c>
      <c r="F36" s="52"/>
      <c r="G36" s="52"/>
      <c r="H36" s="52"/>
      <c r="I36" s="43"/>
      <c r="J36" s="43"/>
      <c r="K36" s="43"/>
      <c r="L36" s="43"/>
      <c r="M36" s="43"/>
      <c r="N36" s="43"/>
      <c r="O36" s="43"/>
      <c r="T36" s="44"/>
      <c r="U36" s="44"/>
      <c r="V36" s="44"/>
      <c r="W36" s="44"/>
      <c r="X36" s="44"/>
    </row>
    <row r="37" spans="1:24" ht="15" thickBot="1" x14ac:dyDescent="0.35">
      <c r="A37" s="50">
        <v>1336</v>
      </c>
      <c r="B37" s="50" t="s">
        <v>20</v>
      </c>
      <c r="C37" s="50" t="s">
        <v>96</v>
      </c>
      <c r="D37" s="44">
        <v>8.5</v>
      </c>
      <c r="E37" s="44">
        <v>14256.470588235294</v>
      </c>
      <c r="F37" s="52"/>
      <c r="G37" s="52"/>
      <c r="H37" s="52"/>
      <c r="I37" s="43"/>
      <c r="K37" s="94" t="s">
        <v>1420</v>
      </c>
      <c r="L37" s="95"/>
      <c r="M37" s="95"/>
      <c r="N37" s="95"/>
      <c r="O37" s="96"/>
      <c r="T37" s="44"/>
      <c r="U37" s="44"/>
      <c r="V37" s="44"/>
      <c r="W37" s="44"/>
      <c r="X37" s="44"/>
    </row>
    <row r="38" spans="1:24" ht="15" thickBot="1" x14ac:dyDescent="0.35">
      <c r="A38" s="50">
        <v>1318</v>
      </c>
      <c r="B38" s="50" t="s">
        <v>23</v>
      </c>
      <c r="C38" s="50" t="s">
        <v>102</v>
      </c>
      <c r="D38" s="44">
        <v>10</v>
      </c>
      <c r="E38" s="44">
        <v>13628.4</v>
      </c>
      <c r="F38" s="52"/>
      <c r="G38" s="52"/>
      <c r="H38" s="52"/>
      <c r="I38" s="43"/>
      <c r="T38" s="44"/>
      <c r="U38" s="44"/>
      <c r="V38" s="44"/>
      <c r="W38" s="44"/>
      <c r="X38" s="44"/>
    </row>
    <row r="39" spans="1:24" ht="14.4" x14ac:dyDescent="0.3">
      <c r="A39" s="50">
        <v>1075</v>
      </c>
      <c r="B39" s="50" t="s">
        <v>41</v>
      </c>
      <c r="C39" s="50" t="s">
        <v>102</v>
      </c>
      <c r="D39" s="44">
        <v>10</v>
      </c>
      <c r="E39" s="44">
        <v>17853.400000000001</v>
      </c>
      <c r="F39" s="52"/>
      <c r="G39" s="52"/>
      <c r="H39" s="52"/>
      <c r="I39" s="43"/>
      <c r="J39" s="78" t="s">
        <v>1419</v>
      </c>
      <c r="K39" s="79"/>
      <c r="L39" s="79"/>
      <c r="M39" s="79"/>
      <c r="N39" s="79"/>
      <c r="O39" s="80"/>
      <c r="T39" s="44"/>
      <c r="U39" s="44"/>
      <c r="V39" s="44"/>
      <c r="W39" s="44"/>
      <c r="X39" s="44"/>
    </row>
    <row r="40" spans="1:24" ht="18.600000000000001" customHeight="1" x14ac:dyDescent="0.3">
      <c r="A40" s="50">
        <v>1074</v>
      </c>
      <c r="B40" s="50" t="s">
        <v>376</v>
      </c>
      <c r="C40" s="50" t="s">
        <v>102</v>
      </c>
      <c r="D40" s="44">
        <v>5</v>
      </c>
      <c r="E40" s="44">
        <v>24819.200000000001</v>
      </c>
      <c r="F40" s="52"/>
      <c r="G40" s="52"/>
      <c r="H40" s="52"/>
      <c r="I40" s="43"/>
      <c r="J40" s="81"/>
      <c r="K40" s="82"/>
      <c r="L40" s="82"/>
      <c r="M40" s="82"/>
      <c r="N40" s="82"/>
      <c r="O40" s="83"/>
      <c r="T40" s="44"/>
      <c r="U40" s="44"/>
      <c r="V40" s="44"/>
      <c r="W40" s="44"/>
      <c r="X40" s="44"/>
    </row>
    <row r="41" spans="1:24" ht="15" thickBot="1" x14ac:dyDescent="0.35">
      <c r="A41" s="50">
        <v>1319</v>
      </c>
      <c r="B41" s="50" t="s">
        <v>44</v>
      </c>
      <c r="C41" s="50" t="s">
        <v>98</v>
      </c>
      <c r="D41" s="44">
        <v>5</v>
      </c>
      <c r="E41" s="44">
        <v>30552.2</v>
      </c>
      <c r="F41" s="52"/>
      <c r="G41" s="52"/>
      <c r="H41" s="52"/>
      <c r="I41" s="43"/>
      <c r="J41" s="84"/>
      <c r="K41" s="85"/>
      <c r="L41" s="85"/>
      <c r="M41" s="85"/>
      <c r="N41" s="85"/>
      <c r="O41" s="86"/>
      <c r="T41" s="44"/>
      <c r="U41" s="44"/>
      <c r="V41" s="44"/>
      <c r="W41" s="44"/>
      <c r="X41" s="44"/>
    </row>
    <row r="42" spans="1:24" ht="20.399999999999999" customHeight="1" x14ac:dyDescent="0.3">
      <c r="A42" s="50">
        <v>1342</v>
      </c>
      <c r="B42" s="50" t="s">
        <v>48</v>
      </c>
      <c r="C42" s="50" t="s">
        <v>102</v>
      </c>
      <c r="D42" s="44">
        <v>5</v>
      </c>
      <c r="E42" s="44">
        <v>5699.6</v>
      </c>
      <c r="F42" s="52"/>
      <c r="G42" s="52"/>
      <c r="H42" s="52"/>
      <c r="I42" s="43"/>
      <c r="T42" s="44"/>
      <c r="U42" s="44"/>
      <c r="V42" s="44"/>
      <c r="W42" s="44"/>
      <c r="X42" s="44"/>
    </row>
    <row r="43" spans="1:24" ht="14.4" x14ac:dyDescent="0.3">
      <c r="A43" s="50">
        <v>1317</v>
      </c>
      <c r="B43" s="50" t="s">
        <v>49</v>
      </c>
      <c r="C43" s="50" t="s">
        <v>100</v>
      </c>
      <c r="D43" s="44">
        <v>5</v>
      </c>
      <c r="E43" s="44">
        <v>4544.8</v>
      </c>
      <c r="F43" s="52"/>
      <c r="G43" s="52"/>
      <c r="H43" s="52"/>
      <c r="I43" s="43"/>
      <c r="T43" s="44"/>
      <c r="U43" s="44"/>
      <c r="V43" s="44"/>
      <c r="W43" s="44"/>
      <c r="X43" s="44"/>
    </row>
    <row r="44" spans="1:24" ht="14.4" x14ac:dyDescent="0.3">
      <c r="A44" s="50">
        <v>1364</v>
      </c>
      <c r="B44" s="50" t="s">
        <v>50</v>
      </c>
      <c r="C44" s="50" t="s">
        <v>109</v>
      </c>
      <c r="D44" s="44">
        <v>19</v>
      </c>
      <c r="E44" s="44">
        <v>1351.2631578947369</v>
      </c>
      <c r="F44" s="52"/>
      <c r="G44" s="52"/>
      <c r="H44" s="52"/>
      <c r="I44" s="43"/>
      <c r="T44" s="44"/>
      <c r="U44" s="44"/>
      <c r="V44" s="44"/>
      <c r="W44" s="44"/>
      <c r="X44" s="44"/>
    </row>
    <row r="45" spans="1:24" ht="15" thickBot="1" x14ac:dyDescent="0.35">
      <c r="A45" s="50">
        <v>1327</v>
      </c>
      <c r="B45" s="50" t="s">
        <v>53</v>
      </c>
      <c r="C45" s="50" t="s">
        <v>102</v>
      </c>
      <c r="D45" s="44">
        <v>5</v>
      </c>
      <c r="E45" s="44">
        <v>4279.8</v>
      </c>
      <c r="F45" s="52"/>
      <c r="G45" s="52"/>
      <c r="H45" s="52"/>
      <c r="I45" s="43"/>
      <c r="T45" s="44"/>
      <c r="U45" s="44"/>
      <c r="V45" s="44"/>
      <c r="W45" s="44"/>
      <c r="X45" s="44"/>
    </row>
    <row r="46" spans="1:24" ht="14.4" x14ac:dyDescent="0.3">
      <c r="A46" s="50">
        <v>1042</v>
      </c>
      <c r="B46" s="50" t="s">
        <v>54</v>
      </c>
      <c r="C46" s="50" t="s">
        <v>103</v>
      </c>
      <c r="D46" s="44">
        <v>7</v>
      </c>
      <c r="E46" s="44">
        <v>3512.4285714285716</v>
      </c>
      <c r="F46" s="52"/>
      <c r="G46" s="52"/>
      <c r="H46" s="52"/>
      <c r="I46" s="43"/>
      <c r="J46" s="78" t="s">
        <v>1418</v>
      </c>
      <c r="K46" s="79"/>
      <c r="L46" s="79"/>
      <c r="M46" s="79"/>
      <c r="N46" s="79"/>
      <c r="O46" s="80"/>
      <c r="T46" s="44"/>
      <c r="U46" s="44"/>
      <c r="V46" s="44"/>
      <c r="W46" s="44"/>
      <c r="X46" s="44"/>
    </row>
    <row r="47" spans="1:24" ht="15" thickBot="1" x14ac:dyDescent="0.35">
      <c r="A47" s="50">
        <v>1031</v>
      </c>
      <c r="B47" s="50" t="s">
        <v>59</v>
      </c>
      <c r="C47" s="50" t="s">
        <v>98</v>
      </c>
      <c r="D47" s="44">
        <v>5</v>
      </c>
      <c r="E47" s="44">
        <v>5234.2</v>
      </c>
      <c r="F47" s="52"/>
      <c r="G47" s="52"/>
      <c r="H47" s="52"/>
      <c r="I47" s="43"/>
      <c r="J47" s="84"/>
      <c r="K47" s="85"/>
      <c r="L47" s="85"/>
      <c r="M47" s="85"/>
      <c r="N47" s="85"/>
      <c r="O47" s="86"/>
      <c r="T47" s="44"/>
      <c r="U47" s="44"/>
      <c r="V47" s="44"/>
      <c r="W47" s="44"/>
      <c r="X47" s="44"/>
    </row>
    <row r="48" spans="1:24" ht="15" thickBot="1" x14ac:dyDescent="0.35">
      <c r="A48" s="50">
        <v>1328</v>
      </c>
      <c r="B48" s="50" t="s">
        <v>61</v>
      </c>
      <c r="C48" s="50" t="s">
        <v>102</v>
      </c>
      <c r="D48" s="44">
        <v>8</v>
      </c>
      <c r="E48" s="44">
        <v>19592.125</v>
      </c>
      <c r="F48" s="52"/>
      <c r="G48" s="52"/>
      <c r="H48" s="52"/>
      <c r="I48" s="43"/>
      <c r="T48" s="44"/>
      <c r="U48" s="44"/>
      <c r="V48" s="44"/>
      <c r="W48" s="44"/>
      <c r="X48" s="44"/>
    </row>
    <row r="49" spans="1:24" ht="15" thickBot="1" x14ac:dyDescent="0.35">
      <c r="A49" s="50">
        <v>1329</v>
      </c>
      <c r="B49" s="50" t="s">
        <v>867</v>
      </c>
      <c r="C49" s="50" t="s">
        <v>102</v>
      </c>
      <c r="D49" s="44">
        <v>5</v>
      </c>
      <c r="E49" s="44">
        <v>19532.2</v>
      </c>
      <c r="F49" s="52"/>
      <c r="G49" s="52"/>
      <c r="H49" s="52"/>
      <c r="I49" s="43"/>
      <c r="K49" s="91" t="s">
        <v>1417</v>
      </c>
      <c r="L49" s="92"/>
      <c r="M49" s="92"/>
      <c r="N49" s="92"/>
      <c r="O49" s="93"/>
      <c r="T49" s="44"/>
      <c r="U49" s="44"/>
      <c r="V49" s="44"/>
      <c r="W49" s="44"/>
      <c r="X49" s="44"/>
    </row>
    <row r="50" spans="1:24" ht="15" thickBot="1" x14ac:dyDescent="0.35">
      <c r="A50" s="50">
        <v>1367</v>
      </c>
      <c r="B50" s="50" t="s">
        <v>70</v>
      </c>
      <c r="C50" s="50" t="s">
        <v>102</v>
      </c>
      <c r="D50" s="44">
        <v>5</v>
      </c>
      <c r="E50" s="44">
        <v>8847.4</v>
      </c>
      <c r="F50" s="52"/>
      <c r="G50" s="52"/>
      <c r="H50" s="52"/>
      <c r="I50" s="43"/>
      <c r="T50" s="44"/>
      <c r="U50" s="44"/>
      <c r="V50" s="44"/>
      <c r="W50" s="44"/>
      <c r="X50" s="44"/>
    </row>
    <row r="51" spans="1:24" ht="15" thickBot="1" x14ac:dyDescent="0.35">
      <c r="A51" s="50">
        <v>1171</v>
      </c>
      <c r="B51" s="50" t="s">
        <v>78</v>
      </c>
      <c r="C51" s="50" t="s">
        <v>101</v>
      </c>
      <c r="D51" s="44">
        <v>5</v>
      </c>
      <c r="E51" s="44">
        <v>5290.4</v>
      </c>
      <c r="F51" s="52"/>
      <c r="G51" s="52"/>
      <c r="H51" s="52"/>
      <c r="I51" s="43"/>
      <c r="K51" s="91" t="s">
        <v>1416</v>
      </c>
      <c r="L51" s="92"/>
      <c r="M51" s="92"/>
      <c r="N51" s="92"/>
      <c r="O51" s="93"/>
      <c r="T51" s="44"/>
      <c r="U51" s="44"/>
      <c r="V51" s="44"/>
      <c r="W51" s="44"/>
      <c r="X51" s="44"/>
    </row>
    <row r="52" spans="1:24" ht="14.4" x14ac:dyDescent="0.3">
      <c r="A52" s="50">
        <v>1151</v>
      </c>
      <c r="B52" s="50" t="s">
        <v>79</v>
      </c>
      <c r="C52" s="50" t="s">
        <v>102</v>
      </c>
      <c r="D52" s="44">
        <v>5</v>
      </c>
      <c r="E52" s="44">
        <v>7018.8</v>
      </c>
      <c r="F52" s="52"/>
      <c r="G52" s="52"/>
      <c r="H52" s="52"/>
      <c r="I52" s="43"/>
      <c r="T52" s="44"/>
      <c r="U52" s="44"/>
      <c r="V52" s="44"/>
      <c r="W52" s="44"/>
      <c r="X52" s="44"/>
    </row>
    <row r="55" spans="1:24" ht="15" thickBot="1" x14ac:dyDescent="0.35">
      <c r="B55" s="51"/>
      <c r="C55" s="51"/>
      <c r="D55" s="51"/>
      <c r="E55" s="51"/>
      <c r="G55" s="50"/>
      <c r="H55" s="50"/>
    </row>
    <row r="56" spans="1:24" ht="14.4" x14ac:dyDescent="0.3">
      <c r="D56" s="44"/>
      <c r="E56" s="44"/>
      <c r="F56" s="43"/>
      <c r="G56" s="42"/>
      <c r="H56" s="42"/>
      <c r="J56" s="47" t="s">
        <v>1415</v>
      </c>
      <c r="K56" s="46"/>
      <c r="L56" s="46"/>
      <c r="M56" s="46"/>
      <c r="N56" s="46"/>
      <c r="O56" s="45"/>
      <c r="R56" s="49"/>
    </row>
    <row r="57" spans="1:24" ht="15" thickBot="1" x14ac:dyDescent="0.35">
      <c r="D57" s="44"/>
      <c r="E57" s="44"/>
      <c r="F57" s="43"/>
      <c r="G57" s="42"/>
      <c r="H57" s="42"/>
      <c r="J57" s="41"/>
      <c r="K57" s="40"/>
      <c r="L57" s="40"/>
      <c r="M57" s="40"/>
      <c r="N57" s="40"/>
      <c r="O57" s="39"/>
      <c r="R57" s="49"/>
    </row>
    <row r="58" spans="1:24" ht="14.4" x14ac:dyDescent="0.3">
      <c r="D58" s="44"/>
      <c r="E58" s="44"/>
      <c r="F58" s="43"/>
      <c r="G58" s="42"/>
      <c r="H58" s="42"/>
      <c r="M58" s="43"/>
      <c r="O58" s="48"/>
    </row>
    <row r="59" spans="1:24" ht="15" thickBot="1" x14ac:dyDescent="0.35">
      <c r="D59" s="44"/>
      <c r="E59" s="44"/>
      <c r="F59" s="43"/>
      <c r="G59" s="42"/>
      <c r="H59" s="42"/>
    </row>
    <row r="60" spans="1:24" ht="14.4" x14ac:dyDescent="0.3">
      <c r="D60" s="44"/>
      <c r="E60" s="44"/>
      <c r="F60" s="43"/>
      <c r="G60" s="42"/>
      <c r="H60" s="42"/>
      <c r="J60" s="47" t="s">
        <v>1414</v>
      </c>
      <c r="K60" s="46"/>
      <c r="L60" s="46"/>
      <c r="M60" s="46"/>
      <c r="N60" s="46"/>
      <c r="O60" s="45"/>
    </row>
    <row r="61" spans="1:24" ht="15" thickBot="1" x14ac:dyDescent="0.35">
      <c r="D61" s="44"/>
      <c r="E61" s="44"/>
      <c r="F61" s="43"/>
      <c r="G61" s="42"/>
      <c r="H61" s="42"/>
      <c r="J61" s="41"/>
      <c r="K61" s="40"/>
      <c r="L61" s="40"/>
      <c r="M61" s="40"/>
      <c r="N61" s="40"/>
      <c r="O61" s="39"/>
    </row>
    <row r="62" spans="1:24" ht="14.4" x14ac:dyDescent="0.3">
      <c r="D62" s="44"/>
      <c r="E62" s="44"/>
      <c r="F62" s="43"/>
      <c r="G62" s="42"/>
      <c r="H62" s="42"/>
      <c r="M62" s="43"/>
      <c r="O62" s="48"/>
    </row>
    <row r="63" spans="1:24" ht="15" thickBot="1" x14ac:dyDescent="0.35">
      <c r="D63" s="44"/>
      <c r="E63" s="44"/>
      <c r="F63" s="43"/>
      <c r="G63" s="42"/>
      <c r="H63" s="42"/>
    </row>
    <row r="64" spans="1:24" ht="14.4" x14ac:dyDescent="0.3">
      <c r="D64" s="44"/>
      <c r="E64" s="44"/>
      <c r="F64" s="43"/>
      <c r="G64" s="42"/>
      <c r="H64" s="42"/>
      <c r="J64" s="47" t="s">
        <v>1413</v>
      </c>
      <c r="K64" s="46"/>
      <c r="L64" s="46"/>
      <c r="M64" s="46"/>
      <c r="N64" s="46"/>
      <c r="O64" s="45"/>
    </row>
    <row r="65" spans="4:15" ht="15" thickBot="1" x14ac:dyDescent="0.35">
      <c r="D65" s="44"/>
      <c r="E65" s="44"/>
      <c r="F65" s="43"/>
      <c r="G65" s="42"/>
      <c r="H65" s="42"/>
      <c r="J65" s="41"/>
      <c r="K65" s="40"/>
      <c r="L65" s="40"/>
      <c r="M65" s="40"/>
      <c r="N65" s="40"/>
      <c r="O65" s="39"/>
    </row>
    <row r="66" spans="4:15" ht="14.4" x14ac:dyDescent="0.3">
      <c r="D66" s="44"/>
      <c r="E66" s="44"/>
      <c r="F66" s="43"/>
      <c r="G66" s="42"/>
      <c r="H66" s="42"/>
      <c r="M66" s="43"/>
      <c r="O66" s="48"/>
    </row>
    <row r="67" spans="4:15" ht="15" thickBot="1" x14ac:dyDescent="0.35">
      <c r="D67" s="44"/>
      <c r="E67" s="44"/>
      <c r="F67" s="43"/>
      <c r="G67" s="42"/>
      <c r="H67" s="42"/>
      <c r="M67" s="43"/>
      <c r="O67" s="48"/>
    </row>
    <row r="68" spans="4:15" ht="14.4" x14ac:dyDescent="0.3">
      <c r="D68" s="44"/>
      <c r="E68" s="44"/>
      <c r="F68" s="43"/>
      <c r="G68" s="42"/>
      <c r="H68" s="42"/>
      <c r="J68" s="47" t="s">
        <v>1412</v>
      </c>
      <c r="K68" s="46"/>
      <c r="L68" s="46"/>
      <c r="M68" s="46"/>
      <c r="N68" s="46"/>
      <c r="O68" s="45"/>
    </row>
    <row r="69" spans="4:15" ht="15" thickBot="1" x14ac:dyDescent="0.35">
      <c r="D69" s="44"/>
      <c r="E69" s="44"/>
      <c r="F69" s="43"/>
      <c r="G69" s="42"/>
      <c r="H69" s="42"/>
      <c r="J69" s="41"/>
      <c r="K69" s="40"/>
      <c r="L69" s="40"/>
      <c r="M69" s="40"/>
      <c r="N69" s="40"/>
      <c r="O69" s="39"/>
    </row>
  </sheetData>
  <mergeCells count="14">
    <mergeCell ref="K29:O29"/>
    <mergeCell ref="K49:O49"/>
    <mergeCell ref="K51:O51"/>
    <mergeCell ref="K31:O31"/>
    <mergeCell ref="K33:O33"/>
    <mergeCell ref="K35:O35"/>
    <mergeCell ref="K37:O37"/>
    <mergeCell ref="J39:O41"/>
    <mergeCell ref="J46:O47"/>
    <mergeCell ref="J6:O13"/>
    <mergeCell ref="J16:O20"/>
    <mergeCell ref="J26:O27"/>
    <mergeCell ref="Q26:Q27"/>
    <mergeCell ref="S26:S27"/>
  </mergeCells>
  <conditionalFormatting sqref="A53:E53">
    <cfRule type="expression" dxfId="0" priority="1">
      <formula>COUNTIF($B$2:$H$53,#REF!)&gt;1</formula>
    </cfRule>
  </conditionalFormatting>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4F79-DFE1-434C-9DB3-7C611AF6E8CE}">
  <dimension ref="A3:B52"/>
  <sheetViews>
    <sheetView workbookViewId="0">
      <selection activeCell="A3" sqref="A3"/>
    </sheetView>
  </sheetViews>
  <sheetFormatPr defaultRowHeight="13.8" x14ac:dyDescent="0.3"/>
  <cols>
    <col min="1" max="1" width="26.44140625" bestFit="1" customWidth="1"/>
    <col min="2" max="2" width="14.77734375" bestFit="1" customWidth="1"/>
  </cols>
  <sheetData>
    <row r="3" spans="1:2" x14ac:dyDescent="0.3">
      <c r="A3" s="58" t="s">
        <v>1437</v>
      </c>
      <c r="B3" t="s">
        <v>1439</v>
      </c>
    </row>
    <row r="4" spans="1:2" x14ac:dyDescent="0.3">
      <c r="A4" s="59" t="s">
        <v>873</v>
      </c>
      <c r="B4">
        <v>131928.81299810967</v>
      </c>
    </row>
    <row r="5" spans="1:2" x14ac:dyDescent="0.3">
      <c r="A5" s="59" t="s">
        <v>7</v>
      </c>
      <c r="B5">
        <v>73409.33628931237</v>
      </c>
    </row>
    <row r="6" spans="1:2" x14ac:dyDescent="0.3">
      <c r="A6" s="59" t="s">
        <v>346</v>
      </c>
      <c r="B6">
        <v>110486.0952449482</v>
      </c>
    </row>
    <row r="7" spans="1:2" x14ac:dyDescent="0.3">
      <c r="A7" s="59" t="s">
        <v>925</v>
      </c>
      <c r="B7">
        <v>73814.976221147692</v>
      </c>
    </row>
    <row r="8" spans="1:2" x14ac:dyDescent="0.3">
      <c r="A8" s="59" t="s">
        <v>812</v>
      </c>
      <c r="B8">
        <v>68714.971483488625</v>
      </c>
    </row>
    <row r="9" spans="1:2" x14ac:dyDescent="0.3">
      <c r="A9" s="59" t="s">
        <v>862</v>
      </c>
      <c r="B9">
        <v>75988.762423492648</v>
      </c>
    </row>
    <row r="10" spans="1:2" x14ac:dyDescent="0.3">
      <c r="A10" s="59" t="s">
        <v>882</v>
      </c>
      <c r="B10">
        <v>63656.645092919869</v>
      </c>
    </row>
    <row r="11" spans="1:2" x14ac:dyDescent="0.3">
      <c r="A11" s="59" t="s">
        <v>21</v>
      </c>
      <c r="B11">
        <v>317152.13161320286</v>
      </c>
    </row>
    <row r="12" spans="1:2" x14ac:dyDescent="0.3">
      <c r="A12" s="59" t="s">
        <v>852</v>
      </c>
      <c r="B12">
        <v>65267.81613793927</v>
      </c>
    </row>
    <row r="13" spans="1:2" x14ac:dyDescent="0.3">
      <c r="A13" s="59" t="s">
        <v>24</v>
      </c>
      <c r="B13">
        <v>198658.37142896923</v>
      </c>
    </row>
    <row r="14" spans="1:2" x14ac:dyDescent="0.3">
      <c r="A14" s="59" t="s">
        <v>775</v>
      </c>
      <c r="B14">
        <v>70706.369224623049</v>
      </c>
    </row>
    <row r="15" spans="1:2" x14ac:dyDescent="0.3">
      <c r="A15" s="59" t="s">
        <v>886</v>
      </c>
      <c r="B15">
        <v>58519.476708797287</v>
      </c>
    </row>
    <row r="16" spans="1:2" x14ac:dyDescent="0.3">
      <c r="A16" s="59" t="s">
        <v>878</v>
      </c>
      <c r="B16">
        <v>63559.996679567601</v>
      </c>
    </row>
    <row r="17" spans="1:2" x14ac:dyDescent="0.3">
      <c r="A17" s="59" t="s">
        <v>952</v>
      </c>
      <c r="B17">
        <v>73814.976221147692</v>
      </c>
    </row>
    <row r="18" spans="1:2" x14ac:dyDescent="0.3">
      <c r="A18" s="59" t="s">
        <v>631</v>
      </c>
      <c r="B18">
        <v>82053.448630315048</v>
      </c>
    </row>
    <row r="19" spans="1:2" x14ac:dyDescent="0.3">
      <c r="A19" s="59" t="s">
        <v>32</v>
      </c>
      <c r="B19">
        <v>110486.0952449482</v>
      </c>
    </row>
    <row r="20" spans="1:2" x14ac:dyDescent="0.3">
      <c r="A20" s="59" t="s">
        <v>733</v>
      </c>
      <c r="B20">
        <v>106882.56690538794</v>
      </c>
    </row>
    <row r="21" spans="1:2" x14ac:dyDescent="0.3">
      <c r="A21" s="59" t="s">
        <v>35</v>
      </c>
      <c r="B21">
        <v>145232.87277043145</v>
      </c>
    </row>
    <row r="22" spans="1:2" x14ac:dyDescent="0.3">
      <c r="A22" s="59" t="s">
        <v>38</v>
      </c>
      <c r="B22">
        <v>72535.252052086318</v>
      </c>
    </row>
    <row r="23" spans="1:2" x14ac:dyDescent="0.3">
      <c r="A23" s="59" t="s">
        <v>660</v>
      </c>
      <c r="B23">
        <v>228212.64093712968</v>
      </c>
    </row>
    <row r="24" spans="1:2" x14ac:dyDescent="0.3">
      <c r="A24" s="59" t="s">
        <v>41</v>
      </c>
      <c r="B24">
        <v>143895.37927733135</v>
      </c>
    </row>
    <row r="25" spans="1:2" x14ac:dyDescent="0.3">
      <c r="A25" s="59" t="s">
        <v>854</v>
      </c>
      <c r="B25">
        <v>72877.954733737948</v>
      </c>
    </row>
    <row r="26" spans="1:2" x14ac:dyDescent="0.3">
      <c r="A26" s="59" t="s">
        <v>817</v>
      </c>
      <c r="B26">
        <v>69214.494049405592</v>
      </c>
    </row>
    <row r="27" spans="1:2" x14ac:dyDescent="0.3">
      <c r="A27" s="59" t="s">
        <v>522</v>
      </c>
      <c r="B27">
        <v>158482.11879816838</v>
      </c>
    </row>
    <row r="28" spans="1:2" x14ac:dyDescent="0.3">
      <c r="A28" s="59" t="s">
        <v>48</v>
      </c>
      <c r="B28">
        <v>68356.054875376125</v>
      </c>
    </row>
    <row r="29" spans="1:2" x14ac:dyDescent="0.3">
      <c r="A29" s="59" t="s">
        <v>850</v>
      </c>
      <c r="B29">
        <v>99147.792084913439</v>
      </c>
    </row>
    <row r="30" spans="1:2" x14ac:dyDescent="0.3">
      <c r="A30" s="59" t="s">
        <v>927</v>
      </c>
      <c r="B30">
        <v>82591.180462160468</v>
      </c>
    </row>
    <row r="31" spans="1:2" x14ac:dyDescent="0.3">
      <c r="A31" s="59" t="s">
        <v>880</v>
      </c>
      <c r="B31">
        <v>77359.168054586597</v>
      </c>
    </row>
    <row r="32" spans="1:2" x14ac:dyDescent="0.3">
      <c r="A32" s="59" t="s">
        <v>799</v>
      </c>
      <c r="B32">
        <v>110486.0952449482</v>
      </c>
    </row>
    <row r="33" spans="1:2" x14ac:dyDescent="0.3">
      <c r="A33" s="59" t="s">
        <v>864</v>
      </c>
      <c r="B33">
        <v>68356.054875376125</v>
      </c>
    </row>
    <row r="34" spans="1:2" x14ac:dyDescent="0.3">
      <c r="A34" s="59" t="s">
        <v>54</v>
      </c>
      <c r="B34">
        <v>125986.91042105544</v>
      </c>
    </row>
    <row r="35" spans="1:2" x14ac:dyDescent="0.3">
      <c r="A35" s="59" t="s">
        <v>825</v>
      </c>
      <c r="B35">
        <v>70706.369224623049</v>
      </c>
    </row>
    <row r="36" spans="1:2" x14ac:dyDescent="0.3">
      <c r="A36" s="59" t="s">
        <v>58</v>
      </c>
      <c r="B36">
        <v>70260.734628566177</v>
      </c>
    </row>
    <row r="37" spans="1:2" x14ac:dyDescent="0.3">
      <c r="A37" s="59" t="s">
        <v>59</v>
      </c>
      <c r="B37">
        <v>110486.0952449482</v>
      </c>
    </row>
    <row r="38" spans="1:2" x14ac:dyDescent="0.3">
      <c r="A38" s="59" t="s">
        <v>912</v>
      </c>
      <c r="B38">
        <v>82591.180462160468</v>
      </c>
    </row>
    <row r="39" spans="1:2" x14ac:dyDescent="0.3">
      <c r="A39" s="59" t="s">
        <v>61</v>
      </c>
      <c r="B39">
        <v>146983.61801476817</v>
      </c>
    </row>
    <row r="40" spans="1:2" x14ac:dyDescent="0.3">
      <c r="A40" s="59" t="s">
        <v>897</v>
      </c>
      <c r="B40">
        <v>66286.415973155439</v>
      </c>
    </row>
    <row r="41" spans="1:2" x14ac:dyDescent="0.3">
      <c r="A41" s="59" t="s">
        <v>691</v>
      </c>
      <c r="B41">
        <v>161346.15764781405</v>
      </c>
    </row>
    <row r="42" spans="1:2" x14ac:dyDescent="0.3">
      <c r="A42" s="59" t="s">
        <v>687</v>
      </c>
      <c r="B42">
        <v>110486.0952449482</v>
      </c>
    </row>
    <row r="43" spans="1:2" x14ac:dyDescent="0.3">
      <c r="A43" s="59" t="s">
        <v>884</v>
      </c>
      <c r="B43">
        <v>77359.168054586597</v>
      </c>
    </row>
    <row r="44" spans="1:2" x14ac:dyDescent="0.3">
      <c r="A44" s="59" t="s">
        <v>70</v>
      </c>
      <c r="B44">
        <v>68356.054875376125</v>
      </c>
    </row>
    <row r="45" spans="1:2" x14ac:dyDescent="0.3">
      <c r="A45" s="59" t="s">
        <v>71</v>
      </c>
      <c r="B45">
        <v>70260.734628566177</v>
      </c>
    </row>
    <row r="46" spans="1:2" x14ac:dyDescent="0.3">
      <c r="A46" s="59" t="s">
        <v>869</v>
      </c>
      <c r="B46">
        <v>344478.12695248611</v>
      </c>
    </row>
    <row r="47" spans="1:2" x14ac:dyDescent="0.3">
      <c r="A47" s="59" t="s">
        <v>871</v>
      </c>
      <c r="B47">
        <v>72667.720972774769</v>
      </c>
    </row>
    <row r="48" spans="1:2" x14ac:dyDescent="0.3">
      <c r="A48" s="59" t="s">
        <v>440</v>
      </c>
      <c r="B48">
        <v>87211.221857848665</v>
      </c>
    </row>
    <row r="49" spans="1:2" x14ac:dyDescent="0.3">
      <c r="A49" s="59" t="s">
        <v>438</v>
      </c>
      <c r="B49">
        <v>72877.954733737948</v>
      </c>
    </row>
    <row r="50" spans="1:2" x14ac:dyDescent="0.3">
      <c r="A50" s="59" t="s">
        <v>78</v>
      </c>
      <c r="B50">
        <v>72152.681035118585</v>
      </c>
    </row>
    <row r="51" spans="1:2" x14ac:dyDescent="0.3">
      <c r="A51" s="59" t="s">
        <v>532</v>
      </c>
      <c r="B51">
        <v>81229.022922361488</v>
      </c>
    </row>
    <row r="52" spans="1:2" x14ac:dyDescent="0.3">
      <c r="A52" s="59" t="s">
        <v>1438</v>
      </c>
      <c r="B52">
        <v>5033574.1696588639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A1812-AF3F-4DED-BDC7-1D34F4C6DB1A}">
  <dimension ref="A1:B49"/>
  <sheetViews>
    <sheetView workbookViewId="0">
      <selection activeCell="E22" sqref="E22"/>
    </sheetView>
  </sheetViews>
  <sheetFormatPr defaultRowHeight="13.8" x14ac:dyDescent="0.3"/>
  <cols>
    <col min="1" max="1" width="26.44140625" bestFit="1" customWidth="1"/>
    <col min="2" max="2" width="13.109375" style="19" bestFit="1" customWidth="1"/>
  </cols>
  <sheetData>
    <row r="1" spans="1:2" x14ac:dyDescent="0.3">
      <c r="A1" t="s">
        <v>157</v>
      </c>
      <c r="B1" s="19" t="s">
        <v>1444</v>
      </c>
    </row>
    <row r="2" spans="1:2" x14ac:dyDescent="0.3">
      <c r="A2" t="s">
        <v>873</v>
      </c>
      <c r="B2" s="19">
        <v>3.25</v>
      </c>
    </row>
    <row r="3" spans="1:2" x14ac:dyDescent="0.3">
      <c r="A3" t="s">
        <v>7</v>
      </c>
      <c r="B3" s="19">
        <v>2.5</v>
      </c>
    </row>
    <row r="4" spans="1:2" x14ac:dyDescent="0.3">
      <c r="A4" t="s">
        <v>346</v>
      </c>
      <c r="B4" s="19">
        <v>6.5900268382448797</v>
      </c>
    </row>
    <row r="5" spans="1:2" x14ac:dyDescent="0.3">
      <c r="A5" t="s">
        <v>925</v>
      </c>
      <c r="B5" s="19">
        <v>1.3894248629666022</v>
      </c>
    </row>
    <row r="6" spans="1:2" x14ac:dyDescent="0.3">
      <c r="A6" t="s">
        <v>812</v>
      </c>
      <c r="B6" s="19">
        <v>1.5806763812306639</v>
      </c>
    </row>
    <row r="7" spans="1:2" x14ac:dyDescent="0.3">
      <c r="A7" t="s">
        <v>862</v>
      </c>
      <c r="B7" s="19">
        <v>0.75264980525332092</v>
      </c>
    </row>
    <row r="8" spans="1:2" x14ac:dyDescent="0.3">
      <c r="A8" t="s">
        <v>882</v>
      </c>
      <c r="B8" s="19">
        <v>0.78423707313208679</v>
      </c>
    </row>
    <row r="9" spans="1:2" x14ac:dyDescent="0.3">
      <c r="A9" t="s">
        <v>21</v>
      </c>
      <c r="B9" s="19">
        <v>15.446351858149463</v>
      </c>
    </row>
    <row r="10" spans="1:2" x14ac:dyDescent="0.3">
      <c r="A10" t="s">
        <v>852</v>
      </c>
      <c r="B10" s="19">
        <v>0.79022382032227789</v>
      </c>
    </row>
    <row r="11" spans="1:2" x14ac:dyDescent="0.3">
      <c r="A11" t="s">
        <v>24</v>
      </c>
      <c r="B11" s="19">
        <v>11.139189777919212</v>
      </c>
    </row>
    <row r="12" spans="1:2" x14ac:dyDescent="0.3">
      <c r="A12" t="s">
        <v>775</v>
      </c>
      <c r="B12" s="19">
        <v>1.0426350561035722</v>
      </c>
    </row>
    <row r="13" spans="1:2" x14ac:dyDescent="0.3">
      <c r="A13" t="s">
        <v>886</v>
      </c>
      <c r="B13" s="19">
        <v>0.75</v>
      </c>
    </row>
    <row r="14" spans="1:2" x14ac:dyDescent="0.3">
      <c r="A14" t="s">
        <v>878</v>
      </c>
      <c r="B14" s="19">
        <v>1.1466290648202664</v>
      </c>
    </row>
    <row r="15" spans="1:2" x14ac:dyDescent="0.3">
      <c r="A15" t="s">
        <v>952</v>
      </c>
      <c r="B15" s="19">
        <v>1.3894248629666022</v>
      </c>
    </row>
    <row r="16" spans="1:2" x14ac:dyDescent="0.3">
      <c r="A16" t="s">
        <v>631</v>
      </c>
      <c r="B16" s="19">
        <v>2.1170956821339351</v>
      </c>
    </row>
    <row r="17" spans="1:2" x14ac:dyDescent="0.3">
      <c r="A17" t="s">
        <v>32</v>
      </c>
      <c r="B17" s="19">
        <v>6.5900268382448797</v>
      </c>
    </row>
    <row r="18" spans="1:2" x14ac:dyDescent="0.3">
      <c r="A18" t="s">
        <v>733</v>
      </c>
      <c r="B18" s="19">
        <v>6.3444422201305457</v>
      </c>
    </row>
    <row r="19" spans="1:2" x14ac:dyDescent="0.3">
      <c r="A19" t="s">
        <v>35</v>
      </c>
      <c r="B19" s="19">
        <v>3.8134144679735114</v>
      </c>
    </row>
    <row r="20" spans="1:2" x14ac:dyDescent="0.3">
      <c r="A20" t="s">
        <v>38</v>
      </c>
      <c r="B20" s="19">
        <v>1.3434882381767432</v>
      </c>
    </row>
    <row r="21" spans="1:2" x14ac:dyDescent="0.3">
      <c r="A21" t="s">
        <v>660</v>
      </c>
      <c r="B21" s="19">
        <v>5.3684070833387372</v>
      </c>
    </row>
    <row r="22" spans="1:2" x14ac:dyDescent="0.3">
      <c r="A22" t="s">
        <v>41</v>
      </c>
      <c r="B22" s="19">
        <v>2.4553748252721084</v>
      </c>
    </row>
    <row r="23" spans="1:2" x14ac:dyDescent="0.3">
      <c r="A23" t="s">
        <v>854</v>
      </c>
      <c r="B23" s="19">
        <v>1.4794834103460122</v>
      </c>
    </row>
    <row r="24" spans="1:2" x14ac:dyDescent="0.3">
      <c r="A24" t="s">
        <v>817</v>
      </c>
      <c r="B24" s="19">
        <v>1.4205369964896497</v>
      </c>
    </row>
    <row r="25" spans="1:2" x14ac:dyDescent="0.3">
      <c r="A25" t="s">
        <v>522</v>
      </c>
      <c r="B25" s="19">
        <v>3.1185649367813979</v>
      </c>
    </row>
    <row r="26" spans="1:2" x14ac:dyDescent="0.3">
      <c r="A26" t="s">
        <v>48</v>
      </c>
      <c r="B26" s="19">
        <v>0.97146367060579686</v>
      </c>
    </row>
    <row r="27" spans="1:2" x14ac:dyDescent="0.3">
      <c r="A27" t="s">
        <v>850</v>
      </c>
      <c r="B27" s="19">
        <v>1.2307641755925045</v>
      </c>
    </row>
    <row r="28" spans="1:2" x14ac:dyDescent="0.3">
      <c r="A28" t="s">
        <v>927</v>
      </c>
      <c r="B28" s="19">
        <v>0.9429848152367003</v>
      </c>
    </row>
    <row r="29" spans="1:2" x14ac:dyDescent="0.3">
      <c r="A29" t="s">
        <v>880</v>
      </c>
      <c r="B29" s="19">
        <v>1.4849540362195355</v>
      </c>
    </row>
    <row r="30" spans="1:2" x14ac:dyDescent="0.3">
      <c r="A30" t="s">
        <v>799</v>
      </c>
      <c r="B30" s="19">
        <v>6.5900268382448797</v>
      </c>
    </row>
    <row r="31" spans="1:2" x14ac:dyDescent="0.3">
      <c r="A31" t="s">
        <v>864</v>
      </c>
      <c r="B31" s="19">
        <v>0.97146367060579686</v>
      </c>
    </row>
    <row r="32" spans="1:2" x14ac:dyDescent="0.3">
      <c r="A32" t="s">
        <v>54</v>
      </c>
      <c r="B32" s="19">
        <v>2.0966159263653967</v>
      </c>
    </row>
    <row r="33" spans="1:2" x14ac:dyDescent="0.3">
      <c r="A33" t="s">
        <v>825</v>
      </c>
      <c r="B33" s="19">
        <v>1.0426350561035722</v>
      </c>
    </row>
    <row r="34" spans="1:2" x14ac:dyDescent="0.3">
      <c r="A34" t="s">
        <v>58</v>
      </c>
      <c r="B34" s="19">
        <v>1.0764283836997799</v>
      </c>
    </row>
    <row r="35" spans="1:2" x14ac:dyDescent="0.3">
      <c r="A35" t="s">
        <v>59</v>
      </c>
      <c r="B35" s="19">
        <v>6.5900268382448797</v>
      </c>
    </row>
    <row r="36" spans="1:2" x14ac:dyDescent="0.3">
      <c r="A36" t="s">
        <v>912</v>
      </c>
      <c r="B36" s="19">
        <v>0.9429848152367003</v>
      </c>
    </row>
    <row r="37" spans="1:2" x14ac:dyDescent="0.3">
      <c r="A37" t="s">
        <v>61</v>
      </c>
      <c r="B37" s="19">
        <v>2.6366146755556272</v>
      </c>
    </row>
    <row r="38" spans="1:2" x14ac:dyDescent="0.3">
      <c r="A38" t="s">
        <v>897</v>
      </c>
      <c r="B38" s="19">
        <v>1.020976097530419</v>
      </c>
    </row>
    <row r="39" spans="1:2" x14ac:dyDescent="0.3">
      <c r="A39" t="s">
        <v>691</v>
      </c>
      <c r="B39" s="19">
        <v>3.5806424888984369</v>
      </c>
    </row>
    <row r="40" spans="1:2" x14ac:dyDescent="0.3">
      <c r="A40" t="s">
        <v>687</v>
      </c>
      <c r="B40" s="19">
        <v>6.5900268382448797</v>
      </c>
    </row>
    <row r="41" spans="1:2" x14ac:dyDescent="0.3">
      <c r="A41" t="s">
        <v>884</v>
      </c>
      <c r="B41" s="19">
        <v>1.4849540362195355</v>
      </c>
    </row>
    <row r="42" spans="1:2" x14ac:dyDescent="0.3">
      <c r="A42" t="s">
        <v>70</v>
      </c>
      <c r="B42" s="19">
        <v>0.97146367060579686</v>
      </c>
    </row>
    <row r="43" spans="1:2" x14ac:dyDescent="0.3">
      <c r="A43" t="s">
        <v>71</v>
      </c>
      <c r="B43" s="19">
        <v>1.0764283836997799</v>
      </c>
    </row>
    <row r="44" spans="1:2" x14ac:dyDescent="0.3">
      <c r="A44" t="s">
        <v>869</v>
      </c>
      <c r="B44" s="19">
        <v>6.1064718303959511</v>
      </c>
    </row>
    <row r="45" spans="1:2" x14ac:dyDescent="0.3">
      <c r="A45" t="s">
        <v>871</v>
      </c>
      <c r="B45" s="19">
        <v>0.76558845019723076</v>
      </c>
    </row>
    <row r="46" spans="1:2" x14ac:dyDescent="0.3">
      <c r="A46" t="s">
        <v>440</v>
      </c>
      <c r="B46" s="19">
        <v>6.5</v>
      </c>
    </row>
    <row r="47" spans="1:2" x14ac:dyDescent="0.3">
      <c r="A47" t="s">
        <v>438</v>
      </c>
      <c r="B47" s="19">
        <v>1.4794834103460122</v>
      </c>
    </row>
    <row r="48" spans="1:2" x14ac:dyDescent="0.3">
      <c r="A48" t="s">
        <v>78</v>
      </c>
      <c r="B48" s="19">
        <v>1.8308787786446832</v>
      </c>
    </row>
    <row r="49" spans="1:2" x14ac:dyDescent="0.3">
      <c r="A49" t="s">
        <v>532</v>
      </c>
      <c r="B49" s="19">
        <v>2.7317924077831095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80C5-292D-419D-8695-9F77B7BD469E}">
  <dimension ref="B2:H51"/>
  <sheetViews>
    <sheetView workbookViewId="0">
      <selection activeCell="F20" sqref="F20"/>
    </sheetView>
  </sheetViews>
  <sheetFormatPr defaultRowHeight="13.8" x14ac:dyDescent="0.3"/>
  <cols>
    <col min="2" max="2" width="26.44140625" bestFit="1" customWidth="1"/>
    <col min="3" max="3" width="14.77734375" bestFit="1" customWidth="1"/>
    <col min="5" max="5" width="26.44140625" bestFit="1" customWidth="1"/>
    <col min="6" max="6" width="19.88671875" bestFit="1" customWidth="1"/>
    <col min="8" max="8" width="20.6640625" customWidth="1"/>
  </cols>
  <sheetData>
    <row r="2" spans="2:8" x14ac:dyDescent="0.3">
      <c r="B2" s="58" t="s">
        <v>1437</v>
      </c>
      <c r="C2" t="s">
        <v>1439</v>
      </c>
    </row>
    <row r="3" spans="2:8" x14ac:dyDescent="0.3">
      <c r="B3" s="59" t="s">
        <v>873</v>
      </c>
      <c r="C3">
        <v>115928.81299810966</v>
      </c>
      <c r="H3" s="19"/>
    </row>
    <row r="4" spans="2:8" x14ac:dyDescent="0.3">
      <c r="B4" s="59" t="s">
        <v>7</v>
      </c>
      <c r="C4">
        <v>48000</v>
      </c>
      <c r="H4" s="19"/>
    </row>
    <row r="5" spans="2:8" x14ac:dyDescent="0.3">
      <c r="B5" s="59" t="s">
        <v>346</v>
      </c>
      <c r="C5">
        <v>92974.742564298867</v>
      </c>
      <c r="H5" s="19"/>
    </row>
    <row r="6" spans="2:8" x14ac:dyDescent="0.3">
      <c r="B6" s="59" t="s">
        <v>925</v>
      </c>
      <c r="C6">
        <v>65814.976221147692</v>
      </c>
      <c r="H6" s="19"/>
    </row>
    <row r="7" spans="2:8" x14ac:dyDescent="0.3">
      <c r="B7" s="59" t="s">
        <v>812</v>
      </c>
      <c r="C7">
        <v>60714.971483488618</v>
      </c>
      <c r="H7" s="19"/>
    </row>
    <row r="8" spans="2:8" x14ac:dyDescent="0.3">
      <c r="B8" s="59" t="s">
        <v>862</v>
      </c>
      <c r="C8">
        <v>61897.857143266796</v>
      </c>
      <c r="H8" s="19"/>
    </row>
    <row r="9" spans="2:8" x14ac:dyDescent="0.3">
      <c r="B9" s="59" t="s">
        <v>882</v>
      </c>
      <c r="C9">
        <v>55656.645092919862</v>
      </c>
      <c r="H9" s="19"/>
    </row>
    <row r="10" spans="2:8" x14ac:dyDescent="0.3">
      <c r="B10" s="59" t="s">
        <v>21</v>
      </c>
      <c r="C10">
        <v>282405.18454591872</v>
      </c>
      <c r="H10" s="19"/>
    </row>
    <row r="11" spans="2:8" x14ac:dyDescent="0.3">
      <c r="B11" s="59" t="s">
        <v>852</v>
      </c>
      <c r="C11">
        <v>51176.910857713417</v>
      </c>
      <c r="H11" s="19"/>
    </row>
    <row r="12" spans="2:8" x14ac:dyDescent="0.3">
      <c r="B12" s="59" t="s">
        <v>24</v>
      </c>
      <c r="C12">
        <v>154718.66332843876</v>
      </c>
      <c r="H12" s="19"/>
    </row>
    <row r="13" spans="2:8" x14ac:dyDescent="0.3">
      <c r="B13" s="59" t="s">
        <v>775</v>
      </c>
      <c r="C13">
        <v>62706.369224623049</v>
      </c>
      <c r="H13" s="19"/>
    </row>
    <row r="14" spans="2:8" x14ac:dyDescent="0.3">
      <c r="B14" s="59" t="s">
        <v>886</v>
      </c>
      <c r="C14">
        <v>44428.571428571428</v>
      </c>
      <c r="H14" s="19"/>
    </row>
    <row r="15" spans="2:8" x14ac:dyDescent="0.3">
      <c r="B15" s="59" t="s">
        <v>878</v>
      </c>
      <c r="C15">
        <v>47185.001919257047</v>
      </c>
      <c r="H15" s="19"/>
    </row>
    <row r="16" spans="2:8" x14ac:dyDescent="0.3">
      <c r="B16" s="59" t="s">
        <v>952</v>
      </c>
      <c r="C16">
        <v>65814.976221147692</v>
      </c>
      <c r="H16" s="19"/>
    </row>
    <row r="17" spans="2:8" x14ac:dyDescent="0.3">
      <c r="B17" s="59" t="s">
        <v>631</v>
      </c>
      <c r="C17">
        <v>62633.001229891568</v>
      </c>
      <c r="H17" s="19"/>
    </row>
    <row r="18" spans="2:8" x14ac:dyDescent="0.3">
      <c r="B18" s="59" t="s">
        <v>32</v>
      </c>
      <c r="C18">
        <v>92974.742564298867</v>
      </c>
      <c r="H18" s="19"/>
    </row>
    <row r="19" spans="2:8" x14ac:dyDescent="0.3">
      <c r="B19" s="59" t="s">
        <v>733</v>
      </c>
      <c r="C19">
        <v>96000</v>
      </c>
      <c r="H19" s="19"/>
    </row>
    <row r="20" spans="2:8" x14ac:dyDescent="0.3">
      <c r="B20" s="59" t="s">
        <v>35</v>
      </c>
      <c r="C20">
        <v>131141.96749020557</v>
      </c>
      <c r="H20" s="19"/>
    </row>
    <row r="21" spans="2:8" x14ac:dyDescent="0.3">
      <c r="B21" s="59" t="s">
        <v>38</v>
      </c>
      <c r="C21">
        <v>53114.804651662824</v>
      </c>
      <c r="H21" s="19"/>
    </row>
    <row r="22" spans="2:8" x14ac:dyDescent="0.3">
      <c r="B22" s="59" t="s">
        <v>660</v>
      </c>
      <c r="C22">
        <v>178983.6180147682</v>
      </c>
      <c r="H22" s="19"/>
    </row>
    <row r="23" spans="2:8" x14ac:dyDescent="0.3">
      <c r="B23" s="59" t="s">
        <v>41</v>
      </c>
      <c r="C23">
        <v>113429.47923679493</v>
      </c>
      <c r="H23" s="19"/>
    </row>
    <row r="24" spans="2:8" x14ac:dyDescent="0.3">
      <c r="B24" s="59" t="s">
        <v>854</v>
      </c>
      <c r="C24">
        <v>57264.323133455633</v>
      </c>
      <c r="H24" s="19"/>
    </row>
    <row r="25" spans="2:8" x14ac:dyDescent="0.3">
      <c r="B25" s="59" t="s">
        <v>817</v>
      </c>
      <c r="C25">
        <v>53600.862449123269</v>
      </c>
      <c r="H25" s="19"/>
    </row>
    <row r="26" spans="2:8" x14ac:dyDescent="0.3">
      <c r="B26" s="59" t="s">
        <v>522</v>
      </c>
      <c r="C26">
        <v>104169.82934834032</v>
      </c>
      <c r="H26" s="19"/>
    </row>
    <row r="27" spans="2:8" x14ac:dyDescent="0.3">
      <c r="B27" s="59" t="s">
        <v>48</v>
      </c>
      <c r="C27">
        <v>52742.42327509381</v>
      </c>
      <c r="H27" s="19"/>
    </row>
    <row r="28" spans="2:8" x14ac:dyDescent="0.3">
      <c r="B28" s="59" t="s">
        <v>850</v>
      </c>
      <c r="C28">
        <v>83534.160484631124</v>
      </c>
      <c r="H28" s="19"/>
    </row>
    <row r="29" spans="2:8" x14ac:dyDescent="0.3">
      <c r="B29" s="59" t="s">
        <v>927</v>
      </c>
      <c r="C29">
        <v>68500.275181934616</v>
      </c>
      <c r="H29" s="19"/>
    </row>
    <row r="30" spans="2:8" x14ac:dyDescent="0.3">
      <c r="B30" s="59" t="s">
        <v>880</v>
      </c>
      <c r="C30">
        <v>57938.720654163102</v>
      </c>
      <c r="H30" s="19"/>
    </row>
    <row r="31" spans="2:8" x14ac:dyDescent="0.3">
      <c r="B31" s="59" t="s">
        <v>799</v>
      </c>
      <c r="C31">
        <v>96000</v>
      </c>
      <c r="H31" s="19"/>
    </row>
    <row r="32" spans="2:8" x14ac:dyDescent="0.3">
      <c r="B32" s="59" t="s">
        <v>864</v>
      </c>
      <c r="C32">
        <v>52742.42327509381</v>
      </c>
      <c r="H32" s="19"/>
    </row>
    <row r="33" spans="2:8" x14ac:dyDescent="0.3">
      <c r="B33" s="59" t="s">
        <v>54</v>
      </c>
      <c r="C33">
        <v>93998.284060462553</v>
      </c>
      <c r="H33" s="19"/>
    </row>
    <row r="34" spans="2:8" x14ac:dyDescent="0.3">
      <c r="B34" s="59" t="s">
        <v>825</v>
      </c>
      <c r="C34">
        <v>56615.46394439719</v>
      </c>
      <c r="H34" s="19"/>
    </row>
    <row r="35" spans="2:8" x14ac:dyDescent="0.3">
      <c r="B35" s="59" t="s">
        <v>58</v>
      </c>
      <c r="C35">
        <v>56169.829348340325</v>
      </c>
      <c r="H35" s="19"/>
    </row>
    <row r="36" spans="2:8" x14ac:dyDescent="0.3">
      <c r="B36" s="59" t="s">
        <v>59</v>
      </c>
      <c r="C36">
        <v>96000</v>
      </c>
      <c r="H36" s="19"/>
    </row>
    <row r="37" spans="2:8" x14ac:dyDescent="0.3">
      <c r="B37" s="59" t="s">
        <v>912</v>
      </c>
      <c r="C37">
        <v>68500.275181934616</v>
      </c>
      <c r="H37" s="19"/>
    </row>
    <row r="38" spans="2:8" x14ac:dyDescent="0.3">
      <c r="B38" s="59" t="s">
        <v>61</v>
      </c>
      <c r="C38">
        <v>114994.99165417532</v>
      </c>
      <c r="H38" s="19"/>
    </row>
    <row r="39" spans="2:8" x14ac:dyDescent="0.3">
      <c r="B39" s="59" t="s">
        <v>897</v>
      </c>
      <c r="C39">
        <v>52195.51069292958</v>
      </c>
      <c r="H39" s="19"/>
    </row>
    <row r="40" spans="2:8" x14ac:dyDescent="0.3">
      <c r="B40" s="59" t="s">
        <v>691</v>
      </c>
      <c r="C40">
        <v>133925.71024739055</v>
      </c>
      <c r="H40" s="19"/>
    </row>
    <row r="41" spans="2:8" x14ac:dyDescent="0.3">
      <c r="B41" s="59" t="s">
        <v>687</v>
      </c>
      <c r="C41">
        <v>96000</v>
      </c>
      <c r="H41" s="19"/>
    </row>
    <row r="42" spans="2:8" x14ac:dyDescent="0.3">
      <c r="B42" s="59" t="s">
        <v>884</v>
      </c>
      <c r="C42">
        <v>57938.720654163102</v>
      </c>
      <c r="H42" s="19"/>
    </row>
    <row r="43" spans="2:8" x14ac:dyDescent="0.3">
      <c r="B43" s="59" t="s">
        <v>70</v>
      </c>
      <c r="C43">
        <v>52742.42327509381</v>
      </c>
      <c r="H43" s="19"/>
    </row>
    <row r="44" spans="2:8" x14ac:dyDescent="0.3">
      <c r="B44" s="59" t="s">
        <v>71</v>
      </c>
      <c r="C44">
        <v>56169.829348340325</v>
      </c>
      <c r="H44" s="19"/>
    </row>
    <row r="45" spans="2:8" x14ac:dyDescent="0.3">
      <c r="B45" s="59" t="s">
        <v>869</v>
      </c>
      <c r="C45">
        <v>252950.18745191713</v>
      </c>
      <c r="H45" s="19"/>
    </row>
    <row r="46" spans="2:8" x14ac:dyDescent="0.3">
      <c r="B46" s="59" t="s">
        <v>871</v>
      </c>
      <c r="C46">
        <v>64667.720972774769</v>
      </c>
      <c r="H46" s="19"/>
    </row>
    <row r="47" spans="2:8" x14ac:dyDescent="0.3">
      <c r="B47" s="59" t="s">
        <v>440</v>
      </c>
      <c r="C47">
        <v>96000</v>
      </c>
      <c r="H47" s="19"/>
    </row>
    <row r="48" spans="2:8" x14ac:dyDescent="0.3">
      <c r="B48" s="59" t="s">
        <v>438</v>
      </c>
      <c r="C48">
        <v>57264.323133455633</v>
      </c>
      <c r="H48" s="19"/>
    </row>
    <row r="49" spans="2:8" x14ac:dyDescent="0.3">
      <c r="B49" s="59" t="s">
        <v>78</v>
      </c>
      <c r="C49">
        <v>56539.049434836263</v>
      </c>
      <c r="H49" s="19"/>
    </row>
    <row r="50" spans="2:8" x14ac:dyDescent="0.3">
      <c r="B50" s="59" t="s">
        <v>532</v>
      </c>
      <c r="C50">
        <v>61808.575521938008</v>
      </c>
      <c r="H50" s="19"/>
    </row>
    <row r="51" spans="2:8" x14ac:dyDescent="0.3">
      <c r="B51" s="59" t="s">
        <v>1438</v>
      </c>
      <c r="C51">
        <v>4088675.2089405083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BB216-2DB1-4761-A0E8-4E5F6DB4532F}">
  <dimension ref="B5:M74"/>
  <sheetViews>
    <sheetView workbookViewId="0">
      <selection activeCell="D6" sqref="D6:M19"/>
    </sheetView>
  </sheetViews>
  <sheetFormatPr defaultRowHeight="13.8" x14ac:dyDescent="0.3"/>
  <cols>
    <col min="4" max="4" width="10.6640625" bestFit="1" customWidth="1"/>
    <col min="5" max="5" width="12" bestFit="1" customWidth="1"/>
    <col min="6" max="6" width="14.88671875" bestFit="1" customWidth="1"/>
  </cols>
  <sheetData>
    <row r="5" spans="2:13" x14ac:dyDescent="0.3">
      <c r="D5" t="s">
        <v>8</v>
      </c>
      <c r="E5" t="s">
        <v>18</v>
      </c>
      <c r="F5" t="s">
        <v>12</v>
      </c>
      <c r="G5" t="s">
        <v>14</v>
      </c>
      <c r="H5" t="s">
        <v>16</v>
      </c>
      <c r="I5" t="s">
        <v>125</v>
      </c>
      <c r="J5" t="s">
        <v>34</v>
      </c>
      <c r="K5" t="s">
        <v>29</v>
      </c>
      <c r="L5" t="s">
        <v>110</v>
      </c>
      <c r="M5" t="s">
        <v>76</v>
      </c>
    </row>
    <row r="6" spans="2:13" x14ac:dyDescent="0.3">
      <c r="B6" s="97" t="s">
        <v>131</v>
      </c>
      <c r="C6" t="s">
        <v>80</v>
      </c>
      <c r="D6" s="4">
        <v>2.5</v>
      </c>
      <c r="E6" s="4">
        <v>0.75</v>
      </c>
      <c r="F6" s="4">
        <v>4.5</v>
      </c>
      <c r="G6" s="4">
        <v>1.5</v>
      </c>
      <c r="H6" s="4">
        <v>1.25</v>
      </c>
      <c r="I6" s="4">
        <v>6.8</v>
      </c>
      <c r="J6" s="4">
        <v>6.5</v>
      </c>
      <c r="K6" s="4">
        <v>1.2</v>
      </c>
      <c r="L6" s="4">
        <v>1.5</v>
      </c>
      <c r="M6" s="4">
        <v>6.5</v>
      </c>
    </row>
    <row r="7" spans="2:13" x14ac:dyDescent="0.3">
      <c r="B7" s="97"/>
      <c r="C7" t="s">
        <v>81</v>
      </c>
      <c r="D7" s="4">
        <f ca="1">(0.5+RAND())*$D$6</f>
        <v>2.9349349745643045</v>
      </c>
      <c r="E7" s="4">
        <f ca="1">(0.5+RAND())*E$6</f>
        <v>0.92535020869670259</v>
      </c>
      <c r="F7" s="4">
        <f t="shared" ref="F7:M19" ca="1" si="0">(0.5+RAND())*F$6</f>
        <v>5.5270533471885681</v>
      </c>
      <c r="G7" s="4">
        <f t="shared" ca="1" si="0"/>
        <v>1.0778108151283239</v>
      </c>
      <c r="H7" s="4">
        <f t="shared" ca="1" si="0"/>
        <v>1.0684408988588932</v>
      </c>
      <c r="I7" s="4">
        <f t="shared" ca="1" si="0"/>
        <v>6.0154672647879366</v>
      </c>
      <c r="J7" s="4">
        <f t="shared" ca="1" si="0"/>
        <v>5.8117770501039985</v>
      </c>
      <c r="K7" s="4">
        <f t="shared" ca="1" si="0"/>
        <v>1.2022493909801533</v>
      </c>
      <c r="L7" s="4">
        <f t="shared" ca="1" si="0"/>
        <v>0.83767594317509508</v>
      </c>
      <c r="M7" s="4">
        <f t="shared" ca="1" si="0"/>
        <v>4.1256593475785621</v>
      </c>
    </row>
    <row r="8" spans="2:13" x14ac:dyDescent="0.3">
      <c r="B8" s="97"/>
      <c r="C8" t="s">
        <v>82</v>
      </c>
      <c r="D8" s="4">
        <f t="shared" ref="D8:D19" ca="1" si="1">(0.5+RAND())*$D$6</f>
        <v>3.6840531746445802</v>
      </c>
      <c r="E8" s="4">
        <f t="shared" ref="E8:E19" ca="1" si="2">(0.5+RAND())*E$6</f>
        <v>0.6739503925555328</v>
      </c>
      <c r="F8" s="4">
        <f t="shared" ca="1" si="0"/>
        <v>3.3563855326736047</v>
      </c>
      <c r="G8" s="4">
        <f t="shared" ca="1" si="0"/>
        <v>1.8915305268802958</v>
      </c>
      <c r="H8" s="4">
        <f t="shared" ca="1" si="0"/>
        <v>1.3774576463797725</v>
      </c>
      <c r="I8" s="4">
        <f t="shared" ca="1" si="0"/>
        <v>8.30534553643826</v>
      </c>
      <c r="J8" s="4">
        <f t="shared" ca="1" si="0"/>
        <v>4.0207536269303805</v>
      </c>
      <c r="K8" s="4">
        <f t="shared" ca="1" si="0"/>
        <v>1.2384367215747127</v>
      </c>
      <c r="L8" s="4">
        <f t="shared" ca="1" si="0"/>
        <v>1.1936272384166025</v>
      </c>
      <c r="M8" s="4">
        <f t="shared" ca="1" si="0"/>
        <v>8.9146104882237136</v>
      </c>
    </row>
    <row r="9" spans="2:13" x14ac:dyDescent="0.3">
      <c r="B9" s="97"/>
      <c r="C9" t="s">
        <v>83</v>
      </c>
      <c r="D9" s="4">
        <f t="shared" ca="1" si="1"/>
        <v>2.8441522485409916</v>
      </c>
      <c r="E9" s="4">
        <f t="shared" ca="1" si="2"/>
        <v>0.87515448716779021</v>
      </c>
      <c r="F9" s="4">
        <f t="shared" ca="1" si="0"/>
        <v>4.8593276829757555</v>
      </c>
      <c r="G9" s="4">
        <f t="shared" ca="1" si="0"/>
        <v>1.2370815403509401</v>
      </c>
      <c r="H9" s="4">
        <f t="shared" ca="1" si="0"/>
        <v>0.90477911424072188</v>
      </c>
      <c r="I9" s="4">
        <f t="shared" ca="1" si="0"/>
        <v>9.2164286859818354</v>
      </c>
      <c r="J9" s="4">
        <f t="shared" ca="1" si="0"/>
        <v>6.4598801230172977</v>
      </c>
      <c r="K9" s="4">
        <f t="shared" ca="1" si="0"/>
        <v>0.64211614638222014</v>
      </c>
      <c r="L9" s="4">
        <f t="shared" ca="1" si="0"/>
        <v>2.0298289738245954</v>
      </c>
      <c r="M9" s="4">
        <f t="shared" ca="1" si="0"/>
        <v>9.4908757177938305</v>
      </c>
    </row>
    <row r="10" spans="2:13" x14ac:dyDescent="0.3">
      <c r="B10" s="97"/>
      <c r="C10" t="s">
        <v>84</v>
      </c>
      <c r="D10" s="4">
        <f t="shared" ca="1" si="1"/>
        <v>3.3661400627688987</v>
      </c>
      <c r="E10" s="4">
        <f t="shared" ca="1" si="2"/>
        <v>1.0473623137064141</v>
      </c>
      <c r="F10" s="4">
        <f t="shared" ca="1" si="0"/>
        <v>3.4438179898129091</v>
      </c>
      <c r="G10" s="4">
        <f t="shared" ca="1" si="0"/>
        <v>1.3030656880872975</v>
      </c>
      <c r="H10" s="4">
        <f t="shared" ca="1" si="0"/>
        <v>1.7739027845697342</v>
      </c>
      <c r="I10" s="4">
        <f t="shared" ca="1" si="0"/>
        <v>8.8217799365748224</v>
      </c>
      <c r="J10" s="4">
        <f t="shared" ca="1" si="0"/>
        <v>4.2396367590383122</v>
      </c>
      <c r="K10" s="4">
        <f t="shared" ca="1" si="0"/>
        <v>1.082074138196683</v>
      </c>
      <c r="L10" s="4">
        <f t="shared" ca="1" si="0"/>
        <v>1.067737178994884</v>
      </c>
      <c r="M10" s="4">
        <f t="shared" ca="1" si="0"/>
        <v>6.7014982389154083</v>
      </c>
    </row>
    <row r="11" spans="2:13" x14ac:dyDescent="0.3">
      <c r="B11" s="97"/>
      <c r="C11" t="s">
        <v>85</v>
      </c>
      <c r="D11" s="4">
        <f t="shared" ca="1" si="1"/>
        <v>2.7950804624666929</v>
      </c>
      <c r="E11" s="4">
        <f t="shared" ca="1" si="2"/>
        <v>0.91363590440921805</v>
      </c>
      <c r="F11" s="4">
        <f t="shared" ca="1" si="0"/>
        <v>5.8336987779578751</v>
      </c>
      <c r="G11" s="4">
        <f t="shared" ca="1" si="0"/>
        <v>2.0458916222756374</v>
      </c>
      <c r="H11" s="4">
        <f t="shared" ca="1" si="0"/>
        <v>1.7600775649628952</v>
      </c>
      <c r="I11" s="4">
        <f t="shared" ca="1" si="0"/>
        <v>6.5704019946239605</v>
      </c>
      <c r="J11" s="4">
        <f t="shared" ca="1" si="0"/>
        <v>4.7787172541655307</v>
      </c>
      <c r="K11" s="4">
        <f t="shared" ca="1" si="0"/>
        <v>1.420189516838136</v>
      </c>
      <c r="L11" s="4">
        <f t="shared" ca="1" si="0"/>
        <v>1.2962258334409515</v>
      </c>
      <c r="M11" s="4">
        <f t="shared" ca="1" si="0"/>
        <v>9.5369693342604815</v>
      </c>
    </row>
    <row r="12" spans="2:13" x14ac:dyDescent="0.3">
      <c r="B12" s="97"/>
      <c r="C12" t="s">
        <v>86</v>
      </c>
      <c r="D12" s="4">
        <f t="shared" ca="1" si="1"/>
        <v>3.4293525051049634</v>
      </c>
      <c r="E12" s="4">
        <f t="shared" ca="1" si="2"/>
        <v>0.46809069268964443</v>
      </c>
      <c r="F12" s="4">
        <f t="shared" ca="1" si="0"/>
        <v>4.7140671796694384</v>
      </c>
      <c r="G12" s="4">
        <f t="shared" ca="1" si="0"/>
        <v>1.8181980268443558</v>
      </c>
      <c r="H12" s="4">
        <f t="shared" ca="1" si="0"/>
        <v>1.1757237940175005</v>
      </c>
      <c r="I12" s="4">
        <f t="shared" ca="1" si="0"/>
        <v>5.3536940231565548</v>
      </c>
      <c r="J12" s="4">
        <f t="shared" ca="1" si="0"/>
        <v>7.8936396061005656</v>
      </c>
      <c r="K12" s="4">
        <f t="shared" ca="1" si="0"/>
        <v>0.974582576259301</v>
      </c>
      <c r="L12" s="4">
        <f t="shared" ca="1" si="0"/>
        <v>0.84672044151919534</v>
      </c>
      <c r="M12" s="4">
        <f t="shared" ca="1" si="0"/>
        <v>3.9504973264403715</v>
      </c>
    </row>
    <row r="13" spans="2:13" x14ac:dyDescent="0.3">
      <c r="B13" s="97"/>
      <c r="C13" t="s">
        <v>87</v>
      </c>
      <c r="D13" s="4">
        <f t="shared" ca="1" si="1"/>
        <v>2.4199137592226911</v>
      </c>
      <c r="E13" s="4">
        <f t="shared" ca="1" si="2"/>
        <v>0.95054852285058344</v>
      </c>
      <c r="F13" s="4">
        <f t="shared" ca="1" si="0"/>
        <v>6.4942597799604389</v>
      </c>
      <c r="G13" s="4">
        <f t="shared" ca="1" si="0"/>
        <v>1.1568803364638796</v>
      </c>
      <c r="H13" s="4">
        <f t="shared" ca="1" si="0"/>
        <v>1.874285656313595</v>
      </c>
      <c r="I13" s="4">
        <f t="shared" ca="1" si="0"/>
        <v>6.9259636223396113</v>
      </c>
      <c r="J13" s="4">
        <f t="shared" ca="1" si="0"/>
        <v>5.9367711283191484</v>
      </c>
      <c r="K13" s="4">
        <f t="shared" ca="1" si="0"/>
        <v>0.60730950397642836</v>
      </c>
      <c r="L13" s="4">
        <f t="shared" ca="1" si="0"/>
        <v>1.8366353190976201</v>
      </c>
      <c r="M13" s="4">
        <f t="shared" ca="1" si="0"/>
        <v>3.2581959858095297</v>
      </c>
    </row>
    <row r="14" spans="2:13" x14ac:dyDescent="0.3">
      <c r="B14" s="97"/>
      <c r="C14" t="s">
        <v>88</v>
      </c>
      <c r="D14" s="4">
        <f t="shared" ca="1" si="1"/>
        <v>2.0563188719744341</v>
      </c>
      <c r="E14" s="4">
        <f t="shared" ca="1" si="2"/>
        <v>0.76260053949786633</v>
      </c>
      <c r="F14" s="4">
        <f t="shared" ca="1" si="0"/>
        <v>4.1620369973128932</v>
      </c>
      <c r="G14" s="4">
        <f t="shared" ca="1" si="0"/>
        <v>1.556901536186464</v>
      </c>
      <c r="H14" s="4">
        <f t="shared" ca="1" si="0"/>
        <v>1.1374703486214812</v>
      </c>
      <c r="I14" s="4">
        <f t="shared" ca="1" si="0"/>
        <v>5.7235031947808013</v>
      </c>
      <c r="J14" s="4">
        <f t="shared" ca="1" si="0"/>
        <v>9.4911590663553493</v>
      </c>
      <c r="K14" s="4">
        <f t="shared" ca="1" si="0"/>
        <v>0.89583543478622407</v>
      </c>
      <c r="L14" s="4">
        <f t="shared" ca="1" si="0"/>
        <v>0.94666651729755258</v>
      </c>
      <c r="M14" s="4">
        <f t="shared" ca="1" si="0"/>
        <v>8.389460919145737</v>
      </c>
    </row>
    <row r="15" spans="2:13" x14ac:dyDescent="0.3">
      <c r="B15" s="97"/>
      <c r="C15" t="s">
        <v>89</v>
      </c>
      <c r="D15" s="4">
        <f t="shared" ca="1" si="1"/>
        <v>3.3176750545383191</v>
      </c>
      <c r="E15" s="4">
        <f t="shared" ca="1" si="2"/>
        <v>0.70998392213539985</v>
      </c>
      <c r="F15" s="4">
        <f t="shared" ca="1" si="0"/>
        <v>5.7372258526727204</v>
      </c>
      <c r="G15" s="4">
        <f t="shared" ca="1" si="0"/>
        <v>1.1912841650391823</v>
      </c>
      <c r="H15" s="4">
        <f t="shared" ca="1" si="0"/>
        <v>1.5015032260205281</v>
      </c>
      <c r="I15" s="4">
        <f t="shared" ca="1" si="0"/>
        <v>6.881590292665055</v>
      </c>
      <c r="J15" s="4">
        <f t="shared" ca="1" si="0"/>
        <v>7.7896641755520282</v>
      </c>
      <c r="K15" s="4">
        <f t="shared" ca="1" si="0"/>
        <v>1.4345065066685252</v>
      </c>
      <c r="L15" s="4">
        <f t="shared" ca="1" si="0"/>
        <v>2.24950460456329</v>
      </c>
      <c r="M15" s="4">
        <f t="shared" ca="1" si="0"/>
        <v>8.2628549107625169</v>
      </c>
    </row>
    <row r="16" spans="2:13" x14ac:dyDescent="0.3">
      <c r="B16" s="97"/>
      <c r="C16" t="s">
        <v>90</v>
      </c>
      <c r="D16" s="4">
        <f t="shared" ca="1" si="1"/>
        <v>2.9950776330975506</v>
      </c>
      <c r="E16" s="4">
        <f t="shared" ca="1" si="2"/>
        <v>0.68750368770648351</v>
      </c>
      <c r="F16" s="4">
        <f t="shared" ca="1" si="0"/>
        <v>2.8581461225727369</v>
      </c>
      <c r="G16" s="4">
        <f t="shared" ca="1" si="0"/>
        <v>1.309897570317109</v>
      </c>
      <c r="H16" s="4">
        <f t="shared" ca="1" si="0"/>
        <v>1.2313036866906544</v>
      </c>
      <c r="I16" s="4">
        <f t="shared" ca="1" si="0"/>
        <v>7.1877580743981087</v>
      </c>
      <c r="J16" s="4">
        <f t="shared" ca="1" si="0"/>
        <v>9.7297158595803257</v>
      </c>
      <c r="K16" s="4">
        <f t="shared" ca="1" si="0"/>
        <v>1.3874757958981363</v>
      </c>
      <c r="L16" s="4">
        <f t="shared" ca="1" si="0"/>
        <v>0.84997681944957026</v>
      </c>
      <c r="M16" s="4">
        <f t="shared" ca="1" si="0"/>
        <v>6.6673579622272987</v>
      </c>
    </row>
    <row r="17" spans="2:13" x14ac:dyDescent="0.3">
      <c r="B17" s="97"/>
      <c r="C17" t="s">
        <v>91</v>
      </c>
      <c r="D17" s="4">
        <f t="shared" ca="1" si="1"/>
        <v>1.3938385502228312</v>
      </c>
      <c r="E17" s="4">
        <f t="shared" ca="1" si="2"/>
        <v>0.69384311144647015</v>
      </c>
      <c r="F17" s="4">
        <f t="shared" ca="1" si="0"/>
        <v>5.258898147601327</v>
      </c>
      <c r="G17" s="4">
        <f t="shared" ca="1" si="0"/>
        <v>1.2484446820775432</v>
      </c>
      <c r="H17" s="4">
        <f t="shared" ca="1" si="0"/>
        <v>1.1034107580831678</v>
      </c>
      <c r="I17" s="4">
        <f t="shared" ca="1" si="0"/>
        <v>9.425402895153244</v>
      </c>
      <c r="J17" s="4">
        <f t="shared" ca="1" si="0"/>
        <v>8.0411982225556713</v>
      </c>
      <c r="K17" s="4">
        <f t="shared" ca="1" si="0"/>
        <v>1.4079672081727079</v>
      </c>
      <c r="L17" s="4">
        <f t="shared" ca="1" si="0"/>
        <v>1.4669161914436188</v>
      </c>
      <c r="M17" s="4">
        <f t="shared" ca="1" si="0"/>
        <v>4.6317233519649816</v>
      </c>
    </row>
    <row r="18" spans="2:13" x14ac:dyDescent="0.3">
      <c r="B18" s="97"/>
      <c r="C18" t="s">
        <v>92</v>
      </c>
      <c r="D18" s="4">
        <f t="shared" ca="1" si="1"/>
        <v>3.3816371245262977</v>
      </c>
      <c r="E18" s="4">
        <f t="shared" ca="1" si="2"/>
        <v>1.0628176495747266</v>
      </c>
      <c r="F18" s="4">
        <f t="shared" ca="1" si="0"/>
        <v>3.0619725506544104</v>
      </c>
      <c r="G18" s="4">
        <f t="shared" ca="1" si="0"/>
        <v>0.75873207543802401</v>
      </c>
      <c r="H18" s="4">
        <f t="shared" ca="1" si="0"/>
        <v>1.1565567316132388</v>
      </c>
      <c r="I18" s="4">
        <f t="shared" ca="1" si="0"/>
        <v>7.113567843268668</v>
      </c>
      <c r="J18" s="4">
        <f t="shared" ca="1" si="0"/>
        <v>6.9246782048104967</v>
      </c>
      <c r="K18" s="4">
        <f t="shared" ca="1" si="0"/>
        <v>1.2618675962980415</v>
      </c>
      <c r="L18" s="4">
        <f t="shared" ca="1" si="0"/>
        <v>0.84934187928917926</v>
      </c>
      <c r="M18" s="4">
        <f t="shared" ca="1" si="0"/>
        <v>9.6324274458687391</v>
      </c>
    </row>
    <row r="19" spans="2:13" x14ac:dyDescent="0.3">
      <c r="B19" s="97"/>
      <c r="C19" t="s">
        <v>93</v>
      </c>
      <c r="D19" s="4">
        <f t="shared" ca="1" si="1"/>
        <v>3.0115243876773827</v>
      </c>
      <c r="E19" s="4">
        <f t="shared" ca="1" si="2"/>
        <v>0.45458135764742141</v>
      </c>
      <c r="F19" s="4">
        <f t="shared" ca="1" si="0"/>
        <v>2.8786982120942781</v>
      </c>
      <c r="G19" s="4">
        <f t="shared" ca="1" si="0"/>
        <v>1.0473504842981907</v>
      </c>
      <c r="H19" s="4">
        <f t="shared" ca="1" si="0"/>
        <v>1.0378133579511131</v>
      </c>
      <c r="I19" s="4">
        <f t="shared" ca="1" si="0"/>
        <v>7.2827354967026832</v>
      </c>
      <c r="J19" s="4">
        <f t="shared" ca="1" si="0"/>
        <v>3.7144767566452428</v>
      </c>
      <c r="K19" s="4">
        <f t="shared" ca="1" si="0"/>
        <v>1.0226760977328471</v>
      </c>
      <c r="L19" s="4">
        <f t="shared" ca="1" si="0"/>
        <v>1.5081045799582866</v>
      </c>
      <c r="M19" s="4">
        <f t="shared" ca="1" si="0"/>
        <v>8.1341579577898884</v>
      </c>
    </row>
    <row r="24" spans="2:13" x14ac:dyDescent="0.3">
      <c r="D24" t="s">
        <v>8</v>
      </c>
      <c r="E24" t="s">
        <v>18</v>
      </c>
      <c r="F24" t="s">
        <v>12</v>
      </c>
      <c r="G24" t="s">
        <v>14</v>
      </c>
      <c r="H24" t="s">
        <v>16</v>
      </c>
      <c r="I24" t="s">
        <v>125</v>
      </c>
      <c r="J24" t="s">
        <v>34</v>
      </c>
      <c r="K24" t="s">
        <v>29</v>
      </c>
      <c r="L24" t="s">
        <v>110</v>
      </c>
      <c r="M24" t="s">
        <v>76</v>
      </c>
    </row>
    <row r="25" spans="2:13" x14ac:dyDescent="0.3">
      <c r="B25" s="97" t="s">
        <v>94</v>
      </c>
      <c r="C25" t="s">
        <v>80</v>
      </c>
      <c r="D25" s="4">
        <v>9</v>
      </c>
      <c r="E25" s="4">
        <v>14</v>
      </c>
      <c r="F25" s="4">
        <v>7</v>
      </c>
      <c r="G25" s="4">
        <v>12</v>
      </c>
      <c r="H25" s="4">
        <v>12</v>
      </c>
      <c r="I25" s="4">
        <v>5</v>
      </c>
      <c r="J25" s="4">
        <v>7</v>
      </c>
      <c r="K25" s="4">
        <v>15</v>
      </c>
      <c r="L25" s="4">
        <v>11</v>
      </c>
      <c r="M25" s="4">
        <v>7</v>
      </c>
    </row>
    <row r="26" spans="2:13" x14ac:dyDescent="0.3">
      <c r="B26" s="97"/>
      <c r="C26" t="s">
        <v>81</v>
      </c>
      <c r="D26" s="4">
        <f ca="1">(0.5+RAND())*D$25</f>
        <v>7.6286961674239135</v>
      </c>
      <c r="E26" s="4">
        <f t="shared" ref="E26:M38" ca="1" si="3">(0.5+RAND())*E$25</f>
        <v>18.666100303484885</v>
      </c>
      <c r="F26" s="4">
        <f t="shared" ca="1" si="3"/>
        <v>7.0411234544964607</v>
      </c>
      <c r="G26" s="4">
        <f t="shared" ca="1" si="3"/>
        <v>13.176487591193055</v>
      </c>
      <c r="H26" s="4">
        <f t="shared" ca="1" si="3"/>
        <v>9.0964709127879466</v>
      </c>
      <c r="I26" s="4">
        <f t="shared" ca="1" si="3"/>
        <v>5.1388475978279065</v>
      </c>
      <c r="J26" s="4">
        <f t="shared" ca="1" si="3"/>
        <v>5.5761200543105902</v>
      </c>
      <c r="K26" s="4">
        <f t="shared" ca="1" si="3"/>
        <v>11.514506132572347</v>
      </c>
      <c r="L26" s="4">
        <f t="shared" ca="1" si="3"/>
        <v>15.335159250126662</v>
      </c>
      <c r="M26" s="4">
        <f t="shared" ca="1" si="3"/>
        <v>7.1067558348742139</v>
      </c>
    </row>
    <row r="27" spans="2:13" x14ac:dyDescent="0.3">
      <c r="B27" s="97"/>
      <c r="C27" t="s">
        <v>82</v>
      </c>
      <c r="D27" s="4">
        <f t="shared" ref="D27:D38" ca="1" si="4">(0.5+RAND())*D$25</f>
        <v>13.440759506060063</v>
      </c>
      <c r="E27" s="4">
        <f t="shared" ca="1" si="3"/>
        <v>11.849440305060279</v>
      </c>
      <c r="F27" s="4">
        <f t="shared" ca="1" si="3"/>
        <v>8.926312174885993</v>
      </c>
      <c r="G27" s="4">
        <f t="shared" ca="1" si="3"/>
        <v>11.625386414421925</v>
      </c>
      <c r="H27" s="4">
        <f t="shared" ca="1" si="3"/>
        <v>9.7264660175531823</v>
      </c>
      <c r="I27" s="4">
        <f t="shared" ca="1" si="3"/>
        <v>4.664811074510669</v>
      </c>
      <c r="J27" s="4">
        <f t="shared" ca="1" si="3"/>
        <v>4.394467756738659</v>
      </c>
      <c r="K27" s="4">
        <f t="shared" ca="1" si="3"/>
        <v>8.2925373471161148</v>
      </c>
      <c r="L27" s="4">
        <f t="shared" ca="1" si="3"/>
        <v>5.5095305959899434</v>
      </c>
      <c r="M27" s="4">
        <f t="shared" ca="1" si="3"/>
        <v>4.6773628701566112</v>
      </c>
    </row>
    <row r="28" spans="2:13" x14ac:dyDescent="0.3">
      <c r="B28" s="97"/>
      <c r="C28" t="s">
        <v>83</v>
      </c>
      <c r="D28" s="4">
        <f t="shared" ca="1" si="4"/>
        <v>6.124721188092459</v>
      </c>
      <c r="E28" s="4">
        <f t="shared" ca="1" si="3"/>
        <v>10.448202069825141</v>
      </c>
      <c r="F28" s="4">
        <f t="shared" ca="1" si="3"/>
        <v>6.0614540149155296</v>
      </c>
      <c r="G28" s="4">
        <f t="shared" ca="1" si="3"/>
        <v>6.1133984864453819</v>
      </c>
      <c r="H28" s="4">
        <f t="shared" ca="1" si="3"/>
        <v>14.648488843327632</v>
      </c>
      <c r="I28" s="4">
        <f t="shared" ca="1" si="3"/>
        <v>5.8093084058531765</v>
      </c>
      <c r="J28" s="4">
        <f t="shared" ca="1" si="3"/>
        <v>7.3904738790195683</v>
      </c>
      <c r="K28" s="4">
        <f t="shared" ca="1" si="3"/>
        <v>9.5154742294479675</v>
      </c>
      <c r="L28" s="4">
        <f t="shared" ca="1" si="3"/>
        <v>13.084986757248005</v>
      </c>
      <c r="M28" s="4">
        <f t="shared" ca="1" si="3"/>
        <v>6.4819743119469475</v>
      </c>
    </row>
    <row r="29" spans="2:13" x14ac:dyDescent="0.3">
      <c r="B29" s="97"/>
      <c r="C29" t="s">
        <v>84</v>
      </c>
      <c r="D29" s="4">
        <f t="shared" ca="1" si="4"/>
        <v>6.9031561254256779</v>
      </c>
      <c r="E29" s="4">
        <f t="shared" ca="1" si="3"/>
        <v>15.571019360539911</v>
      </c>
      <c r="F29" s="4">
        <f t="shared" ca="1" si="3"/>
        <v>4.4579734614506465</v>
      </c>
      <c r="G29" s="4">
        <f t="shared" ca="1" si="3"/>
        <v>7.9574100401739658</v>
      </c>
      <c r="H29" s="4">
        <f t="shared" ca="1" si="3"/>
        <v>15.520933947906117</v>
      </c>
      <c r="I29" s="4">
        <f t="shared" ca="1" si="3"/>
        <v>4.1984639592336856</v>
      </c>
      <c r="J29" s="4">
        <f t="shared" ca="1" si="3"/>
        <v>7.8848412922825721</v>
      </c>
      <c r="K29" s="4">
        <f t="shared" ca="1" si="3"/>
        <v>22.111529214519983</v>
      </c>
      <c r="L29" s="4">
        <f t="shared" ca="1" si="3"/>
        <v>14.547177117155654</v>
      </c>
      <c r="M29" s="4">
        <f t="shared" ca="1" si="3"/>
        <v>6.9572939562243743</v>
      </c>
    </row>
    <row r="30" spans="2:13" x14ac:dyDescent="0.3">
      <c r="B30" s="97"/>
      <c r="C30" t="s">
        <v>85</v>
      </c>
      <c r="D30" s="4">
        <f t="shared" ca="1" si="4"/>
        <v>11.198999971920815</v>
      </c>
      <c r="E30" s="4">
        <f t="shared" ca="1" si="3"/>
        <v>14.527976028877193</v>
      </c>
      <c r="F30" s="4">
        <f t="shared" ca="1" si="3"/>
        <v>8.1958663444591373</v>
      </c>
      <c r="G30" s="4">
        <f t="shared" ca="1" si="3"/>
        <v>17.162820237995298</v>
      </c>
      <c r="H30" s="4">
        <f t="shared" ca="1" si="3"/>
        <v>11.139784142159504</v>
      </c>
      <c r="I30" s="4">
        <f t="shared" ca="1" si="3"/>
        <v>4.1033658852592527</v>
      </c>
      <c r="J30" s="4">
        <f t="shared" ca="1" si="3"/>
        <v>6.8134431842467844</v>
      </c>
      <c r="K30" s="4">
        <f t="shared" ca="1" si="3"/>
        <v>19.623146998968753</v>
      </c>
      <c r="L30" s="4">
        <f t="shared" ca="1" si="3"/>
        <v>10.199728073325559</v>
      </c>
      <c r="M30" s="4">
        <f t="shared" ca="1" si="3"/>
        <v>10.248095726082756</v>
      </c>
    </row>
    <row r="31" spans="2:13" x14ac:dyDescent="0.3">
      <c r="B31" s="97"/>
      <c r="C31" t="s">
        <v>86</v>
      </c>
      <c r="D31" s="4">
        <f t="shared" ca="1" si="4"/>
        <v>13.34448642181782</v>
      </c>
      <c r="E31" s="4">
        <f t="shared" ca="1" si="3"/>
        <v>7.310288586600139</v>
      </c>
      <c r="F31" s="4">
        <f t="shared" ca="1" si="3"/>
        <v>6.3798204651666861</v>
      </c>
      <c r="G31" s="4">
        <f t="shared" ca="1" si="3"/>
        <v>13.983403270094021</v>
      </c>
      <c r="H31" s="4">
        <f t="shared" ca="1" si="3"/>
        <v>14.68847439696972</v>
      </c>
      <c r="I31" s="4">
        <f t="shared" ca="1" si="3"/>
        <v>6.4093453933631519</v>
      </c>
      <c r="J31" s="4">
        <f t="shared" ca="1" si="3"/>
        <v>5.6219722835570662</v>
      </c>
      <c r="K31" s="4">
        <f t="shared" ca="1" si="3"/>
        <v>15.243673834449892</v>
      </c>
      <c r="L31" s="4">
        <f t="shared" ca="1" si="3"/>
        <v>15.895832934820104</v>
      </c>
      <c r="M31" s="4">
        <f t="shared" ca="1" si="3"/>
        <v>10.196026552629395</v>
      </c>
    </row>
    <row r="32" spans="2:13" x14ac:dyDescent="0.3">
      <c r="B32" s="97"/>
      <c r="C32" t="s">
        <v>87</v>
      </c>
      <c r="D32" s="4">
        <f t="shared" ca="1" si="4"/>
        <v>7.5131787092039914</v>
      </c>
      <c r="E32" s="4">
        <f t="shared" ca="1" si="3"/>
        <v>10.481521274767717</v>
      </c>
      <c r="F32" s="4">
        <f t="shared" ca="1" si="3"/>
        <v>7.514492238322859</v>
      </c>
      <c r="G32" s="4">
        <f t="shared" ca="1" si="3"/>
        <v>11.197098827126851</v>
      </c>
      <c r="H32" s="4">
        <f t="shared" ca="1" si="3"/>
        <v>17.72160437498415</v>
      </c>
      <c r="I32" s="4">
        <f t="shared" ca="1" si="3"/>
        <v>5.663802368732858</v>
      </c>
      <c r="J32" s="4">
        <f t="shared" ca="1" si="3"/>
        <v>8.5991377364209605</v>
      </c>
      <c r="K32" s="4">
        <f t="shared" ca="1" si="3"/>
        <v>20.266256827240564</v>
      </c>
      <c r="L32" s="4">
        <f t="shared" ca="1" si="3"/>
        <v>15.746274310710595</v>
      </c>
      <c r="M32" s="4">
        <f t="shared" ca="1" si="3"/>
        <v>10.373577416942238</v>
      </c>
    </row>
    <row r="33" spans="2:13" x14ac:dyDescent="0.3">
      <c r="B33" s="97"/>
      <c r="C33" t="s">
        <v>88</v>
      </c>
      <c r="D33" s="4">
        <f t="shared" ca="1" si="4"/>
        <v>7.5370093588147054</v>
      </c>
      <c r="E33" s="4">
        <f t="shared" ca="1" si="3"/>
        <v>10.036120186887178</v>
      </c>
      <c r="F33" s="4">
        <f t="shared" ca="1" si="3"/>
        <v>4.2137614112236861</v>
      </c>
      <c r="G33" s="4">
        <f t="shared" ca="1" si="3"/>
        <v>16.256318978716848</v>
      </c>
      <c r="H33" s="4">
        <f t="shared" ca="1" si="3"/>
        <v>17.440611644898954</v>
      </c>
      <c r="I33" s="4">
        <f t="shared" ca="1" si="3"/>
        <v>6.7855074398330721</v>
      </c>
      <c r="J33" s="4">
        <f t="shared" ca="1" si="3"/>
        <v>3.8280363892648062</v>
      </c>
      <c r="K33" s="4">
        <f t="shared" ca="1" si="3"/>
        <v>9.1470358703634389</v>
      </c>
      <c r="L33" s="4">
        <f t="shared" ca="1" si="3"/>
        <v>5.5330657252665771</v>
      </c>
      <c r="M33" s="4">
        <f t="shared" ca="1" si="3"/>
        <v>5.9641181342188352</v>
      </c>
    </row>
    <row r="34" spans="2:13" x14ac:dyDescent="0.3">
      <c r="B34" s="97"/>
      <c r="C34" t="s">
        <v>89</v>
      </c>
      <c r="D34" s="4">
        <f t="shared" ca="1" si="4"/>
        <v>10.050269424303568</v>
      </c>
      <c r="E34" s="4">
        <f t="shared" ca="1" si="3"/>
        <v>8.4711141713168718</v>
      </c>
      <c r="F34" s="4">
        <f t="shared" ca="1" si="3"/>
        <v>9.6792880349161923</v>
      </c>
      <c r="G34" s="4">
        <f t="shared" ca="1" si="3"/>
        <v>11.371052261683516</v>
      </c>
      <c r="H34" s="4">
        <f t="shared" ca="1" si="3"/>
        <v>14.705902521834075</v>
      </c>
      <c r="I34" s="4">
        <f t="shared" ca="1" si="3"/>
        <v>4.2801509423737532</v>
      </c>
      <c r="J34" s="4">
        <f t="shared" ca="1" si="3"/>
        <v>4.9236398825074454</v>
      </c>
      <c r="K34" s="4">
        <f t="shared" ca="1" si="3"/>
        <v>16.678533915833007</v>
      </c>
      <c r="L34" s="4">
        <f t="shared" ca="1" si="3"/>
        <v>10.325586476152386</v>
      </c>
      <c r="M34" s="4">
        <f t="shared" ca="1" si="3"/>
        <v>5.8910270108829925</v>
      </c>
    </row>
    <row r="35" spans="2:13" x14ac:dyDescent="0.3">
      <c r="B35" s="97"/>
      <c r="C35" t="s">
        <v>90</v>
      </c>
      <c r="D35" s="4">
        <f t="shared" ca="1" si="4"/>
        <v>12.770648755653692</v>
      </c>
      <c r="E35" s="4">
        <f t="shared" ca="1" si="3"/>
        <v>15.628636589613246</v>
      </c>
      <c r="F35" s="4">
        <f t="shared" ca="1" si="3"/>
        <v>8.6433050796080142</v>
      </c>
      <c r="G35" s="4">
        <f t="shared" ca="1" si="3"/>
        <v>14.929848089173666</v>
      </c>
      <c r="H35" s="4">
        <f t="shared" ca="1" si="3"/>
        <v>10.954050210685413</v>
      </c>
      <c r="I35" s="4">
        <f t="shared" ca="1" si="3"/>
        <v>6.7831917012958698</v>
      </c>
      <c r="J35" s="4">
        <f t="shared" ca="1" si="3"/>
        <v>8.0035064305315693</v>
      </c>
      <c r="K35" s="4">
        <f t="shared" ca="1" si="3"/>
        <v>15.492254014727894</v>
      </c>
      <c r="L35" s="4">
        <f t="shared" ca="1" si="3"/>
        <v>15.012637348835337</v>
      </c>
      <c r="M35" s="4">
        <f t="shared" ca="1" si="3"/>
        <v>4.0876787698817427</v>
      </c>
    </row>
    <row r="36" spans="2:13" x14ac:dyDescent="0.3">
      <c r="B36" s="97"/>
      <c r="C36" t="s">
        <v>91</v>
      </c>
      <c r="D36" s="4">
        <f t="shared" ca="1" si="4"/>
        <v>7.849354764340033</v>
      </c>
      <c r="E36" s="4">
        <f t="shared" ca="1" si="3"/>
        <v>17.578182119258539</v>
      </c>
      <c r="F36" s="4">
        <f t="shared" ca="1" si="3"/>
        <v>9.0015274743373475</v>
      </c>
      <c r="G36" s="4">
        <f t="shared" ca="1" si="3"/>
        <v>17.824857778707987</v>
      </c>
      <c r="H36" s="4">
        <f t="shared" ca="1" si="3"/>
        <v>16.805279166717149</v>
      </c>
      <c r="I36" s="4">
        <f t="shared" ca="1" si="3"/>
        <v>7.3407526739738156</v>
      </c>
      <c r="J36" s="4">
        <f t="shared" ca="1" si="3"/>
        <v>7.7863324771983162</v>
      </c>
      <c r="K36" s="4">
        <f t="shared" ca="1" si="3"/>
        <v>18.467286695874872</v>
      </c>
      <c r="L36" s="4">
        <f t="shared" ca="1" si="3"/>
        <v>13.944356516262822</v>
      </c>
      <c r="M36" s="4">
        <f t="shared" ca="1" si="3"/>
        <v>6.02169982158967</v>
      </c>
    </row>
    <row r="37" spans="2:13" x14ac:dyDescent="0.3">
      <c r="B37" s="97"/>
      <c r="C37" t="s">
        <v>92</v>
      </c>
      <c r="D37" s="4">
        <f t="shared" ca="1" si="4"/>
        <v>13.161865878480244</v>
      </c>
      <c r="E37" s="4">
        <f t="shared" ca="1" si="3"/>
        <v>16.729920802404642</v>
      </c>
      <c r="F37" s="4">
        <f t="shared" ca="1" si="3"/>
        <v>3.8260651195746394</v>
      </c>
      <c r="G37" s="4">
        <f t="shared" ca="1" si="3"/>
        <v>7.6217554514142876</v>
      </c>
      <c r="H37" s="4">
        <f t="shared" ca="1" si="3"/>
        <v>9.2126054477254673</v>
      </c>
      <c r="I37" s="4">
        <f t="shared" ca="1" si="3"/>
        <v>5.8065775368295292</v>
      </c>
      <c r="J37" s="4">
        <f t="shared" ca="1" si="3"/>
        <v>9.2591599702775103</v>
      </c>
      <c r="K37" s="4">
        <f t="shared" ca="1" si="3"/>
        <v>8.3811070175758555</v>
      </c>
      <c r="L37" s="4">
        <f t="shared" ca="1" si="3"/>
        <v>10.305189042127697</v>
      </c>
      <c r="M37" s="4">
        <f t="shared" ca="1" si="3"/>
        <v>9.6308652028866089</v>
      </c>
    </row>
    <row r="38" spans="2:13" x14ac:dyDescent="0.3">
      <c r="B38" s="97"/>
      <c r="C38" t="s">
        <v>93</v>
      </c>
      <c r="D38" s="4">
        <f t="shared" ca="1" si="4"/>
        <v>9.0084831808320835</v>
      </c>
      <c r="E38" s="4">
        <f t="shared" ca="1" si="3"/>
        <v>15.964253378445086</v>
      </c>
      <c r="F38" s="4">
        <f t="shared" ca="1" si="3"/>
        <v>4.0642244148678595</v>
      </c>
      <c r="G38" s="4">
        <f t="shared" ca="1" si="3"/>
        <v>9.8869178380288858</v>
      </c>
      <c r="H38" s="4">
        <f t="shared" ca="1" si="3"/>
        <v>9.6345651192015236</v>
      </c>
      <c r="I38" s="4">
        <f t="shared" ca="1" si="3"/>
        <v>5.8575222037592303</v>
      </c>
      <c r="J38" s="4">
        <f t="shared" ca="1" si="3"/>
        <v>9.4125069562966264</v>
      </c>
      <c r="K38" s="4">
        <f t="shared" ca="1" si="3"/>
        <v>12.115232189839958</v>
      </c>
      <c r="L38" s="4">
        <f t="shared" ca="1" si="3"/>
        <v>11.003615229954478</v>
      </c>
      <c r="M38" s="4">
        <f t="shared" ca="1" si="3"/>
        <v>9.7593398913786178</v>
      </c>
    </row>
    <row r="42" spans="2:13" x14ac:dyDescent="0.3">
      <c r="D42" t="s">
        <v>126</v>
      </c>
      <c r="E42" t="s">
        <v>127</v>
      </c>
    </row>
    <row r="43" spans="2:13" x14ac:dyDescent="0.3">
      <c r="B43" s="98" t="s">
        <v>132</v>
      </c>
      <c r="C43" t="s">
        <v>80</v>
      </c>
      <c r="D43">
        <v>1600</v>
      </c>
      <c r="E43">
        <v>92.3</v>
      </c>
    </row>
    <row r="44" spans="2:13" x14ac:dyDescent="0.3">
      <c r="B44" s="98"/>
      <c r="C44" t="s">
        <v>81</v>
      </c>
      <c r="D44" s="3">
        <v>2900</v>
      </c>
      <c r="E44" s="2">
        <v>100.490621572495</v>
      </c>
      <c r="F44" s="3"/>
    </row>
    <row r="45" spans="2:13" x14ac:dyDescent="0.3">
      <c r="B45" s="98"/>
      <c r="C45" t="s">
        <v>82</v>
      </c>
      <c r="D45" s="3">
        <v>2700</v>
      </c>
      <c r="E45" s="2">
        <v>113.411129978113</v>
      </c>
      <c r="F45" s="3"/>
    </row>
    <row r="46" spans="2:13" x14ac:dyDescent="0.3">
      <c r="B46" s="98"/>
      <c r="C46" t="s">
        <v>83</v>
      </c>
      <c r="D46" s="3">
        <v>2600</v>
      </c>
      <c r="E46" s="2">
        <v>80.841831220499003</v>
      </c>
      <c r="F46" s="3"/>
    </row>
    <row r="47" spans="2:13" x14ac:dyDescent="0.3">
      <c r="B47" s="98"/>
      <c r="C47" t="s">
        <v>84</v>
      </c>
      <c r="D47" s="3">
        <v>3000</v>
      </c>
      <c r="E47" s="2">
        <v>78.562830363879911</v>
      </c>
      <c r="F47" s="3"/>
    </row>
    <row r="48" spans="2:13" x14ac:dyDescent="0.3">
      <c r="B48" s="98"/>
      <c r="C48" t="s">
        <v>85</v>
      </c>
      <c r="D48" s="3">
        <v>1900</v>
      </c>
      <c r="E48" s="2">
        <v>100.23638952450855</v>
      </c>
      <c r="F48" s="3"/>
    </row>
    <row r="49" spans="2:13" x14ac:dyDescent="0.3">
      <c r="B49" s="98"/>
      <c r="C49" t="s">
        <v>86</v>
      </c>
      <c r="D49" s="3">
        <v>2900</v>
      </c>
      <c r="E49" s="2">
        <v>99.413389578885443</v>
      </c>
      <c r="F49" s="3"/>
    </row>
    <row r="50" spans="2:13" x14ac:dyDescent="0.3">
      <c r="B50" s="98"/>
      <c r="C50" t="s">
        <v>87</v>
      </c>
      <c r="D50" s="3">
        <v>1800</v>
      </c>
      <c r="E50" s="2">
        <v>94.581378550804004</v>
      </c>
      <c r="F50" s="3"/>
    </row>
    <row r="51" spans="2:13" x14ac:dyDescent="0.3">
      <c r="B51" s="98"/>
      <c r="C51" t="s">
        <v>88</v>
      </c>
      <c r="D51" s="3">
        <v>3100</v>
      </c>
      <c r="E51" s="2">
        <v>93.069310566121402</v>
      </c>
      <c r="F51" s="3"/>
    </row>
    <row r="52" spans="2:13" x14ac:dyDescent="0.3">
      <c r="B52" s="98"/>
      <c r="C52" t="s">
        <v>89</v>
      </c>
      <c r="D52" s="3">
        <v>1800</v>
      </c>
      <c r="E52" s="2">
        <v>90.694100434826595</v>
      </c>
      <c r="F52" s="3"/>
    </row>
    <row r="53" spans="2:13" x14ac:dyDescent="0.3">
      <c r="B53" s="98"/>
      <c r="C53" t="s">
        <v>90</v>
      </c>
      <c r="D53" s="3">
        <v>2500</v>
      </c>
      <c r="E53" s="2">
        <v>96.102793427526507</v>
      </c>
      <c r="F53" s="3"/>
    </row>
    <row r="54" spans="2:13" x14ac:dyDescent="0.3">
      <c r="B54" s="98"/>
      <c r="C54" t="s">
        <v>91</v>
      </c>
      <c r="D54" s="3">
        <v>2400</v>
      </c>
      <c r="E54" s="2">
        <v>98.228263631632004</v>
      </c>
      <c r="F54" s="3"/>
    </row>
    <row r="55" spans="2:13" x14ac:dyDescent="0.3">
      <c r="B55" s="98"/>
      <c r="C55" t="s">
        <v>92</v>
      </c>
      <c r="D55" s="3">
        <v>1800</v>
      </c>
      <c r="E55" s="2">
        <v>81.927096694379998</v>
      </c>
      <c r="F55" s="3"/>
    </row>
    <row r="56" spans="2:13" x14ac:dyDescent="0.3">
      <c r="B56" s="98"/>
      <c r="C56" t="s">
        <v>93</v>
      </c>
      <c r="D56" s="3">
        <v>2000</v>
      </c>
      <c r="E56" s="2">
        <v>99.377580279295699</v>
      </c>
      <c r="F56" s="3"/>
    </row>
    <row r="60" spans="2:13" x14ac:dyDescent="0.3">
      <c r="D60" t="s">
        <v>8</v>
      </c>
      <c r="E60" t="s">
        <v>18</v>
      </c>
      <c r="F60" t="s">
        <v>12</v>
      </c>
      <c r="G60" t="s">
        <v>14</v>
      </c>
      <c r="H60" t="s">
        <v>16</v>
      </c>
      <c r="I60" t="s">
        <v>125</v>
      </c>
      <c r="J60" t="s">
        <v>34</v>
      </c>
      <c r="K60" t="s">
        <v>29</v>
      </c>
      <c r="L60" t="s">
        <v>110</v>
      </c>
      <c r="M60" t="s">
        <v>76</v>
      </c>
    </row>
    <row r="61" spans="2:13" x14ac:dyDescent="0.3">
      <c r="B61" s="99" t="s">
        <v>133</v>
      </c>
      <c r="C61" t="s">
        <v>80</v>
      </c>
      <c r="D61" s="5">
        <v>9580</v>
      </c>
      <c r="E61" s="5">
        <v>5880</v>
      </c>
      <c r="F61" s="5">
        <v>10080</v>
      </c>
      <c r="G61" s="5">
        <v>6080</v>
      </c>
      <c r="H61" s="5">
        <v>5880</v>
      </c>
      <c r="I61" s="5">
        <v>11080</v>
      </c>
      <c r="J61" s="5">
        <v>11080</v>
      </c>
      <c r="K61" s="5">
        <v>6580</v>
      </c>
      <c r="L61" s="5">
        <v>6180</v>
      </c>
      <c r="M61" s="5">
        <v>11080</v>
      </c>
    </row>
    <row r="62" spans="2:13" x14ac:dyDescent="0.3">
      <c r="B62" s="99"/>
      <c r="C62" t="s">
        <v>81</v>
      </c>
      <c r="D62" s="5">
        <f ca="1">ROUNDUP((1+RAND())*D$61,-2)</f>
        <v>14500</v>
      </c>
      <c r="E62" s="5">
        <f t="shared" ref="E62:M74" ca="1" si="5">ROUNDUP((1+RAND())*E$61,-2)</f>
        <v>9100</v>
      </c>
      <c r="F62" s="5">
        <f t="shared" ca="1" si="5"/>
        <v>10600</v>
      </c>
      <c r="G62" s="5">
        <f t="shared" ca="1" si="5"/>
        <v>10100</v>
      </c>
      <c r="H62" s="5">
        <f t="shared" ca="1" si="5"/>
        <v>11300</v>
      </c>
      <c r="I62" s="5">
        <f t="shared" ca="1" si="5"/>
        <v>15700</v>
      </c>
      <c r="J62" s="5">
        <f t="shared" ca="1" si="5"/>
        <v>12500</v>
      </c>
      <c r="K62" s="5">
        <f t="shared" ca="1" si="5"/>
        <v>10200</v>
      </c>
      <c r="L62" s="5">
        <f t="shared" ca="1" si="5"/>
        <v>11000</v>
      </c>
      <c r="M62" s="5">
        <f t="shared" ca="1" si="5"/>
        <v>15200</v>
      </c>
    </row>
    <row r="63" spans="2:13" x14ac:dyDescent="0.3">
      <c r="B63" s="99"/>
      <c r="C63" t="s">
        <v>82</v>
      </c>
      <c r="D63" s="5">
        <f t="shared" ref="D63:D74" ca="1" si="6">ROUNDUP((1+RAND())*D$61,-2)</f>
        <v>17800</v>
      </c>
      <c r="E63" s="5">
        <f t="shared" ca="1" si="5"/>
        <v>8000</v>
      </c>
      <c r="F63" s="5">
        <f t="shared" ca="1" si="5"/>
        <v>17300</v>
      </c>
      <c r="G63" s="5">
        <f t="shared" ca="1" si="5"/>
        <v>8400</v>
      </c>
      <c r="H63" s="5">
        <f t="shared" ca="1" si="5"/>
        <v>6900</v>
      </c>
      <c r="I63" s="5">
        <f t="shared" ca="1" si="5"/>
        <v>21100</v>
      </c>
      <c r="J63" s="5">
        <f t="shared" ca="1" si="5"/>
        <v>22000</v>
      </c>
      <c r="K63" s="5">
        <f t="shared" ca="1" si="5"/>
        <v>8800</v>
      </c>
      <c r="L63" s="5">
        <f t="shared" ca="1" si="5"/>
        <v>7300</v>
      </c>
      <c r="M63" s="5">
        <f t="shared" ca="1" si="5"/>
        <v>17900</v>
      </c>
    </row>
    <row r="64" spans="2:13" x14ac:dyDescent="0.3">
      <c r="B64" s="99"/>
      <c r="C64" t="s">
        <v>83</v>
      </c>
      <c r="D64" s="5">
        <f t="shared" ca="1" si="6"/>
        <v>19100</v>
      </c>
      <c r="E64" s="5">
        <f t="shared" ca="1" si="5"/>
        <v>10300</v>
      </c>
      <c r="F64" s="5">
        <f t="shared" ca="1" si="5"/>
        <v>11000</v>
      </c>
      <c r="G64" s="5">
        <f t="shared" ca="1" si="5"/>
        <v>7200</v>
      </c>
      <c r="H64" s="5">
        <f t="shared" ca="1" si="5"/>
        <v>9800</v>
      </c>
      <c r="I64" s="5">
        <f t="shared" ca="1" si="5"/>
        <v>16300</v>
      </c>
      <c r="J64" s="5">
        <f t="shared" ca="1" si="5"/>
        <v>21500</v>
      </c>
      <c r="K64" s="5">
        <f t="shared" ca="1" si="5"/>
        <v>13100</v>
      </c>
      <c r="L64" s="5">
        <f t="shared" ca="1" si="5"/>
        <v>8000</v>
      </c>
      <c r="M64" s="5">
        <f t="shared" ca="1" si="5"/>
        <v>15300</v>
      </c>
    </row>
    <row r="65" spans="2:13" x14ac:dyDescent="0.3">
      <c r="B65" s="99"/>
      <c r="C65" t="s">
        <v>84</v>
      </c>
      <c r="D65" s="5">
        <f t="shared" ca="1" si="6"/>
        <v>13100</v>
      </c>
      <c r="E65" s="5">
        <f t="shared" ca="1" si="5"/>
        <v>8200</v>
      </c>
      <c r="F65" s="5">
        <f t="shared" ca="1" si="5"/>
        <v>19300</v>
      </c>
      <c r="G65" s="5">
        <f t="shared" ca="1" si="5"/>
        <v>12000</v>
      </c>
      <c r="H65" s="5">
        <f t="shared" ca="1" si="5"/>
        <v>6200</v>
      </c>
      <c r="I65" s="5">
        <f t="shared" ca="1" si="5"/>
        <v>13500</v>
      </c>
      <c r="J65" s="5">
        <f t="shared" ca="1" si="5"/>
        <v>12900</v>
      </c>
      <c r="K65" s="5">
        <f t="shared" ca="1" si="5"/>
        <v>7900</v>
      </c>
      <c r="L65" s="5">
        <f t="shared" ca="1" si="5"/>
        <v>10900</v>
      </c>
      <c r="M65" s="5">
        <f t="shared" ca="1" si="5"/>
        <v>20800</v>
      </c>
    </row>
    <row r="66" spans="2:13" x14ac:dyDescent="0.3">
      <c r="B66" s="99"/>
      <c r="C66" t="s">
        <v>85</v>
      </c>
      <c r="D66" s="5">
        <f t="shared" ca="1" si="6"/>
        <v>14600</v>
      </c>
      <c r="E66" s="5">
        <f t="shared" ca="1" si="5"/>
        <v>9400</v>
      </c>
      <c r="F66" s="5">
        <f t="shared" ca="1" si="5"/>
        <v>11300</v>
      </c>
      <c r="G66" s="5">
        <f t="shared" ca="1" si="5"/>
        <v>6500</v>
      </c>
      <c r="H66" s="5">
        <f t="shared" ca="1" si="5"/>
        <v>10400</v>
      </c>
      <c r="I66" s="5">
        <f t="shared" ca="1" si="5"/>
        <v>11800</v>
      </c>
      <c r="J66" s="5">
        <f t="shared" ca="1" si="5"/>
        <v>18200</v>
      </c>
      <c r="K66" s="5">
        <f t="shared" ca="1" si="5"/>
        <v>13000</v>
      </c>
      <c r="L66" s="5">
        <f t="shared" ca="1" si="5"/>
        <v>11200</v>
      </c>
      <c r="M66" s="5">
        <f t="shared" ca="1" si="5"/>
        <v>17000</v>
      </c>
    </row>
    <row r="67" spans="2:13" x14ac:dyDescent="0.3">
      <c r="B67" s="99"/>
      <c r="C67" t="s">
        <v>86</v>
      </c>
      <c r="D67" s="5">
        <f t="shared" ca="1" si="6"/>
        <v>16200</v>
      </c>
      <c r="E67" s="5">
        <f t="shared" ca="1" si="5"/>
        <v>11200</v>
      </c>
      <c r="F67" s="5">
        <f t="shared" ca="1" si="5"/>
        <v>18800</v>
      </c>
      <c r="G67" s="5">
        <f t="shared" ca="1" si="5"/>
        <v>11000</v>
      </c>
      <c r="H67" s="5">
        <f t="shared" ca="1" si="5"/>
        <v>7400</v>
      </c>
      <c r="I67" s="5">
        <f t="shared" ca="1" si="5"/>
        <v>18900</v>
      </c>
      <c r="J67" s="5">
        <f t="shared" ca="1" si="5"/>
        <v>15200</v>
      </c>
      <c r="K67" s="5">
        <f t="shared" ca="1" si="5"/>
        <v>7000</v>
      </c>
      <c r="L67" s="5">
        <f t="shared" ca="1" si="5"/>
        <v>8300</v>
      </c>
      <c r="M67" s="5">
        <f t="shared" ca="1" si="5"/>
        <v>13800</v>
      </c>
    </row>
    <row r="68" spans="2:13" x14ac:dyDescent="0.3">
      <c r="B68" s="99"/>
      <c r="C68" t="s">
        <v>87</v>
      </c>
      <c r="D68" s="5">
        <f t="shared" ca="1" si="6"/>
        <v>13100</v>
      </c>
      <c r="E68" s="5">
        <f t="shared" ca="1" si="5"/>
        <v>9000</v>
      </c>
      <c r="F68" s="5">
        <f t="shared" ca="1" si="5"/>
        <v>17500</v>
      </c>
      <c r="G68" s="5">
        <f t="shared" ca="1" si="5"/>
        <v>8600</v>
      </c>
      <c r="H68" s="5">
        <f t="shared" ca="1" si="5"/>
        <v>9500</v>
      </c>
      <c r="I68" s="5">
        <f t="shared" ca="1" si="5"/>
        <v>12400</v>
      </c>
      <c r="J68" s="5">
        <f t="shared" ca="1" si="5"/>
        <v>12100</v>
      </c>
      <c r="K68" s="5">
        <f t="shared" ca="1" si="5"/>
        <v>8200</v>
      </c>
      <c r="L68" s="5">
        <f t="shared" ca="1" si="5"/>
        <v>7300</v>
      </c>
      <c r="M68" s="5">
        <f t="shared" ca="1" si="5"/>
        <v>12700</v>
      </c>
    </row>
    <row r="69" spans="2:13" x14ac:dyDescent="0.3">
      <c r="B69" s="99"/>
      <c r="C69" t="s">
        <v>88</v>
      </c>
      <c r="D69" s="5">
        <f t="shared" ca="1" si="6"/>
        <v>12000</v>
      </c>
      <c r="E69" s="5">
        <f t="shared" ca="1" si="5"/>
        <v>7400</v>
      </c>
      <c r="F69" s="5">
        <f t="shared" ca="1" si="5"/>
        <v>10500</v>
      </c>
      <c r="G69" s="5">
        <f t="shared" ca="1" si="5"/>
        <v>8800</v>
      </c>
      <c r="H69" s="5">
        <f t="shared" ca="1" si="5"/>
        <v>10600</v>
      </c>
      <c r="I69" s="5">
        <f t="shared" ca="1" si="5"/>
        <v>13400</v>
      </c>
      <c r="J69" s="5">
        <f t="shared" ca="1" si="5"/>
        <v>11100</v>
      </c>
      <c r="K69" s="5">
        <f t="shared" ca="1" si="5"/>
        <v>12400</v>
      </c>
      <c r="L69" s="5">
        <f t="shared" ca="1" si="5"/>
        <v>8400</v>
      </c>
      <c r="M69" s="5">
        <f t="shared" ca="1" si="5"/>
        <v>14600</v>
      </c>
    </row>
    <row r="70" spans="2:13" x14ac:dyDescent="0.3">
      <c r="B70" s="99"/>
      <c r="C70" t="s">
        <v>89</v>
      </c>
      <c r="D70" s="5">
        <f t="shared" ca="1" si="6"/>
        <v>13100</v>
      </c>
      <c r="E70" s="5">
        <f t="shared" ca="1" si="5"/>
        <v>8700</v>
      </c>
      <c r="F70" s="5">
        <f t="shared" ca="1" si="5"/>
        <v>19900</v>
      </c>
      <c r="G70" s="5">
        <f t="shared" ca="1" si="5"/>
        <v>7500</v>
      </c>
      <c r="H70" s="5">
        <f t="shared" ca="1" si="5"/>
        <v>6200</v>
      </c>
      <c r="I70" s="5">
        <f t="shared" ca="1" si="5"/>
        <v>17000</v>
      </c>
      <c r="J70" s="5">
        <f t="shared" ca="1" si="5"/>
        <v>18000</v>
      </c>
      <c r="K70" s="5">
        <f t="shared" ca="1" si="5"/>
        <v>8700</v>
      </c>
      <c r="L70" s="5">
        <f t="shared" ca="1" si="5"/>
        <v>9000</v>
      </c>
      <c r="M70" s="5">
        <f t="shared" ca="1" si="5"/>
        <v>16200</v>
      </c>
    </row>
    <row r="71" spans="2:13" x14ac:dyDescent="0.3">
      <c r="B71" s="99"/>
      <c r="C71" t="s">
        <v>90</v>
      </c>
      <c r="D71" s="5">
        <f t="shared" ca="1" si="6"/>
        <v>13400</v>
      </c>
      <c r="E71" s="5">
        <f t="shared" ca="1" si="5"/>
        <v>7700</v>
      </c>
      <c r="F71" s="5">
        <f t="shared" ca="1" si="5"/>
        <v>14300</v>
      </c>
      <c r="G71" s="5">
        <f t="shared" ca="1" si="5"/>
        <v>11800</v>
      </c>
      <c r="H71" s="5">
        <f t="shared" ca="1" si="5"/>
        <v>7100</v>
      </c>
      <c r="I71" s="5">
        <f t="shared" ca="1" si="5"/>
        <v>20500</v>
      </c>
      <c r="J71" s="5">
        <f t="shared" ca="1" si="5"/>
        <v>17800</v>
      </c>
      <c r="K71" s="5">
        <f t="shared" ca="1" si="5"/>
        <v>12200</v>
      </c>
      <c r="L71" s="5">
        <f t="shared" ca="1" si="5"/>
        <v>8500</v>
      </c>
      <c r="M71" s="5">
        <f t="shared" ca="1" si="5"/>
        <v>12000</v>
      </c>
    </row>
    <row r="72" spans="2:13" x14ac:dyDescent="0.3">
      <c r="B72" s="99"/>
      <c r="C72" t="s">
        <v>91</v>
      </c>
      <c r="D72" s="5">
        <f t="shared" ca="1" si="6"/>
        <v>18000</v>
      </c>
      <c r="E72" s="5">
        <f t="shared" ca="1" si="5"/>
        <v>9200</v>
      </c>
      <c r="F72" s="5">
        <f t="shared" ca="1" si="5"/>
        <v>16900</v>
      </c>
      <c r="G72" s="5">
        <f t="shared" ca="1" si="5"/>
        <v>9300</v>
      </c>
      <c r="H72" s="5">
        <f t="shared" ca="1" si="5"/>
        <v>7600</v>
      </c>
      <c r="I72" s="5">
        <f t="shared" ca="1" si="5"/>
        <v>21300</v>
      </c>
      <c r="J72" s="5">
        <f t="shared" ca="1" si="5"/>
        <v>18700</v>
      </c>
      <c r="K72" s="5">
        <f t="shared" ca="1" si="5"/>
        <v>7900</v>
      </c>
      <c r="L72" s="5">
        <f t="shared" ca="1" si="5"/>
        <v>10200</v>
      </c>
      <c r="M72" s="5">
        <f t="shared" ca="1" si="5"/>
        <v>12700</v>
      </c>
    </row>
    <row r="73" spans="2:13" x14ac:dyDescent="0.3">
      <c r="B73" s="99"/>
      <c r="C73" t="s">
        <v>92</v>
      </c>
      <c r="D73" s="5">
        <f t="shared" ca="1" si="6"/>
        <v>14800</v>
      </c>
      <c r="E73" s="5">
        <f t="shared" ca="1" si="5"/>
        <v>11000</v>
      </c>
      <c r="F73" s="5">
        <f t="shared" ca="1" si="5"/>
        <v>15100</v>
      </c>
      <c r="G73" s="5">
        <f t="shared" ca="1" si="5"/>
        <v>6900</v>
      </c>
      <c r="H73" s="5">
        <f t="shared" ca="1" si="5"/>
        <v>11300</v>
      </c>
      <c r="I73" s="5">
        <f t="shared" ca="1" si="5"/>
        <v>11300</v>
      </c>
      <c r="J73" s="5">
        <f t="shared" ca="1" si="5"/>
        <v>17200</v>
      </c>
      <c r="K73" s="5">
        <f t="shared" ca="1" si="5"/>
        <v>9800</v>
      </c>
      <c r="L73" s="5">
        <f t="shared" ca="1" si="5"/>
        <v>7600</v>
      </c>
      <c r="M73" s="5">
        <f t="shared" ca="1" si="5"/>
        <v>18500</v>
      </c>
    </row>
    <row r="74" spans="2:13" x14ac:dyDescent="0.3">
      <c r="B74" s="99"/>
      <c r="C74" t="s">
        <v>93</v>
      </c>
      <c r="D74" s="5">
        <f t="shared" ca="1" si="6"/>
        <v>13200</v>
      </c>
      <c r="E74" s="5">
        <f t="shared" ca="1" si="5"/>
        <v>7500</v>
      </c>
      <c r="F74" s="5">
        <f t="shared" ca="1" si="5"/>
        <v>12300</v>
      </c>
      <c r="G74" s="5">
        <f t="shared" ca="1" si="5"/>
        <v>7500</v>
      </c>
      <c r="H74" s="5">
        <f t="shared" ca="1" si="5"/>
        <v>6700</v>
      </c>
      <c r="I74" s="5">
        <f t="shared" ca="1" si="5"/>
        <v>16400</v>
      </c>
      <c r="J74" s="5">
        <f t="shared" ca="1" si="5"/>
        <v>13200</v>
      </c>
      <c r="K74" s="5">
        <f t="shared" ca="1" si="5"/>
        <v>9200</v>
      </c>
      <c r="L74" s="5">
        <f t="shared" ca="1" si="5"/>
        <v>7000</v>
      </c>
      <c r="M74" s="5">
        <f t="shared" ca="1" si="5"/>
        <v>14500</v>
      </c>
    </row>
  </sheetData>
  <mergeCells count="4">
    <mergeCell ref="B6:B19"/>
    <mergeCell ref="B25:B38"/>
    <mergeCell ref="B43:B56"/>
    <mergeCell ref="B61:B7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B3920A-D349-4254-8474-D8A0C626F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cost_base</vt:lpstr>
      <vt:lpstr>BP Profitability_Sample</vt:lpstr>
      <vt:lpstr>Profitability_Analysis</vt:lpstr>
      <vt:lpstr>Improved_cost_base</vt:lpstr>
      <vt:lpstr>std_profitability_analysis</vt:lpstr>
      <vt:lpstr>partner_vehicles_form_AMD</vt:lpstr>
      <vt:lpstr>Payout</vt:lpstr>
      <vt:lpstr>AMD_OU_Data</vt:lpstr>
      <vt:lpstr>AMD_EMI_Data</vt:lpstr>
      <vt:lpstr>partner_vehicles_form_AMD1</vt:lpstr>
      <vt:lpstr>Vehicle</vt:lpstr>
      <vt:lpstr>Vehicle_Ownership</vt:lpstr>
      <vt:lpstr>Year_of_Purchase</vt:lpstr>
      <vt:lpstr>vehicle_mapping</vt:lpstr>
      <vt:lpstr>OU_Map</vt:lpstr>
      <vt:lpstr>payouts_table_AMD</vt:lpstr>
      <vt:lpstr>Total_Cost</vt:lpstr>
      <vt:lpstr>Net_Capacity</vt:lpstr>
      <vt:lpstr>New_Total_Cost</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Jhurani</dc:creator>
  <cp:lastModifiedBy>Sukhmani Arora</cp:lastModifiedBy>
  <dcterms:created xsi:type="dcterms:W3CDTF">2023-03-20T10:52:34Z</dcterms:created>
  <dcterms:modified xsi:type="dcterms:W3CDTF">2023-11-27T11:30:28Z</dcterms:modified>
</cp:coreProperties>
</file>