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Term 4\SaketKumar_PGP-22-064\"/>
    </mc:Choice>
  </mc:AlternateContent>
  <xr:revisionPtr revIDLastSave="0" documentId="13_ncr:1_{90FC2175-76C0-4C86-9F11-9D0879DDF746}" xr6:coauthVersionLast="47" xr6:coauthVersionMax="47" xr10:uidLastSave="{00000000-0000-0000-0000-000000000000}"/>
  <bookViews>
    <workbookView xWindow="-110" yWindow="-110" windowWidth="19420" windowHeight="10300" firstSheet="4" activeTab="4" xr2:uid="{00000000-000D-0000-FFFF-FFFF00000000}"/>
  </bookViews>
  <sheets>
    <sheet name="Business Line By Segm" sheetId="2" state="hidden" r:id="rId1"/>
    <sheet name="Business Line By Stat" sheetId="3" state="hidden" r:id="rId2"/>
    <sheet name="Geographic Line By Se" sheetId="4" state="hidden" r:id="rId3"/>
    <sheet name="Geographic Line By St" sheetId="5" state="hidden" r:id="rId4"/>
    <sheet name="Cover Sheet " sheetId="42" r:id="rId5"/>
    <sheet name="Contents" sheetId="43" r:id="rId6"/>
    <sheet name="Income Statement" sheetId="6" r:id="rId7"/>
    <sheet name="Balance Sheet" sheetId="7" r:id="rId8"/>
    <sheet name="Cash Flow" sheetId="8" r:id="rId9"/>
    <sheet name="Revenue Assumptions" sheetId="26" r:id="rId10"/>
    <sheet name="Expense Assumptions" sheetId="27" r:id="rId11"/>
    <sheet name="Capex Assumption" sheetId="31" r:id="rId12"/>
    <sheet name="Working Capital" sheetId="34" r:id="rId13"/>
    <sheet name="Debt &amp; Tax Assumption" sheetId="32" r:id="rId14"/>
    <sheet name="P&amp;L (projection)" sheetId="14" r:id="rId15"/>
    <sheet name="ESG Score" sheetId="18" r:id="rId16"/>
    <sheet name="Rm" sheetId="35" r:id="rId17"/>
    <sheet name="Beta" sheetId="36" r:id="rId18"/>
    <sheet name="DCF" sheetId="20" r:id="rId19"/>
    <sheet name="Relative" sheetId="25" r:id="rId20"/>
    <sheet name="DDM" sheetId="21" r:id="rId21"/>
    <sheet name="Residual Income" sheetId="39" r:id="rId22"/>
    <sheet name="Price projection" sheetId="19" r:id="rId23"/>
    <sheet name="Balance Sheet (projection)" sheetId="16" state="hidden" r:id="rId24"/>
    <sheet name="Pension" sheetId="9" state="hidden" r:id="rId25"/>
    <sheet name="Financial Summary" sheetId="10" state="hidden" r:id="rId26"/>
    <sheet name="Valuation" sheetId="11" state="hidden" r:id="rId27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39" l="1"/>
  <c r="L11" i="21"/>
  <c r="C16" i="20"/>
  <c r="C22" i="20"/>
  <c r="C23" i="20"/>
  <c r="H18" i="27"/>
  <c r="B44" i="25"/>
  <c r="E20" i="19" l="1"/>
  <c r="C20" i="19"/>
  <c r="E19" i="19"/>
  <c r="C19" i="19"/>
  <c r="E18" i="19"/>
  <c r="C18" i="19"/>
  <c r="J18" i="39"/>
  <c r="J19" i="39" s="1"/>
  <c r="J16" i="39"/>
  <c r="J15" i="39" s="1"/>
  <c r="N14" i="39"/>
  <c r="O14" i="39" s="1"/>
  <c r="L14" i="39"/>
  <c r="K14" i="39" s="1"/>
  <c r="C29" i="21"/>
  <c r="C28" i="21"/>
  <c r="D20" i="19" l="1"/>
  <c r="D19" i="19"/>
  <c r="D18" i="19"/>
  <c r="B38" i="25"/>
  <c r="A4" i="25"/>
  <c r="E13" i="25"/>
  <c r="H13" i="25"/>
  <c r="D13" i="25"/>
  <c r="E8" i="25"/>
  <c r="H8" i="25"/>
  <c r="D8" i="25"/>
  <c r="H8" i="34"/>
  <c r="I26" i="16"/>
  <c r="J26" i="16" s="1"/>
  <c r="K26" i="16" s="1"/>
  <c r="L26" i="16" s="1"/>
  <c r="H26" i="16"/>
  <c r="C6" i="39"/>
  <c r="C5" i="39"/>
  <c r="C15" i="39" s="1"/>
  <c r="A10" i="25" l="1"/>
  <c r="H14" i="25" s="1"/>
  <c r="B33" i="25" s="1"/>
  <c r="E14" i="25"/>
  <c r="B20" i="25" s="1"/>
  <c r="D14" i="25"/>
  <c r="B43" i="25" s="1"/>
  <c r="B45" i="25" s="1"/>
  <c r="C21" i="19" s="1"/>
  <c r="D10" i="21" l="1"/>
  <c r="D9" i="21"/>
  <c r="D8" i="21"/>
  <c r="E8" i="21"/>
  <c r="E9" i="21" s="1"/>
  <c r="E10" i="21" s="1"/>
  <c r="F8" i="21"/>
  <c r="F9" i="21" s="1"/>
  <c r="F10" i="21" s="1"/>
  <c r="G8" i="21"/>
  <c r="G9" i="21" s="1"/>
  <c r="G10" i="21" s="1"/>
  <c r="C8" i="21"/>
  <c r="C9" i="21" s="1"/>
  <c r="C10" i="21" s="1"/>
  <c r="D7" i="21"/>
  <c r="E7" i="21"/>
  <c r="F7" i="21"/>
  <c r="G7" i="21"/>
  <c r="C7" i="21"/>
  <c r="H13" i="26"/>
  <c r="H7" i="26"/>
  <c r="H6" i="26"/>
  <c r="I6" i="26" s="1"/>
  <c r="C15" i="34"/>
  <c r="C16" i="34" s="1"/>
  <c r="C10" i="20" s="1"/>
  <c r="C14" i="34"/>
  <c r="C42" i="20"/>
  <c r="C43" i="20" s="1"/>
  <c r="C38" i="20"/>
  <c r="C40" i="20" s="1"/>
  <c r="C34" i="20"/>
  <c r="L14" i="36"/>
  <c r="L12" i="36"/>
  <c r="L3" i="36"/>
  <c r="H6" i="36"/>
  <c r="H7" i="36"/>
  <c r="H8" i="36"/>
  <c r="H9" i="36"/>
  <c r="H10" i="36"/>
  <c r="H11" i="36"/>
  <c r="H12" i="36"/>
  <c r="H13" i="36"/>
  <c r="H14" i="36"/>
  <c r="H15" i="36"/>
  <c r="H16" i="36"/>
  <c r="H17" i="36"/>
  <c r="H18" i="36"/>
  <c r="H19" i="36"/>
  <c r="H20" i="36"/>
  <c r="H21" i="36"/>
  <c r="H22" i="36"/>
  <c r="H23" i="36"/>
  <c r="H24" i="36"/>
  <c r="H25" i="36"/>
  <c r="H26" i="36"/>
  <c r="H27" i="36"/>
  <c r="H28" i="36"/>
  <c r="H29" i="36"/>
  <c r="H30" i="36"/>
  <c r="H31" i="36"/>
  <c r="H32" i="36"/>
  <c r="H33" i="36"/>
  <c r="H34" i="36"/>
  <c r="H35" i="36"/>
  <c r="H36" i="36"/>
  <c r="H37" i="36"/>
  <c r="H38" i="36"/>
  <c r="H39" i="36"/>
  <c r="H40" i="36"/>
  <c r="H41" i="36"/>
  <c r="H42" i="36"/>
  <c r="H43" i="36"/>
  <c r="H44" i="36"/>
  <c r="H45" i="36"/>
  <c r="H46" i="36"/>
  <c r="H47" i="36"/>
  <c r="H48" i="36"/>
  <c r="H49" i="36"/>
  <c r="H50" i="36"/>
  <c r="H51" i="36"/>
  <c r="H52" i="36"/>
  <c r="H53" i="36"/>
  <c r="H54" i="36"/>
  <c r="H55" i="36"/>
  <c r="H56" i="36"/>
  <c r="H57" i="36"/>
  <c r="H58" i="36"/>
  <c r="H59" i="36"/>
  <c r="H60" i="36"/>
  <c r="H61" i="36"/>
  <c r="H62" i="36"/>
  <c r="H63" i="36"/>
  <c r="H64" i="36"/>
  <c r="H65" i="36"/>
  <c r="H66" i="36"/>
  <c r="H67" i="36"/>
  <c r="H68" i="36"/>
  <c r="H69" i="36"/>
  <c r="H70" i="36"/>
  <c r="H71" i="36"/>
  <c r="H72" i="36"/>
  <c r="H73" i="36"/>
  <c r="H74" i="36"/>
  <c r="H75" i="36"/>
  <c r="H76" i="36"/>
  <c r="H77" i="36"/>
  <c r="H78" i="36"/>
  <c r="H79" i="36"/>
  <c r="H80" i="36"/>
  <c r="H81" i="36"/>
  <c r="H82" i="36"/>
  <c r="H83" i="36"/>
  <c r="H84" i="36"/>
  <c r="H85" i="36"/>
  <c r="H86" i="36"/>
  <c r="H87" i="36"/>
  <c r="H88" i="36"/>
  <c r="H89" i="36"/>
  <c r="H90" i="36"/>
  <c r="H91" i="36"/>
  <c r="H92" i="36"/>
  <c r="H93" i="36"/>
  <c r="H94" i="36"/>
  <c r="H95" i="36"/>
  <c r="H96" i="36"/>
  <c r="H97" i="36"/>
  <c r="H98" i="36"/>
  <c r="H99" i="36"/>
  <c r="H100" i="36"/>
  <c r="H101" i="36"/>
  <c r="H102" i="36"/>
  <c r="H103" i="36"/>
  <c r="H104" i="36"/>
  <c r="H105" i="36"/>
  <c r="H106" i="36"/>
  <c r="H107" i="36"/>
  <c r="H108" i="36"/>
  <c r="H109" i="36"/>
  <c r="H110" i="36"/>
  <c r="H111" i="36"/>
  <c r="H112" i="36"/>
  <c r="H113" i="36"/>
  <c r="H114" i="36"/>
  <c r="H115" i="36"/>
  <c r="H116" i="36"/>
  <c r="H117" i="36"/>
  <c r="H118" i="36"/>
  <c r="H119" i="36"/>
  <c r="H120" i="36"/>
  <c r="H121" i="36"/>
  <c r="H122" i="36"/>
  <c r="H123" i="36"/>
  <c r="H124" i="36"/>
  <c r="H125" i="36"/>
  <c r="H126" i="36"/>
  <c r="H127" i="36"/>
  <c r="H128" i="36"/>
  <c r="H129" i="36"/>
  <c r="H130" i="36"/>
  <c r="H131" i="36"/>
  <c r="H132" i="36"/>
  <c r="H133" i="36"/>
  <c r="H134" i="36"/>
  <c r="H135" i="36"/>
  <c r="H136" i="36"/>
  <c r="H137" i="36"/>
  <c r="H138" i="36"/>
  <c r="H139" i="36"/>
  <c r="H140" i="36"/>
  <c r="H141" i="36"/>
  <c r="H142" i="36"/>
  <c r="H143" i="36"/>
  <c r="H144" i="36"/>
  <c r="H145" i="36"/>
  <c r="H146" i="36"/>
  <c r="H147" i="36"/>
  <c r="H148" i="36"/>
  <c r="H149" i="36"/>
  <c r="H150" i="36"/>
  <c r="H151" i="36"/>
  <c r="H152" i="36"/>
  <c r="H153" i="36"/>
  <c r="H154" i="36"/>
  <c r="H155" i="36"/>
  <c r="H156" i="36"/>
  <c r="H157" i="36"/>
  <c r="H158" i="36"/>
  <c r="H159" i="36"/>
  <c r="H160" i="36"/>
  <c r="H161" i="36"/>
  <c r="H162" i="36"/>
  <c r="H163" i="36"/>
  <c r="H164" i="36"/>
  <c r="H165" i="36"/>
  <c r="H166" i="36"/>
  <c r="H167" i="36"/>
  <c r="H168" i="36"/>
  <c r="H169" i="36"/>
  <c r="H170" i="36"/>
  <c r="H171" i="36"/>
  <c r="H172" i="36"/>
  <c r="H173" i="36"/>
  <c r="H174" i="36"/>
  <c r="H175" i="36"/>
  <c r="H176" i="36"/>
  <c r="H177" i="36"/>
  <c r="H178" i="36"/>
  <c r="H179" i="36"/>
  <c r="H180" i="36"/>
  <c r="H181" i="36"/>
  <c r="H182" i="36"/>
  <c r="H183" i="36"/>
  <c r="H184" i="36"/>
  <c r="H185" i="36"/>
  <c r="H186" i="36"/>
  <c r="H187" i="36"/>
  <c r="H188" i="36"/>
  <c r="H189" i="36"/>
  <c r="H190" i="36"/>
  <c r="H191" i="36"/>
  <c r="H192" i="36"/>
  <c r="H193" i="36"/>
  <c r="H194" i="36"/>
  <c r="H195" i="36"/>
  <c r="H196" i="36"/>
  <c r="H197" i="36"/>
  <c r="H198" i="36"/>
  <c r="H199" i="36"/>
  <c r="H200" i="36"/>
  <c r="H201" i="36"/>
  <c r="H202" i="36"/>
  <c r="H203" i="36"/>
  <c r="H204" i="36"/>
  <c r="H205" i="36"/>
  <c r="H206" i="36"/>
  <c r="H207" i="36"/>
  <c r="H208" i="36"/>
  <c r="H209" i="36"/>
  <c r="H210" i="36"/>
  <c r="H211" i="36"/>
  <c r="H212" i="36"/>
  <c r="H213" i="36"/>
  <c r="H214" i="36"/>
  <c r="H215" i="36"/>
  <c r="H216" i="36"/>
  <c r="H217" i="36"/>
  <c r="H218" i="36"/>
  <c r="H219" i="36"/>
  <c r="H220" i="36"/>
  <c r="H221" i="36"/>
  <c r="H222" i="36"/>
  <c r="H223" i="36"/>
  <c r="H224" i="36"/>
  <c r="H225" i="36"/>
  <c r="H226" i="36"/>
  <c r="H227" i="36"/>
  <c r="H228" i="36"/>
  <c r="H229" i="36"/>
  <c r="H230" i="36"/>
  <c r="H231" i="36"/>
  <c r="H232" i="36"/>
  <c r="H233" i="36"/>
  <c r="H234" i="36"/>
  <c r="H235" i="36"/>
  <c r="H236" i="36"/>
  <c r="H237" i="36"/>
  <c r="H238" i="36"/>
  <c r="H239" i="36"/>
  <c r="H240" i="36"/>
  <c r="H241" i="36"/>
  <c r="H242" i="36"/>
  <c r="H243" i="36"/>
  <c r="H244" i="36"/>
  <c r="H245" i="36"/>
  <c r="H246" i="36"/>
  <c r="H247" i="36"/>
  <c r="H248" i="36"/>
  <c r="H249" i="36"/>
  <c r="H250" i="36"/>
  <c r="H251" i="36"/>
  <c r="H5" i="36"/>
  <c r="C6" i="36"/>
  <c r="C7" i="36"/>
  <c r="C8" i="36"/>
  <c r="C9" i="36"/>
  <c r="C10" i="36"/>
  <c r="C11" i="36"/>
  <c r="C12" i="36"/>
  <c r="C13" i="36"/>
  <c r="C14" i="36"/>
  <c r="C15" i="36"/>
  <c r="C16" i="36"/>
  <c r="C17" i="36"/>
  <c r="C18" i="36"/>
  <c r="C19" i="36"/>
  <c r="C20" i="36"/>
  <c r="C21" i="36"/>
  <c r="C22" i="36"/>
  <c r="C23" i="36"/>
  <c r="C24" i="36"/>
  <c r="C25" i="36"/>
  <c r="C26" i="36"/>
  <c r="C27" i="36"/>
  <c r="C28" i="36"/>
  <c r="C29" i="36"/>
  <c r="C30" i="36"/>
  <c r="C31" i="36"/>
  <c r="C32" i="36"/>
  <c r="C33" i="36"/>
  <c r="C34" i="36"/>
  <c r="C35" i="36"/>
  <c r="C36" i="36"/>
  <c r="C37" i="36"/>
  <c r="C38" i="36"/>
  <c r="C39" i="36"/>
  <c r="C40" i="36"/>
  <c r="C41" i="36"/>
  <c r="C42" i="36"/>
  <c r="C43" i="36"/>
  <c r="C44" i="36"/>
  <c r="C45" i="36"/>
  <c r="C46" i="36"/>
  <c r="C47" i="36"/>
  <c r="C48" i="36"/>
  <c r="C49" i="36"/>
  <c r="C50" i="36"/>
  <c r="C51" i="36"/>
  <c r="C52" i="36"/>
  <c r="C53" i="36"/>
  <c r="C54" i="36"/>
  <c r="C55" i="36"/>
  <c r="C56" i="36"/>
  <c r="C57" i="36"/>
  <c r="C58" i="36"/>
  <c r="C59" i="36"/>
  <c r="C60" i="36"/>
  <c r="C61" i="36"/>
  <c r="C62" i="36"/>
  <c r="C63" i="36"/>
  <c r="C64" i="36"/>
  <c r="C65" i="36"/>
  <c r="C66" i="36"/>
  <c r="C67" i="36"/>
  <c r="C68" i="36"/>
  <c r="C69" i="36"/>
  <c r="C70" i="36"/>
  <c r="C71" i="36"/>
  <c r="C72" i="36"/>
  <c r="C73" i="36"/>
  <c r="C74" i="36"/>
  <c r="C75" i="36"/>
  <c r="C76" i="36"/>
  <c r="C77" i="36"/>
  <c r="C78" i="36"/>
  <c r="C79" i="36"/>
  <c r="C80" i="36"/>
  <c r="C81" i="36"/>
  <c r="C82" i="36"/>
  <c r="C83" i="36"/>
  <c r="C84" i="36"/>
  <c r="C85" i="36"/>
  <c r="C86" i="36"/>
  <c r="C87" i="36"/>
  <c r="C88" i="36"/>
  <c r="C89" i="36"/>
  <c r="C90" i="36"/>
  <c r="C91" i="36"/>
  <c r="C92" i="36"/>
  <c r="C93" i="36"/>
  <c r="C94" i="36"/>
  <c r="C95" i="36"/>
  <c r="C96" i="36"/>
  <c r="C97" i="36"/>
  <c r="C98" i="36"/>
  <c r="C99" i="36"/>
  <c r="C100" i="36"/>
  <c r="C101" i="36"/>
  <c r="C102" i="36"/>
  <c r="C103" i="36"/>
  <c r="C104" i="36"/>
  <c r="C105" i="36"/>
  <c r="C106" i="36"/>
  <c r="C107" i="36"/>
  <c r="C108" i="36"/>
  <c r="C109" i="36"/>
  <c r="C110" i="36"/>
  <c r="C111" i="36"/>
  <c r="C112" i="36"/>
  <c r="C113" i="36"/>
  <c r="C114" i="36"/>
  <c r="C115" i="36"/>
  <c r="C116" i="36"/>
  <c r="C117" i="36"/>
  <c r="C118" i="36"/>
  <c r="C119" i="36"/>
  <c r="C120" i="36"/>
  <c r="C121" i="36"/>
  <c r="C122" i="36"/>
  <c r="C123" i="36"/>
  <c r="C124" i="36"/>
  <c r="C125" i="36"/>
  <c r="C126" i="36"/>
  <c r="C127" i="36"/>
  <c r="C128" i="36"/>
  <c r="C129" i="36"/>
  <c r="C130" i="36"/>
  <c r="C131" i="36"/>
  <c r="C132" i="36"/>
  <c r="C133" i="36"/>
  <c r="C134" i="36"/>
  <c r="C135" i="36"/>
  <c r="C136" i="36"/>
  <c r="C137" i="36"/>
  <c r="C138" i="36"/>
  <c r="C139" i="36"/>
  <c r="C140" i="36"/>
  <c r="C141" i="36"/>
  <c r="C142" i="36"/>
  <c r="C143" i="36"/>
  <c r="C144" i="36"/>
  <c r="C145" i="36"/>
  <c r="C146" i="36"/>
  <c r="C147" i="36"/>
  <c r="C148" i="36"/>
  <c r="C149" i="36"/>
  <c r="C150" i="36"/>
  <c r="C151" i="36"/>
  <c r="C152" i="36"/>
  <c r="C153" i="36"/>
  <c r="C154" i="36"/>
  <c r="C155" i="36"/>
  <c r="C156" i="36"/>
  <c r="C157" i="36"/>
  <c r="C158" i="36"/>
  <c r="C159" i="36"/>
  <c r="C160" i="36"/>
  <c r="C161" i="36"/>
  <c r="C162" i="36"/>
  <c r="C163" i="36"/>
  <c r="C164" i="36"/>
  <c r="C165" i="36"/>
  <c r="C166" i="36"/>
  <c r="C167" i="36"/>
  <c r="C168" i="36"/>
  <c r="C169" i="36"/>
  <c r="C170" i="36"/>
  <c r="C171" i="36"/>
  <c r="C172" i="36"/>
  <c r="C173" i="36"/>
  <c r="C174" i="36"/>
  <c r="C175" i="36"/>
  <c r="C176" i="36"/>
  <c r="C177" i="36"/>
  <c r="C178" i="36"/>
  <c r="C179" i="36"/>
  <c r="C180" i="36"/>
  <c r="C181" i="36"/>
  <c r="C182" i="36"/>
  <c r="C183" i="36"/>
  <c r="C184" i="36"/>
  <c r="C185" i="36"/>
  <c r="C186" i="36"/>
  <c r="C187" i="36"/>
  <c r="C188" i="36"/>
  <c r="C189" i="36"/>
  <c r="C190" i="36"/>
  <c r="C191" i="36"/>
  <c r="C192" i="36"/>
  <c r="C193" i="36"/>
  <c r="C194" i="36"/>
  <c r="C195" i="36"/>
  <c r="C196" i="36"/>
  <c r="C197" i="36"/>
  <c r="C198" i="36"/>
  <c r="C199" i="36"/>
  <c r="C200" i="36"/>
  <c r="C201" i="36"/>
  <c r="C202" i="36"/>
  <c r="C203" i="36"/>
  <c r="C204" i="36"/>
  <c r="C205" i="36"/>
  <c r="C206" i="36"/>
  <c r="C207" i="36"/>
  <c r="C208" i="36"/>
  <c r="C209" i="36"/>
  <c r="C210" i="36"/>
  <c r="C211" i="36"/>
  <c r="C212" i="36"/>
  <c r="C213" i="36"/>
  <c r="C214" i="36"/>
  <c r="C215" i="36"/>
  <c r="C216" i="36"/>
  <c r="C217" i="36"/>
  <c r="C218" i="36"/>
  <c r="C219" i="36"/>
  <c r="C220" i="36"/>
  <c r="C221" i="36"/>
  <c r="C222" i="36"/>
  <c r="C223" i="36"/>
  <c r="C224" i="36"/>
  <c r="C225" i="36"/>
  <c r="C226" i="36"/>
  <c r="C227" i="36"/>
  <c r="C228" i="36"/>
  <c r="C229" i="36"/>
  <c r="C230" i="36"/>
  <c r="C231" i="36"/>
  <c r="C232" i="36"/>
  <c r="C233" i="36"/>
  <c r="C234" i="36"/>
  <c r="C235" i="36"/>
  <c r="C236" i="36"/>
  <c r="C237" i="36"/>
  <c r="C238" i="36"/>
  <c r="C239" i="36"/>
  <c r="C240" i="36"/>
  <c r="C241" i="36"/>
  <c r="C242" i="36"/>
  <c r="C243" i="36"/>
  <c r="C244" i="36"/>
  <c r="C245" i="36"/>
  <c r="C246" i="36"/>
  <c r="C247" i="36"/>
  <c r="C248" i="36"/>
  <c r="C249" i="36"/>
  <c r="C250" i="36"/>
  <c r="C5" i="36"/>
  <c r="C35" i="20"/>
  <c r="C36" i="20" s="1"/>
  <c r="F3" i="35"/>
  <c r="E8" i="34"/>
  <c r="F8" i="34"/>
  <c r="G8" i="34"/>
  <c r="D8" i="34"/>
  <c r="C8" i="34"/>
  <c r="B36" i="25" l="1"/>
  <c r="I8" i="34"/>
  <c r="C37" i="20"/>
  <c r="C44" i="20" l="1"/>
  <c r="C9" i="20"/>
  <c r="C7" i="20"/>
  <c r="C6" i="20"/>
  <c r="C8" i="20" s="1"/>
  <c r="I26" i="14"/>
  <c r="J26" i="14"/>
  <c r="K26" i="14"/>
  <c r="L26" i="14"/>
  <c r="H26" i="14"/>
  <c r="I13" i="32"/>
  <c r="J13" i="32"/>
  <c r="K13" i="32"/>
  <c r="L13" i="32"/>
  <c r="H13" i="32"/>
  <c r="D13" i="32"/>
  <c r="E13" i="32"/>
  <c r="F13" i="32"/>
  <c r="G13" i="32"/>
  <c r="C13" i="32"/>
  <c r="D12" i="32"/>
  <c r="E12" i="32"/>
  <c r="F12" i="32"/>
  <c r="G12" i="32"/>
  <c r="C12" i="32"/>
  <c r="D11" i="32"/>
  <c r="E11" i="32"/>
  <c r="F11" i="32"/>
  <c r="G11" i="32"/>
  <c r="C11" i="32"/>
  <c r="I22" i="14"/>
  <c r="J22" i="14"/>
  <c r="K22" i="14"/>
  <c r="L22" i="14"/>
  <c r="H22" i="14"/>
  <c r="I20" i="14"/>
  <c r="J20" i="14"/>
  <c r="K20" i="14"/>
  <c r="L20" i="14"/>
  <c r="H20" i="14"/>
  <c r="I6" i="32"/>
  <c r="J6" i="32"/>
  <c r="K6" i="32"/>
  <c r="L6" i="32"/>
  <c r="H6" i="32"/>
  <c r="I4" i="32"/>
  <c r="J4" i="32" s="1"/>
  <c r="K4" i="32" s="1"/>
  <c r="L4" i="32" s="1"/>
  <c r="H4" i="32"/>
  <c r="I5" i="32"/>
  <c r="J5" i="32"/>
  <c r="K5" i="32"/>
  <c r="L5" i="32"/>
  <c r="H5" i="32"/>
  <c r="E5" i="32"/>
  <c r="F5" i="32"/>
  <c r="G5" i="32"/>
  <c r="D5" i="32"/>
  <c r="D4" i="32"/>
  <c r="E4" i="32"/>
  <c r="F4" i="32"/>
  <c r="C4" i="32"/>
  <c r="D7" i="32"/>
  <c r="E7" i="32"/>
  <c r="F7" i="32"/>
  <c r="D6" i="32"/>
  <c r="E6" i="32"/>
  <c r="F6" i="32"/>
  <c r="G6" i="32"/>
  <c r="C6" i="32"/>
  <c r="C7" i="32" s="1"/>
  <c r="G4" i="32"/>
  <c r="G7" i="32" s="1"/>
  <c r="G5" i="31"/>
  <c r="H9" i="31" s="1"/>
  <c r="C45" i="31"/>
  <c r="C46" i="31"/>
  <c r="C47" i="31"/>
  <c r="C48" i="31"/>
  <c r="C49" i="31"/>
  <c r="C44" i="31"/>
  <c r="B46" i="31"/>
  <c r="J29" i="31"/>
  <c r="F29" i="31"/>
  <c r="B49" i="31" s="1"/>
  <c r="D27" i="31"/>
  <c r="E27" i="31"/>
  <c r="G27" i="31"/>
  <c r="H27" i="31"/>
  <c r="I27" i="31"/>
  <c r="C27" i="31"/>
  <c r="J23" i="31"/>
  <c r="K23" i="31" s="1"/>
  <c r="D45" i="31" s="1"/>
  <c r="J24" i="31"/>
  <c r="J25" i="31"/>
  <c r="J26" i="31"/>
  <c r="F23" i="31"/>
  <c r="B45" i="31" s="1"/>
  <c r="F24" i="31"/>
  <c r="F25" i="31"/>
  <c r="B47" i="31" s="1"/>
  <c r="F26" i="31"/>
  <c r="B48" i="31" s="1"/>
  <c r="F22" i="31"/>
  <c r="B44" i="31" s="1"/>
  <c r="J22" i="31"/>
  <c r="D6" i="31"/>
  <c r="E6" i="31"/>
  <c r="F6" i="31"/>
  <c r="G6" i="31"/>
  <c r="C6" i="31"/>
  <c r="D5" i="31"/>
  <c r="E5" i="31"/>
  <c r="E7" i="31" s="1"/>
  <c r="E8" i="31" s="1"/>
  <c r="F5" i="31"/>
  <c r="F7" i="31" s="1"/>
  <c r="F8" i="31" s="1"/>
  <c r="C5" i="31"/>
  <c r="K29" i="31" l="1"/>
  <c r="D7" i="31"/>
  <c r="D8" i="31" s="1"/>
  <c r="C38" i="31"/>
  <c r="D49" i="31"/>
  <c r="K25" i="31"/>
  <c r="J27" i="31"/>
  <c r="K24" i="31"/>
  <c r="D46" i="31" s="1"/>
  <c r="C34" i="31"/>
  <c r="K22" i="31"/>
  <c r="D44" i="31" s="1"/>
  <c r="F27" i="31"/>
  <c r="K26" i="31"/>
  <c r="D48" i="31" s="1"/>
  <c r="C36" i="31" l="1"/>
  <c r="D47" i="31"/>
  <c r="D50" i="31" s="1"/>
  <c r="C35" i="31"/>
  <c r="C33" i="31"/>
  <c r="K27" i="31"/>
  <c r="C37" i="31"/>
  <c r="C39" i="31" l="1"/>
  <c r="D38" i="31" l="1"/>
  <c r="D36" i="31"/>
  <c r="D35" i="31"/>
  <c r="D34" i="31"/>
  <c r="D33" i="31"/>
  <c r="D37" i="31"/>
  <c r="D39" i="31" l="1"/>
  <c r="I18" i="27"/>
  <c r="J18" i="27"/>
  <c r="K18" i="27"/>
  <c r="L18" i="27"/>
  <c r="D18" i="27"/>
  <c r="E18" i="27"/>
  <c r="F18" i="27"/>
  <c r="G18" i="27"/>
  <c r="C18" i="27"/>
  <c r="H14" i="27"/>
  <c r="H15" i="14" s="1"/>
  <c r="I15" i="27"/>
  <c r="J15" i="27"/>
  <c r="K15" i="27"/>
  <c r="L15" i="27"/>
  <c r="H15" i="27"/>
  <c r="D15" i="27"/>
  <c r="E15" i="27"/>
  <c r="F15" i="27"/>
  <c r="G15" i="27"/>
  <c r="C15" i="27"/>
  <c r="H10" i="27"/>
  <c r="H13" i="14" s="1"/>
  <c r="I11" i="27"/>
  <c r="J11" i="27"/>
  <c r="K11" i="27"/>
  <c r="L11" i="27"/>
  <c r="H11" i="27"/>
  <c r="E11" i="27"/>
  <c r="F11" i="27"/>
  <c r="G11" i="27"/>
  <c r="C11" i="27"/>
  <c r="D11" i="27"/>
  <c r="D8" i="27"/>
  <c r="C8" i="27"/>
  <c r="F7" i="27"/>
  <c r="H7" i="27" s="1"/>
  <c r="I7" i="27" s="1"/>
  <c r="J7" i="27" s="1"/>
  <c r="K7" i="27" s="1"/>
  <c r="L7" i="27" s="1"/>
  <c r="E7" i="27"/>
  <c r="E8" i="27" s="1"/>
  <c r="D7" i="27"/>
  <c r="C7" i="27"/>
  <c r="H6" i="27"/>
  <c r="M6" i="27"/>
  <c r="G16" i="26"/>
  <c r="H15" i="26"/>
  <c r="I15" i="26" s="1"/>
  <c r="H14" i="26"/>
  <c r="I14" i="26"/>
  <c r="J14" i="26" s="1"/>
  <c r="K14" i="26" s="1"/>
  <c r="L14" i="26" s="1"/>
  <c r="H8" i="14"/>
  <c r="H12" i="26"/>
  <c r="H7" i="14" s="1"/>
  <c r="H9" i="26"/>
  <c r="I9" i="26" s="1"/>
  <c r="J9" i="26" s="1"/>
  <c r="K9" i="26" s="1"/>
  <c r="L9" i="26" s="1"/>
  <c r="I8" i="26"/>
  <c r="J8" i="26"/>
  <c r="K8" i="26"/>
  <c r="L8" i="26"/>
  <c r="H8" i="26"/>
  <c r="I7" i="26"/>
  <c r="J7" i="26" s="1"/>
  <c r="K7" i="26" s="1"/>
  <c r="L7" i="26" s="1"/>
  <c r="M13" i="26"/>
  <c r="M14" i="26"/>
  <c r="M12" i="26"/>
  <c r="M7" i="26"/>
  <c r="M8" i="26"/>
  <c r="M9" i="26"/>
  <c r="M6" i="26"/>
  <c r="F15" i="26"/>
  <c r="E15" i="26"/>
  <c r="D15" i="26"/>
  <c r="C15" i="26"/>
  <c r="M15" i="26" s="1"/>
  <c r="D10" i="26"/>
  <c r="E10" i="26"/>
  <c r="F10" i="26"/>
  <c r="C10" i="26"/>
  <c r="H14" i="14" l="1"/>
  <c r="H8" i="27"/>
  <c r="H12" i="14" s="1"/>
  <c r="H16" i="14" s="1"/>
  <c r="F8" i="27"/>
  <c r="I6" i="27"/>
  <c r="M7" i="27"/>
  <c r="D16" i="26"/>
  <c r="E16" i="26"/>
  <c r="H10" i="26"/>
  <c r="H16" i="26" s="1"/>
  <c r="H17" i="27" s="1"/>
  <c r="C16" i="26"/>
  <c r="F16" i="26"/>
  <c r="J15" i="26"/>
  <c r="I10" i="14"/>
  <c r="H9" i="14"/>
  <c r="I13" i="26"/>
  <c r="H10" i="14"/>
  <c r="I12" i="26"/>
  <c r="I14" i="27" l="1"/>
  <c r="I10" i="27"/>
  <c r="I13" i="14" s="1"/>
  <c r="H6" i="14"/>
  <c r="H11" i="14" s="1"/>
  <c r="J6" i="27"/>
  <c r="I8" i="27"/>
  <c r="I12" i="14" s="1"/>
  <c r="J13" i="26"/>
  <c r="I8" i="14"/>
  <c r="I9" i="14"/>
  <c r="I10" i="26"/>
  <c r="J6" i="26"/>
  <c r="J12" i="26"/>
  <c r="I7" i="14"/>
  <c r="K15" i="26"/>
  <c r="J10" i="14"/>
  <c r="J14" i="27" l="1"/>
  <c r="J10" i="27"/>
  <c r="J13" i="14" s="1"/>
  <c r="I14" i="14"/>
  <c r="I15" i="14"/>
  <c r="H17" i="14"/>
  <c r="B34" i="25" s="1"/>
  <c r="B35" i="25" s="1"/>
  <c r="B37" i="25" s="1"/>
  <c r="B39" i="25" s="1"/>
  <c r="D14" i="34"/>
  <c r="D15" i="34" s="1"/>
  <c r="D16" i="34" s="1"/>
  <c r="D10" i="20" s="1"/>
  <c r="H6" i="31"/>
  <c r="K6" i="27"/>
  <c r="J8" i="27"/>
  <c r="J12" i="14" s="1"/>
  <c r="I16" i="26"/>
  <c r="I17" i="27" s="1"/>
  <c r="I6" i="14"/>
  <c r="I11" i="14" s="1"/>
  <c r="K12" i="26"/>
  <c r="J7" i="14"/>
  <c r="K6" i="26"/>
  <c r="J10" i="26"/>
  <c r="L15" i="26"/>
  <c r="L10" i="14" s="1"/>
  <c r="K10" i="14"/>
  <c r="K13" i="26"/>
  <c r="J8" i="14"/>
  <c r="J9" i="14"/>
  <c r="C21" i="21"/>
  <c r="C20" i="21" s="1"/>
  <c r="C23" i="21"/>
  <c r="C24" i="21"/>
  <c r="F22" i="18"/>
  <c r="F21" i="18"/>
  <c r="F20" i="18"/>
  <c r="F23" i="18" s="1"/>
  <c r="F24" i="18" s="1"/>
  <c r="F25" i="18" s="1"/>
  <c r="F17" i="18"/>
  <c r="F18" i="18" s="1"/>
  <c r="F16" i="18"/>
  <c r="F15" i="18"/>
  <c r="F14" i="18"/>
  <c r="F13" i="18"/>
  <c r="F9" i="18"/>
  <c r="F8" i="18"/>
  <c r="F10" i="18" s="1"/>
  <c r="F11" i="18" s="1"/>
  <c r="F7" i="18"/>
  <c r="E21" i="19" l="1"/>
  <c r="D21" i="19" s="1"/>
  <c r="I16" i="14"/>
  <c r="K10" i="27"/>
  <c r="K13" i="14" s="1"/>
  <c r="K14" i="27"/>
  <c r="J14" i="14"/>
  <c r="J15" i="14"/>
  <c r="I17" i="14"/>
  <c r="E14" i="34"/>
  <c r="E15" i="34" s="1"/>
  <c r="E16" i="34" s="1"/>
  <c r="E10" i="20" s="1"/>
  <c r="I6" i="31"/>
  <c r="L6" i="27"/>
  <c r="L8" i="27" s="1"/>
  <c r="L12" i="14" s="1"/>
  <c r="K8" i="27"/>
  <c r="K12" i="14" s="1"/>
  <c r="J16" i="26"/>
  <c r="J17" i="27" s="1"/>
  <c r="J6" i="14"/>
  <c r="J11" i="14" s="1"/>
  <c r="L12" i="26"/>
  <c r="L7" i="14" s="1"/>
  <c r="K7" i="14"/>
  <c r="L6" i="26"/>
  <c r="L10" i="26" s="1"/>
  <c r="K10" i="26"/>
  <c r="L13" i="26"/>
  <c r="K8" i="14"/>
  <c r="K9" i="14"/>
  <c r="G25" i="16"/>
  <c r="G29" i="16" s="1"/>
  <c r="F28" i="16"/>
  <c r="G28" i="16"/>
  <c r="F25" i="16"/>
  <c r="D28" i="16"/>
  <c r="E28" i="16"/>
  <c r="C28" i="16"/>
  <c r="C29" i="16" s="1"/>
  <c r="D25" i="16"/>
  <c r="E25" i="16"/>
  <c r="C25" i="16"/>
  <c r="G18" i="16"/>
  <c r="F18" i="16"/>
  <c r="D18" i="16"/>
  <c r="E18" i="16"/>
  <c r="C18" i="16"/>
  <c r="G16" i="14"/>
  <c r="G11" i="14"/>
  <c r="D16" i="14"/>
  <c r="E16" i="14"/>
  <c r="F16" i="14"/>
  <c r="C16" i="14"/>
  <c r="C10" i="14"/>
  <c r="D10" i="14"/>
  <c r="E10" i="14"/>
  <c r="F10" i="14"/>
  <c r="C9" i="14"/>
  <c r="D9" i="14"/>
  <c r="E9" i="14"/>
  <c r="F9" i="14"/>
  <c r="J16" i="14" l="1"/>
  <c r="K14" i="14"/>
  <c r="K15" i="14"/>
  <c r="L14" i="27"/>
  <c r="L10" i="27"/>
  <c r="L13" i="14" s="1"/>
  <c r="J17" i="14"/>
  <c r="F14" i="34"/>
  <c r="F15" i="34" s="1"/>
  <c r="F16" i="34" s="1"/>
  <c r="F10" i="20" s="1"/>
  <c r="J6" i="31"/>
  <c r="L16" i="26"/>
  <c r="L17" i="27" s="1"/>
  <c r="L6" i="14"/>
  <c r="L9" i="14"/>
  <c r="L8" i="14"/>
  <c r="K6" i="14"/>
  <c r="K11" i="14" s="1"/>
  <c r="K16" i="26"/>
  <c r="K17" i="27" s="1"/>
  <c r="J16" i="20"/>
  <c r="K16" i="20" s="1"/>
  <c r="D29" i="16"/>
  <c r="E29" i="16"/>
  <c r="F29" i="16"/>
  <c r="G17" i="14"/>
  <c r="G19" i="14" s="1"/>
  <c r="G21" i="14" s="1"/>
  <c r="G23" i="14" s="1"/>
  <c r="G25" i="14" s="1"/>
  <c r="G27" i="14" s="1"/>
  <c r="G29" i="14" s="1"/>
  <c r="C6" i="14"/>
  <c r="C11" i="14" s="1"/>
  <c r="C17" i="14" s="1"/>
  <c r="C19" i="14" s="1"/>
  <c r="C21" i="14" s="1"/>
  <c r="C23" i="14" s="1"/>
  <c r="C25" i="14" s="1"/>
  <c r="C27" i="14" s="1"/>
  <c r="C29" i="14" s="1"/>
  <c r="D6" i="14"/>
  <c r="D11" i="14" s="1"/>
  <c r="D17" i="14" s="1"/>
  <c r="D19" i="14" s="1"/>
  <c r="D21" i="14" s="1"/>
  <c r="D23" i="14" s="1"/>
  <c r="D25" i="14" s="1"/>
  <c r="D27" i="14" s="1"/>
  <c r="D29" i="14" s="1"/>
  <c r="E6" i="14"/>
  <c r="E11" i="14" s="1"/>
  <c r="E17" i="14" s="1"/>
  <c r="E19" i="14" s="1"/>
  <c r="E21" i="14" s="1"/>
  <c r="E23" i="14" s="1"/>
  <c r="E25" i="14" s="1"/>
  <c r="E27" i="14" s="1"/>
  <c r="E29" i="14" s="1"/>
  <c r="F6" i="14"/>
  <c r="K16" i="14" l="1"/>
  <c r="L14" i="14"/>
  <c r="L15" i="14"/>
  <c r="K17" i="14"/>
  <c r="G14" i="34"/>
  <c r="G15" i="34" s="1"/>
  <c r="G16" i="34" s="1"/>
  <c r="G10" i="20" s="1"/>
  <c r="K6" i="31"/>
  <c r="H16" i="20"/>
  <c r="G16" i="20" s="1"/>
  <c r="F11" i="14"/>
  <c r="F17" i="14" s="1"/>
  <c r="F19" i="14" s="1"/>
  <c r="F21" i="14" s="1"/>
  <c r="F23" i="14" s="1"/>
  <c r="F25" i="14" s="1"/>
  <c r="F27" i="14" s="1"/>
  <c r="F29" i="14" s="1"/>
  <c r="L11" i="14"/>
  <c r="L16" i="14" l="1"/>
  <c r="L17" i="14"/>
  <c r="H14" i="34"/>
  <c r="H15" i="34" s="1"/>
  <c r="H16" i="34" s="1"/>
  <c r="H10" i="20" s="1"/>
  <c r="L6" i="31"/>
  <c r="C37" i="21" l="1"/>
  <c r="F19" i="20"/>
  <c r="E19" i="21" l="1"/>
  <c r="D19" i="21" s="1"/>
  <c r="G19" i="21"/>
  <c r="H19" i="21" s="1"/>
  <c r="F18" i="20"/>
  <c r="F17" i="20" s="1"/>
  <c r="F20" i="20"/>
  <c r="F21" i="20" s="1"/>
  <c r="C30" i="21" l="1"/>
  <c r="C38" i="21" l="1"/>
  <c r="I28" i="6" l="1"/>
  <c r="H7" i="31" l="1"/>
  <c r="I7" i="31"/>
  <c r="J7" i="31"/>
  <c r="K7" i="31"/>
  <c r="L7" i="31"/>
  <c r="E100" i="31" l="1"/>
  <c r="H11" i="20"/>
  <c r="E77" i="31"/>
  <c r="F11" i="20"/>
  <c r="E71" i="31"/>
  <c r="E11" i="20"/>
  <c r="E91" i="31"/>
  <c r="G11" i="20"/>
  <c r="E60" i="31"/>
  <c r="D11" i="20"/>
  <c r="E59" i="31"/>
  <c r="E56" i="31"/>
  <c r="E99" i="31"/>
  <c r="E93" i="31"/>
  <c r="E92" i="31"/>
  <c r="E90" i="31"/>
  <c r="E102" i="31"/>
  <c r="E89" i="31"/>
  <c r="E88" i="31"/>
  <c r="E104" i="31"/>
  <c r="E103" i="31"/>
  <c r="E101" i="31"/>
  <c r="E82" i="31"/>
  <c r="E80" i="31"/>
  <c r="E78" i="31"/>
  <c r="E70" i="31"/>
  <c r="E68" i="31"/>
  <c r="E66" i="31"/>
  <c r="E57" i="31"/>
  <c r="E67" i="31"/>
  <c r="E79" i="31"/>
  <c r="E69" i="31"/>
  <c r="E58" i="31"/>
  <c r="E55" i="31"/>
  <c r="E81" i="31"/>
  <c r="E94" i="31" l="1"/>
  <c r="K10" i="31" s="1"/>
  <c r="E105" i="31"/>
  <c r="L10" i="31" s="1"/>
  <c r="E83" i="31"/>
  <c r="J10" i="31" s="1"/>
  <c r="E61" i="31"/>
  <c r="H10" i="31" s="1"/>
  <c r="E72" i="31"/>
  <c r="I10" i="31" s="1"/>
  <c r="G7" i="31"/>
  <c r="E49" i="31" s="1"/>
  <c r="F49" i="31" l="1"/>
  <c r="G49" i="31" s="1"/>
  <c r="D60" i="31" s="1"/>
  <c r="F60" i="31" s="1"/>
  <c r="G60" i="31" s="1"/>
  <c r="D71" i="31" s="1"/>
  <c r="G8" i="31"/>
  <c r="E45" i="31"/>
  <c r="F45" i="31" s="1"/>
  <c r="C11" i="20"/>
  <c r="C12" i="20" s="1"/>
  <c r="E44" i="31"/>
  <c r="F44" i="31" s="1"/>
  <c r="E48" i="31"/>
  <c r="F48" i="31" s="1"/>
  <c r="G48" i="31" s="1"/>
  <c r="D59" i="31" s="1"/>
  <c r="F59" i="31" s="1"/>
  <c r="G59" i="31" s="1"/>
  <c r="D70" i="31" s="1"/>
  <c r="E47" i="31"/>
  <c r="F47" i="31" s="1"/>
  <c r="E46" i="31"/>
  <c r="E50" i="31" l="1"/>
  <c r="G47" i="31"/>
  <c r="D58" i="31" s="1"/>
  <c r="F58" i="31" s="1"/>
  <c r="G58" i="31" s="1"/>
  <c r="D69" i="31" s="1"/>
  <c r="G45" i="31"/>
  <c r="D56" i="31" s="1"/>
  <c r="F56" i="31" s="1"/>
  <c r="G56" i="31" s="1"/>
  <c r="D67" i="31" s="1"/>
  <c r="G44" i="31"/>
  <c r="D55" i="31" s="1"/>
  <c r="F55" i="31" s="1"/>
  <c r="F46" i="31"/>
  <c r="F50" i="31" s="1"/>
  <c r="G46" i="31"/>
  <c r="D57" i="31" s="1"/>
  <c r="D61" i="31" s="1"/>
  <c r="F71" i="31"/>
  <c r="G71" i="31" s="1"/>
  <c r="D82" i="31" s="1"/>
  <c r="F70" i="31"/>
  <c r="G70" i="31" s="1"/>
  <c r="D81" i="31" s="1"/>
  <c r="G50" i="31" l="1"/>
  <c r="F57" i="31"/>
  <c r="G57" i="31" s="1"/>
  <c r="D68" i="31" s="1"/>
  <c r="F68" i="31" s="1"/>
  <c r="G68" i="31" s="1"/>
  <c r="D79" i="31" s="1"/>
  <c r="F79" i="31" s="1"/>
  <c r="G79" i="31" s="1"/>
  <c r="D90" i="31" s="1"/>
  <c r="F67" i="31"/>
  <c r="G67" i="31" s="1"/>
  <c r="D78" i="31" s="1"/>
  <c r="F69" i="31"/>
  <c r="G69" i="31" s="1"/>
  <c r="D80" i="31" s="1"/>
  <c r="F81" i="31"/>
  <c r="G81" i="31" s="1"/>
  <c r="D92" i="31" s="1"/>
  <c r="G55" i="31"/>
  <c r="F82" i="31"/>
  <c r="G82" i="31"/>
  <c r="D93" i="31" s="1"/>
  <c r="F61" i="31" l="1"/>
  <c r="H11" i="31" s="1"/>
  <c r="H18" i="14"/>
  <c r="H12" i="31"/>
  <c r="F78" i="31"/>
  <c r="G78" i="31" s="1"/>
  <c r="D89" i="31" s="1"/>
  <c r="F92" i="31"/>
  <c r="G92" i="31" s="1"/>
  <c r="D103" i="31" s="1"/>
  <c r="F80" i="31"/>
  <c r="G80" i="31" s="1"/>
  <c r="D91" i="31" s="1"/>
  <c r="F93" i="31"/>
  <c r="G93" i="31" s="1"/>
  <c r="D104" i="31" s="1"/>
  <c r="F90" i="31"/>
  <c r="G90" i="31" s="1"/>
  <c r="D101" i="31" s="1"/>
  <c r="D66" i="31"/>
  <c r="G61" i="31"/>
  <c r="H5" i="31" s="1"/>
  <c r="I9" i="31" s="1"/>
  <c r="D9" i="20" l="1"/>
  <c r="H19" i="14"/>
  <c r="F91" i="31"/>
  <c r="G91" i="31" s="1"/>
  <c r="D102" i="31" s="1"/>
  <c r="F101" i="31"/>
  <c r="G101" i="31" s="1"/>
  <c r="F103" i="31"/>
  <c r="G103" i="31" s="1"/>
  <c r="F66" i="31"/>
  <c r="F72" i="31" s="1"/>
  <c r="I11" i="31" s="1"/>
  <c r="I18" i="14" s="1"/>
  <c r="D72" i="31"/>
  <c r="F89" i="31"/>
  <c r="G89" i="31" s="1"/>
  <c r="D100" i="31" s="1"/>
  <c r="F104" i="31"/>
  <c r="G104" i="31" s="1"/>
  <c r="G66" i="31" l="1"/>
  <c r="D6" i="20"/>
  <c r="H21" i="14"/>
  <c r="H23" i="14" s="1"/>
  <c r="E9" i="20"/>
  <c r="I19" i="14"/>
  <c r="I12" i="31"/>
  <c r="F102" i="31"/>
  <c r="G102" i="31" s="1"/>
  <c r="G72" i="31"/>
  <c r="I5" i="31" s="1"/>
  <c r="J9" i="31" s="1"/>
  <c r="D77" i="31"/>
  <c r="F100" i="31"/>
  <c r="G100" i="31" s="1"/>
  <c r="E6" i="20" l="1"/>
  <c r="I21" i="14"/>
  <c r="I23" i="14" s="1"/>
  <c r="H11" i="32"/>
  <c r="H12" i="32" s="1"/>
  <c r="H24" i="14" s="1"/>
  <c r="D7" i="20" s="1"/>
  <c r="D8" i="20" s="1"/>
  <c r="D12" i="20" s="1"/>
  <c r="F77" i="31"/>
  <c r="F83" i="31" s="1"/>
  <c r="J11" i="31" s="1"/>
  <c r="J18" i="14" s="1"/>
  <c r="D83" i="31"/>
  <c r="H25" i="14" l="1"/>
  <c r="G77" i="31"/>
  <c r="G83" i="31" s="1"/>
  <c r="J5" i="31" s="1"/>
  <c r="K9" i="31" s="1"/>
  <c r="I11" i="32"/>
  <c r="I12" i="32" s="1"/>
  <c r="I24" i="14" s="1"/>
  <c r="E7" i="20" s="1"/>
  <c r="E8" i="20" s="1"/>
  <c r="E12" i="20" s="1"/>
  <c r="F9" i="20"/>
  <c r="J19" i="14"/>
  <c r="J12" i="31"/>
  <c r="D88" i="31"/>
  <c r="H27" i="14" l="1"/>
  <c r="B21" i="25" s="1"/>
  <c r="D6" i="39"/>
  <c r="H27" i="16"/>
  <c r="I25" i="14"/>
  <c r="J21" i="14"/>
  <c r="J23" i="14" s="1"/>
  <c r="F6" i="20"/>
  <c r="D94" i="31"/>
  <c r="F88" i="31"/>
  <c r="F94" i="31" s="1"/>
  <c r="K11" i="31" s="1"/>
  <c r="K18" i="14" s="1"/>
  <c r="B26" i="25" l="1"/>
  <c r="B27" i="25" s="1"/>
  <c r="B22" i="25"/>
  <c r="B29" i="25" s="1"/>
  <c r="B47" i="25" s="1"/>
  <c r="C10" i="19" s="1"/>
  <c r="E10" i="19" s="1"/>
  <c r="I27" i="14"/>
  <c r="E6" i="39"/>
  <c r="H28" i="16"/>
  <c r="I27" i="16"/>
  <c r="H29" i="14"/>
  <c r="H8" i="21" s="1"/>
  <c r="H7" i="21"/>
  <c r="D28" i="21" s="1"/>
  <c r="J11" i="32"/>
  <c r="J12" i="32" s="1"/>
  <c r="J24" i="14" s="1"/>
  <c r="F7" i="20" s="1"/>
  <c r="F8" i="20" s="1"/>
  <c r="F12" i="20" s="1"/>
  <c r="G9" i="20"/>
  <c r="K19" i="14"/>
  <c r="K12" i="31"/>
  <c r="G88" i="31"/>
  <c r="G94" i="31" s="1"/>
  <c r="K5" i="31" s="1"/>
  <c r="L9" i="31" s="1"/>
  <c r="H9" i="21" l="1"/>
  <c r="H10" i="21" s="1"/>
  <c r="H13" i="21"/>
  <c r="D29" i="21"/>
  <c r="I28" i="16"/>
  <c r="D5" i="39"/>
  <c r="D7" i="39" s="1"/>
  <c r="I29" i="14"/>
  <c r="I8" i="21" s="1"/>
  <c r="I7" i="21"/>
  <c r="E28" i="21" s="1"/>
  <c r="G6" i="20"/>
  <c r="K21" i="14"/>
  <c r="K23" i="14" s="1"/>
  <c r="J25" i="14"/>
  <c r="D99" i="31"/>
  <c r="F99" i="31" s="1"/>
  <c r="F105" i="31" s="1"/>
  <c r="L11" i="31" s="1"/>
  <c r="L18" i="14" s="1"/>
  <c r="D105" i="31"/>
  <c r="E5" i="39" l="1"/>
  <c r="E7" i="39" s="1"/>
  <c r="I13" i="21"/>
  <c r="E30" i="21" s="1"/>
  <c r="I9" i="21"/>
  <c r="I10" i="21" s="1"/>
  <c r="E29" i="21"/>
  <c r="J27" i="14"/>
  <c r="F6" i="39"/>
  <c r="J27" i="16"/>
  <c r="D30" i="21"/>
  <c r="G99" i="31"/>
  <c r="G105" i="31" s="1"/>
  <c r="L5" i="31" s="1"/>
  <c r="H9" i="20"/>
  <c r="L19" i="14"/>
  <c r="K11" i="32"/>
  <c r="K12" i="32" s="1"/>
  <c r="K24" i="14" s="1"/>
  <c r="G7" i="20" s="1"/>
  <c r="G8" i="20" s="1"/>
  <c r="G12" i="20" s="1"/>
  <c r="L12" i="31"/>
  <c r="J29" i="14" l="1"/>
  <c r="J8" i="21" s="1"/>
  <c r="J7" i="21"/>
  <c r="F28" i="21" s="1"/>
  <c r="J28" i="16"/>
  <c r="K25" i="14"/>
  <c r="K27" i="16" s="1"/>
  <c r="H6" i="20"/>
  <c r="L21" i="14"/>
  <c r="L23" i="14" s="1"/>
  <c r="K28" i="16" l="1"/>
  <c r="J13" i="21"/>
  <c r="J9" i="21"/>
  <c r="J10" i="21" s="1"/>
  <c r="F29" i="21"/>
  <c r="F5" i="39"/>
  <c r="F7" i="39" s="1"/>
  <c r="K27" i="14"/>
  <c r="G6" i="39"/>
  <c r="L11" i="32"/>
  <c r="L12" i="32" s="1"/>
  <c r="L24" i="14" s="1"/>
  <c r="H7" i="20" s="1"/>
  <c r="H8" i="20" s="1"/>
  <c r="H12" i="20" s="1"/>
  <c r="C18" i="20" s="1"/>
  <c r="K29" i="14" l="1"/>
  <c r="K8" i="21" s="1"/>
  <c r="K7" i="21"/>
  <c r="G28" i="21" s="1"/>
  <c r="F30" i="21"/>
  <c r="G5" i="39"/>
  <c r="G7" i="39" s="1"/>
  <c r="C19" i="20"/>
  <c r="C20" i="20"/>
  <c r="L25" i="14"/>
  <c r="L27" i="14" l="1"/>
  <c r="H6" i="39"/>
  <c r="L27" i="16"/>
  <c r="L28" i="16" s="1"/>
  <c r="K13" i="21"/>
  <c r="K9" i="21"/>
  <c r="K10" i="21" s="1"/>
  <c r="G29" i="21"/>
  <c r="C21" i="20"/>
  <c r="C24" i="20" s="1"/>
  <c r="C26" i="20" l="1"/>
  <c r="G30" i="21"/>
  <c r="H5" i="39"/>
  <c r="H7" i="39" s="1"/>
  <c r="C12" i="39" s="1"/>
  <c r="L29" i="14"/>
  <c r="L8" i="21" s="1"/>
  <c r="L7" i="21"/>
  <c r="C7" i="19" l="1"/>
  <c r="E7" i="19" s="1"/>
  <c r="F16" i="20"/>
  <c r="C28" i="20"/>
  <c r="L13" i="21"/>
  <c r="M11" i="21"/>
  <c r="M13" i="21" s="1"/>
  <c r="L9" i="21"/>
  <c r="L10" i="21" s="1"/>
  <c r="H29" i="21"/>
  <c r="C13" i="39"/>
  <c r="C14" i="39" s="1"/>
  <c r="C16" i="39" s="1"/>
  <c r="H28" i="21"/>
  <c r="C36" i="21"/>
  <c r="C39" i="21" l="1"/>
  <c r="M14" i="21"/>
  <c r="C18" i="39"/>
  <c r="H30" i="21"/>
  <c r="C40" i="21"/>
  <c r="C41" i="21" s="1"/>
  <c r="J14" i="39" l="1"/>
  <c r="C20" i="39"/>
  <c r="C8" i="19"/>
  <c r="E8" i="19" s="1"/>
  <c r="C19" i="21"/>
  <c r="C9" i="19"/>
  <c r="E9" i="19" s="1"/>
  <c r="E11" i="19" l="1"/>
  <c r="E13" i="19" s="1"/>
</calcChain>
</file>

<file path=xl/sharedStrings.xml><?xml version="1.0" encoding="utf-8"?>
<sst xmlns="http://schemas.openxmlformats.org/spreadsheetml/2006/main" count="1758" uniqueCount="915">
  <si>
    <t>Company Fundamentals - Segments</t>
  </si>
  <si>
    <t>Company Name</t>
  </si>
  <si>
    <t>ICICI Securities Ltd (ICCI.NS)</t>
  </si>
  <si>
    <t>Country of Exchange</t>
  </si>
  <si>
    <t>India</t>
  </si>
  <si>
    <t>Country of Headquarters</t>
  </si>
  <si>
    <t>TRBC Industry Group</t>
  </si>
  <si>
    <t>Investment Banking &amp; Investment Services</t>
  </si>
  <si>
    <t>CF Template</t>
  </si>
  <si>
    <t>OFI</t>
  </si>
  <si>
    <t>Consolidation Basis</t>
  </si>
  <si>
    <t>Consol. Priority</t>
  </si>
  <si>
    <t>Scaling</t>
  </si>
  <si>
    <t>Millions</t>
  </si>
  <si>
    <t>Period</t>
  </si>
  <si>
    <t>Annual</t>
  </si>
  <si>
    <t>Export Date</t>
  </si>
  <si>
    <t>Statement Data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</si>
  <si>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</si>
  <si>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</si>
  <si>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</si>
  <si>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</si>
  <si>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</si>
  <si>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</si>
  <si>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</si>
  <si>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</si>
  <si>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</si>
  <si>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Period End Date</t>
  </si>
  <si>
    <t>Standardized Currency</t>
  </si>
  <si>
    <t>INR</t>
  </si>
  <si>
    <t>Segments - Business Line By Segment (Currency: Indian Rupee)</t>
  </si>
  <si>
    <t>Field Name</t>
  </si>
  <si>
    <t>TRBC</t>
  </si>
  <si>
    <t>31-03-2014</t>
  </si>
  <si>
    <t>31-03-2015</t>
  </si>
  <si>
    <t>31-03-2016</t>
  </si>
  <si>
    <t>31-03-2017</t>
  </si>
  <si>
    <t>31-03-2018</t>
  </si>
  <si>
    <t>31-03-2019</t>
  </si>
  <si>
    <t>31-03-2020</t>
  </si>
  <si>
    <t>31-03-2021</t>
  </si>
  <si>
    <t>31-03-2022</t>
  </si>
  <si>
    <t>Treasury</t>
  </si>
  <si>
    <t>Depreciation &amp; Amortization</t>
  </si>
  <si>
    <t>External Revenue</t>
  </si>
  <si>
    <t>Fixed Assets - Purchased - Cash Flow</t>
  </si>
  <si>
    <t>Income Taxes - Total</t>
  </si>
  <si>
    <t>Net Income before Tax</t>
  </si>
  <si>
    <t>Total Assets</t>
  </si>
  <si>
    <t>Total Liabilities including Debt - Short-Term &amp; Long-Term</t>
  </si>
  <si>
    <t>Broking &amp; commission</t>
  </si>
  <si>
    <t>Issuer services &amp; advisory</t>
  </si>
  <si>
    <t>Unallocated</t>
  </si>
  <si>
    <t>Total</t>
  </si>
  <si>
    <t>Segments - Business Line By Statement Item (Currency: Indian Rupee)</t>
  </si>
  <si>
    <t>Segments - Geographic Line By Segment (Currency: Indian Rupee)</t>
  </si>
  <si>
    <t>Outside India</t>
  </si>
  <si>
    <t>International Assets</t>
  </si>
  <si>
    <t>International Sales</t>
  </si>
  <si>
    <t>Segments - Geographic Line By Statement Item (Currency: Indian Rupee)</t>
  </si>
  <si>
    <t>Company Fundamentals - Income Statement</t>
  </si>
  <si>
    <t>Income Statement - Standardized (Currency: Indian Rupee)</t>
  </si>
  <si>
    <t>Revenues</t>
  </si>
  <si>
    <t>Interest &amp; Dividend Income - Finance - Total</t>
  </si>
  <si>
    <t>Interest &amp; Dividend Income - Other - Finance</t>
  </si>
  <si>
    <t>Net Commission &amp; Fees Income/(Expense) - Business Revenue</t>
  </si>
  <si>
    <t>Fees &amp; Commissions Income</t>
  </si>
  <si>
    <t>Fees &amp; Commissions Expense</t>
  </si>
  <si>
    <t>Investments &amp; Loans - Business - Gain/(Loss)</t>
  </si>
  <si>
    <t>Capital Gains/(Losses) - Unrealized - Total</t>
  </si>
  <si>
    <t>Investment Securities - Business - Gain/(Loss)</t>
  </si>
  <si>
    <t>Investments Securities - Available for Sale/Held to Maturity - Realized Gain/(Loss)</t>
  </si>
  <si>
    <t>Gain/(Loss) on Sale of Financial Instruments - Other</t>
  </si>
  <si>
    <t>Business-Related Financing Revenue - Other</t>
  </si>
  <si>
    <t>Revenue from Business-Related Activities - Other - Total</t>
  </si>
  <si>
    <t>Revenue from Business Activities - Total</t>
  </si>
  <si>
    <t>Operating Expenses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</si>
  <si>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</si>
  <si>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</si>
  <si>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</si>
  <si>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Depreciation in Selling, General &amp; Administrative Expenses</t>
  </si>
  <si>
    <t>Amortization of Intangibles in Selling, General &amp; Administrative Expenses</t>
  </si>
  <si>
    <t>Selling, General &amp; Administrative Expenses - Other - Total</t>
  </si>
  <si>
    <t>Advertising Expense</t>
  </si>
  <si>
    <t>Property &amp; Other Taxes</t>
  </si>
  <si>
    <t>Rental Expense</t>
  </si>
  <si>
    <t>Other Operating Expense/(Income) - Net</t>
  </si>
  <si>
    <t>Other Operating Income - Total</t>
  </si>
  <si>
    <t>Other Operating Expense</t>
  </si>
  <si>
    <t>Operating Expenses - Total</t>
  </si>
  <si>
    <t>Operating Expenses - before Interest Expenses &amp; Provision for Loan Losses - Total</t>
  </si>
  <si>
    <t>Operating Profit</t>
  </si>
  <si>
    <t>Operating Profit before Non-Recurring Income/Expense</t>
  </si>
  <si>
    <t>Non-Operating Expenses</t>
  </si>
  <si>
    <t>Financing Income/(Expense) - Net - Total</t>
  </si>
  <si>
    <t>Interest Expense - Net of (Interest Income)</t>
  </si>
  <si>
    <t>Interest Expense - Net of Capitalized Interest</t>
  </si>
  <si>
    <t>Non-Interest Financial Income/(Expense) - Total</t>
  </si>
  <si>
    <t>Foreign Exchange Gain/(Loss) - Non-Business</t>
  </si>
  <si>
    <t>Non-Interest Financial Income/(Expense) - Other - Net</t>
  </si>
  <si>
    <t>Sale of Tangible &amp; Intangible Fixed Assets - Gain/(Loss)</t>
  </si>
  <si>
    <t>Other Non-Operating Income/(Expense) - Total</t>
  </si>
  <si>
    <t>Normalized Pre-tax Profit</t>
  </si>
  <si>
    <t>Non-Recurring Income/Expense</t>
  </si>
  <si>
    <t>Non-Recurring Income/(Expense) - Total</t>
  </si>
  <si>
    <t>Impairment - Financial Investments</t>
  </si>
  <si>
    <t>Pre-Tax Income</t>
  </si>
  <si>
    <t>Income before Taxes</t>
  </si>
  <si>
    <t>Taxes</t>
  </si>
  <si>
    <t>Income Taxes</t>
  </si>
  <si>
    <t>Income Taxes for the Year - Current</t>
  </si>
  <si>
    <t>Income Taxes - Deferred</t>
  </si>
  <si>
    <t>Net Income After Tax</t>
  </si>
  <si>
    <t>Net Income after Tax</t>
  </si>
  <si>
    <t>After Tax Income/Expense</t>
  </si>
  <si>
    <t>Income before Discontinued Operations &amp; Extraordinary Items</t>
  </si>
  <si>
    <t>Extraordinary Activities - after Tax - Gain/(Loss)</t>
  </si>
  <si>
    <t>Extraordinary Items</t>
  </si>
  <si>
    <t>Net Income before Minority Interest</t>
  </si>
  <si>
    <t>Net Income</t>
  </si>
  <si>
    <t>Net Income after Minority Interest</t>
  </si>
  <si>
    <t>Income Available to Common Shares</t>
  </si>
  <si>
    <t>Other Comprehensive Income</t>
  </si>
  <si>
    <t>Other Comprehensive Income - Starting Line</t>
  </si>
  <si>
    <t>Other Comprehensive Income - Other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</si>
  <si>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</si>
  <si>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</si>
  <si>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</si>
  <si>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</si>
  <si>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</si>
  <si>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</si>
  <si>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</si>
  <si>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</si>
  <si>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</si>
  <si>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</si>
  <si>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</si>
  <si>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</si>
  <si>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</si>
  <si>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</si>
  <si>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</si>
  <si>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</si>
  <si>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</si>
  <si>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</si>
  <si>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</si>
  <si>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</si>
  <si>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</si>
  <si>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</si>
  <si>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</si>
  <si>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Shares used to calculate Diluted EPS - Total</t>
  </si>
  <si>
    <t>EPS - Diluted - including Extraordinary Items Applicable to Common - Total</t>
  </si>
  <si>
    <t>EPS - Diluted - excluding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</si>
  <si>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</si>
  <si>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</si>
  <si>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</si>
  <si>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</si>
  <si>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</si>
  <si>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</si>
  <si>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</si>
  <si>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</si>
  <si>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</si>
  <si>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</si>
  <si>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</si>
  <si>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</si>
  <si>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</si>
  <si>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</si>
  <si>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</si>
  <si>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</si>
  <si>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</si>
  <si>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</si>
  <si>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</si>
  <si>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</si>
  <si>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</si>
  <si>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Intangible Amortization - Other - Supplemental</t>
  </si>
  <si>
    <t>Amortization of Computer Software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</si>
  <si>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</si>
  <si>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</si>
  <si>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</si>
  <si>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</si>
  <si>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Labor &amp; Related Expenses</t>
  </si>
  <si>
    <t>Labor &amp; Related Expenses - Total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</si>
  <si>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</si>
  <si>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</si>
  <si>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</si>
  <si>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</si>
  <si>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Auditor Fees</t>
  </si>
  <si>
    <t>Audit-Related Fees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</si>
  <si>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</si>
  <si>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</si>
  <si>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</si>
  <si>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</si>
  <si>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</si>
  <si>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</si>
  <si>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Lease Expenses</t>
  </si>
  <si>
    <t>Lease Expense -Total - Supplemental</t>
  </si>
  <si>
    <t>Interest Expense on Financial Lease Liabilities - Supple</t>
  </si>
  <si>
    <t>Other</t>
  </si>
  <si>
    <t>Rental/Operating Lease Expense</t>
  </si>
  <si>
    <t>Advertising Expenses - Supplemental</t>
  </si>
  <si>
    <t>Commissions &amp; Fees from Securities Activities</t>
  </si>
  <si>
    <t>Interest Expense</t>
  </si>
  <si>
    <t>Selling, General &amp; Administrative Expenses excluding Research &amp; Development Expenses</t>
  </si>
  <si>
    <t>Tax Adjusted Operating Income</t>
  </si>
  <si>
    <t>Company Fundamentals - Balance Sheet</t>
  </si>
  <si>
    <t>Balance Sheet - Standardized (Currency: Indian Rupee)</t>
  </si>
  <si>
    <t>Assets</t>
  </si>
  <si>
    <t>Cash &amp; Cash Equivalents</t>
  </si>
  <si>
    <t>Derivative Financial Instruments - Hedging - Total</t>
  </si>
  <si>
    <t>Loans &amp; Receivables - Total</t>
  </si>
  <si>
    <t>Trade Accounts &amp; Trade Notes Receivable - Total</t>
  </si>
  <si>
    <t>Accounts &amp; Notes Receivable - Trade - Gross - Total</t>
  </si>
  <si>
    <t>Provision - Doubtful Trade Accounts &amp; Trade Notes Payable - Total</t>
  </si>
  <si>
    <t>Income Tax - Receivables</t>
  </si>
  <si>
    <t>Receivables - Other</t>
  </si>
  <si>
    <t>Provision - Doubtful Accounts - Total</t>
  </si>
  <si>
    <t>Inventories - Total</t>
  </si>
  <si>
    <t>Investments - Total</t>
  </si>
  <si>
    <t>Investment Securities - Available for Sale, Held to Maturity &amp; Held for Trading - Total</t>
  </si>
  <si>
    <t>Investment Securities - Held for Trading</t>
  </si>
  <si>
    <t>Investment Securities Available for Sale &amp; Held to Maturity</t>
  </si>
  <si>
    <t>Investments - Private Equity &amp; Other - Total</t>
  </si>
  <si>
    <t>Property, Plant &amp; Equipment - Net - Total</t>
  </si>
  <si>
    <t>Property, Plant &amp; Equipment - Gross - Total</t>
  </si>
  <si>
    <t>Property, Plant &amp; Equipment - Accumulated Depreciation &amp; Impairment - Total</t>
  </si>
  <si>
    <t>Other Assets - Total</t>
  </si>
  <si>
    <t>Restricted Accounts - Cash</t>
  </si>
  <si>
    <t>Deferred Tax - Asset - Long-Term &amp; Short-Term</t>
  </si>
  <si>
    <t>Prepaid Expenses - Total</t>
  </si>
  <si>
    <t>Other Assets</t>
  </si>
  <si>
    <t>Intangible Assets - Total - Net</t>
  </si>
  <si>
    <t>Intangible Assets - excluding Goodwill - Net - Total</t>
  </si>
  <si>
    <t>Computer Software - Intangible Assets - Net</t>
  </si>
  <si>
    <t>Intangible Assets - Other - Net</t>
  </si>
  <si>
    <t>Intangible Assets - Gross - Total</t>
  </si>
  <si>
    <t>Intangible Assets - excluding Goodwill - Gross</t>
  </si>
  <si>
    <t>Computer Software - Intangible Assets - Gross</t>
  </si>
  <si>
    <t>Intangible Assets - Other - Gross - Total</t>
  </si>
  <si>
    <t>Intangible Assets - Accumulated Amortization &amp; Impairment - Total</t>
  </si>
  <si>
    <t>Intangible Assets - excluding Goodwill - Accumulated Amortization &amp; Impairment - Total</t>
  </si>
  <si>
    <t>Computer Software - Intangible Assets - Accumulated Amortization &amp; Impairment</t>
  </si>
  <si>
    <t>Intangible Assets - Other - Accumulated Amortization &amp; Impairment</t>
  </si>
  <si>
    <t>Liabilities</t>
  </si>
  <si>
    <t>Debt - Total</t>
  </si>
  <si>
    <t>Short-Term Debt &amp; Current Portion of Long-Term Debt</t>
  </si>
  <si>
    <t>Short-Term Debt &amp; Notes Payable</t>
  </si>
  <si>
    <t>Short-Term Banking Borrowings excluding Collateralized Financing</t>
  </si>
  <si>
    <t>Current Portion of Long-Term Debt including Capitalized Leases</t>
  </si>
  <si>
    <t>Current Portion of Long-Term Debt excluding Capitalized Leases</t>
  </si>
  <si>
    <t>Capitalized Leases - Current Portion</t>
  </si>
  <si>
    <t>Debt - Long-Term - Total</t>
  </si>
  <si>
    <t>Capitalized Lease Obligations - Long-Term</t>
  </si>
  <si>
    <t>Income Taxes - Payable - Long-Term &amp; Short-Term</t>
  </si>
  <si>
    <t>Payables &amp; Accrued Expenses</t>
  </si>
  <si>
    <t>Trade Account Payables - Total</t>
  </si>
  <si>
    <t>Derivative Liabilities - Hedging</t>
  </si>
  <si>
    <t>Other Liabilities - Total</t>
  </si>
  <si>
    <t>Provisions</t>
  </si>
  <si>
    <t>Post Employment Benefits - Pension &amp; Other</t>
  </si>
  <si>
    <t>Provisions - Other than Pension &amp; Post Retirement</t>
  </si>
  <si>
    <t>Deferred Revenue/Income</t>
  </si>
  <si>
    <t>Other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</si>
  <si>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</si>
  <si>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</si>
  <si>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</si>
  <si>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</si>
  <si>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</si>
  <si>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</si>
  <si>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</si>
  <si>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</si>
  <si>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</si>
  <si>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</si>
  <si>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Foreign Currency Translation Adjustment - Accumulated</t>
  </si>
  <si>
    <t>Other Reserves/Equity - Total</t>
  </si>
  <si>
    <t>Common Equity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</si>
  <si>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</si>
  <si>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</si>
  <si>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</si>
  <si>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</si>
  <si>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</si>
  <si>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</si>
  <si>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Outstanding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</si>
  <si>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</si>
  <si>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</si>
  <si>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</si>
  <si>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</si>
  <si>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</si>
  <si>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</si>
  <si>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</si>
  <si>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</si>
  <si>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</si>
  <si>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</si>
  <si>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</si>
  <si>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</si>
  <si>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</si>
  <si>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</si>
  <si>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Short-Term</t>
  </si>
  <si>
    <t>Total Current Assets</t>
  </si>
  <si>
    <t>Total Current Liabilities</t>
  </si>
  <si>
    <t>Debt Related</t>
  </si>
  <si>
    <t>Net Debt</t>
  </si>
  <si>
    <t>Capital Lease Maturity</t>
  </si>
  <si>
    <t>Capital Lease Maturities - Total</t>
  </si>
  <si>
    <t>Capital Lease Maturities - Due within 1 Year</t>
  </si>
  <si>
    <t>Capital Lease Maturities - Due in Year 5</t>
  </si>
  <si>
    <t>Capital Lease Maturities - Remaining Maturities</t>
  </si>
  <si>
    <t>Capital Lease Maturities - Due in 4-5 Years</t>
  </si>
  <si>
    <t>Capital Lease Maturities - Due in Year 6 &amp; Beyond</t>
  </si>
  <si>
    <t>Asset Accruals</t>
  </si>
  <si>
    <t>Cash &amp; Cash Equivalents - Total</t>
  </si>
  <si>
    <t>Cash &amp; Securities</t>
  </si>
  <si>
    <t>Cash &amp; Short Term Investments - Total</t>
  </si>
  <si>
    <t>Debt - including Preferred Equity &amp; Minority Interest - Total</t>
  </si>
  <si>
    <t>Earning Assets</t>
  </si>
  <si>
    <t>Equity Securities &amp; Real Estate</t>
  </si>
  <si>
    <t>Invested Assets - Total</t>
  </si>
  <si>
    <t>Investment Securities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</si>
  <si>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</si>
  <si>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</si>
  <si>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</si>
  <si>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</si>
  <si>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</si>
  <si>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</si>
  <si>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</si>
  <si>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</si>
  <si>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</si>
  <si>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Trading Account</t>
  </si>
  <si>
    <t>Unearned Revenue - Total</t>
  </si>
  <si>
    <t>Book Value excluding Other Equity</t>
  </si>
  <si>
    <t>Total Debt Excluding Islamic</t>
  </si>
  <si>
    <t>Shareholders</t>
  </si>
  <si>
    <t>Common Shareholders - Number</t>
  </si>
  <si>
    <t>Operating Lease Maturity</t>
  </si>
  <si>
    <t>Operating Lease Payments - Total</t>
  </si>
  <si>
    <t>Operating Lease Payments - Due in Year 1</t>
  </si>
  <si>
    <t>Operating Lease Payments - Due in Year 5</t>
  </si>
  <si>
    <t>Operating Lease Payments - Remaining Maturities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</si>
  <si>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</si>
  <si>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</si>
  <si>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</si>
  <si>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</si>
  <si>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Cash Flow</t>
  </si>
  <si>
    <t>Cash Flow - Standardized (Currency: Indian Rupee)</t>
  </si>
  <si>
    <t>Operating Cash Flow - Indirect</t>
  </si>
  <si>
    <t>Profit/(Loss) - Starting Line - Cash Flow</t>
  </si>
  <si>
    <t>Non-cash Items &amp; Reconciliation Adjustments - Cash Flow</t>
  </si>
  <si>
    <t>Financial Income/(Expense) - Cash Flow - to Reconcile</t>
  </si>
  <si>
    <t>Other Non-Cash Items &amp; Reconciliation Adjustments - Cash Flow - to Reconcile</t>
  </si>
  <si>
    <t>Depreciation, Depletion &amp; Amortization including Impairment - Cash Flow - to Reconcile</t>
  </si>
  <si>
    <t>Depreciation &amp; Depletion - Property, Plant &amp; Equipment - Cash Flow - to Reconcile</t>
  </si>
  <si>
    <t>Impairment - Financial Fixed Assets - Operating - Cash Flow - to Reconcile</t>
  </si>
  <si>
    <t>Assets Sale - Gain/(Loss) - Cash Flow - to Reconcile</t>
  </si>
  <si>
    <t>Property, Plant &amp; Equipment including Intangible Assets - Gain/(Loss) - Cash Flow</t>
  </si>
  <si>
    <t>Investment Securities - Gain/(Loss) - Cash Flow</t>
  </si>
  <si>
    <t>Financial Assets - Unrealized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</si>
  <si>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</si>
  <si>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</si>
  <si>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</si>
  <si>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</si>
  <si>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</si>
  <si>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</si>
  <si>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</si>
  <si>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Investment Securities - Decrease/(Increase) - Operating - Cash Flow</t>
  </si>
  <si>
    <t>Other Assets - Decrease/(Increase) - Cash Flow</t>
  </si>
  <si>
    <t>Accounts Payable - Increase/(Decrease) - Cash Flow</t>
  </si>
  <si>
    <t>Other Liabilities - Increase/(Decrease) -Total - Cash Flow</t>
  </si>
  <si>
    <t>Net Cash Flow from Operating Activities</t>
  </si>
  <si>
    <t>Interest on Financial Leases Paid - Cash Flow - Supplemental</t>
  </si>
  <si>
    <t>Investing Cash Flow</t>
  </si>
  <si>
    <t>Capital Expenditures - Net -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</si>
  <si>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</si>
  <si>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</si>
  <si>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</si>
  <si>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</si>
  <si>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</si>
  <si>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</si>
  <si>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</si>
  <si>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</si>
  <si>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</si>
  <si>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</si>
  <si>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</si>
  <si>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</si>
  <si>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</si>
  <si>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</si>
  <si>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Preferred - Issuance/(Retirement) - Net - Cash Flow</t>
  </si>
  <si>
    <t>Stock - Preferred - Repurchased/Retired - Cash Flow</t>
  </si>
  <si>
    <t>Options Exercised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</si>
  <si>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</si>
  <si>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</si>
  <si>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</si>
  <si>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</si>
  <si>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</si>
  <si>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Lease liabilities - Issued/(Reduced)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</si>
  <si>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</si>
  <si>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</si>
  <si>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</si>
  <si>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</si>
  <si>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Change in Cash</t>
  </si>
  <si>
    <t>Net Change in Cash - Total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</si>
  <si>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</si>
  <si>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</si>
  <si>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</si>
  <si>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</si>
  <si>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</si>
  <si>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</si>
  <si>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</si>
  <si>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</si>
  <si>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Depreciation, Depletion &amp; Amortization - Cash Flow</t>
  </si>
  <si>
    <t>Free Cash Flow to Equity</t>
  </si>
  <si>
    <t>Free Cash Flow Net of Dividends</t>
  </si>
  <si>
    <t>Free Cash Flow</t>
  </si>
  <si>
    <t>Dividends Provided/Paid - Common</t>
  </si>
  <si>
    <t>Company Fundamentals - Pension</t>
  </si>
  <si>
    <t>Pension - Standardized (Currency: Indian Rupee)</t>
  </si>
  <si>
    <t>Funded Status</t>
  </si>
  <si>
    <t>Funded Status - including Unfunded Plan Obligations</t>
  </si>
  <si>
    <t>Funded Status - Total Pension</t>
  </si>
  <si>
    <t>Fair Value of Plan Assets</t>
  </si>
  <si>
    <t>Fair Value of Plan Assets - Total Pension</t>
  </si>
  <si>
    <t>Projected Benefit Obligation - Total</t>
  </si>
  <si>
    <t>Projected Benefit Obligation</t>
  </si>
  <si>
    <t>Projected Benefit Obligation - Total Pension</t>
  </si>
  <si>
    <t>Income/Expense</t>
  </si>
  <si>
    <t>Total Pension Plans - Total Pension &amp; Post-Retirement</t>
  </si>
  <si>
    <t>Total Pension Plan Expense - Total</t>
  </si>
  <si>
    <t>Defined Benefit Income/Expense - Pension &amp; Post-Retirement</t>
  </si>
  <si>
    <t>Defined Benefit Income/Expense - Total Pension</t>
  </si>
  <si>
    <t>Defined Benefit Income/Expense - Domestic</t>
  </si>
  <si>
    <t>Interest Cost</t>
  </si>
  <si>
    <t>Interest Cost - Total Pension</t>
  </si>
  <si>
    <t>Service Cost</t>
  </si>
  <si>
    <t>Service Cost - Total Pension</t>
  </si>
  <si>
    <t>Prior Service Cost</t>
  </si>
  <si>
    <t>Prior Service Cost - Total Pension</t>
  </si>
  <si>
    <t>Actuarial Gain/Loss</t>
  </si>
  <si>
    <t>Actuarial Gain/Loss - Total Pension</t>
  </si>
  <si>
    <t>Expected Return on Assets</t>
  </si>
  <si>
    <t>Expected Return on Assets - Total Pension</t>
  </si>
  <si>
    <t>Actual Return on Assets</t>
  </si>
  <si>
    <t>Actual Return on Assets - Total Pension</t>
  </si>
  <si>
    <t>Actual Return on Assets - Domestic</t>
  </si>
  <si>
    <t>Net Assets Recognized</t>
  </si>
  <si>
    <t>Accrued Benefit Liability</t>
  </si>
  <si>
    <t>Accrued Benefit Liability - Total Pension</t>
  </si>
  <si>
    <t>Accrued Benefit Liability - Domestic</t>
  </si>
  <si>
    <t>Prepaid Assets &amp; Accrued Liabilities - Net</t>
  </si>
  <si>
    <t>Net Assets Recognized - Total Pension</t>
  </si>
  <si>
    <t>Net Assets Recognized - Total Pension Plans</t>
  </si>
  <si>
    <t>Net Assets Recognized - Domestic Pension Plans</t>
  </si>
  <si>
    <t>Assumptions - Period-End</t>
  </si>
  <si>
    <t>Expected Rate of Return - Period End</t>
  </si>
  <si>
    <t>Expected Rate of Return - Period End - Total Pension</t>
  </si>
  <si>
    <t>Compensation Rate - Period End</t>
  </si>
  <si>
    <t>Compensation Rate - Period End - Total Pension</t>
  </si>
  <si>
    <t>Asset Allocation - Value</t>
  </si>
  <si>
    <t>Private Investments Value</t>
  </si>
  <si>
    <t>Private Investments Value - Domestic</t>
  </si>
  <si>
    <t>Other Investments Value</t>
  </si>
  <si>
    <t>Other Investments Value - Domestic</t>
  </si>
  <si>
    <t>Asset Allocation - %</t>
  </si>
  <si>
    <t>Net Assets Recognized on Balance Sheet - % Private Investments</t>
  </si>
  <si>
    <t>Net Assets Recognized on Balance Sheet - % Private Investments - Total Pension</t>
  </si>
  <si>
    <t>Private Investments % - Domestic</t>
  </si>
  <si>
    <t>Net Assets Recognized on Balance Sheet - % Other Investments</t>
  </si>
  <si>
    <t>Net Assets Recognized on Balance Sheet - % Other Investments - Total Pension</t>
  </si>
  <si>
    <t>Other Investments % - Domestic</t>
  </si>
  <si>
    <t>Company Fundamentals - Financial Summary</t>
  </si>
  <si>
    <t>Financial Summary - Standardized (Currency: Indian Rupee)</t>
  </si>
  <si>
    <t>Selected Income Statement Items</t>
  </si>
  <si>
    <t>Selected Balance Sheet Items</t>
  </si>
  <si>
    <t>Selected Cash Flow Items</t>
  </si>
  <si>
    <t>Selected Per Share Data</t>
  </si>
  <si>
    <t>Book Value per Share</t>
  </si>
  <si>
    <t>Tangible Book Value per Share</t>
  </si>
  <si>
    <t>Dividend Yield - Common Stock - Gross - Issue Specific - %</t>
  </si>
  <si>
    <t>Dividend Yield - Common Stock - Net - Issue Specific - %</t>
  </si>
  <si>
    <t>Profitability / Return</t>
  </si>
  <si>
    <t>Income before Tax Margin - %</t>
  </si>
  <si>
    <t>Income Tax Rate - %</t>
  </si>
  <si>
    <t>Net Margin - %</t>
  </si>
  <si>
    <t>Return on Average Common Equity - % (Income available to Common excluding Extraordinary Items)</t>
  </si>
  <si>
    <t>Return on Earning Assets - %</t>
  </si>
  <si>
    <t>Return on Average Total Assets - % (Income before Discontinued Operations &amp; Extraordinary Items)</t>
  </si>
  <si>
    <t>Growth</t>
  </si>
  <si>
    <t>Financial Strength / Leverage</t>
  </si>
  <si>
    <t>Total Debt Percentage of Total Assets</t>
  </si>
  <si>
    <t>Total Debt Percentage of Total Capital</t>
  </si>
  <si>
    <t>Total Debt Percentage of Total Equity</t>
  </si>
  <si>
    <t>Earnings Retention Rate</t>
  </si>
  <si>
    <t>Dividend Payout Ratio - %</t>
  </si>
  <si>
    <t>Dividend Coverage - %</t>
  </si>
  <si>
    <t>Productivity</t>
  </si>
  <si>
    <t>Net Income after Tax per Employee</t>
  </si>
  <si>
    <t>Sales per Employee</t>
  </si>
  <si>
    <t>Total Assets per Employee</t>
  </si>
  <si>
    <t>Company Fundamentals - Valuation</t>
  </si>
  <si>
    <t>Valuation - Standardized (Currency: Indian Rupee)</t>
  </si>
  <si>
    <t>Enterprise Value</t>
  </si>
  <si>
    <t>Enterprise Value, 5 Year Average</t>
  </si>
  <si>
    <t>Market Capitalization</t>
  </si>
  <si>
    <t>Market Capitalization, 5 Year Average</t>
  </si>
  <si>
    <t>Price Close</t>
  </si>
  <si>
    <t>Price Close (End of Period)</t>
  </si>
  <si>
    <t>Price Close (End of Period), 5 Year Average</t>
  </si>
  <si>
    <t>FOCF Yield</t>
  </si>
  <si>
    <t>Free Cash Flow Yield - %</t>
  </si>
  <si>
    <t>Free Cash Flow Yield - %, 5 Year Average</t>
  </si>
  <si>
    <t>Dividend Yield</t>
  </si>
  <si>
    <t>Dividend Yield - Common Stock - Net - Issue Specific - %, 5 Year Average</t>
  </si>
  <si>
    <t>Dividend Yield - Common Stock - Gross - Issue Specific - %, 5 Year Average</t>
  </si>
  <si>
    <t>Price to Book</t>
  </si>
  <si>
    <t>Price to Book Value per Share - Issue Specific</t>
  </si>
  <si>
    <t>Price to Book Value per Share - Issue Specific, 5 Year Average</t>
  </si>
  <si>
    <t>Price to Tangible Book</t>
  </si>
  <si>
    <t>Price to Tangible Book Value per Share</t>
  </si>
  <si>
    <t>Price to Tangible Book Value per Share, 5 Year Average</t>
  </si>
  <si>
    <t>Price to Sales</t>
  </si>
  <si>
    <t>Price to Revenue from Business Activities - Total per Share</t>
  </si>
  <si>
    <t>Price to Revenue from Business Activities - Total per Share, 5 Year Average</t>
  </si>
  <si>
    <t>Price to FOCF</t>
  </si>
  <si>
    <t>Price to Free Cash Flow per Share</t>
  </si>
  <si>
    <t>Price to CF Per Share</t>
  </si>
  <si>
    <t>Price to Cash Flow per Share</t>
  </si>
  <si>
    <t>Price to Cash Flow per Share, 5 Year Average</t>
  </si>
  <si>
    <t>Price to Diluted EPS</t>
  </si>
  <si>
    <t>Price to EPS - Diluted - excluding Extraordinary Items Applicable to Common - Total</t>
  </si>
  <si>
    <t>Price to EPS - Diluted - excluding Extraordinary Items Applicable to Common - Total, 5 Year Average</t>
  </si>
  <si>
    <t>Price to Normalized Diluted EPS</t>
  </si>
  <si>
    <t>Price to EPS - Diluted - excluding Extraordinary Items - Normalized - Total</t>
  </si>
  <si>
    <t>Price to EPS - Diluted - excluding Extraordinary Items - Normalized - Total, 5 Year Average</t>
  </si>
  <si>
    <t>PEG Ratio</t>
  </si>
  <si>
    <t>PE Growth Ratio</t>
  </si>
  <si>
    <t>PE Growth Ratio, 5 Year Average</t>
  </si>
  <si>
    <t>EV to Sales</t>
  </si>
  <si>
    <t>Enterprise Value to Revenue from Business Activities - Total</t>
  </si>
  <si>
    <t>Enterprise Value to Revenue from Business Activities - Total, 5 Year Average</t>
  </si>
  <si>
    <t>EV to EBITDA</t>
  </si>
  <si>
    <t>Enterprise Value to Earnings before Interest, Taxes, Depreciation &amp; Amortization (EBITDA)</t>
  </si>
  <si>
    <t>Enterprise Value to Earnings before Interest, Taxes, Depreciation &amp; Amortization (EBITDA), 5 Year Average</t>
  </si>
  <si>
    <t>EV to CFO</t>
  </si>
  <si>
    <t>Enterprise Value to Net Cash Flow from Operating Activities</t>
  </si>
  <si>
    <t>EV to FOCF</t>
  </si>
  <si>
    <t>Enterprise Value to Free Cash Flow</t>
  </si>
  <si>
    <t>(Income from services and Brokerage Income)</t>
  </si>
  <si>
    <t>ROE</t>
  </si>
  <si>
    <t>Dividend</t>
  </si>
  <si>
    <t>EPS</t>
  </si>
  <si>
    <t>Profit After Tax</t>
  </si>
  <si>
    <t>EBIT</t>
  </si>
  <si>
    <t>EBITDA</t>
  </si>
  <si>
    <t>Description</t>
  </si>
  <si>
    <t>Profit And Loss - Consolidated</t>
  </si>
  <si>
    <t>Back to contents</t>
  </si>
  <si>
    <t>FY 2023A</t>
  </si>
  <si>
    <t>Interest &amp; Dividend Income</t>
  </si>
  <si>
    <t>All Figures in Rs. Millions</t>
  </si>
  <si>
    <t>Other Revenue</t>
  </si>
  <si>
    <t>Employee Benefit Expense</t>
  </si>
  <si>
    <t>Depreciation &amp; Ammortisation</t>
  </si>
  <si>
    <t>Fees &amp; Commission Expense</t>
  </si>
  <si>
    <t>Finance Costs</t>
  </si>
  <si>
    <t>Operating Expense</t>
  </si>
  <si>
    <t>Other Expenses</t>
  </si>
  <si>
    <t>Total Expenses</t>
  </si>
  <si>
    <t>PBT</t>
  </si>
  <si>
    <t>Non-Recurring Income/Expense (Impairment on Financial Instruments)</t>
  </si>
  <si>
    <t>Total Taxes</t>
  </si>
  <si>
    <t>Income from Services</t>
  </si>
  <si>
    <t>Total Revenue from operations</t>
  </si>
  <si>
    <t>No. of Shares</t>
  </si>
  <si>
    <t>EPS Basic</t>
  </si>
  <si>
    <t>Dividend Payout Ratio</t>
  </si>
  <si>
    <t>DPS</t>
  </si>
  <si>
    <t>Brokerage Income</t>
  </si>
  <si>
    <t>Balance Sheet - Consolidated</t>
  </si>
  <si>
    <t>FY 2019A</t>
  </si>
  <si>
    <t>FY 2020A</t>
  </si>
  <si>
    <t>FY 2021A</t>
  </si>
  <si>
    <t>FY 2022A</t>
  </si>
  <si>
    <t>FY 2024E</t>
  </si>
  <si>
    <t>FY 2025E</t>
  </si>
  <si>
    <t>FY 2026E</t>
  </si>
  <si>
    <t>FY 2027E</t>
  </si>
  <si>
    <t>FY 2028E</t>
  </si>
  <si>
    <r>
      <rPr>
        <sz val="8"/>
        <rFont val="Calibri"/>
        <family val="1"/>
      </rPr>
      <t>Cash and Cash Equivalents</t>
    </r>
  </si>
  <si>
    <r>
      <rPr>
        <sz val="8"/>
        <rFont val="Calibri"/>
        <family val="1"/>
      </rPr>
      <t>Loans &amp; Receivables</t>
    </r>
  </si>
  <si>
    <r>
      <rPr>
        <sz val="8"/>
        <rFont val="Calibri"/>
        <family val="1"/>
      </rPr>
      <t>Trade Accounts and Notes Receivable</t>
    </r>
  </si>
  <si>
    <r>
      <rPr>
        <sz val="8"/>
        <rFont val="Calibri"/>
        <family val="1"/>
      </rPr>
      <t>Other Receivables</t>
    </r>
  </si>
  <si>
    <r>
      <rPr>
        <sz val="8"/>
        <rFont val="Calibri"/>
        <family val="1"/>
      </rPr>
      <t>Income Tax Receivables</t>
    </r>
  </si>
  <si>
    <r>
      <rPr>
        <sz val="8"/>
        <rFont val="Calibri"/>
        <family val="1"/>
      </rPr>
      <t>Investments</t>
    </r>
  </si>
  <si>
    <r>
      <rPr>
        <sz val="8"/>
        <rFont val="Calibri"/>
        <family val="1"/>
      </rPr>
      <t>Net Property, Plant and Equipment</t>
    </r>
  </si>
  <si>
    <r>
      <rPr>
        <sz val="8"/>
        <rFont val="Calibri"/>
        <family val="1"/>
      </rPr>
      <t>RoU Asset</t>
    </r>
  </si>
  <si>
    <r>
      <rPr>
        <sz val="8"/>
        <rFont val="Calibri"/>
        <family val="1"/>
      </rPr>
      <t>Intangible Assets</t>
    </r>
  </si>
  <si>
    <r>
      <rPr>
        <sz val="8"/>
        <rFont val="Calibri"/>
        <family val="1"/>
      </rPr>
      <t>Other Assets</t>
    </r>
  </si>
  <si>
    <r>
      <rPr>
        <sz val="8"/>
        <rFont val="Calibri"/>
        <family val="1"/>
      </rPr>
      <t>Restricted Accounts</t>
    </r>
  </si>
  <si>
    <r>
      <rPr>
        <sz val="8"/>
        <rFont val="Calibri"/>
        <family val="1"/>
      </rPr>
      <t>Other</t>
    </r>
  </si>
  <si>
    <t>Equity &amp; Liabilities</t>
  </si>
  <si>
    <r>
      <rPr>
        <sz val="8"/>
        <rFont val="Calibri"/>
        <family val="1"/>
      </rPr>
      <t>Total Debt</t>
    </r>
  </si>
  <si>
    <r>
      <rPr>
        <sz val="8"/>
        <rFont val="Calibri"/>
        <family val="1"/>
      </rPr>
      <t>Income Taxes Payable</t>
    </r>
  </si>
  <si>
    <r>
      <rPr>
        <sz val="8"/>
        <rFont val="Calibri"/>
        <family val="1"/>
      </rPr>
      <t>Other Liabilities</t>
    </r>
  </si>
  <si>
    <r>
      <rPr>
        <b/>
        <sz val="8"/>
        <rFont val="Calibri"/>
        <family val="1"/>
      </rPr>
      <t>Total Liabilities</t>
    </r>
  </si>
  <si>
    <r>
      <rPr>
        <b/>
        <sz val="8"/>
        <rFont val="Calibri"/>
        <family val="1"/>
      </rPr>
      <t>Total Liabilities and Shareholders’ Equity</t>
    </r>
  </si>
  <si>
    <t>Trade Account Payables</t>
  </si>
  <si>
    <r>
      <rPr>
        <b/>
        <sz val="8"/>
        <rFont val="Calibri"/>
        <family val="2"/>
      </rPr>
      <t>Total Shareholders’ Equity</t>
    </r>
  </si>
  <si>
    <t>Equity Share Capital</t>
  </si>
  <si>
    <t>Other Equity</t>
  </si>
  <si>
    <t>ESG Score calculation</t>
  </si>
  <si>
    <t>Environmental (ENV)</t>
  </si>
  <si>
    <t>Category</t>
  </si>
  <si>
    <t>Max. Score</t>
  </si>
  <si>
    <t>ICICI's Score</t>
  </si>
  <si>
    <t>Weight</t>
  </si>
  <si>
    <t>Weighted score</t>
  </si>
  <si>
    <t>Resource Use</t>
  </si>
  <si>
    <t>Emissions</t>
  </si>
  <si>
    <t>Environmental Innovation</t>
  </si>
  <si>
    <t>ENV Score (20%)</t>
  </si>
  <si>
    <t>Social (SOC)</t>
  </si>
  <si>
    <t>Workforce</t>
  </si>
  <si>
    <t>Human Rights</t>
  </si>
  <si>
    <t>Community</t>
  </si>
  <si>
    <t>Product Responsibility</t>
  </si>
  <si>
    <t>SOC Score (40%)</t>
  </si>
  <si>
    <t>Governance (GOV)</t>
  </si>
  <si>
    <t>Management</t>
  </si>
  <si>
    <t>CSR Strategy</t>
  </si>
  <si>
    <t>GOV Score (40%)</t>
  </si>
  <si>
    <t>ESG Score (A+B+C)</t>
  </si>
  <si>
    <t>References:</t>
  </si>
  <si>
    <t>https://www.crisil.com/mnt/winshare/Ratings/RatingList/RatingDocs/ICICISecuritiesLimited_November%2001,%202022_RR_304312.html</t>
  </si>
  <si>
    <t>Target Price calculation</t>
  </si>
  <si>
    <t>Football field analysis</t>
  </si>
  <si>
    <t>Price as per</t>
  </si>
  <si>
    <t>Price</t>
  </si>
  <si>
    <t>Weights</t>
  </si>
  <si>
    <t>Weighted price</t>
  </si>
  <si>
    <t>DCF</t>
  </si>
  <si>
    <t>DDM</t>
  </si>
  <si>
    <t>Relative valuation</t>
  </si>
  <si>
    <t>Target price</t>
  </si>
  <si>
    <t xml:space="preserve">Market Price </t>
  </si>
  <si>
    <t>Target price for football field</t>
  </si>
  <si>
    <t>Lower bound</t>
  </si>
  <si>
    <t>Difference</t>
  </si>
  <si>
    <t>Upper bound</t>
  </si>
  <si>
    <t>Average</t>
  </si>
  <si>
    <t>FCFF - Calculation</t>
  </si>
  <si>
    <t>Particulars</t>
  </si>
  <si>
    <t>FCFF</t>
  </si>
  <si>
    <t>Tax Rate</t>
  </si>
  <si>
    <t>Tax</t>
  </si>
  <si>
    <t>NOPAT</t>
  </si>
  <si>
    <t>Add: Depreciation and Amortisation</t>
  </si>
  <si>
    <t>Less: Changes in Net Working Capital</t>
  </si>
  <si>
    <t>Less: Capex</t>
  </si>
  <si>
    <t>PV of FCFF</t>
  </si>
  <si>
    <t>Intrinsic Value per share - DCF</t>
  </si>
  <si>
    <t>Sensitivity analysis</t>
  </si>
  <si>
    <t>Terminal growth rate</t>
  </si>
  <si>
    <t>WACC</t>
  </si>
  <si>
    <t>Target Price per share</t>
  </si>
  <si>
    <t>Source</t>
  </si>
  <si>
    <t>Risk Free Rate</t>
  </si>
  <si>
    <t>10 year G-Sec average of India</t>
  </si>
  <si>
    <t>Beta</t>
  </si>
  <si>
    <t>Market return</t>
  </si>
  <si>
    <t>Market Risk Premium</t>
  </si>
  <si>
    <t>Cost of Equity</t>
  </si>
  <si>
    <t xml:space="preserve">Debt </t>
  </si>
  <si>
    <t xml:space="preserve">Market Cap </t>
  </si>
  <si>
    <t>Pre-Tax cost of debt</t>
  </si>
  <si>
    <t>Marginal Tax Rate</t>
  </si>
  <si>
    <t>Post-Tax cost of debt</t>
  </si>
  <si>
    <t>Projected Price as per DDM</t>
  </si>
  <si>
    <t xml:space="preserve">Total Discounted Dividends – 5 Years </t>
  </si>
  <si>
    <t>Discounted terminal value</t>
  </si>
  <si>
    <t>Terminal value</t>
  </si>
  <si>
    <t>Terminal EPS (2028)</t>
  </si>
  <si>
    <t>Projected Price - DDM</t>
  </si>
  <si>
    <t>Discounted DPS</t>
  </si>
  <si>
    <t>Year</t>
  </si>
  <si>
    <t>Cost of equity</t>
  </si>
  <si>
    <t>Projected price</t>
  </si>
  <si>
    <t>Discounted value</t>
  </si>
  <si>
    <t>Retention ratio</t>
  </si>
  <si>
    <t>Payout ratio</t>
  </si>
  <si>
    <t>FY2028 E</t>
  </si>
  <si>
    <t>FY2027 E</t>
  </si>
  <si>
    <t>FY2026 E</t>
  </si>
  <si>
    <t>FY2025 E</t>
  </si>
  <si>
    <t>FY2024 E</t>
  </si>
  <si>
    <t>FY2023 E</t>
  </si>
  <si>
    <t>FY2022 A</t>
  </si>
  <si>
    <t>FY2021 A</t>
  </si>
  <si>
    <t>FY2020 A</t>
  </si>
  <si>
    <t>FY2019 A</t>
  </si>
  <si>
    <t>Dividend discount model</t>
  </si>
  <si>
    <t>EV/EBITDA</t>
  </si>
  <si>
    <r>
      <rPr>
        <b/>
        <sz val="8"/>
        <color rgb="FFFFFFFF"/>
        <rFont val="Calibri"/>
        <family val="1"/>
      </rPr>
      <t>Type</t>
    </r>
  </si>
  <si>
    <r>
      <rPr>
        <b/>
        <sz val="8"/>
        <color rgb="FFFFFFFF"/>
        <rFont val="Calibri"/>
        <family val="1"/>
      </rPr>
      <t>Company Name</t>
    </r>
  </si>
  <si>
    <r>
      <rPr>
        <b/>
        <sz val="8"/>
        <rFont val="Calibri"/>
        <family val="1"/>
      </rPr>
      <t>Indian Broking Firms</t>
    </r>
  </si>
  <si>
    <r>
      <rPr>
        <sz val="8"/>
        <rFont val="Calibri"/>
        <family val="1"/>
      </rPr>
      <t>Angel One</t>
    </r>
  </si>
  <si>
    <r>
      <rPr>
        <sz val="8"/>
        <rFont val="Calibri"/>
        <family val="1"/>
      </rPr>
      <t>IIFL Securities</t>
    </r>
  </si>
  <si>
    <r>
      <rPr>
        <sz val="8"/>
        <rFont val="Calibri"/>
        <family val="1"/>
      </rPr>
      <t>Motilal Oswal</t>
    </r>
  </si>
  <si>
    <r>
      <rPr>
        <sz val="8"/>
        <rFont val="Calibri"/>
        <family val="1"/>
      </rPr>
      <t>Edelweiss Financial</t>
    </r>
  </si>
  <si>
    <r>
      <rPr>
        <sz val="8"/>
        <rFont val="Calibri"/>
        <family val="1"/>
      </rPr>
      <t>Geojit Financial</t>
    </r>
  </si>
  <si>
    <r>
      <rPr>
        <b/>
        <sz val="8"/>
        <rFont val="Calibri"/>
        <family val="1"/>
      </rPr>
      <t>Financial Services Firms</t>
    </r>
  </si>
  <si>
    <r>
      <rPr>
        <sz val="8"/>
        <rFont val="Calibri"/>
        <family val="1"/>
      </rPr>
      <t>Aditya Birla Capital</t>
    </r>
  </si>
  <si>
    <r>
      <rPr>
        <sz val="8"/>
        <rFont val="Calibri"/>
        <family val="1"/>
      </rPr>
      <t>HDFC AMC</t>
    </r>
  </si>
  <si>
    <r>
      <rPr>
        <sz val="8"/>
        <rFont val="Calibri"/>
        <family val="1"/>
      </rPr>
      <t>Nippon AMC</t>
    </r>
  </si>
  <si>
    <r>
      <rPr>
        <sz val="8"/>
        <rFont val="Calibri"/>
        <family val="1"/>
      </rPr>
      <t>IIFL Wealth</t>
    </r>
  </si>
  <si>
    <t>M-Cap (INR Million)</t>
  </si>
  <si>
    <t xml:space="preserve">P/B </t>
  </si>
  <si>
    <t xml:space="preserve">P/E </t>
  </si>
  <si>
    <t>Revenue Item</t>
  </si>
  <si>
    <t>Interest Income</t>
  </si>
  <si>
    <t>Fixed Deposit with Banks</t>
  </si>
  <si>
    <t>Funding and Late Payments</t>
  </si>
  <si>
    <t xml:space="preserve">Other Deposits </t>
  </si>
  <si>
    <t>Securities held for trade</t>
  </si>
  <si>
    <t>Total Interest Income</t>
  </si>
  <si>
    <t>I</t>
  </si>
  <si>
    <t>a</t>
  </si>
  <si>
    <t>b</t>
  </si>
  <si>
    <t>c</t>
  </si>
  <si>
    <t>d</t>
  </si>
  <si>
    <t>II</t>
  </si>
  <si>
    <t>Fee and Commission Income</t>
  </si>
  <si>
    <t xml:space="preserve">Brokerage Income </t>
  </si>
  <si>
    <t>III</t>
  </si>
  <si>
    <t>IV</t>
  </si>
  <si>
    <t>NA</t>
  </si>
  <si>
    <t>Historical CAGR</t>
  </si>
  <si>
    <t>Assumption</t>
  </si>
  <si>
    <t>6% per Annum</t>
  </si>
  <si>
    <t>Constant</t>
  </si>
  <si>
    <t>Expense Item</t>
  </si>
  <si>
    <r>
      <rPr>
        <b/>
        <sz val="8"/>
        <color rgb="FFAC2D2D"/>
        <rFont val="Calibri"/>
        <family val="1"/>
      </rPr>
      <t>Employee Benefit</t>
    </r>
  </si>
  <si>
    <r>
      <rPr>
        <sz val="8"/>
        <rFont val="Calibri"/>
        <family val="1"/>
      </rPr>
      <t>No. of Employees</t>
    </r>
  </si>
  <si>
    <r>
      <rPr>
        <sz val="8"/>
        <rFont val="Calibri"/>
        <family val="1"/>
      </rPr>
      <t>Expense Per Employee</t>
    </r>
  </si>
  <si>
    <t>Employee Benefit Expense(million)</t>
  </si>
  <si>
    <t>Fees &amp; Commission Expense as % of Brokerage and service income</t>
  </si>
  <si>
    <t>Operating Expense as a % of Brokerage and Service Income</t>
  </si>
  <si>
    <t>Other Expenses as a % of Total Revenue</t>
  </si>
  <si>
    <t>Opening Balance</t>
  </si>
  <si>
    <t>Additions</t>
  </si>
  <si>
    <t>Closing Balance</t>
  </si>
  <si>
    <t xml:space="preserve">Capex - PP&amp;E </t>
  </si>
  <si>
    <t xml:space="preserve">PP&amp;E </t>
  </si>
  <si>
    <t>Net Sales</t>
  </si>
  <si>
    <t>Capex</t>
  </si>
  <si>
    <t>CapEx As a % of sales</t>
  </si>
  <si>
    <t>Beginning Net PP&amp;E</t>
  </si>
  <si>
    <t>Capital Expenditure towards PP&amp;E</t>
  </si>
  <si>
    <t>Depreciation Expense towards PP&amp;E</t>
  </si>
  <si>
    <t>Ending Net PP&amp;E</t>
  </si>
  <si>
    <t>Property, Plant and Equipment schedule</t>
  </si>
  <si>
    <t>Depreciation</t>
  </si>
  <si>
    <t>Tangible Asset - Gross Block</t>
  </si>
  <si>
    <t>Accumulated Depreciation</t>
  </si>
  <si>
    <t>Tangible Assets</t>
  </si>
  <si>
    <t>As at April 01 2021</t>
  </si>
  <si>
    <t>Disposals/Adjustments</t>
  </si>
  <si>
    <t>As at March 31 2022</t>
  </si>
  <si>
    <t>For the year</t>
  </si>
  <si>
    <t>Net Block - As at March 31 2022</t>
  </si>
  <si>
    <t>Tangible assets</t>
  </si>
  <si>
    <t>Computers</t>
  </si>
  <si>
    <t>Total PP&amp;E</t>
  </si>
  <si>
    <t>Net Carrying Value as at 31 March 2022</t>
  </si>
  <si>
    <t>Proportion of Assets</t>
  </si>
  <si>
    <t>Depreciation Rate</t>
  </si>
  <si>
    <t>Furniture and Fixtures</t>
  </si>
  <si>
    <t>Office Equipment</t>
  </si>
  <si>
    <t xml:space="preserve">Vehicles </t>
  </si>
  <si>
    <t>Lease hold Improvements</t>
  </si>
  <si>
    <t>Intangible Assets</t>
  </si>
  <si>
    <t>Computer Software</t>
  </si>
  <si>
    <t xml:space="preserve"> Assets</t>
  </si>
  <si>
    <t>As at March 31 2023</t>
  </si>
  <si>
    <t>Total Debt</t>
  </si>
  <si>
    <t>Finance Cost</t>
  </si>
  <si>
    <t>Rate</t>
  </si>
  <si>
    <t>y-o-y increase</t>
  </si>
  <si>
    <t>Total Tax</t>
  </si>
  <si>
    <t>Working capital Projections :</t>
  </si>
  <si>
    <t xml:space="preserve">Working capital  </t>
  </si>
  <si>
    <t>Changes in Working Capital</t>
  </si>
  <si>
    <t>Working Capital Assumptions :</t>
  </si>
  <si>
    <t>FY 2020</t>
  </si>
  <si>
    <t>FY 2021</t>
  </si>
  <si>
    <t>FY 2022</t>
  </si>
  <si>
    <t>Receivable days</t>
  </si>
  <si>
    <t>FY 2019</t>
  </si>
  <si>
    <t>FY 2023</t>
  </si>
  <si>
    <t>Date</t>
  </si>
  <si>
    <t>Adj Close</t>
  </si>
  <si>
    <t>null</t>
  </si>
  <si>
    <t>S&amp;P BSE 500</t>
  </si>
  <si>
    <t xml:space="preserve">5 year CAGR </t>
  </si>
  <si>
    <t>Daily return</t>
  </si>
  <si>
    <t>ICICI Securities</t>
  </si>
  <si>
    <t>Beta calculation</t>
  </si>
  <si>
    <t>ESG RATING</t>
  </si>
  <si>
    <t>BETA SCALING FACTOR</t>
  </si>
  <si>
    <t>ESG Score</t>
  </si>
  <si>
    <t>Dicounting factor</t>
  </si>
  <si>
    <t>ESG Adjusted Beta</t>
  </si>
  <si>
    <t>Terminal Growth rate</t>
  </si>
  <si>
    <t>Terminal Value</t>
  </si>
  <si>
    <t>PV of Terminal Value</t>
  </si>
  <si>
    <t>Investments</t>
  </si>
  <si>
    <t>Equity Value</t>
  </si>
  <si>
    <t>Number of Shares outstanding (Mn)</t>
  </si>
  <si>
    <t>Current Market Price</t>
  </si>
  <si>
    <t>Upside Potential</t>
  </si>
  <si>
    <t>FY2023 A</t>
  </si>
  <si>
    <t>Book Value of Equity</t>
  </si>
  <si>
    <t>PAT</t>
  </si>
  <si>
    <t>Residual Income</t>
  </si>
  <si>
    <t>Terminal Growth Rate</t>
  </si>
  <si>
    <t>PV of Residual Income</t>
  </si>
  <si>
    <t xml:space="preserve"> Terminal Value</t>
  </si>
  <si>
    <t>Current Net Worth</t>
  </si>
  <si>
    <t xml:space="preserve">Target Market Cap </t>
  </si>
  <si>
    <t>(ignoring COVID years)</t>
  </si>
  <si>
    <t>D/E</t>
  </si>
  <si>
    <t>Median</t>
  </si>
  <si>
    <t>Weighted Mean</t>
  </si>
  <si>
    <t>Forward PE</t>
  </si>
  <si>
    <t>Valuation</t>
  </si>
  <si>
    <t>Amount</t>
  </si>
  <si>
    <t>Method 1</t>
  </si>
  <si>
    <t>Target P/E</t>
  </si>
  <si>
    <t>Based on median PE of peers</t>
  </si>
  <si>
    <t>FY24 Forward EPS</t>
  </si>
  <si>
    <t>Target Share Price</t>
  </si>
  <si>
    <t>Method 2</t>
  </si>
  <si>
    <t>Average target share price</t>
  </si>
  <si>
    <t>5 year median P/E</t>
  </si>
  <si>
    <t>Relative EV/EBITDA</t>
  </si>
  <si>
    <t>Target EV/EBITDA</t>
  </si>
  <si>
    <t>FY24 Forward EBITDA</t>
  </si>
  <si>
    <t>Enterprise value</t>
  </si>
  <si>
    <t>No. of Shares outstanding(Mn)</t>
  </si>
  <si>
    <t>Upside</t>
  </si>
  <si>
    <t>Relative P/B</t>
  </si>
  <si>
    <t>Target P/B</t>
  </si>
  <si>
    <t>FY 23 Book Value per Share</t>
  </si>
  <si>
    <t>Table of Contents</t>
  </si>
  <si>
    <t>Sr No.</t>
  </si>
  <si>
    <t>Price Projection</t>
  </si>
  <si>
    <t>Market Return</t>
  </si>
  <si>
    <t>Historical Income Statement</t>
  </si>
  <si>
    <t>Siddhartha Khanna</t>
  </si>
  <si>
    <t>Acad Group 8</t>
  </si>
  <si>
    <t xml:space="preserve">Anuradha Khatiyan </t>
  </si>
  <si>
    <t>PGP-22-009</t>
  </si>
  <si>
    <t>Riya Gupta</t>
  </si>
  <si>
    <t>PGP-22-058</t>
  </si>
  <si>
    <t>Saket Kumar</t>
  </si>
  <si>
    <t>PGP-22-064</t>
  </si>
  <si>
    <t>Nidhi Dave</t>
  </si>
  <si>
    <t>PGP-22-123</t>
  </si>
  <si>
    <t>PGP-22-148</t>
  </si>
  <si>
    <t>Syed Shayan Mahtab</t>
  </si>
  <si>
    <t>PGP-22-234</t>
  </si>
  <si>
    <t>Income Statement'!A1</t>
  </si>
  <si>
    <t>Balance Sheet'!A1</t>
  </si>
  <si>
    <t>Historical Balance Sheet</t>
  </si>
  <si>
    <t>Historical Cash Flow Statement</t>
  </si>
  <si>
    <t>Cash Flow'!A1</t>
  </si>
  <si>
    <t>Revenue Assumptions</t>
  </si>
  <si>
    <t>Revenue Assumptions'!A1</t>
  </si>
  <si>
    <t>Expense Assumptions</t>
  </si>
  <si>
    <t>Expense Assumptions'!A1</t>
  </si>
  <si>
    <t>Capex Assumption</t>
  </si>
  <si>
    <t>Capex Assumption'!A1</t>
  </si>
  <si>
    <t>Working Capital Assumption</t>
  </si>
  <si>
    <t>Working Capital'!A1</t>
  </si>
  <si>
    <t>ESG Score'!A1</t>
  </si>
  <si>
    <t>Rm!A1</t>
  </si>
  <si>
    <t>Beta!A1</t>
  </si>
  <si>
    <t>PnL Projections</t>
  </si>
  <si>
    <t>P&amp;L (projection)'!A1</t>
  </si>
  <si>
    <t>DCF!A1</t>
  </si>
  <si>
    <t>DDM!A1</t>
  </si>
  <si>
    <t>Residual Income'!A1</t>
  </si>
  <si>
    <t>Relatvie Valuation</t>
  </si>
  <si>
    <t>Relative!A1</t>
  </si>
  <si>
    <t>Price projection'!A1</t>
  </si>
  <si>
    <t>Interest Income is secondary source of income and is divided into 4 parts</t>
  </si>
  <si>
    <t>Has been assumed to be 15% as interest rates on fixed deposits is expected to decrease as RBI has been able to control the inflation</t>
  </si>
  <si>
    <t>This segment has seen phenomenal growth due to late payments during the pandemic but this is expected to slow down and assumed to be 10%</t>
  </si>
  <si>
    <t xml:space="preserve">Has been constant for the past 5 years and thus is expected to be same for the future years as well. </t>
  </si>
  <si>
    <t xml:space="preserve">Since the Indian equity market has an equity risk premium of 5-7% on an average this segment has been forecasted with an annual increase of 6% per annum. </t>
  </si>
  <si>
    <t xml:space="preserve">Company plans to decrease the dependency in this segment and thus has a short-term goal of decreasing its revenue share </t>
  </si>
  <si>
    <t xml:space="preserve">Segment includes all the wealth management, advisory and the fintech services </t>
  </si>
  <si>
    <t xml:space="preserve">Diversification plans of company into the fintech arena along with the plans to reduce its dependency on the traditional broking revenue stream makes this segment pivotal for the company. </t>
  </si>
  <si>
    <t xml:space="preserve">Income from the equity securities and the derivatives held for sale </t>
  </si>
  <si>
    <t xml:space="preserve">Forecasted with an annual increase of 6% per annum. </t>
  </si>
  <si>
    <t xml:space="preserve">Contains gains from foreign exchange gains </t>
  </si>
  <si>
    <t>Kept constant for forecast</t>
  </si>
  <si>
    <t xml:space="preserve">Expect employee headcount to increase due to increased hiring for marketing and technological activities. </t>
  </si>
  <si>
    <t>Expense per employee will also rise in the forecast period due to the compensation mix of 70.0% fixed and 30.0% revenue linked variable component</t>
  </si>
  <si>
    <t>Fees and Comission</t>
  </si>
  <si>
    <t>Taken as a % of Brokerage and Service income and expect it to rise to 7% as the company moves away from dependance on brokerage income</t>
  </si>
  <si>
    <t>Taken as a % of Brokerage and Service income and expect it to rise to 6% as the company moves away from dependance on brokerage income</t>
  </si>
  <si>
    <t>Taken as a % of Total revenue and increased to 10% of total revenue to be conservative</t>
  </si>
  <si>
    <t xml:space="preserve">Assumed annual capex to be 2% of Net Sales for the projected five-year period. </t>
  </si>
  <si>
    <t xml:space="preserve">For the depreciation calculation we have classified the annual capex into various asset classes and projected a PPE schedule by depreciating the gross block as per the asset classes. </t>
  </si>
  <si>
    <t>Based on historical trends we have assumed  Receivable days to be 71 days</t>
  </si>
  <si>
    <t>Total Debt expected to increase at 20% y-o-y based on last year</t>
  </si>
  <si>
    <t>Finance cost assumed to be 6% based on last year</t>
  </si>
  <si>
    <t>(Based on CP issued in January 2023)</t>
  </si>
  <si>
    <t>Based on percentage of Revenue from Broking &amp; Services Business</t>
  </si>
  <si>
    <t>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</si>
</sst>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dd\-mm\-yyyy"/>
    <numFmt numFmtId="165" formatCode="#,##0.0"/>
    <numFmt numFmtId="166" formatCode="[&gt;=100]##,##0.0\%;[&lt;=-100]\-##,##0.0\%;##,##0.0\%"/>
    <numFmt numFmtId="167" formatCode="_(* #,##0_);_(* \(#,##0\);_(* &quot;-&quot;??_);_(@_)"/>
    <numFmt numFmtId="168" formatCode="_(* #,##0.0_);_(* \(#,##0.0\);_(* &quot;-&quot;??_);_(@_)"/>
    <numFmt numFmtId="169" formatCode="0.0%"/>
    <numFmt numFmtId="170" formatCode="_ * #,##0.00_ ;_ * \-#,##0.00_ ;_ * &quot;-&quot;??_ ;_ @_ "/>
    <numFmt numFmtId="171" formatCode="_ * #,##0_ ;_ * \-#,##0_ ;_ * &quot;-&quot;??_ ;_ @_ "/>
    <numFmt numFmtId="172" formatCode="0.0"/>
  </numFmts>
  <fonts count="57" x14ac:knownFonts="1"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b/>
      <i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22"/>
      <color rgb="FF334BFF"/>
      <name val="Calibri"/>
      <family val="2"/>
    </font>
    <font>
      <sz val="8"/>
      <name val="Calibri"/>
      <family val="1"/>
    </font>
    <font>
      <b/>
      <sz val="8"/>
      <name val="Calibri"/>
      <family val="2"/>
    </font>
    <font>
      <b/>
      <sz val="8"/>
      <name val="Calibri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sz val="11"/>
      <color rgb="FFFF0000"/>
      <name val="Arial"/>
      <family val="2"/>
    </font>
    <font>
      <b/>
      <sz val="18"/>
      <color rgb="FF000000"/>
      <name val="Bahnschrift"/>
      <family val="2"/>
    </font>
    <font>
      <sz val="18"/>
      <color rgb="FF000000"/>
      <name val="Bahnschrift"/>
      <family val="2"/>
    </font>
    <font>
      <b/>
      <sz val="18"/>
      <color rgb="FFFFFFFF"/>
      <name val="Bahnschrift"/>
      <family val="2"/>
    </font>
    <font>
      <sz val="12"/>
      <color theme="1"/>
      <name val="Bahnschrift"/>
      <family val="2"/>
    </font>
    <font>
      <b/>
      <sz val="12"/>
      <color theme="1"/>
      <name val="Bahnschrift"/>
      <family val="2"/>
    </font>
    <font>
      <b/>
      <sz val="12"/>
      <color theme="0"/>
      <name val="Bahnschrift"/>
      <family val="2"/>
    </font>
    <font>
      <b/>
      <sz val="11"/>
      <color indexed="9"/>
      <name val="Calibri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FFFFFF"/>
      <name val="Calibri"/>
      <family val="1"/>
    </font>
    <font>
      <b/>
      <sz val="8"/>
      <color theme="0"/>
      <name val="Calibri"/>
      <family val="2"/>
    </font>
    <font>
      <b/>
      <sz val="8"/>
      <color rgb="FFAC2D2D"/>
      <name val="Calibri"/>
      <family val="1"/>
    </font>
    <font>
      <sz val="11"/>
      <color rgb="FF0070C0"/>
      <name val="Calibri"/>
      <family val="2"/>
    </font>
    <font>
      <sz val="11"/>
      <color theme="4"/>
      <name val="Calibri"/>
      <family val="2"/>
    </font>
    <font>
      <b/>
      <sz val="11"/>
      <color rgb="FFFFFFFF"/>
      <name val="Calibri"/>
      <family val="2"/>
      <scheme val="minor"/>
    </font>
    <font>
      <b/>
      <sz val="9"/>
      <color theme="0"/>
      <name val="Arial"/>
      <family val="2"/>
    </font>
    <font>
      <sz val="11"/>
      <color theme="4"/>
      <name val="Arial"/>
      <family val="2"/>
    </font>
    <font>
      <b/>
      <sz val="11"/>
      <color theme="1"/>
      <name val="Calibri"/>
      <family val="1"/>
    </font>
    <font>
      <b/>
      <sz val="16"/>
      <color rgb="FF000000"/>
      <name val="Arial"/>
      <family val="2"/>
    </font>
    <font>
      <sz val="11"/>
      <color theme="3" tint="0.3999755851924192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69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11488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rgb="FF000000"/>
      </patternFill>
    </fill>
  </fills>
  <borders count="42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D5D8DB"/>
      </left>
      <right style="thin">
        <color rgb="FFD5D8DB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D5D8DB"/>
      </right>
      <top style="thin">
        <color rgb="FFD5D8DB"/>
      </top>
      <bottom style="thin">
        <color rgb="FFD5D8DB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4">
    <xf numFmtId="0" fontId="0" fillId="0" borderId="0" applyNumberFormat="0" applyBorder="0" applyAlignment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43" fillId="12" borderId="0"/>
    <xf numFmtId="0" fontId="12" fillId="0" borderId="0"/>
  </cellStyleXfs>
  <cellXfs count="45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0" applyFont="1"/>
    <xf numFmtId="0" fontId="5" fillId="0" borderId="0" xfId="0" applyFont="1"/>
    <xf numFmtId="164" fontId="4" fillId="0" borderId="0" xfId="0" applyNumberFormat="1" applyFont="1" applyAlignment="1">
      <alignment horizontal="left"/>
    </xf>
    <xf numFmtId="0" fontId="3" fillId="2" borderId="2" xfId="0" applyFont="1" applyFill="1" applyBorder="1"/>
    <xf numFmtId="0" fontId="4" fillId="0" borderId="3" xfId="0" applyFont="1" applyBorder="1" applyAlignment="1">
      <alignment horizontal="left" vertical="center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3" fontId="6" fillId="3" borderId="3" xfId="0" applyNumberFormat="1" applyFont="1" applyFill="1" applyBorder="1" applyAlignment="1">
      <alignment horizontal="right" vertical="center" wrapText="1"/>
    </xf>
    <xf numFmtId="0" fontId="4" fillId="0" borderId="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6" fillId="3" borderId="3" xfId="0" applyNumberFormat="1" applyFont="1" applyFill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4" fillId="0" borderId="3" xfId="0" applyFont="1" applyBorder="1" applyAlignment="1">
      <alignment horizontal="left" vertical="center" wrapText="1" indent="4"/>
    </xf>
    <xf numFmtId="0" fontId="8" fillId="0" borderId="3" xfId="0" applyFont="1" applyBorder="1" applyAlignment="1">
      <alignment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left" vertical="center" wrapText="1" indent="6"/>
    </xf>
    <xf numFmtId="0" fontId="4" fillId="0" borderId="3" xfId="0" applyFont="1" applyBorder="1" applyAlignment="1">
      <alignment horizontal="left" vertical="center" wrapText="1" indent="8"/>
    </xf>
    <xf numFmtId="3" fontId="7" fillId="0" borderId="3" xfId="0" applyNumberFormat="1" applyFont="1" applyBorder="1" applyAlignment="1">
      <alignment horizontal="right" vertical="center" wrapText="1"/>
    </xf>
    <xf numFmtId="3" fontId="10" fillId="0" borderId="3" xfId="0" applyNumberFormat="1" applyFont="1" applyBorder="1" applyAlignment="1">
      <alignment horizontal="right" vertical="center" wrapText="1"/>
    </xf>
    <xf numFmtId="165" fontId="10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4" fillId="4" borderId="3" xfId="0" applyFont="1" applyFill="1" applyBorder="1" applyAlignment="1">
      <alignment vertical="center" wrapText="1"/>
    </xf>
    <xf numFmtId="4" fontId="6" fillId="4" borderId="3" xfId="0" applyNumberFormat="1" applyFont="1" applyFill="1" applyBorder="1" applyAlignment="1">
      <alignment horizontal="right" vertical="center" wrapText="1"/>
    </xf>
    <xf numFmtId="165" fontId="6" fillId="4" borderId="3" xfId="0" applyNumberFormat="1" applyFont="1" applyFill="1" applyBorder="1" applyAlignment="1">
      <alignment horizontal="right" vertical="center" wrapText="1"/>
    </xf>
    <xf numFmtId="4" fontId="7" fillId="4" borderId="3" xfId="0" applyNumberFormat="1" applyFont="1" applyFill="1" applyBorder="1" applyAlignment="1">
      <alignment horizontal="right" vertical="center" wrapText="1"/>
    </xf>
    <xf numFmtId="165" fontId="0" fillId="0" borderId="0" xfId="0" applyNumberFormat="1"/>
    <xf numFmtId="0" fontId="4" fillId="4" borderId="3" xfId="0" applyFont="1" applyFill="1" applyBorder="1" applyAlignment="1">
      <alignment horizontal="left" vertical="center" wrapText="1" indent="2"/>
    </xf>
    <xf numFmtId="3" fontId="6" fillId="4" borderId="3" xfId="0" applyNumberFormat="1" applyFont="1" applyFill="1" applyBorder="1" applyAlignment="1">
      <alignment horizontal="right" vertical="center" wrapText="1"/>
    </xf>
    <xf numFmtId="4" fontId="0" fillId="0" borderId="0" xfId="0" applyNumberFormat="1"/>
    <xf numFmtId="165" fontId="8" fillId="0" borderId="3" xfId="0" applyNumberFormat="1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 indent="2"/>
    </xf>
    <xf numFmtId="3" fontId="8" fillId="0" borderId="3" xfId="0" applyNumberFormat="1" applyFont="1" applyBorder="1" applyAlignment="1">
      <alignment horizontal="right" vertical="center" wrapText="1"/>
    </xf>
    <xf numFmtId="3" fontId="0" fillId="0" borderId="0" xfId="0" applyNumberFormat="1"/>
    <xf numFmtId="165" fontId="4" fillId="0" borderId="3" xfId="0" applyNumberFormat="1" applyFont="1" applyBorder="1" applyAlignment="1">
      <alignment horizontal="right" vertical="center" wrapText="1"/>
    </xf>
    <xf numFmtId="165" fontId="8" fillId="4" borderId="3" xfId="0" applyNumberFormat="1" applyFont="1" applyFill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8" fillId="4" borderId="3" xfId="0" applyFont="1" applyFill="1" applyBorder="1" applyAlignment="1">
      <alignment vertical="center" wrapText="1"/>
    </xf>
    <xf numFmtId="3" fontId="8" fillId="4" borderId="3" xfId="0" applyNumberFormat="1" applyFont="1" applyFill="1" applyBorder="1" applyAlignment="1">
      <alignment horizontal="right" vertical="center" wrapText="1"/>
    </xf>
    <xf numFmtId="0" fontId="13" fillId="0" borderId="0" xfId="3" applyFont="1"/>
    <xf numFmtId="10" fontId="13" fillId="0" borderId="0" xfId="3" applyNumberFormat="1" applyFont="1"/>
    <xf numFmtId="9" fontId="13" fillId="0" borderId="0" xfId="3" applyNumberFormat="1" applyFont="1"/>
    <xf numFmtId="0" fontId="14" fillId="0" borderId="0" xfId="3" applyFont="1"/>
    <xf numFmtId="2" fontId="13" fillId="0" borderId="0" xfId="3" applyNumberFormat="1" applyFont="1"/>
    <xf numFmtId="0" fontId="16" fillId="0" borderId="0" xfId="3" applyFont="1" applyAlignment="1">
      <alignment horizontal="right"/>
    </xf>
    <xf numFmtId="0" fontId="20" fillId="0" borderId="0" xfId="6" applyFont="1" applyBorder="1" applyAlignment="1">
      <alignment horizontal="right"/>
    </xf>
    <xf numFmtId="170" fontId="13" fillId="0" borderId="0" xfId="3" applyNumberFormat="1" applyFont="1"/>
    <xf numFmtId="0" fontId="17" fillId="0" borderId="0" xfId="0" applyFont="1"/>
    <xf numFmtId="17" fontId="15" fillId="6" borderId="5" xfId="0" applyNumberFormat="1" applyFont="1" applyFill="1" applyBorder="1"/>
    <xf numFmtId="17" fontId="15" fillId="6" borderId="6" xfId="0" applyNumberFormat="1" applyFont="1" applyFill="1" applyBorder="1"/>
    <xf numFmtId="17" fontId="15" fillId="6" borderId="4" xfId="0" applyNumberFormat="1" applyFont="1" applyFill="1" applyBorder="1" applyAlignment="1"/>
    <xf numFmtId="0" fontId="0" fillId="0" borderId="0" xfId="0" applyAlignment="1">
      <alignment horizontal="center"/>
    </xf>
    <xf numFmtId="0" fontId="21" fillId="0" borderId="0" xfId="0" applyFont="1" applyAlignment="1">
      <alignment horizontal="right"/>
    </xf>
    <xf numFmtId="0" fontId="22" fillId="0" borderId="0" xfId="0" applyFont="1"/>
    <xf numFmtId="0" fontId="0" fillId="0" borderId="7" xfId="0" applyBorder="1"/>
    <xf numFmtId="0" fontId="0" fillId="7" borderId="0" xfId="0" applyFill="1"/>
    <xf numFmtId="0" fontId="0" fillId="7" borderId="7" xfId="0" applyFill="1" applyBorder="1"/>
    <xf numFmtId="0" fontId="23" fillId="0" borderId="0" xfId="0" applyFont="1"/>
    <xf numFmtId="0" fontId="0" fillId="0" borderId="0" xfId="0" applyBorder="1"/>
    <xf numFmtId="0" fontId="22" fillId="0" borderId="0" xfId="0" applyFont="1" applyBorder="1"/>
    <xf numFmtId="0" fontId="22" fillId="0" borderId="7" xfId="0" applyFont="1" applyBorder="1"/>
    <xf numFmtId="0" fontId="0" fillId="0" borderId="9" xfId="0" applyBorder="1"/>
    <xf numFmtId="1" fontId="0" fillId="0" borderId="0" xfId="0" applyNumberFormat="1" applyBorder="1"/>
    <xf numFmtId="0" fontId="13" fillId="0" borderId="0" xfId="0" applyFont="1"/>
    <xf numFmtId="0" fontId="16" fillId="0" borderId="0" xfId="0" applyFont="1" applyAlignment="1">
      <alignment horizontal="right"/>
    </xf>
    <xf numFmtId="0" fontId="0" fillId="0" borderId="7" xfId="0" applyBorder="1" applyAlignment="1">
      <alignment horizontal="center"/>
    </xf>
    <xf numFmtId="0" fontId="24" fillId="0" borderId="0" xfId="0" applyFont="1"/>
    <xf numFmtId="43" fontId="0" fillId="0" borderId="0" xfId="1" applyFont="1"/>
    <xf numFmtId="0" fontId="8" fillId="7" borderId="3" xfId="0" applyFont="1" applyFill="1" applyBorder="1" applyAlignment="1">
      <alignment horizontal="left" vertical="center" wrapText="1" indent="4"/>
    </xf>
    <xf numFmtId="165" fontId="8" fillId="7" borderId="3" xfId="0" applyNumberFormat="1" applyFont="1" applyFill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 indent="4"/>
    </xf>
    <xf numFmtId="0" fontId="24" fillId="0" borderId="7" xfId="0" applyFont="1" applyBorder="1"/>
    <xf numFmtId="0" fontId="23" fillId="0" borderId="0" xfId="7" applyFont="1"/>
    <xf numFmtId="0" fontId="20" fillId="0" borderId="0" xfId="8" applyFont="1" applyBorder="1" applyAlignment="1">
      <alignment horizontal="right"/>
    </xf>
    <xf numFmtId="0" fontId="27" fillId="0" borderId="0" xfId="3" applyFont="1"/>
    <xf numFmtId="0" fontId="28" fillId="0" borderId="0" xfId="3" applyFont="1"/>
    <xf numFmtId="0" fontId="29" fillId="6" borderId="0" xfId="3" applyFont="1" applyFill="1" applyAlignment="1">
      <alignment horizontal="left" vertical="center"/>
    </xf>
    <xf numFmtId="0" fontId="29" fillId="6" borderId="0" xfId="3" applyFont="1" applyFill="1" applyAlignment="1">
      <alignment vertical="center"/>
    </xf>
    <xf numFmtId="0" fontId="29" fillId="6" borderId="0" xfId="3" applyFont="1" applyFill="1" applyAlignment="1">
      <alignment horizontal="center" vertical="center"/>
    </xf>
    <xf numFmtId="0" fontId="30" fillId="0" borderId="0" xfId="3" applyFont="1" applyAlignment="1">
      <alignment vertical="center"/>
    </xf>
    <xf numFmtId="2" fontId="30" fillId="0" borderId="0" xfId="3" applyNumberFormat="1" applyFont="1" applyAlignment="1">
      <alignment vertical="center"/>
    </xf>
    <xf numFmtId="0" fontId="31" fillId="7" borderId="0" xfId="3" applyFont="1" applyFill="1" applyAlignment="1">
      <alignment vertical="center"/>
    </xf>
    <xf numFmtId="0" fontId="30" fillId="7" borderId="0" xfId="3" applyFont="1" applyFill="1" applyAlignment="1">
      <alignment vertical="center"/>
    </xf>
    <xf numFmtId="2" fontId="31" fillId="7" borderId="0" xfId="3" applyNumberFormat="1" applyFont="1" applyFill="1" applyAlignment="1">
      <alignment vertical="center"/>
    </xf>
    <xf numFmtId="2" fontId="27" fillId="0" borderId="0" xfId="3" applyNumberFormat="1" applyFont="1"/>
    <xf numFmtId="2" fontId="27" fillId="0" borderId="0" xfId="4" applyNumberFormat="1" applyFont="1" applyBorder="1"/>
    <xf numFmtId="0" fontId="28" fillId="7" borderId="0" xfId="3" applyFont="1" applyFill="1"/>
    <xf numFmtId="2" fontId="28" fillId="7" borderId="0" xfId="4" applyNumberFormat="1" applyFont="1" applyFill="1" applyBorder="1"/>
    <xf numFmtId="0" fontId="32" fillId="0" borderId="0" xfId="9"/>
    <xf numFmtId="0" fontId="13" fillId="0" borderId="7" xfId="3" applyFont="1" applyBorder="1"/>
    <xf numFmtId="170" fontId="13" fillId="0" borderId="7" xfId="3" applyNumberFormat="1" applyFont="1" applyBorder="1"/>
    <xf numFmtId="0" fontId="20" fillId="0" borderId="7" xfId="6" applyFont="1" applyBorder="1" applyAlignment="1">
      <alignment horizontal="right"/>
    </xf>
    <xf numFmtId="0" fontId="29" fillId="6" borderId="11" xfId="3" applyFont="1" applyFill="1" applyBorder="1" applyAlignment="1">
      <alignment vertical="top"/>
    </xf>
    <xf numFmtId="0" fontId="29" fillId="6" borderId="11" xfId="3" applyFont="1" applyFill="1" applyBorder="1" applyAlignment="1">
      <alignment vertical="top" wrapText="1"/>
    </xf>
    <xf numFmtId="0" fontId="27" fillId="0" borderId="11" xfId="3" applyFont="1" applyBorder="1" applyAlignment="1">
      <alignment vertical="top"/>
    </xf>
    <xf numFmtId="171" fontId="27" fillId="0" borderId="11" xfId="10" applyNumberFormat="1" applyFont="1" applyBorder="1" applyAlignment="1">
      <alignment vertical="top"/>
    </xf>
    <xf numFmtId="9" fontId="27" fillId="0" borderId="11" xfId="3" applyNumberFormat="1" applyFont="1" applyBorder="1" applyAlignment="1">
      <alignment vertical="top"/>
    </xf>
    <xf numFmtId="167" fontId="27" fillId="0" borderId="11" xfId="5" applyNumberFormat="1" applyFont="1" applyBorder="1" applyAlignment="1">
      <alignment vertical="top"/>
    </xf>
    <xf numFmtId="0" fontId="27" fillId="0" borderId="11" xfId="3" applyFont="1" applyBorder="1" applyAlignment="1">
      <alignment vertical="top" wrapText="1"/>
    </xf>
    <xf numFmtId="0" fontId="28" fillId="0" borderId="11" xfId="3" applyFont="1" applyBorder="1" applyAlignment="1">
      <alignment vertical="top"/>
    </xf>
    <xf numFmtId="171" fontId="28" fillId="0" borderId="11" xfId="3" applyNumberFormat="1" applyFont="1" applyBorder="1" applyAlignment="1">
      <alignment vertical="top"/>
    </xf>
    <xf numFmtId="167" fontId="28" fillId="0" borderId="11" xfId="5" applyNumberFormat="1" applyFont="1" applyBorder="1" applyAlignment="1">
      <alignment vertical="top"/>
    </xf>
    <xf numFmtId="0" fontId="28" fillId="8" borderId="11" xfId="3" applyFont="1" applyFill="1" applyBorder="1" applyAlignment="1">
      <alignment vertical="top"/>
    </xf>
    <xf numFmtId="167" fontId="28" fillId="8" borderId="11" xfId="5" applyNumberFormat="1" applyFont="1" applyFill="1" applyBorder="1" applyAlignment="1">
      <alignment horizontal="right" vertical="top"/>
    </xf>
    <xf numFmtId="9" fontId="28" fillId="8" borderId="11" xfId="5" applyNumberFormat="1" applyFont="1" applyFill="1" applyBorder="1" applyAlignment="1">
      <alignment horizontal="right" vertical="top"/>
    </xf>
    <xf numFmtId="0" fontId="27" fillId="8" borderId="11" xfId="3" applyFont="1" applyFill="1" applyBorder="1" applyAlignment="1">
      <alignment vertical="top"/>
    </xf>
    <xf numFmtId="167" fontId="27" fillId="8" borderId="11" xfId="5" applyNumberFormat="1" applyFont="1" applyFill="1" applyBorder="1" applyAlignment="1">
      <alignment horizontal="right" vertical="top"/>
    </xf>
    <xf numFmtId="0" fontId="13" fillId="0" borderId="11" xfId="3" applyFont="1" applyBorder="1"/>
    <xf numFmtId="0" fontId="13" fillId="8" borderId="0" xfId="3" applyFont="1" applyFill="1"/>
    <xf numFmtId="0" fontId="33" fillId="8" borderId="0" xfId="3" applyFont="1" applyFill="1" applyAlignment="1">
      <alignment horizontal="left"/>
    </xf>
    <xf numFmtId="167" fontId="13" fillId="8" borderId="0" xfId="5" applyNumberFormat="1" applyFont="1" applyFill="1" applyBorder="1" applyAlignment="1">
      <alignment horizontal="center"/>
    </xf>
    <xf numFmtId="167" fontId="13" fillId="8" borderId="13" xfId="5" applyNumberFormat="1" applyFont="1" applyFill="1" applyBorder="1" applyAlignment="1">
      <alignment horizontal="center"/>
    </xf>
    <xf numFmtId="167" fontId="14" fillId="8" borderId="0" xfId="5" applyNumberFormat="1" applyFont="1" applyFill="1" applyBorder="1" applyAlignment="1">
      <alignment horizontal="center"/>
    </xf>
    <xf numFmtId="9" fontId="13" fillId="8" borderId="0" xfId="5" applyNumberFormat="1" applyFont="1" applyFill="1"/>
    <xf numFmtId="167" fontId="13" fillId="8" borderId="0" xfId="5" applyNumberFormat="1" applyFont="1" applyFill="1"/>
    <xf numFmtId="170" fontId="13" fillId="8" borderId="0" xfId="3" applyNumberFormat="1" applyFont="1" applyFill="1"/>
    <xf numFmtId="0" fontId="34" fillId="8" borderId="0" xfId="3" applyFont="1" applyFill="1"/>
    <xf numFmtId="0" fontId="33" fillId="8" borderId="0" xfId="3" applyFont="1" applyFill="1"/>
    <xf numFmtId="0" fontId="13" fillId="6" borderId="0" xfId="3" applyFont="1" applyFill="1"/>
    <xf numFmtId="9" fontId="13" fillId="8" borderId="0" xfId="3" applyNumberFormat="1" applyFont="1" applyFill="1"/>
    <xf numFmtId="167" fontId="14" fillId="10" borderId="4" xfId="3" applyNumberFormat="1" applyFont="1" applyFill="1" applyBorder="1" applyAlignment="1">
      <alignment horizontal="center"/>
    </xf>
    <xf numFmtId="169" fontId="14" fillId="10" borderId="5" xfId="5" applyNumberFormat="1" applyFont="1" applyFill="1" applyBorder="1" applyAlignment="1">
      <alignment horizontal="center"/>
    </xf>
    <xf numFmtId="10" fontId="14" fillId="10" borderId="12" xfId="3" applyNumberFormat="1" applyFont="1" applyFill="1" applyBorder="1" applyAlignment="1">
      <alignment horizontal="center"/>
    </xf>
    <xf numFmtId="167" fontId="13" fillId="8" borderId="13" xfId="5" applyNumberFormat="1" applyFont="1" applyFill="1" applyBorder="1" applyAlignment="1">
      <alignment horizontal="right"/>
    </xf>
    <xf numFmtId="10" fontId="14" fillId="10" borderId="12" xfId="5" applyNumberFormat="1" applyFont="1" applyFill="1" applyBorder="1" applyAlignment="1">
      <alignment horizontal="center"/>
    </xf>
    <xf numFmtId="10" fontId="14" fillId="10" borderId="14" xfId="3" applyNumberFormat="1" applyFont="1" applyFill="1" applyBorder="1" applyAlignment="1">
      <alignment horizontal="center"/>
    </xf>
    <xf numFmtId="167" fontId="13" fillId="8" borderId="15" xfId="5" applyNumberFormat="1" applyFont="1" applyFill="1" applyBorder="1" applyAlignment="1">
      <alignment horizontal="center"/>
    </xf>
    <xf numFmtId="167" fontId="13" fillId="8" borderId="16" xfId="5" applyNumberFormat="1" applyFont="1" applyFill="1" applyBorder="1" applyAlignment="1">
      <alignment horizontal="center"/>
    </xf>
    <xf numFmtId="0" fontId="35" fillId="8" borderId="0" xfId="3" applyFont="1" applyFill="1" applyAlignment="1">
      <alignment horizontal="left"/>
    </xf>
    <xf numFmtId="0" fontId="18" fillId="8" borderId="0" xfId="3" applyFont="1" applyFill="1"/>
    <xf numFmtId="0" fontId="36" fillId="8" borderId="0" xfId="3" applyFont="1" applyFill="1"/>
    <xf numFmtId="10" fontId="13" fillId="8" borderId="0" xfId="3" applyNumberFormat="1" applyFont="1" applyFill="1"/>
    <xf numFmtId="168" fontId="13" fillId="8" borderId="0" xfId="5" applyNumberFormat="1" applyFont="1" applyFill="1" applyBorder="1"/>
    <xf numFmtId="168" fontId="37" fillId="0" borderId="0" xfId="5" applyNumberFormat="1" applyFont="1" applyAlignment="1">
      <alignment horizontal="right" vertical="center" wrapText="1" indent="1" readingOrder="1"/>
    </xf>
    <xf numFmtId="0" fontId="37" fillId="0" borderId="0" xfId="3" applyFont="1" applyAlignment="1">
      <alignment horizontal="left" vertical="center" wrapText="1" readingOrder="1"/>
    </xf>
    <xf numFmtId="168" fontId="38" fillId="0" borderId="0" xfId="5" applyNumberFormat="1" applyFont="1" applyAlignment="1">
      <alignment horizontal="right" vertical="center" wrapText="1" indent="1" readingOrder="1"/>
    </xf>
    <xf numFmtId="0" fontId="38" fillId="0" borderId="0" xfId="3" applyFont="1" applyAlignment="1">
      <alignment horizontal="left" vertical="center" wrapText="1" readingOrder="1"/>
    </xf>
    <xf numFmtId="169" fontId="38" fillId="0" borderId="0" xfId="3" applyNumberFormat="1" applyFont="1" applyAlignment="1">
      <alignment horizontal="right" vertical="center" wrapText="1" indent="1" readingOrder="1"/>
    </xf>
    <xf numFmtId="43" fontId="38" fillId="0" borderId="0" xfId="5" applyFont="1" applyAlignment="1">
      <alignment horizontal="right" vertical="center" wrapText="1" indent="1" readingOrder="1"/>
    </xf>
    <xf numFmtId="170" fontId="13" fillId="5" borderId="17" xfId="3" applyNumberFormat="1" applyFont="1" applyFill="1" applyBorder="1"/>
    <xf numFmtId="170" fontId="13" fillId="5" borderId="14" xfId="3" applyNumberFormat="1" applyFont="1" applyFill="1" applyBorder="1"/>
    <xf numFmtId="0" fontId="13" fillId="0" borderId="17" xfId="3" applyFont="1" applyBorder="1"/>
    <xf numFmtId="167" fontId="13" fillId="0" borderId="0" xfId="5" applyNumberFormat="1" applyFont="1" applyFill="1" applyBorder="1"/>
    <xf numFmtId="2" fontId="13" fillId="5" borderId="18" xfId="3" applyNumberFormat="1" applyFont="1" applyFill="1" applyBorder="1"/>
    <xf numFmtId="2" fontId="13" fillId="5" borderId="12" xfId="3" applyNumberFormat="1" applyFont="1" applyFill="1" applyBorder="1"/>
    <xf numFmtId="0" fontId="14" fillId="0" borderId="18" xfId="3" applyFont="1" applyBorder="1"/>
    <xf numFmtId="0" fontId="13" fillId="0" borderId="18" xfId="3" applyFont="1" applyBorder="1"/>
    <xf numFmtId="0" fontId="15" fillId="0" borderId="0" xfId="3" applyFont="1" applyAlignment="1">
      <alignment vertical="top" wrapText="1"/>
    </xf>
    <xf numFmtId="0" fontId="15" fillId="6" borderId="11" xfId="3" applyFont="1" applyFill="1" applyBorder="1" applyAlignment="1">
      <alignment vertical="top"/>
    </xf>
    <xf numFmtId="0" fontId="15" fillId="6" borderId="19" xfId="3" applyFont="1" applyFill="1" applyBorder="1" applyAlignment="1">
      <alignment vertical="top"/>
    </xf>
    <xf numFmtId="0" fontId="15" fillId="6" borderId="20" xfId="3" applyFont="1" applyFill="1" applyBorder="1" applyAlignment="1">
      <alignment vertical="top"/>
    </xf>
    <xf numFmtId="165" fontId="40" fillId="0" borderId="11" xfId="5" applyNumberFormat="1" applyFont="1" applyBorder="1" applyAlignment="1">
      <alignment horizontal="right" vertical="top"/>
    </xf>
    <xf numFmtId="169" fontId="40" fillId="10" borderId="11" xfId="4" applyNumberFormat="1" applyFont="1" applyFill="1" applyBorder="1" applyAlignment="1">
      <alignment horizontal="right" vertical="top"/>
    </xf>
    <xf numFmtId="169" fontId="41" fillId="10" borderId="5" xfId="4" applyNumberFormat="1" applyFont="1" applyFill="1" applyBorder="1" applyAlignment="1">
      <alignment horizontal="right" vertical="top"/>
    </xf>
    <xf numFmtId="2" fontId="42" fillId="6" borderId="4" xfId="3" applyNumberFormat="1" applyFont="1" applyFill="1" applyBorder="1" applyAlignment="1">
      <alignment horizontal="right" vertical="top"/>
    </xf>
    <xf numFmtId="170" fontId="15" fillId="6" borderId="14" xfId="3" applyNumberFormat="1" applyFont="1" applyFill="1" applyBorder="1" applyAlignment="1">
      <alignment vertical="center"/>
    </xf>
    <xf numFmtId="170" fontId="15" fillId="6" borderId="6" xfId="3" applyNumberFormat="1" applyFont="1" applyFill="1" applyBorder="1" applyAlignment="1">
      <alignment vertical="center"/>
    </xf>
    <xf numFmtId="170" fontId="15" fillId="6" borderId="4" xfId="3" applyNumberFormat="1" applyFont="1" applyFill="1" applyBorder="1" applyAlignment="1">
      <alignment vertical="center"/>
    </xf>
    <xf numFmtId="170" fontId="13" fillId="0" borderId="16" xfId="3" applyNumberFormat="1" applyFont="1" applyBorder="1"/>
    <xf numFmtId="170" fontId="13" fillId="0" borderId="13" xfId="3" applyNumberFormat="1" applyFont="1" applyBorder="1"/>
    <xf numFmtId="0" fontId="13" fillId="0" borderId="13" xfId="3" applyFont="1" applyBorder="1"/>
    <xf numFmtId="43" fontId="13" fillId="5" borderId="0" xfId="5" applyFont="1" applyFill="1" applyBorder="1"/>
    <xf numFmtId="167" fontId="13" fillId="0" borderId="13" xfId="5" applyNumberFormat="1" applyFont="1" applyBorder="1"/>
    <xf numFmtId="0" fontId="15" fillId="6" borderId="21" xfId="3" applyFont="1" applyFill="1" applyBorder="1" applyAlignment="1">
      <alignment vertical="top" wrapText="1"/>
    </xf>
    <xf numFmtId="0" fontId="33" fillId="0" borderId="0" xfId="3" applyFont="1"/>
    <xf numFmtId="0" fontId="25" fillId="13" borderId="0" xfId="0" applyFont="1" applyFill="1" applyAlignment="1">
      <alignment horizontal="center" vertical="top" wrapText="1"/>
    </xf>
    <xf numFmtId="0" fontId="25" fillId="13" borderId="0" xfId="0" applyFont="1" applyFill="1" applyAlignment="1">
      <alignment horizontal="left" vertical="top" wrapText="1" indent="1"/>
    </xf>
    <xf numFmtId="0" fontId="25" fillId="13" borderId="8" xfId="0" applyFont="1" applyFill="1" applyBorder="1" applyAlignment="1">
      <alignment horizontal="center" vertical="top" wrapText="1"/>
    </xf>
    <xf numFmtId="0" fontId="46" fillId="13" borderId="0" xfId="0" applyFont="1" applyFill="1" applyAlignment="1">
      <alignment horizontal="center" vertical="top" wrapText="1"/>
    </xf>
    <xf numFmtId="0" fontId="47" fillId="13" borderId="0" xfId="0" applyFont="1" applyFill="1" applyAlignment="1">
      <alignment horizontal="center" vertical="top" wrapText="1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7" fontId="0" fillId="0" borderId="7" xfId="1" applyNumberFormat="1" applyFont="1" applyBorder="1"/>
    <xf numFmtId="167" fontId="0" fillId="7" borderId="7" xfId="1" applyNumberFormat="1" applyFont="1" applyFill="1" applyBorder="1"/>
    <xf numFmtId="167" fontId="0" fillId="7" borderId="0" xfId="1" applyNumberFormat="1" applyFont="1" applyFill="1" applyBorder="1"/>
    <xf numFmtId="167" fontId="0" fillId="0" borderId="0" xfId="1" applyNumberFormat="1" applyFont="1" applyBorder="1"/>
    <xf numFmtId="167" fontId="22" fillId="0" borderId="7" xfId="1" applyNumberFormat="1" applyFont="1" applyBorder="1"/>
    <xf numFmtId="167" fontId="6" fillId="0" borderId="3" xfId="1" applyNumberFormat="1" applyFont="1" applyBorder="1" applyAlignment="1">
      <alignment horizontal="right" vertical="center" wrapText="1"/>
    </xf>
    <xf numFmtId="167" fontId="6" fillId="0" borderId="10" xfId="1" applyNumberFormat="1" applyFont="1" applyBorder="1" applyAlignment="1">
      <alignment horizontal="right" vertical="center" wrapText="1"/>
    </xf>
    <xf numFmtId="167" fontId="0" fillId="0" borderId="9" xfId="1" applyNumberFormat="1" applyFont="1" applyBorder="1"/>
    <xf numFmtId="167" fontId="0" fillId="7" borderId="9" xfId="1" applyNumberFormat="1" applyFont="1" applyFill="1" applyBorder="1"/>
    <xf numFmtId="0" fontId="0" fillId="0" borderId="26" xfId="0" applyBorder="1"/>
    <xf numFmtId="0" fontId="0" fillId="0" borderId="27" xfId="0" applyBorder="1"/>
    <xf numFmtId="3" fontId="0" fillId="0" borderId="0" xfId="0" applyNumberFormat="1" applyAlignment="1">
      <alignment vertical="top" shrinkToFit="1"/>
    </xf>
    <xf numFmtId="167" fontId="0" fillId="0" borderId="0" xfId="1" applyNumberFormat="1" applyFont="1" applyBorder="1" applyAlignment="1">
      <alignment horizontal="center"/>
    </xf>
    <xf numFmtId="167" fontId="0" fillId="0" borderId="7" xfId="1" applyNumberFormat="1" applyFont="1" applyBorder="1" applyAlignment="1">
      <alignment horizontal="center" vertical="center"/>
    </xf>
    <xf numFmtId="169" fontId="0" fillId="0" borderId="0" xfId="2" applyNumberFormat="1" applyFont="1" applyBorder="1" applyAlignment="1">
      <alignment vertical="center" wrapText="1"/>
    </xf>
    <xf numFmtId="9" fontId="49" fillId="7" borderId="0" xfId="0" applyNumberFormat="1" applyFont="1" applyFill="1" applyBorder="1" applyAlignment="1">
      <alignment vertical="center" wrapText="1"/>
    </xf>
    <xf numFmtId="167" fontId="22" fillId="7" borderId="7" xfId="1" applyNumberFormat="1" applyFont="1" applyFill="1" applyBorder="1"/>
    <xf numFmtId="0" fontId="44" fillId="8" borderId="0" xfId="0" applyFont="1" applyFill="1"/>
    <xf numFmtId="0" fontId="14" fillId="8" borderId="0" xfId="0" applyFont="1" applyFill="1"/>
    <xf numFmtId="0" fontId="44" fillId="8" borderId="22" xfId="0" applyFont="1" applyFill="1" applyBorder="1" applyAlignment="1">
      <alignment horizontal="center"/>
    </xf>
    <xf numFmtId="0" fontId="15" fillId="9" borderId="9" xfId="0" applyFont="1" applyFill="1" applyBorder="1" applyAlignment="1">
      <alignment horizontal="center" vertical="center" wrapText="1"/>
    </xf>
    <xf numFmtId="0" fontId="15" fillId="9" borderId="32" xfId="0" applyFont="1" applyFill="1" applyBorder="1" applyAlignment="1">
      <alignment horizontal="center" vertical="center" wrapText="1"/>
    </xf>
    <xf numFmtId="0" fontId="15" fillId="9" borderId="33" xfId="0" applyFont="1" applyFill="1" applyBorder="1" applyAlignment="1">
      <alignment horizontal="center" vertical="center" wrapText="1"/>
    </xf>
    <xf numFmtId="0" fontId="0" fillId="0" borderId="31" xfId="0" applyBorder="1"/>
    <xf numFmtId="0" fontId="22" fillId="0" borderId="26" xfId="0" applyFont="1" applyBorder="1"/>
    <xf numFmtId="0" fontId="22" fillId="0" borderId="31" xfId="0" applyFont="1" applyBorder="1"/>
    <xf numFmtId="0" fontId="0" fillId="0" borderId="13" xfId="0" applyBorder="1"/>
    <xf numFmtId="0" fontId="22" fillId="0" borderId="13" xfId="0" applyFont="1" applyBorder="1"/>
    <xf numFmtId="0" fontId="15" fillId="9" borderId="29" xfId="0" applyFont="1" applyFill="1" applyBorder="1" applyAlignment="1">
      <alignment horizontal="center" vertical="center" wrapText="1"/>
    </xf>
    <xf numFmtId="0" fontId="15" fillId="9" borderId="30" xfId="0" applyFont="1" applyFill="1" applyBorder="1" applyAlignment="1">
      <alignment horizontal="center" vertical="center" wrapText="1"/>
    </xf>
    <xf numFmtId="169" fontId="0" fillId="0" borderId="31" xfId="2" applyNumberFormat="1" applyFont="1" applyBorder="1"/>
    <xf numFmtId="169" fontId="0" fillId="0" borderId="34" xfId="2" applyNumberFormat="1" applyFont="1" applyBorder="1"/>
    <xf numFmtId="0" fontId="0" fillId="0" borderId="29" xfId="0" applyBorder="1"/>
    <xf numFmtId="9" fontId="0" fillId="0" borderId="30" xfId="2" applyFont="1" applyBorder="1"/>
    <xf numFmtId="0" fontId="15" fillId="9" borderId="29" xfId="0" applyFont="1" applyFill="1" applyBorder="1" applyAlignment="1">
      <alignment horizontal="center"/>
    </xf>
    <xf numFmtId="0" fontId="13" fillId="8" borderId="9" xfId="0" applyFont="1" applyFill="1" applyBorder="1"/>
    <xf numFmtId="0" fontId="13" fillId="8" borderId="30" xfId="0" applyFont="1" applyFill="1" applyBorder="1"/>
    <xf numFmtId="10" fontId="0" fillId="0" borderId="23" xfId="2" applyNumberFormat="1" applyFont="1" applyBorder="1"/>
    <xf numFmtId="10" fontId="0" fillId="0" borderId="26" xfId="2" applyNumberFormat="1" applyFont="1" applyBorder="1"/>
    <xf numFmtId="10" fontId="0" fillId="0" borderId="27" xfId="2" applyNumberFormat="1" applyFont="1" applyBorder="1"/>
    <xf numFmtId="10" fontId="0" fillId="0" borderId="0" xfId="2" applyNumberFormat="1" applyFont="1"/>
    <xf numFmtId="0" fontId="15" fillId="9" borderId="36" xfId="3" applyFont="1" applyFill="1" applyBorder="1" applyAlignment="1">
      <alignment horizontal="center"/>
    </xf>
    <xf numFmtId="0" fontId="13" fillId="8" borderId="37" xfId="0" applyFont="1" applyFill="1" applyBorder="1"/>
    <xf numFmtId="0" fontId="14" fillId="8" borderId="37" xfId="0" applyFont="1" applyFill="1" applyBorder="1"/>
    <xf numFmtId="169" fontId="13" fillId="8" borderId="37" xfId="0" applyNumberFormat="1" applyFont="1" applyFill="1" applyBorder="1"/>
    <xf numFmtId="17" fontId="15" fillId="6" borderId="24" xfId="0" applyNumberFormat="1" applyFont="1" applyFill="1" applyBorder="1"/>
    <xf numFmtId="17" fontId="15" fillId="6" borderId="39" xfId="0" applyNumberFormat="1" applyFont="1" applyFill="1" applyBorder="1"/>
    <xf numFmtId="17" fontId="15" fillId="6" borderId="25" xfId="0" applyNumberFormat="1" applyFont="1" applyFill="1" applyBorder="1"/>
    <xf numFmtId="169" fontId="0" fillId="0" borderId="0" xfId="2" applyNumberFormat="1" applyFont="1" applyBorder="1"/>
    <xf numFmtId="17" fontId="0" fillId="0" borderId="0" xfId="0" applyNumberFormat="1" applyBorder="1"/>
    <xf numFmtId="9" fontId="50" fillId="14" borderId="0" xfId="2" applyFont="1" applyFill="1" applyBorder="1" applyAlignment="1">
      <alignment horizontal="center"/>
    </xf>
    <xf numFmtId="9" fontId="50" fillId="14" borderId="31" xfId="2" applyFont="1" applyFill="1" applyBorder="1" applyAlignment="1">
      <alignment horizontal="center"/>
    </xf>
    <xf numFmtId="9" fontId="50" fillId="14" borderId="7" xfId="2" applyFont="1" applyFill="1" applyBorder="1" applyAlignment="1">
      <alignment horizontal="center"/>
    </xf>
    <xf numFmtId="9" fontId="50" fillId="14" borderId="34" xfId="2" applyFont="1" applyFill="1" applyBorder="1" applyAlignment="1">
      <alignment horizontal="center"/>
    </xf>
    <xf numFmtId="167" fontId="22" fillId="7" borderId="7" xfId="1" applyNumberFormat="1" applyFont="1" applyFill="1" applyBorder="1" applyAlignment="1"/>
    <xf numFmtId="17" fontId="15" fillId="6" borderId="23" xfId="0" applyNumberFormat="1" applyFont="1" applyFill="1" applyBorder="1" applyAlignment="1"/>
    <xf numFmtId="0" fontId="0" fillId="0" borderId="40" xfId="0" applyBorder="1" applyAlignment="1">
      <alignment vertical="center" wrapText="1"/>
    </xf>
    <xf numFmtId="167" fontId="0" fillId="7" borderId="31" xfId="1" applyNumberFormat="1" applyFont="1" applyFill="1" applyBorder="1"/>
    <xf numFmtId="167" fontId="0" fillId="7" borderId="34" xfId="1" applyNumberFormat="1" applyFont="1" applyFill="1" applyBorder="1"/>
    <xf numFmtId="167" fontId="22" fillId="0" borderId="0" xfId="1" applyNumberFormat="1" applyFont="1" applyBorder="1"/>
    <xf numFmtId="167" fontId="22" fillId="7" borderId="0" xfId="1" applyNumberFormat="1" applyFont="1" applyFill="1" applyBorder="1"/>
    <xf numFmtId="167" fontId="22" fillId="7" borderId="31" xfId="1" applyNumberFormat="1" applyFont="1" applyFill="1" applyBorder="1"/>
    <xf numFmtId="0" fontId="22" fillId="0" borderId="27" xfId="0" applyFont="1" applyBorder="1"/>
    <xf numFmtId="167" fontId="22" fillId="7" borderId="34" xfId="1" applyNumberFormat="1" applyFont="1" applyFill="1" applyBorder="1"/>
    <xf numFmtId="167" fontId="0" fillId="7" borderId="30" xfId="1" applyNumberFormat="1" applyFont="1" applyFill="1" applyBorder="1"/>
    <xf numFmtId="9" fontId="50" fillId="7" borderId="0" xfId="2" applyFont="1" applyFill="1" applyBorder="1" applyAlignment="1">
      <alignment horizontal="center"/>
    </xf>
    <xf numFmtId="9" fontId="50" fillId="7" borderId="31" xfId="2" applyFont="1" applyFill="1" applyBorder="1" applyAlignment="1">
      <alignment horizontal="center"/>
    </xf>
    <xf numFmtId="167" fontId="22" fillId="7" borderId="34" xfId="1" applyNumberFormat="1" applyFont="1" applyFill="1" applyBorder="1" applyAlignment="1"/>
    <xf numFmtId="0" fontId="0" fillId="0" borderId="11" xfId="0" applyBorder="1" applyAlignment="1">
      <alignment horizontal="left"/>
    </xf>
    <xf numFmtId="17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43" fontId="0" fillId="0" borderId="11" xfId="0" applyNumberFormat="1" applyBorder="1"/>
    <xf numFmtId="0" fontId="51" fillId="6" borderId="35" xfId="0" applyFont="1" applyFill="1" applyBorder="1" applyAlignment="1">
      <alignment vertical="top"/>
    </xf>
    <xf numFmtId="17" fontId="51" fillId="6" borderId="35" xfId="0" applyNumberFormat="1" applyFont="1" applyFill="1" applyBorder="1" applyAlignment="1">
      <alignment horizontal="right" vertical="top"/>
    </xf>
    <xf numFmtId="0" fontId="0" fillId="0" borderId="35" xfId="0" applyBorder="1"/>
    <xf numFmtId="0" fontId="14" fillId="0" borderId="0" xfId="0" applyFont="1"/>
    <xf numFmtId="0" fontId="14" fillId="0" borderId="11" xfId="0" applyFont="1" applyBorder="1"/>
    <xf numFmtId="10" fontId="0" fillId="0" borderId="11" xfId="2" applyNumberFormat="1" applyFont="1" applyBorder="1"/>
    <xf numFmtId="10" fontId="22" fillId="0" borderId="11" xfId="2" applyNumberFormat="1" applyFont="1" applyBorder="1"/>
    <xf numFmtId="0" fontId="15" fillId="6" borderId="35" xfId="0" applyFont="1" applyFill="1" applyBorder="1"/>
    <xf numFmtId="14" fontId="0" fillId="0" borderId="35" xfId="0" applyNumberFormat="1" applyBorder="1"/>
    <xf numFmtId="10" fontId="0" fillId="0" borderId="35" xfId="2" applyNumberFormat="1" applyFont="1" applyBorder="1"/>
    <xf numFmtId="2" fontId="13" fillId="0" borderId="11" xfId="1" applyNumberFormat="1" applyFont="1" applyBorder="1"/>
    <xf numFmtId="0" fontId="52" fillId="6" borderId="11" xfId="0" applyFont="1" applyFill="1" applyBorder="1" applyAlignment="1">
      <alignment vertical="center"/>
    </xf>
    <xf numFmtId="0" fontId="30" fillId="0" borderId="11" xfId="0" applyFont="1" applyBorder="1" applyAlignment="1">
      <alignment horizontal="center" vertical="center"/>
    </xf>
    <xf numFmtId="9" fontId="30" fillId="0" borderId="11" xfId="0" applyNumberFormat="1" applyFont="1" applyBorder="1" applyAlignment="1">
      <alignment horizontal="center" vertical="center"/>
    </xf>
    <xf numFmtId="0" fontId="13" fillId="0" borderId="11" xfId="0" applyFont="1" applyBorder="1"/>
    <xf numFmtId="43" fontId="13" fillId="0" borderId="11" xfId="5" applyFont="1" applyBorder="1"/>
    <xf numFmtId="10" fontId="13" fillId="0" borderId="11" xfId="0" applyNumberFormat="1" applyFont="1" applyBorder="1"/>
    <xf numFmtId="43" fontId="14" fillId="0" borderId="11" xfId="5" applyFont="1" applyBorder="1"/>
    <xf numFmtId="10" fontId="0" fillId="0" borderId="11" xfId="0" applyNumberFormat="1" applyBorder="1"/>
    <xf numFmtId="9" fontId="0" fillId="0" borderId="11" xfId="0" applyNumberFormat="1" applyBorder="1"/>
    <xf numFmtId="2" fontId="0" fillId="0" borderId="11" xfId="0" applyNumberFormat="1" applyBorder="1"/>
    <xf numFmtId="4" fontId="0" fillId="0" borderId="11" xfId="0" applyNumberFormat="1" applyBorder="1"/>
    <xf numFmtId="1" fontId="0" fillId="0" borderId="11" xfId="0" applyNumberFormat="1" applyBorder="1"/>
    <xf numFmtId="43" fontId="22" fillId="0" borderId="11" xfId="0" applyNumberFormat="1" applyFont="1" applyBorder="1"/>
    <xf numFmtId="0" fontId="15" fillId="9" borderId="35" xfId="3" applyFont="1" applyFill="1" applyBorder="1" applyAlignment="1">
      <alignment horizontal="left"/>
    </xf>
    <xf numFmtId="0" fontId="13" fillId="0" borderId="12" xfId="3" applyFont="1" applyBorder="1"/>
    <xf numFmtId="0" fontId="14" fillId="0" borderId="12" xfId="3" applyFont="1" applyBorder="1"/>
    <xf numFmtId="0" fontId="13" fillId="0" borderId="14" xfId="3" applyFont="1" applyBorder="1"/>
    <xf numFmtId="0" fontId="15" fillId="6" borderId="5" xfId="3" applyFont="1" applyFill="1" applyBorder="1" applyAlignment="1">
      <alignment vertical="top"/>
    </xf>
    <xf numFmtId="0" fontId="15" fillId="6" borderId="4" xfId="3" applyFont="1" applyFill="1" applyBorder="1" applyAlignment="1">
      <alignment vertical="top"/>
    </xf>
    <xf numFmtId="0" fontId="15" fillId="6" borderId="22" xfId="3" applyFont="1" applyFill="1" applyBorder="1" applyAlignment="1">
      <alignment vertical="top"/>
    </xf>
    <xf numFmtId="2" fontId="13" fillId="0" borderId="23" xfId="3" applyNumberFormat="1" applyFont="1" applyBorder="1"/>
    <xf numFmtId="0" fontId="13" fillId="0" borderId="26" xfId="3" applyFont="1" applyBorder="1"/>
    <xf numFmtId="9" fontId="13" fillId="0" borderId="26" xfId="3" applyNumberFormat="1" applyFont="1" applyBorder="1"/>
    <xf numFmtId="0" fontId="13" fillId="5" borderId="0" xfId="3" applyFont="1" applyFill="1"/>
    <xf numFmtId="169" fontId="13" fillId="5" borderId="31" xfId="5" applyNumberFormat="1" applyFont="1" applyFill="1" applyBorder="1"/>
    <xf numFmtId="170" fontId="13" fillId="5" borderId="0" xfId="3" applyNumberFormat="1" applyFont="1" applyFill="1"/>
    <xf numFmtId="170" fontId="13" fillId="5" borderId="31" xfId="3" applyNumberFormat="1" applyFont="1" applyFill="1" applyBorder="1"/>
    <xf numFmtId="0" fontId="13" fillId="0" borderId="27" xfId="3" applyFont="1" applyBorder="1"/>
    <xf numFmtId="2" fontId="13" fillId="0" borderId="7" xfId="3" applyNumberFormat="1" applyFont="1" applyBorder="1"/>
    <xf numFmtId="170" fontId="13" fillId="5" borderId="7" xfId="3" applyNumberFormat="1" applyFont="1" applyFill="1" applyBorder="1"/>
    <xf numFmtId="170" fontId="13" fillId="5" borderId="34" xfId="3" applyNumberFormat="1" applyFont="1" applyFill="1" applyBorder="1"/>
    <xf numFmtId="9" fontId="53" fillId="0" borderId="26" xfId="3" applyNumberFormat="1" applyFont="1" applyBorder="1" applyAlignment="1">
      <alignment horizontal="center"/>
    </xf>
    <xf numFmtId="2" fontId="13" fillId="0" borderId="36" xfId="3" applyNumberFormat="1" applyFont="1" applyBorder="1"/>
    <xf numFmtId="0" fontId="13" fillId="0" borderId="37" xfId="3" applyFont="1" applyBorder="1"/>
    <xf numFmtId="9" fontId="53" fillId="0" borderId="37" xfId="3" applyNumberFormat="1" applyFont="1" applyBorder="1" applyAlignment="1">
      <alignment horizontal="center"/>
    </xf>
    <xf numFmtId="9" fontId="13" fillId="0" borderId="27" xfId="3" applyNumberFormat="1" applyFont="1" applyBorder="1"/>
    <xf numFmtId="9" fontId="53" fillId="0" borderId="27" xfId="3" applyNumberFormat="1" applyFont="1" applyBorder="1" applyAlignment="1">
      <alignment horizontal="center"/>
    </xf>
    <xf numFmtId="9" fontId="53" fillId="0" borderId="38" xfId="3" applyNumberFormat="1" applyFont="1" applyBorder="1" applyAlignment="1">
      <alignment horizontal="center"/>
    </xf>
    <xf numFmtId="0" fontId="13" fillId="5" borderId="23" xfId="3" applyFont="1" applyFill="1" applyBorder="1"/>
    <xf numFmtId="0" fontId="13" fillId="5" borderId="24" xfId="3" applyFont="1" applyFill="1" applyBorder="1"/>
    <xf numFmtId="10" fontId="13" fillId="5" borderId="24" xfId="3" applyNumberFormat="1" applyFont="1" applyFill="1" applyBorder="1"/>
    <xf numFmtId="10" fontId="13" fillId="5" borderId="25" xfId="3" applyNumberFormat="1" applyFont="1" applyFill="1" applyBorder="1"/>
    <xf numFmtId="0" fontId="13" fillId="5" borderId="26" xfId="3" applyFont="1" applyFill="1" applyBorder="1"/>
    <xf numFmtId="170" fontId="13" fillId="5" borderId="26" xfId="3" applyNumberFormat="1" applyFont="1" applyFill="1" applyBorder="1"/>
    <xf numFmtId="170" fontId="13" fillId="5" borderId="27" xfId="3" applyNumberFormat="1" applyFont="1" applyFill="1" applyBorder="1"/>
    <xf numFmtId="0" fontId="15" fillId="9" borderId="23" xfId="3" applyFont="1" applyFill="1" applyBorder="1" applyAlignment="1">
      <alignment horizontal="left"/>
    </xf>
    <xf numFmtId="0" fontId="13" fillId="8" borderId="26" xfId="3" applyFont="1" applyFill="1" applyBorder="1" applyAlignment="1">
      <alignment horizontal="left"/>
    </xf>
    <xf numFmtId="167" fontId="13" fillId="8" borderId="31" xfId="5" applyNumberFormat="1" applyFont="1" applyFill="1" applyBorder="1" applyAlignment="1">
      <alignment horizontal="center"/>
    </xf>
    <xf numFmtId="0" fontId="14" fillId="8" borderId="26" xfId="3" applyFont="1" applyFill="1" applyBorder="1" applyAlignment="1">
      <alignment horizontal="left"/>
    </xf>
    <xf numFmtId="167" fontId="14" fillId="8" borderId="31" xfId="5" applyNumberFormat="1" applyFont="1" applyFill="1" applyBorder="1" applyAlignment="1">
      <alignment horizontal="center"/>
    </xf>
    <xf numFmtId="0" fontId="14" fillId="8" borderId="27" xfId="3" applyFont="1" applyFill="1" applyBorder="1" applyAlignment="1">
      <alignment horizontal="left"/>
    </xf>
    <xf numFmtId="167" fontId="14" fillId="8" borderId="7" xfId="5" applyNumberFormat="1" applyFont="1" applyFill="1" applyBorder="1" applyAlignment="1">
      <alignment horizontal="center"/>
    </xf>
    <xf numFmtId="167" fontId="14" fillId="8" borderId="34" xfId="5" applyNumberFormat="1" applyFont="1" applyFill="1" applyBorder="1" applyAlignment="1">
      <alignment horizontal="center"/>
    </xf>
    <xf numFmtId="10" fontId="0" fillId="0" borderId="35" xfId="0" applyNumberFormat="1" applyBorder="1"/>
    <xf numFmtId="9" fontId="0" fillId="0" borderId="35" xfId="0" applyNumberFormat="1" applyBorder="1"/>
    <xf numFmtId="43" fontId="0" fillId="0" borderId="35" xfId="0" applyNumberFormat="1" applyBorder="1"/>
    <xf numFmtId="1" fontId="0" fillId="0" borderId="35" xfId="0" applyNumberFormat="1" applyBorder="1"/>
    <xf numFmtId="17" fontId="15" fillId="6" borderId="35" xfId="0" applyNumberFormat="1" applyFont="1" applyFill="1" applyBorder="1"/>
    <xf numFmtId="0" fontId="22" fillId="0" borderId="28" xfId="0" applyFont="1" applyBorder="1"/>
    <xf numFmtId="0" fontId="22" fillId="0" borderId="34" xfId="0" applyFont="1" applyBorder="1"/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2" fillId="0" borderId="0" xfId="0" applyFont="1" applyAlignment="1">
      <alignment horizontal="center"/>
    </xf>
    <xf numFmtId="9" fontId="22" fillId="0" borderId="0" xfId="2" applyFont="1" applyAlignment="1">
      <alignment horizontal="center"/>
    </xf>
    <xf numFmtId="169" fontId="0" fillId="0" borderId="0" xfId="2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0" fontId="54" fillId="0" borderId="0" xfId="0" applyFont="1" applyAlignment="1">
      <alignment horizontal="center"/>
    </xf>
    <xf numFmtId="0" fontId="15" fillId="6" borderId="4" xfId="0" applyFont="1" applyFill="1" applyBorder="1"/>
    <xf numFmtId="0" fontId="15" fillId="6" borderId="6" xfId="0" applyFont="1" applyFill="1" applyBorder="1"/>
    <xf numFmtId="0" fontId="14" fillId="0" borderId="12" xfId="0" applyFont="1" applyBorder="1"/>
    <xf numFmtId="43" fontId="13" fillId="0" borderId="13" xfId="5" applyFont="1" applyBorder="1"/>
    <xf numFmtId="0" fontId="13" fillId="0" borderId="12" xfId="0" applyFont="1" applyBorder="1"/>
    <xf numFmtId="170" fontId="13" fillId="0" borderId="13" xfId="0" applyNumberFormat="1" applyFont="1" applyBorder="1"/>
    <xf numFmtId="171" fontId="14" fillId="0" borderId="13" xfId="10" applyNumberFormat="1" applyFont="1" applyBorder="1"/>
    <xf numFmtId="0" fontId="14" fillId="0" borderId="14" xfId="0" applyFont="1" applyBorder="1"/>
    <xf numFmtId="171" fontId="14" fillId="0" borderId="16" xfId="10" applyNumberFormat="1" applyFont="1" applyBorder="1"/>
    <xf numFmtId="2" fontId="13" fillId="0" borderId="13" xfId="0" applyNumberFormat="1" applyFont="1" applyBorder="1"/>
    <xf numFmtId="0" fontId="14" fillId="0" borderId="35" xfId="0" applyFont="1" applyBorder="1"/>
    <xf numFmtId="0" fontId="20" fillId="16" borderId="0" xfId="6" applyFont="1" applyFill="1"/>
    <xf numFmtId="0" fontId="19" fillId="16" borderId="0" xfId="6" applyFill="1"/>
    <xf numFmtId="0" fontId="13" fillId="16" borderId="0" xfId="0" applyFont="1" applyFill="1"/>
    <xf numFmtId="0" fontId="45" fillId="16" borderId="0" xfId="0" applyFont="1" applyFill="1"/>
    <xf numFmtId="0" fontId="19" fillId="16" borderId="0" xfId="6" quotePrefix="1" applyFill="1"/>
    <xf numFmtId="0" fontId="0" fillId="7" borderId="0" xfId="0" applyFill="1" applyBorder="1"/>
    <xf numFmtId="9" fontId="0" fillId="0" borderId="0" xfId="0" applyNumberFormat="1" applyBorder="1"/>
    <xf numFmtId="0" fontId="0" fillId="0" borderId="41" xfId="0" applyBorder="1"/>
    <xf numFmtId="0" fontId="0" fillId="0" borderId="34" xfId="0" applyBorder="1"/>
    <xf numFmtId="0" fontId="22" fillId="7" borderId="0" xfId="0" applyFont="1" applyFill="1" applyBorder="1"/>
    <xf numFmtId="0" fontId="0" fillId="0" borderId="31" xfId="0" applyBorder="1" applyAlignment="1"/>
    <xf numFmtId="10" fontId="11" fillId="0" borderId="0" xfId="2" applyNumberFormat="1" applyFont="1" applyBorder="1"/>
    <xf numFmtId="167" fontId="0" fillId="0" borderId="0" xfId="0" applyNumberFormat="1" applyBorder="1"/>
    <xf numFmtId="168" fontId="0" fillId="7" borderId="0" xfId="1" applyNumberFormat="1" applyFont="1" applyFill="1" applyBorder="1"/>
    <xf numFmtId="0" fontId="0" fillId="0" borderId="26" xfId="0" applyBorder="1" applyAlignment="1">
      <alignment vertical="center" wrapText="1"/>
    </xf>
    <xf numFmtId="1" fontId="0" fillId="7" borderId="0" xfId="0" applyNumberFormat="1" applyFill="1" applyBorder="1"/>
    <xf numFmtId="169" fontId="0" fillId="0" borderId="7" xfId="2" applyNumberFormat="1" applyFont="1" applyBorder="1"/>
    <xf numFmtId="9" fontId="49" fillId="7" borderId="7" xfId="0" applyNumberFormat="1" applyFont="1" applyFill="1" applyBorder="1"/>
    <xf numFmtId="10" fontId="0" fillId="0" borderId="7" xfId="2" applyNumberFormat="1" applyFont="1" applyBorder="1"/>
    <xf numFmtId="10" fontId="50" fillId="14" borderId="7" xfId="0" applyNumberFormat="1" applyFont="1" applyFill="1" applyBorder="1" applyAlignment="1">
      <alignment horizontal="center"/>
    </xf>
    <xf numFmtId="10" fontId="50" fillId="14" borderId="34" xfId="0" applyNumberFormat="1" applyFont="1" applyFill="1" applyBorder="1" applyAlignment="1">
      <alignment horizontal="center"/>
    </xf>
    <xf numFmtId="169" fontId="56" fillId="0" borderId="31" xfId="2" applyNumberFormat="1" applyFont="1" applyBorder="1" applyAlignment="1">
      <alignment horizontal="center" vertical="center" shrinkToFit="1"/>
    </xf>
    <xf numFmtId="9" fontId="56" fillId="0" borderId="31" xfId="0" applyNumberFormat="1" applyFont="1" applyBorder="1" applyAlignment="1">
      <alignment horizontal="center" vertical="center"/>
    </xf>
    <xf numFmtId="0" fontId="56" fillId="0" borderId="31" xfId="0" applyFont="1" applyBorder="1" applyAlignment="1">
      <alignment horizontal="center" vertical="center"/>
    </xf>
    <xf numFmtId="17" fontId="56" fillId="0" borderId="31" xfId="0" applyNumberFormat="1" applyFont="1" applyBorder="1" applyAlignment="1">
      <alignment horizontal="center" vertical="center"/>
    </xf>
    <xf numFmtId="9" fontId="56" fillId="0" borderId="34" xfId="0" applyNumberFormat="1" applyFont="1" applyBorder="1" applyAlignment="1">
      <alignment horizontal="center" vertical="center"/>
    </xf>
    <xf numFmtId="0" fontId="31" fillId="0" borderId="0" xfId="0" applyFont="1"/>
    <xf numFmtId="0" fontId="13" fillId="8" borderId="26" xfId="3" applyFont="1" applyFill="1" applyBorder="1" applyAlignment="1">
      <alignment horizontal="center"/>
    </xf>
    <xf numFmtId="10" fontId="13" fillId="8" borderId="31" xfId="3" applyNumberFormat="1" applyFont="1" applyFill="1" applyBorder="1" applyAlignment="1">
      <alignment horizontal="right"/>
    </xf>
    <xf numFmtId="2" fontId="13" fillId="8" borderId="31" xfId="3" applyNumberFormat="1" applyFont="1" applyFill="1" applyBorder="1" applyAlignment="1">
      <alignment horizontal="right"/>
    </xf>
    <xf numFmtId="0" fontId="14" fillId="8" borderId="26" xfId="3" applyFont="1" applyFill="1" applyBorder="1" applyAlignment="1">
      <alignment horizontal="center"/>
    </xf>
    <xf numFmtId="10" fontId="14" fillId="8" borderId="31" xfId="4" applyNumberFormat="1" applyFont="1" applyFill="1" applyBorder="1" applyAlignment="1">
      <alignment horizontal="right"/>
    </xf>
    <xf numFmtId="167" fontId="13" fillId="8" borderId="31" xfId="5" applyNumberFormat="1" applyFont="1" applyFill="1" applyBorder="1" applyAlignment="1">
      <alignment horizontal="right"/>
    </xf>
    <xf numFmtId="167" fontId="13" fillId="8" borderId="31" xfId="1" applyNumberFormat="1" applyFont="1" applyFill="1" applyBorder="1"/>
    <xf numFmtId="167" fontId="14" fillId="8" borderId="31" xfId="5" applyNumberFormat="1" applyFont="1" applyFill="1" applyBorder="1" applyAlignment="1">
      <alignment horizontal="right"/>
    </xf>
    <xf numFmtId="10" fontId="13" fillId="8" borderId="31" xfId="4" applyNumberFormat="1" applyFont="1" applyFill="1" applyBorder="1" applyAlignment="1">
      <alignment horizontal="right"/>
    </xf>
    <xf numFmtId="0" fontId="14" fillId="8" borderId="27" xfId="3" applyFont="1" applyFill="1" applyBorder="1" applyAlignment="1">
      <alignment horizontal="center"/>
    </xf>
    <xf numFmtId="10" fontId="14" fillId="8" borderId="34" xfId="4" applyNumberFormat="1" applyFont="1" applyFill="1" applyBorder="1" applyAlignment="1">
      <alignment horizontal="right"/>
    </xf>
    <xf numFmtId="171" fontId="0" fillId="0" borderId="30" xfId="0" applyNumberFormat="1" applyBorder="1"/>
    <xf numFmtId="167" fontId="0" fillId="0" borderId="0" xfId="1" applyNumberFormat="1" applyFont="1" applyBorder="1" applyAlignment="1">
      <alignment horizontal="center" vertical="center"/>
    </xf>
    <xf numFmtId="167" fontId="0" fillId="7" borderId="0" xfId="1" applyNumberFormat="1" applyFont="1" applyFill="1" applyBorder="1" applyAlignment="1">
      <alignment horizontal="right"/>
    </xf>
    <xf numFmtId="0" fontId="0" fillId="7" borderId="31" xfId="0" applyFill="1" applyBorder="1"/>
    <xf numFmtId="167" fontId="0" fillId="7" borderId="31" xfId="1" applyNumberFormat="1" applyFont="1" applyFill="1" applyBorder="1" applyAlignment="1">
      <alignment horizontal="right"/>
    </xf>
    <xf numFmtId="0" fontId="22" fillId="7" borderId="31" xfId="0" applyFont="1" applyFill="1" applyBorder="1"/>
    <xf numFmtId="167" fontId="0" fillId="0" borderId="31" xfId="0" applyNumberFormat="1" applyBorder="1"/>
    <xf numFmtId="168" fontId="0" fillId="7" borderId="31" xfId="1" applyNumberFormat="1" applyFont="1" applyFill="1" applyBorder="1"/>
    <xf numFmtId="9" fontId="49" fillId="7" borderId="31" xfId="0" applyNumberFormat="1" applyFont="1" applyFill="1" applyBorder="1" applyAlignment="1">
      <alignment vertical="center" wrapText="1"/>
    </xf>
    <xf numFmtId="1" fontId="0" fillId="7" borderId="31" xfId="0" applyNumberFormat="1" applyFill="1" applyBorder="1"/>
    <xf numFmtId="9" fontId="49" fillId="7" borderId="34" xfId="0" applyNumberFormat="1" applyFont="1" applyFill="1" applyBorder="1"/>
    <xf numFmtId="0" fontId="14" fillId="8" borderId="26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22" fillId="0" borderId="26" xfId="0" applyFont="1" applyBorder="1" applyAlignment="1">
      <alignment horizontal="center"/>
    </xf>
    <xf numFmtId="0" fontId="0" fillId="0" borderId="27" xfId="0" applyBorder="1" applyAlignment="1">
      <alignment horizontal="center"/>
    </xf>
    <xf numFmtId="172" fontId="0" fillId="0" borderId="35" xfId="0" applyNumberFormat="1" applyBorder="1"/>
    <xf numFmtId="172" fontId="0" fillId="8" borderId="35" xfId="0" applyNumberFormat="1" applyFill="1" applyBorder="1"/>
    <xf numFmtId="0" fontId="14" fillId="8" borderId="35" xfId="0" applyFont="1" applyFill="1" applyBorder="1" applyAlignment="1">
      <alignment horizontal="left" vertical="top"/>
    </xf>
    <xf numFmtId="43" fontId="14" fillId="8" borderId="35" xfId="5" applyFont="1" applyFill="1" applyBorder="1" applyAlignment="1">
      <alignment horizontal="center"/>
    </xf>
    <xf numFmtId="0" fontId="51" fillId="6" borderId="22" xfId="0" applyFont="1" applyFill="1" applyBorder="1" applyAlignment="1">
      <alignment vertical="top"/>
    </xf>
    <xf numFmtId="43" fontId="0" fillId="0" borderId="35" xfId="1" applyFont="1" applyBorder="1"/>
    <xf numFmtId="9" fontId="0" fillId="0" borderId="35" xfId="2" applyFont="1" applyBorder="1"/>
    <xf numFmtId="167" fontId="0" fillId="0" borderId="31" xfId="1" applyNumberFormat="1" applyFont="1" applyBorder="1"/>
    <xf numFmtId="167" fontId="50" fillId="14" borderId="0" xfId="1" applyNumberFormat="1" applyFont="1" applyFill="1" applyBorder="1" applyAlignment="1">
      <alignment horizontal="center"/>
    </xf>
    <xf numFmtId="167" fontId="50" fillId="14" borderId="31" xfId="1" applyNumberFormat="1" applyFont="1" applyFill="1" applyBorder="1" applyAlignment="1">
      <alignment horizontal="center"/>
    </xf>
    <xf numFmtId="167" fontId="0" fillId="14" borderId="0" xfId="1" applyNumberFormat="1" applyFont="1" applyFill="1" applyBorder="1"/>
    <xf numFmtId="167" fontId="22" fillId="0" borderId="31" xfId="1" applyNumberFormat="1" applyFont="1" applyBorder="1"/>
    <xf numFmtId="167" fontId="0" fillId="14" borderId="7" xfId="1" applyNumberFormat="1" applyFont="1" applyFill="1" applyBorder="1"/>
    <xf numFmtId="167" fontId="22" fillId="0" borderId="34" xfId="1" applyNumberFormat="1" applyFont="1" applyBorder="1"/>
    <xf numFmtId="167" fontId="0" fillId="0" borderId="35" xfId="1" applyNumberFormat="1" applyFont="1" applyBorder="1"/>
    <xf numFmtId="168" fontId="0" fillId="0" borderId="35" xfId="1" applyNumberFormat="1" applyFont="1" applyBorder="1"/>
    <xf numFmtId="167" fontId="4" fillId="0" borderId="35" xfId="1" applyNumberFormat="1" applyFont="1" applyBorder="1" applyAlignment="1">
      <alignment horizontal="right" vertical="center" wrapText="1"/>
    </xf>
    <xf numFmtId="3" fontId="0" fillId="0" borderId="35" xfId="0" applyNumberFormat="1" applyBorder="1"/>
    <xf numFmtId="3" fontId="22" fillId="0" borderId="35" xfId="0" applyNumberFormat="1" applyFont="1" applyBorder="1"/>
    <xf numFmtId="167" fontId="0" fillId="14" borderId="31" xfId="1" applyNumberFormat="1" applyFont="1" applyFill="1" applyBorder="1"/>
    <xf numFmtId="2" fontId="0" fillId="0" borderId="35" xfId="0" applyNumberFormat="1" applyBorder="1"/>
    <xf numFmtId="0" fontId="22" fillId="0" borderId="11" xfId="0" applyFont="1" applyBorder="1"/>
    <xf numFmtId="43" fontId="0" fillId="0" borderId="0" xfId="0" applyNumberFormat="1"/>
    <xf numFmtId="0" fontId="22" fillId="4" borderId="0" xfId="0" applyFont="1" applyFill="1"/>
    <xf numFmtId="0" fontId="14" fillId="8" borderId="11" xfId="0" applyFont="1" applyFill="1" applyBorder="1"/>
    <xf numFmtId="0" fontId="14" fillId="4" borderId="11" xfId="0" applyFont="1" applyFill="1" applyBorder="1"/>
    <xf numFmtId="0" fontId="45" fillId="17" borderId="11" xfId="0" applyFont="1" applyFill="1" applyBorder="1"/>
    <xf numFmtId="164" fontId="4" fillId="0" borderId="3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5" fillId="15" borderId="0" xfId="0" applyFont="1" applyFill="1" applyAlignment="1">
      <alignment horizontal="center" vertical="center"/>
    </xf>
    <xf numFmtId="169" fontId="49" fillId="7" borderId="0" xfId="2" applyNumberFormat="1" applyFont="1" applyFill="1" applyBorder="1" applyAlignment="1">
      <alignment horizontal="center" vertical="center" wrapText="1"/>
    </xf>
    <xf numFmtId="169" fontId="49" fillId="7" borderId="31" xfId="2" applyNumberFormat="1" applyFont="1" applyFill="1" applyBorder="1" applyAlignment="1">
      <alignment horizontal="center" vertical="center" wrapText="1"/>
    </xf>
    <xf numFmtId="0" fontId="0" fillId="0" borderId="26" xfId="0" applyBorder="1" applyAlignment="1">
      <alignment vertical="center" wrapText="1"/>
    </xf>
    <xf numFmtId="169" fontId="0" fillId="0" borderId="0" xfId="2" applyNumberFormat="1" applyFont="1" applyBorder="1" applyAlignment="1">
      <alignment vertical="center" wrapText="1"/>
    </xf>
    <xf numFmtId="0" fontId="44" fillId="8" borderId="4" xfId="0" applyFont="1" applyFill="1" applyBorder="1" applyAlignment="1">
      <alignment horizontal="center"/>
    </xf>
    <xf numFmtId="0" fontId="44" fillId="8" borderId="5" xfId="0" applyFont="1" applyFill="1" applyBorder="1" applyAlignment="1">
      <alignment horizontal="center"/>
    </xf>
    <xf numFmtId="0" fontId="44" fillId="8" borderId="6" xfId="0" applyFont="1" applyFill="1" applyBorder="1" applyAlignment="1">
      <alignment horizontal="center"/>
    </xf>
    <xf numFmtId="0" fontId="29" fillId="6" borderId="0" xfId="3" applyFont="1" applyFill="1" applyAlignment="1">
      <alignment horizontal="left" vertical="center"/>
    </xf>
    <xf numFmtId="0" fontId="33" fillId="8" borderId="0" xfId="3" applyFont="1" applyFill="1" applyAlignment="1">
      <alignment horizontal="left"/>
    </xf>
    <xf numFmtId="0" fontId="51" fillId="6" borderId="11" xfId="0" applyFont="1" applyFill="1" applyBorder="1" applyAlignment="1">
      <alignment horizontal="center" vertical="top"/>
    </xf>
    <xf numFmtId="0" fontId="15" fillId="6" borderId="11" xfId="3" applyFont="1" applyFill="1" applyBorder="1"/>
    <xf numFmtId="0" fontId="15" fillId="6" borderId="6" xfId="3" applyFont="1" applyFill="1" applyBorder="1" applyAlignment="1">
      <alignment horizontal="center" vertical="center" textRotation="90" wrapText="1"/>
    </xf>
    <xf numFmtId="0" fontId="15" fillId="6" borderId="13" xfId="3" applyFont="1" applyFill="1" applyBorder="1" applyAlignment="1">
      <alignment horizontal="center" vertical="center" textRotation="90" wrapText="1"/>
    </xf>
    <xf numFmtId="0" fontId="15" fillId="9" borderId="23" xfId="3" applyFont="1" applyFill="1" applyBorder="1" applyAlignment="1">
      <alignment horizontal="center"/>
    </xf>
    <xf numFmtId="0" fontId="15" fillId="9" borderId="25" xfId="3" applyFont="1" applyFill="1" applyBorder="1" applyAlignment="1">
      <alignment horizontal="center"/>
    </xf>
    <xf numFmtId="0" fontId="46" fillId="13" borderId="0" xfId="0" applyFont="1" applyFill="1" applyAlignment="1">
      <alignment horizontal="center" vertical="top" wrapText="1"/>
    </xf>
    <xf numFmtId="0" fontId="25" fillId="13" borderId="0" xfId="0" applyFont="1" applyFill="1" applyAlignment="1">
      <alignment horizontal="center" vertical="top" wrapText="1"/>
    </xf>
    <xf numFmtId="0" fontId="15" fillId="6" borderId="11" xfId="3" applyFont="1" applyFill="1" applyBorder="1" applyAlignment="1">
      <alignment horizontal="center" vertical="center" textRotation="90" wrapText="1"/>
    </xf>
    <xf numFmtId="0" fontId="39" fillId="11" borderId="0" xfId="3" applyFont="1" applyFill="1" applyAlignment="1">
      <alignment horizontal="center" vertical="center" wrapText="1" readingOrder="1"/>
    </xf>
    <xf numFmtId="0" fontId="51" fillId="6" borderId="35" xfId="0" applyFont="1" applyFill="1" applyBorder="1" applyAlignment="1">
      <alignment horizontal="center" vertical="top"/>
    </xf>
  </cellXfs>
  <cellStyles count="14">
    <cellStyle name="blp_column_header" xfId="12" xr:uid="{31DF2AD1-41FF-864E-A158-7B6C8299A838}"/>
    <cellStyle name="Comma" xfId="1" builtinId="3"/>
    <cellStyle name="Comma 2" xfId="5" xr:uid="{C4A24CA2-ECF6-D349-B5B9-D06DEFBEA621}"/>
    <cellStyle name="Comma 2 5" xfId="10" xr:uid="{3D860F62-4B27-A846-8838-062B792EB0EF}"/>
    <cellStyle name="Comma 3" xfId="11" xr:uid="{12B8836E-30F5-0C4F-9372-0BD61AF57222}"/>
    <cellStyle name="Hyperlink" xfId="6" builtinId="8"/>
    <cellStyle name="Hyperlink 2" xfId="8" xr:uid="{40900D1D-D564-4048-840F-4578A462D8AB}"/>
    <cellStyle name="Hyperlink 3" xfId="9" xr:uid="{6802CDFB-2A12-174D-A829-B00667D02855}"/>
    <cellStyle name="Normal" xfId="0" builtinId="0"/>
    <cellStyle name="Normal 155 2 2" xfId="13" xr:uid="{E0316FB3-386C-7E46-8B81-50DFA7359A5F}"/>
    <cellStyle name="Normal 2" xfId="3" xr:uid="{8588AE39-6DC4-7F41-A56A-91691D26A60F}"/>
    <cellStyle name="Normal 3" xfId="7" xr:uid="{D6792C27-411E-2C43-AD83-70DCF8092E2A}"/>
    <cellStyle name="Per cent 2" xfId="4" xr:uid="{BFAC8C81-B446-1243-A024-34F1A980171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DDM!$B$28</c:f>
              <c:strCache>
                <c:ptCount val="1"/>
                <c:pt idx="0">
                  <c:v>EPS</c:v>
                </c:pt>
              </c:strCache>
            </c:strRef>
          </c:tx>
          <c:spPr>
            <a:solidFill>
              <a:srgbClr val="0026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DDM!$C$27:$H$27</c:f>
              <c:numCache>
                <c:formatCode>General</c:formatCode>
                <c:ptCount val="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</c:numCache>
            </c:numRef>
          </c:cat>
          <c:val>
            <c:numRef>
              <c:f>DDM!$C$28:$H$28</c:f>
              <c:numCache>
                <c:formatCode>0.00</c:formatCode>
                <c:ptCount val="6"/>
                <c:pt idx="0">
                  <c:v>34.546807191568504</c:v>
                </c:pt>
                <c:pt idx="1">
                  <c:v>59.637858704794972</c:v>
                </c:pt>
                <c:pt idx="2">
                  <c:v>65.910703623657696</c:v>
                </c:pt>
                <c:pt idx="3">
                  <c:v>73.591742009693078</c:v>
                </c:pt>
                <c:pt idx="4">
                  <c:v>82.215986664030325</c:v>
                </c:pt>
                <c:pt idx="5">
                  <c:v>91.880054745218857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E-BE4F-94EA-19F91D63B65E}"/>
            </c:ext>
          </c:extLst>
        </c:ser>
        <c:ser>
          <c:idx val="1"/>
          <c:order val="1"/>
          <c:tx>
            <c:strRef>
              <c:f>DDM!$B$29</c:f>
              <c:strCache>
                <c:ptCount val="1"/>
                <c:pt idx="0">
                  <c:v>DPS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DDM!$C$27:$H$27</c:f>
              <c:numCache>
                <c:formatCode>General</c:formatCode>
                <c:ptCount val="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</c:numCache>
            </c:numRef>
          </c:cat>
          <c:val>
            <c:numRef>
              <c:f>DDM!$C$29:$H$29</c:f>
              <c:numCache>
                <c:formatCode>0.00</c:formatCode>
                <c:ptCount val="6"/>
                <c:pt idx="0">
                  <c:v>22.496880843149409</c:v>
                </c:pt>
                <c:pt idx="1">
                  <c:v>29.818929352397486</c:v>
                </c:pt>
                <c:pt idx="2">
                  <c:v>32.955351811828848</c:v>
                </c:pt>
                <c:pt idx="3">
                  <c:v>36.795871004846539</c:v>
                </c:pt>
                <c:pt idx="4">
                  <c:v>41.107993332015162</c:v>
                </c:pt>
                <c:pt idx="5">
                  <c:v>45.940027372609428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2E-BE4F-94EA-19F91D63B65E}"/>
            </c:ext>
          </c:extLst>
        </c:ser>
        <c:ser>
          <c:idx val="2"/>
          <c:order val="2"/>
          <c:tx>
            <c:strRef>
              <c:f>DDM!$B$30</c:f>
              <c:strCache>
                <c:ptCount val="1"/>
                <c:pt idx="0">
                  <c:v>Discounted DPS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DDM!$C$27:$H$27</c:f>
              <c:numCache>
                <c:formatCode>General</c:formatCode>
                <c:ptCount val="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</c:numCache>
            </c:numRef>
          </c:cat>
          <c:val>
            <c:numRef>
              <c:f>DDM!$C$30:$H$30</c:f>
              <c:numCache>
                <c:formatCode>_ * #,##0.00_ ;_ * \-#,##0.00_ ;_ * "-"??_ ;_ @_ </c:formatCode>
                <c:ptCount val="6"/>
                <c:pt idx="0">
                  <c:v>0</c:v>
                </c:pt>
                <c:pt idx="1">
                  <c:v>26.73136489585011</c:v>
                </c:pt>
                <c:pt idx="2">
                  <c:v>26.484033507872404</c:v>
                </c:pt>
                <c:pt idx="3">
                  <c:v>26.508573166270992</c:v>
                </c:pt>
                <c:pt idx="4">
                  <c:v>26.548661501587002</c:v>
                </c:pt>
                <c:pt idx="5">
                  <c:v>26.597247257026957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2E-BE4F-94EA-19F91D63B6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7293919"/>
        <c:axId val="1447285183"/>
      </c:barChart>
      <c:catAx>
        <c:axId val="1447293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285183"/>
        <c:crosses val="autoZero"/>
        <c:auto val="1"/>
        <c:lblAlgn val="ctr"/>
        <c:lblOffset val="100"/>
        <c:noMultiLvlLbl val="0"/>
      </c:catAx>
      <c:valAx>
        <c:axId val="1447285183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293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'Price projection'!$C$17</c:f>
              <c:strCache>
                <c:ptCount val="1"/>
                <c:pt idx="0">
                  <c:v>Lower bound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6666666666666614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9E4-994F-99E4-CC55F885E9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'Price projection'!$B$18:$B$21</c:f>
              <c:strCache>
                <c:ptCount val="4"/>
                <c:pt idx="0">
                  <c:v>DCF</c:v>
                </c:pt>
                <c:pt idx="1">
                  <c:v>DDM</c:v>
                </c:pt>
                <c:pt idx="2">
                  <c:v>Residual Income</c:v>
                </c:pt>
                <c:pt idx="3">
                  <c:v>Relative valuation</c:v>
                </c:pt>
              </c:strCache>
            </c:strRef>
          </c:cat>
          <c:val>
            <c:numRef>
              <c:f>'Price projection'!$C$18:$C$21</c:f>
              <c:numCache>
                <c:formatCode>_(* #,##0_);_(* \(#,##0\);_(* "-"??_);_(@_)</c:formatCode>
                <c:ptCount val="4"/>
                <c:pt idx="0">
                  <c:v>1088.586750416956</c:v>
                </c:pt>
                <c:pt idx="1">
                  <c:v>361.105017753075</c:v>
                </c:pt>
                <c:pt idx="2">
                  <c:v>457.97807796367721</c:v>
                </c:pt>
                <c:pt idx="3">
                  <c:v>269.42182669897045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E4-994F-99E4-CC55F885E965}"/>
            </c:ext>
          </c:extLst>
        </c:ser>
        <c:ser>
          <c:idx val="1"/>
          <c:order val="1"/>
          <c:tx>
            <c:strRef>
              <c:f>'Price projection'!$D$17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'Price projection'!$B$18:$B$21</c:f>
              <c:strCache>
                <c:ptCount val="4"/>
                <c:pt idx="0">
                  <c:v>DCF</c:v>
                </c:pt>
                <c:pt idx="1">
                  <c:v>DDM</c:v>
                </c:pt>
                <c:pt idx="2">
                  <c:v>Residual Income</c:v>
                </c:pt>
                <c:pt idx="3">
                  <c:v>Relative valuation</c:v>
                </c:pt>
              </c:strCache>
            </c:strRef>
          </c:cat>
          <c:val>
            <c:numRef>
              <c:f>'Price projection'!$D$18:$D$21</c:f>
              <c:numCache>
                <c:formatCode>_(* #,##0_);_(* \(#,##0\);_(* "-"??_);_(@_)</c:formatCode>
                <c:ptCount val="4"/>
                <c:pt idx="0">
                  <c:v>1868.0790690454733</c:v>
                </c:pt>
                <c:pt idx="1">
                  <c:v>1607.3616856347462</c:v>
                </c:pt>
                <c:pt idx="2">
                  <c:v>892.95886134828584</c:v>
                </c:pt>
                <c:pt idx="3">
                  <c:v>746.27470147904762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E4-994F-99E4-CC55F885E965}"/>
            </c:ext>
          </c:extLst>
        </c:ser>
        <c:ser>
          <c:idx val="2"/>
          <c:order val="2"/>
          <c:tx>
            <c:strRef>
              <c:f>'Price projection'!$E$17</c:f>
              <c:strCache>
                <c:ptCount val="1"/>
                <c:pt idx="0">
                  <c:v>Upper bound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1111111111111111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9E4-994F-99E4-CC55F885E965}"/>
                </c:ext>
              </c:extLst>
            </c:dLbl>
            <c:dLbl>
              <c:idx val="3"/>
              <c:layout>
                <c:manualLayout>
                  <c:x val="0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9E4-994F-99E4-CC55F885E9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'Price projection'!$B$18:$B$21</c:f>
              <c:strCache>
                <c:ptCount val="4"/>
                <c:pt idx="0">
                  <c:v>DCF</c:v>
                </c:pt>
                <c:pt idx="1">
                  <c:v>DDM</c:v>
                </c:pt>
                <c:pt idx="2">
                  <c:v>Residual Income</c:v>
                </c:pt>
                <c:pt idx="3">
                  <c:v>Relative valuation</c:v>
                </c:pt>
              </c:strCache>
            </c:strRef>
          </c:cat>
          <c:val>
            <c:numRef>
              <c:f>'Price projection'!$E$18:$E$21</c:f>
              <c:numCache>
                <c:formatCode>_(* #,##0_);_(* \(#,##0\);_(* "-"??_);_(@_)</c:formatCode>
                <c:ptCount val="4"/>
                <c:pt idx="0">
                  <c:v>2956.6658194624292</c:v>
                </c:pt>
                <c:pt idx="1">
                  <c:v>1968.4667033878213</c:v>
                </c:pt>
                <c:pt idx="2">
                  <c:v>1350.936939311963</c:v>
                </c:pt>
                <c:pt idx="3">
                  <c:v>1015.6965281780181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E4-994F-99E4-CC55F885E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4681439"/>
        <c:axId val="1054350031"/>
      </c:barChart>
      <c:catAx>
        <c:axId val="10546814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350031"/>
        <c:crosses val="autoZero"/>
        <c:auto val="1"/>
        <c:lblAlgn val="ctr"/>
        <c:lblOffset val="100"/>
        <c:noMultiLvlLbl val="0"/>
      </c:catAx>
      <c:valAx>
        <c:axId val="1054350031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68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76200</xdr:colOff>
      <xdr:row>3</xdr:row>
      <xdr:rowOff>99518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3DEC65-C0B0-7347-AB05-E731797542D0}"/>
            </a:ext>
          </a:extLst>
        </xdr:cNvPr>
        <xdr:cNvSpPr txBox="1"/>
      </xdr:nvSpPr>
      <xdr:spPr>
        <a:xfrm>
          <a:off x="0" y="0"/>
          <a:ext cx="9156700" cy="67101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 sz="3200">
              <a:latin typeface="Arial Black" panose="020B0A04020102020204" pitchFamily="34" charset="0"/>
              <a:cs typeface="Arial" panose="020B0604020202020204" pitchFamily="34" charset="0"/>
            </a:rPr>
            <a:t>ICICI Securities Ltd.</a:t>
          </a:r>
        </a:p>
      </xdr:txBody>
    </xdr:sp>
    <xdr:clientData/>
  </xdr:twoCellAnchor>
  <xdr:twoCellAnchor>
    <xdr:from>
      <xdr:col>1</xdr:col>
      <xdr:colOff>190500</xdr:colOff>
      <xdr:row>6</xdr:row>
      <xdr:rowOff>152400</xdr:rowOff>
    </xdr:from>
    <xdr:to>
      <xdr:col>9</xdr:col>
      <xdr:colOff>166009</xdr:colOff>
      <xdr:row>9</xdr:row>
      <xdr:rowOff>36349</xdr:rowOff>
    </xdr:to>
    <xdr:sp macro="" textlink="">
      <xdr:nvSpPr>
        <xdr:cNvPr id="4" name="TextBox 2">
          <a:extLst>
            <a:ext uri="{FF2B5EF4-FFF2-40B4-BE49-F238E27FC236}">
              <a16:creationId xmlns:a16="http://schemas.microsoft.com/office/drawing/2014/main" id="{3E36703D-575E-4B48-B9C9-8CB7805CF669}"/>
            </a:ext>
          </a:extLst>
        </xdr:cNvPr>
        <xdr:cNvSpPr txBox="1"/>
      </xdr:nvSpPr>
      <xdr:spPr>
        <a:xfrm>
          <a:off x="1016000" y="1295400"/>
          <a:ext cx="6579509" cy="45544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 sz="2400" b="1">
              <a:latin typeface="Arial" panose="020B0604020202020204" pitchFamily="34" charset="0"/>
              <a:cs typeface="Arial" panose="020B0604020202020204" pitchFamily="34" charset="0"/>
            </a:rPr>
            <a:t>Valuation Model</a:t>
          </a:r>
        </a:p>
      </xdr:txBody>
    </xdr:sp>
    <xdr:clientData/>
  </xdr:twoCellAnchor>
  <xdr:twoCellAnchor>
    <xdr:from>
      <xdr:col>1</xdr:col>
      <xdr:colOff>177800</xdr:colOff>
      <xdr:row>10</xdr:row>
      <xdr:rowOff>139700</xdr:rowOff>
    </xdr:from>
    <xdr:to>
      <xdr:col>4</xdr:col>
      <xdr:colOff>437308</xdr:colOff>
      <xdr:row>12</xdr:row>
      <xdr:rowOff>116490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797B47E-68BA-AF47-87A1-91D1133930A6}"/>
            </a:ext>
          </a:extLst>
        </xdr:cNvPr>
        <xdr:cNvSpPr txBox="1"/>
      </xdr:nvSpPr>
      <xdr:spPr>
        <a:xfrm>
          <a:off x="1003300" y="2044700"/>
          <a:ext cx="2736008" cy="357790"/>
        </a:xfrm>
        <a:prstGeom prst="rect">
          <a:avLst/>
        </a:prstGeom>
        <a:solidFill>
          <a:srgbClr val="0B509D"/>
        </a:solidFill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>
              <a:latin typeface="Arial" panose="020B0604020202020204" pitchFamily="34" charset="0"/>
              <a:cs typeface="Arial" panose="020B0604020202020204" pitchFamily="34" charset="0"/>
            </a:rPr>
            <a:t>TP: INR 920</a:t>
          </a:r>
        </a:p>
      </xdr:txBody>
    </xdr:sp>
    <xdr:clientData/>
  </xdr:twoCellAnchor>
  <xdr:twoCellAnchor>
    <xdr:from>
      <xdr:col>1</xdr:col>
      <xdr:colOff>190500</xdr:colOff>
      <xdr:row>13</xdr:row>
      <xdr:rowOff>12700</xdr:rowOff>
    </xdr:from>
    <xdr:to>
      <xdr:col>4</xdr:col>
      <xdr:colOff>450008</xdr:colOff>
      <xdr:row>14</xdr:row>
      <xdr:rowOff>179990</xdr:rowOff>
    </xdr:to>
    <xdr:sp macro="" textlink="">
      <xdr:nvSpPr>
        <xdr:cNvPr id="6" name="TextBox 7">
          <a:extLst>
            <a:ext uri="{FF2B5EF4-FFF2-40B4-BE49-F238E27FC236}">
              <a16:creationId xmlns:a16="http://schemas.microsoft.com/office/drawing/2014/main" id="{923BB5D7-2998-054B-9259-DE3A1E730D46}"/>
            </a:ext>
          </a:extLst>
        </xdr:cNvPr>
        <xdr:cNvSpPr txBox="1"/>
      </xdr:nvSpPr>
      <xdr:spPr>
        <a:xfrm>
          <a:off x="1016000" y="2489200"/>
          <a:ext cx="2736008" cy="357790"/>
        </a:xfrm>
        <a:prstGeom prst="rect">
          <a:avLst/>
        </a:prstGeom>
        <a:solidFill>
          <a:srgbClr val="0B509D"/>
        </a:solidFill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>
              <a:latin typeface="Arial" panose="020B0604020202020204" pitchFamily="34" charset="0"/>
              <a:cs typeface="Arial" panose="020B0604020202020204" pitchFamily="34" charset="0"/>
            </a:rPr>
            <a:t>CMP: INR 516</a:t>
          </a:r>
        </a:p>
      </xdr:txBody>
    </xdr:sp>
    <xdr:clientData/>
  </xdr:twoCellAnchor>
  <xdr:twoCellAnchor>
    <xdr:from>
      <xdr:col>1</xdr:col>
      <xdr:colOff>165100</xdr:colOff>
      <xdr:row>15</xdr:row>
      <xdr:rowOff>88900</xdr:rowOff>
    </xdr:from>
    <xdr:to>
      <xdr:col>4</xdr:col>
      <xdr:colOff>424608</xdr:colOff>
      <xdr:row>17</xdr:row>
      <xdr:rowOff>65690</xdr:rowOff>
    </xdr:to>
    <xdr:sp macro="" textlink="">
      <xdr:nvSpPr>
        <xdr:cNvPr id="7" name="TextBox 7">
          <a:extLst>
            <a:ext uri="{FF2B5EF4-FFF2-40B4-BE49-F238E27FC236}">
              <a16:creationId xmlns:a16="http://schemas.microsoft.com/office/drawing/2014/main" id="{9ECE5ADC-2D6E-BA4B-B26B-44D0AF527D2D}"/>
            </a:ext>
          </a:extLst>
        </xdr:cNvPr>
        <xdr:cNvSpPr txBox="1"/>
      </xdr:nvSpPr>
      <xdr:spPr>
        <a:xfrm>
          <a:off x="990600" y="2946400"/>
          <a:ext cx="2736008" cy="357790"/>
        </a:xfrm>
        <a:prstGeom prst="rect">
          <a:avLst/>
        </a:prstGeom>
        <a:solidFill>
          <a:srgbClr val="0B509D"/>
        </a:solidFill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>
              <a:latin typeface="Arial" panose="020B0604020202020204" pitchFamily="34" charset="0"/>
              <a:cs typeface="Arial" panose="020B0604020202020204" pitchFamily="34" charset="0"/>
            </a:rPr>
            <a:t>UPSIDE:</a:t>
          </a:r>
          <a:r>
            <a:rPr lang="en-IN" baseline="0">
              <a:latin typeface="Arial" panose="020B0604020202020204" pitchFamily="34" charset="0"/>
              <a:cs typeface="Arial" panose="020B0604020202020204" pitchFamily="34" charset="0"/>
            </a:rPr>
            <a:t> 78%</a:t>
          </a:r>
          <a:endParaRPr lang="en-IN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6</xdr:col>
      <xdr:colOff>0</xdr:colOff>
      <xdr:row>0</xdr:row>
      <xdr:rowOff>55908</xdr:rowOff>
    </xdr:from>
    <xdr:to>
      <xdr:col>12</xdr:col>
      <xdr:colOff>444500</xdr:colOff>
      <xdr:row>15</xdr:row>
      <xdr:rowOff>114299</xdr:rowOff>
    </xdr:to>
    <xdr:pic>
      <xdr:nvPicPr>
        <xdr:cNvPr id="8" name="Picture 7" descr="ICICI Securities Q2 PAT Up 26 To Rs 351 crore On Revenue Growth - BW  Businessworld">
          <a:extLst>
            <a:ext uri="{FF2B5EF4-FFF2-40B4-BE49-F238E27FC236}">
              <a16:creationId xmlns:a16="http://schemas.microsoft.com/office/drawing/2014/main" id="{1BCCB960-4B3F-F8DB-37D6-731757304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5908"/>
          <a:ext cx="5397500" cy="29158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573349</xdr:colOff>
      <xdr:row>17</xdr:row>
      <xdr:rowOff>85817</xdr:rowOff>
    </xdr:from>
    <xdr:to>
      <xdr:col>15</xdr:col>
      <xdr:colOff>107271</xdr:colOff>
      <xdr:row>32</xdr:row>
      <xdr:rowOff>158318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55A79F-95AA-9447-9F49-EA8AB11BE6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41671</xdr:colOff>
      <xdr:row>7</xdr:row>
      <xdr:rowOff>7359</xdr:rowOff>
    </xdr:from>
    <xdr:to>
      <xdr:col>14</xdr:col>
      <xdr:colOff>256119</xdr:colOff>
      <xdr:row>19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5AC2DFA-4968-5C45-B5BB-65835BAAF25A}"/>
            </a:ext>
          </a:extLst>
        </xdr:cNvPr>
        <xdr:cNvSpPr/>
      </xdr:nvSpPr>
      <xdr:spPr>
        <a:xfrm>
          <a:off x="9659804" y="1632959"/>
          <a:ext cx="214448" cy="230404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152400</xdr:colOff>
      <xdr:row>5</xdr:row>
      <xdr:rowOff>292100</xdr:rowOff>
    </xdr:from>
    <xdr:to>
      <xdr:col>12</xdr:col>
      <xdr:colOff>660400</xdr:colOff>
      <xdr:row>20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D10A6E-80A3-FFA8-40C6-58A58CDFC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crisil.com/mnt/winshare/Ratings/RatingList/RatingDocs/ICICISecuritiesLimited_November%2001,%202022_RR_304312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5"/>
  <sheetViews>
    <sheetView topLeftCell="A8" zoomScale="125" workbookViewId="0"/>
  </sheetViews>
  <sheetFormatPr defaultColWidth="8.81640625" defaultRowHeight="14.5" outlineLevelRow="1" x14ac:dyDescent="0.35"/>
  <cols>
    <col min="1" max="1" width="85.6328125" customWidth="1"/>
    <col min="2" max="11" width="15.6328125" customWidth="1"/>
    <col min="2000" max="2000" width="2.36328125" customWidth="1"/>
  </cols>
  <sheetData>
    <row r="1" spans="1:11" ht="1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customHeight="1" x14ac:dyDescent="0.35">
      <c r="A2" s="3" t="s">
        <v>1</v>
      </c>
      <c r="B2" s="4" t="s">
        <v>2</v>
      </c>
    </row>
    <row r="3" spans="1:11" x14ac:dyDescent="0.35">
      <c r="A3" s="3" t="s">
        <v>3</v>
      </c>
      <c r="B3" s="3" t="s">
        <v>4</v>
      </c>
    </row>
    <row r="4" spans="1:11" x14ac:dyDescent="0.35">
      <c r="A4" s="3" t="s">
        <v>5</v>
      </c>
      <c r="B4" s="3" t="s">
        <v>4</v>
      </c>
    </row>
    <row r="5" spans="1:11" x14ac:dyDescent="0.35">
      <c r="A5" s="3" t="s">
        <v>6</v>
      </c>
      <c r="B5" s="3" t="s">
        <v>7</v>
      </c>
    </row>
    <row r="6" spans="1:11" x14ac:dyDescent="0.35">
      <c r="A6" s="3" t="s">
        <v>8</v>
      </c>
      <c r="B6" s="3" t="s">
        <v>9</v>
      </c>
    </row>
    <row r="7" spans="1:11" x14ac:dyDescent="0.35">
      <c r="A7" s="3" t="s">
        <v>10</v>
      </c>
      <c r="B7" s="3" t="s">
        <v>11</v>
      </c>
    </row>
    <row r="8" spans="1:11" x14ac:dyDescent="0.35">
      <c r="A8" s="3" t="s">
        <v>12</v>
      </c>
      <c r="B8" s="3" t="s">
        <v>13</v>
      </c>
    </row>
    <row r="9" spans="1:11" x14ac:dyDescent="0.35">
      <c r="A9" s="3" t="s">
        <v>14</v>
      </c>
      <c r="B9" s="3" t="s">
        <v>15</v>
      </c>
    </row>
    <row r="10" spans="1:11" x14ac:dyDescent="0.35">
      <c r="A10" s="3" t="s">
        <v>16</v>
      </c>
      <c r="B10" s="5">
        <v>45076.753914270797</v>
      </c>
    </row>
    <row r="11" spans="1:11" x14ac:dyDescent="0.35">
      <c r="A11" s="6" t="s">
        <v>17</v>
      </c>
      <c r="B11" s="6"/>
      <c r="C11" s="431" t="s">
        <v>18</v>
      </c>
      <c r="D11" s="431" t="s">
        <v>19</v>
      </c>
      <c r="E11" s="431" t="s">
        <v>20</v>
      </c>
      <c r="F11" s="431" t="s">
        <v>21</v>
      </c>
      <c r="G11" s="431" t="s">
        <v>22</v>
      </c>
      <c r="H11" s="431" t="s">
        <v>23</v>
      </c>
      <c r="I11" s="431" t="s">
        <v>24</v>
      </c>
      <c r="J11" s="431" t="s">
        <v>25</v>
      </c>
      <c r="K11" s="431" t="s">
        <v>26</v>
      </c>
    </row>
    <row r="12" spans="1:11" ht="15" customHeight="1" outlineLevel="1" x14ac:dyDescent="0.35">
      <c r="A12" s="7" t="s">
        <v>27</v>
      </c>
      <c r="C12" s="430">
        <v>41729</v>
      </c>
      <c r="D12" s="430">
        <v>42094</v>
      </c>
      <c r="E12" s="430">
        <v>42460</v>
      </c>
      <c r="F12" s="430">
        <v>42825</v>
      </c>
      <c r="G12" s="430">
        <v>43190</v>
      </c>
      <c r="H12" s="430">
        <v>43555</v>
      </c>
      <c r="I12" s="430">
        <v>43921</v>
      </c>
      <c r="J12" s="430">
        <v>44286</v>
      </c>
      <c r="K12" s="430">
        <v>44651</v>
      </c>
    </row>
    <row r="13" spans="1:11" ht="15" customHeight="1" outlineLevel="1" x14ac:dyDescent="0.35">
      <c r="A13" s="7" t="s">
        <v>28</v>
      </c>
      <c r="C13" s="430" t="s">
        <v>29</v>
      </c>
      <c r="D13" s="430" t="s">
        <v>29</v>
      </c>
      <c r="E13" s="430" t="s">
        <v>29</v>
      </c>
      <c r="F13" s="430" t="s">
        <v>29</v>
      </c>
      <c r="G13" s="430" t="s">
        <v>29</v>
      </c>
      <c r="H13" s="430" t="s">
        <v>29</v>
      </c>
      <c r="I13" s="430" t="s">
        <v>29</v>
      </c>
      <c r="J13" s="430" t="s">
        <v>29</v>
      </c>
      <c r="K13" s="430" t="s">
        <v>29</v>
      </c>
    </row>
    <row r="14" spans="1:11" x14ac:dyDescent="0.35">
      <c r="A14" s="8" t="s">
        <v>30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35">
      <c r="A15" s="8" t="s">
        <v>31</v>
      </c>
      <c r="B15" s="9" t="s">
        <v>32</v>
      </c>
      <c r="C15" s="9" t="s">
        <v>33</v>
      </c>
      <c r="D15" s="9" t="s">
        <v>34</v>
      </c>
      <c r="E15" s="9" t="s">
        <v>35</v>
      </c>
      <c r="F15" s="9" t="s">
        <v>36</v>
      </c>
      <c r="G15" s="9" t="s">
        <v>37</v>
      </c>
      <c r="H15" s="9" t="s">
        <v>38</v>
      </c>
      <c r="I15" s="9" t="s">
        <v>39</v>
      </c>
      <c r="J15" s="9" t="s">
        <v>40</v>
      </c>
      <c r="K15" s="9" t="s">
        <v>41</v>
      </c>
    </row>
    <row r="16" spans="1:11" ht="15" customHeight="1" x14ac:dyDescent="0.35">
      <c r="A16" s="10" t="s">
        <v>42</v>
      </c>
      <c r="B16" s="11">
        <v>523940</v>
      </c>
      <c r="C16" s="12"/>
      <c r="D16" s="12"/>
      <c r="E16" s="12"/>
      <c r="F16" s="12"/>
      <c r="G16" s="12"/>
      <c r="H16" s="12"/>
      <c r="I16" s="12"/>
      <c r="J16" s="12"/>
      <c r="K16" s="12"/>
    </row>
    <row r="17" spans="1:11" ht="15" customHeight="1" x14ac:dyDescent="0.35">
      <c r="A17" s="13" t="s">
        <v>43</v>
      </c>
      <c r="B17" s="14"/>
      <c r="C17" s="15">
        <v>0.5</v>
      </c>
      <c r="D17" s="15">
        <v>0.5</v>
      </c>
      <c r="E17" s="15">
        <v>0.4</v>
      </c>
      <c r="F17" s="15">
        <v>0.4</v>
      </c>
      <c r="G17" s="15">
        <v>0.4</v>
      </c>
      <c r="H17" s="15">
        <v>0.4</v>
      </c>
      <c r="I17" s="15">
        <v>1.8</v>
      </c>
      <c r="J17" s="15">
        <v>1.7</v>
      </c>
      <c r="K17" s="15">
        <v>1</v>
      </c>
    </row>
    <row r="18" spans="1:11" ht="15" customHeight="1" x14ac:dyDescent="0.35">
      <c r="A18" s="13" t="s">
        <v>44</v>
      </c>
      <c r="B18" s="14"/>
      <c r="C18" s="16">
        <v>139.80000000000001</v>
      </c>
      <c r="D18" s="16">
        <v>385.5</v>
      </c>
      <c r="E18" s="16">
        <v>371.6</v>
      </c>
      <c r="F18" s="16">
        <v>277.2</v>
      </c>
      <c r="G18" s="16">
        <v>287.8</v>
      </c>
      <c r="H18" s="16">
        <v>265.10000000000002</v>
      </c>
      <c r="I18" s="16">
        <v>398.5</v>
      </c>
      <c r="J18" s="16">
        <v>664.4</v>
      </c>
      <c r="K18" s="16">
        <v>907.9</v>
      </c>
    </row>
    <row r="19" spans="1:11" ht="15" customHeight="1" x14ac:dyDescent="0.35">
      <c r="A19" s="13" t="s">
        <v>45</v>
      </c>
      <c r="B19" s="14"/>
      <c r="C19" s="15">
        <v>0.7</v>
      </c>
      <c r="D19" s="15">
        <v>0.6</v>
      </c>
      <c r="E19" s="15">
        <v>0.4</v>
      </c>
      <c r="F19" s="15">
        <v>0.4</v>
      </c>
      <c r="G19" s="15">
        <v>3.8</v>
      </c>
      <c r="H19" s="15">
        <v>2.1</v>
      </c>
      <c r="I19" s="15">
        <v>0.8</v>
      </c>
      <c r="J19" s="15">
        <v>1.5</v>
      </c>
      <c r="K19" s="15">
        <v>3.6</v>
      </c>
    </row>
    <row r="20" spans="1:11" ht="15" customHeight="1" x14ac:dyDescent="0.35">
      <c r="A20" s="13" t="s">
        <v>46</v>
      </c>
      <c r="B20" s="14"/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</row>
    <row r="21" spans="1:11" ht="15" customHeight="1" x14ac:dyDescent="0.35">
      <c r="A21" s="13" t="s">
        <v>47</v>
      </c>
      <c r="B21" s="14"/>
      <c r="C21" s="15">
        <v>74.2</v>
      </c>
      <c r="D21" s="16">
        <v>170.2</v>
      </c>
      <c r="E21" s="16">
        <v>137</v>
      </c>
      <c r="F21" s="16">
        <v>135.4</v>
      </c>
      <c r="G21" s="16">
        <v>119.7</v>
      </c>
      <c r="H21" s="16">
        <v>136.69999999999999</v>
      </c>
      <c r="I21" s="18">
        <v>-149.6</v>
      </c>
      <c r="J21" s="16">
        <v>371.9</v>
      </c>
      <c r="K21" s="16">
        <v>518.79999999999995</v>
      </c>
    </row>
    <row r="22" spans="1:11" ht="15" customHeight="1" x14ac:dyDescent="0.35">
      <c r="A22" s="13" t="s">
        <v>48</v>
      </c>
      <c r="B22" s="14"/>
      <c r="C22" s="16">
        <v>2393.1999999999998</v>
      </c>
      <c r="D22" s="16">
        <v>2412.6</v>
      </c>
      <c r="E22" s="16">
        <v>2172.8000000000002</v>
      </c>
      <c r="F22" s="16">
        <v>1272</v>
      </c>
      <c r="G22" s="16">
        <v>1399.7</v>
      </c>
      <c r="H22" s="16">
        <v>3665.4</v>
      </c>
      <c r="I22" s="16">
        <v>6527.2</v>
      </c>
      <c r="J22" s="16">
        <v>7526.7</v>
      </c>
      <c r="K22" s="16">
        <v>7478.2</v>
      </c>
    </row>
    <row r="23" spans="1:11" ht="15" customHeight="1" x14ac:dyDescent="0.35">
      <c r="A23" s="13" t="s">
        <v>49</v>
      </c>
      <c r="B23" s="14"/>
      <c r="C23" s="16">
        <v>1273.2</v>
      </c>
      <c r="D23" s="16">
        <v>1111</v>
      </c>
      <c r="E23" s="16">
        <v>1029.5999999999999</v>
      </c>
      <c r="F23" s="16">
        <v>385.9</v>
      </c>
      <c r="G23" s="16">
        <v>491.9</v>
      </c>
      <c r="H23" s="16">
        <v>2537.5</v>
      </c>
      <c r="I23" s="16">
        <v>2582</v>
      </c>
      <c r="J23" s="16">
        <v>5992.4</v>
      </c>
      <c r="K23" s="16">
        <v>5952.6</v>
      </c>
    </row>
    <row r="24" spans="1:11" ht="15" customHeight="1" x14ac:dyDescent="0.35">
      <c r="A24" s="10" t="s">
        <v>50</v>
      </c>
      <c r="B24" s="11">
        <v>523150</v>
      </c>
      <c r="C24" s="12"/>
      <c r="D24" s="12"/>
      <c r="E24" s="12"/>
      <c r="F24" s="12"/>
      <c r="G24" s="12"/>
      <c r="H24" s="12"/>
      <c r="I24" s="12"/>
      <c r="J24" s="12"/>
      <c r="K24" s="12"/>
    </row>
    <row r="25" spans="1:11" ht="15" customHeight="1" x14ac:dyDescent="0.35">
      <c r="A25" s="13" t="s">
        <v>43</v>
      </c>
      <c r="B25" s="14"/>
      <c r="C25" s="16">
        <v>127.8</v>
      </c>
      <c r="D25" s="16">
        <v>155.30000000000001</v>
      </c>
      <c r="E25" s="16">
        <v>151.80000000000001</v>
      </c>
      <c r="F25" s="16">
        <v>148.1</v>
      </c>
      <c r="G25" s="16">
        <v>146.80000000000001</v>
      </c>
      <c r="H25" s="16">
        <v>144.4</v>
      </c>
      <c r="I25" s="16">
        <v>589.5</v>
      </c>
      <c r="J25" s="16">
        <v>522.79999999999995</v>
      </c>
      <c r="K25" s="16">
        <v>613.5</v>
      </c>
    </row>
    <row r="26" spans="1:11" ht="15" customHeight="1" x14ac:dyDescent="0.35">
      <c r="A26" s="13" t="s">
        <v>44</v>
      </c>
      <c r="B26" s="14"/>
      <c r="C26" s="16">
        <v>7389.5</v>
      </c>
      <c r="D26" s="17">
        <v>11071.2</v>
      </c>
      <c r="E26" s="17">
        <v>10040.6</v>
      </c>
      <c r="F26" s="17">
        <v>12570.3</v>
      </c>
      <c r="G26" s="17">
        <v>16882.5</v>
      </c>
      <c r="H26" s="17">
        <v>15807.4</v>
      </c>
      <c r="I26" s="17">
        <v>15939.5</v>
      </c>
      <c r="J26" s="17">
        <v>23584.6</v>
      </c>
      <c r="K26" s="17">
        <v>30521.1</v>
      </c>
    </row>
    <row r="27" spans="1:11" ht="15" customHeight="1" x14ac:dyDescent="0.35">
      <c r="A27" s="13" t="s">
        <v>45</v>
      </c>
      <c r="B27" s="14"/>
      <c r="C27" s="16">
        <v>150.5</v>
      </c>
      <c r="D27" s="16">
        <v>171.4</v>
      </c>
      <c r="E27" s="16">
        <v>178.9</v>
      </c>
      <c r="F27" s="16">
        <v>148.30000000000001</v>
      </c>
      <c r="G27" s="16">
        <v>207.5</v>
      </c>
      <c r="H27" s="16">
        <v>226.1</v>
      </c>
      <c r="I27" s="16">
        <v>182.8</v>
      </c>
      <c r="J27" s="16">
        <v>391</v>
      </c>
      <c r="K27" s="16">
        <v>543.29999999999995</v>
      </c>
    </row>
    <row r="28" spans="1:11" ht="15" customHeight="1" x14ac:dyDescent="0.35">
      <c r="A28" s="13" t="s">
        <v>46</v>
      </c>
      <c r="B28" s="14"/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/>
    </row>
    <row r="29" spans="1:11" ht="15" customHeight="1" x14ac:dyDescent="0.35">
      <c r="A29" s="13" t="s">
        <v>47</v>
      </c>
      <c r="B29" s="14"/>
      <c r="C29" s="16">
        <v>1398.8</v>
      </c>
      <c r="D29" s="16">
        <v>4209.8999999999996</v>
      </c>
      <c r="E29" s="16">
        <v>3463</v>
      </c>
      <c r="F29" s="16">
        <v>4723.6000000000004</v>
      </c>
      <c r="G29" s="16">
        <v>7747.7</v>
      </c>
      <c r="H29" s="16">
        <v>6976</v>
      </c>
      <c r="I29" s="16">
        <v>7354.8</v>
      </c>
      <c r="J29" s="17">
        <v>13124</v>
      </c>
      <c r="K29" s="17">
        <v>16114.9</v>
      </c>
    </row>
    <row r="30" spans="1:11" ht="15" customHeight="1" x14ac:dyDescent="0.35">
      <c r="A30" s="13" t="s">
        <v>48</v>
      </c>
      <c r="B30" s="14"/>
      <c r="C30" s="17">
        <v>11948.1</v>
      </c>
      <c r="D30" s="16">
        <v>9811.1</v>
      </c>
      <c r="E30" s="17">
        <v>10048.700000000001</v>
      </c>
      <c r="F30" s="17">
        <v>17576.7</v>
      </c>
      <c r="G30" s="17">
        <v>25403.4</v>
      </c>
      <c r="H30" s="17">
        <v>40703.1</v>
      </c>
      <c r="I30" s="17">
        <v>35598.5</v>
      </c>
      <c r="J30" s="17">
        <v>72072.899999999994</v>
      </c>
      <c r="K30" s="17">
        <v>126665</v>
      </c>
    </row>
    <row r="31" spans="1:11" ht="15" customHeight="1" x14ac:dyDescent="0.35">
      <c r="A31" s="13" t="s">
        <v>49</v>
      </c>
      <c r="B31" s="14"/>
      <c r="C31" s="17">
        <v>11596.7</v>
      </c>
      <c r="D31" s="16">
        <v>8579.4</v>
      </c>
      <c r="E31" s="16">
        <v>8389.7999999999993</v>
      </c>
      <c r="F31" s="17">
        <v>14593.3</v>
      </c>
      <c r="G31" s="17">
        <v>19107.3</v>
      </c>
      <c r="H31" s="17">
        <v>33001.199999999997</v>
      </c>
      <c r="I31" s="17">
        <v>29239.200000000001</v>
      </c>
      <c r="J31" s="17">
        <v>57385</v>
      </c>
      <c r="K31" s="17">
        <v>105517.3</v>
      </c>
    </row>
    <row r="32" spans="1:11" ht="15" customHeight="1" x14ac:dyDescent="0.35">
      <c r="A32" s="10" t="s">
        <v>51</v>
      </c>
      <c r="B32" s="11">
        <v>523940</v>
      </c>
      <c r="C32" s="12"/>
      <c r="D32" s="12"/>
      <c r="E32" s="12"/>
      <c r="F32" s="12"/>
      <c r="G32" s="12"/>
      <c r="H32" s="12"/>
      <c r="I32" s="12"/>
      <c r="J32" s="12"/>
      <c r="K32" s="12"/>
    </row>
    <row r="33" spans="1:11" ht="15" customHeight="1" x14ac:dyDescent="0.35">
      <c r="A33" s="13" t="s">
        <v>43</v>
      </c>
      <c r="B33" s="14"/>
      <c r="C33" s="15">
        <v>6.5</v>
      </c>
      <c r="D33" s="15">
        <v>7.2</v>
      </c>
      <c r="E33" s="15">
        <v>7.4</v>
      </c>
      <c r="F33" s="15">
        <v>6.3</v>
      </c>
      <c r="G33" s="15">
        <v>5.8</v>
      </c>
      <c r="H33" s="15">
        <v>4.7</v>
      </c>
      <c r="I33" s="15">
        <v>22.7</v>
      </c>
      <c r="J33" s="15">
        <v>17.3</v>
      </c>
      <c r="K33" s="15">
        <v>10.8</v>
      </c>
    </row>
    <row r="34" spans="1:11" ht="15" customHeight="1" x14ac:dyDescent="0.35">
      <c r="A34" s="13" t="s">
        <v>44</v>
      </c>
      <c r="B34" s="14"/>
      <c r="C34" s="16">
        <v>593.29999999999995</v>
      </c>
      <c r="D34" s="16">
        <v>638.4</v>
      </c>
      <c r="E34" s="16">
        <v>833.6</v>
      </c>
      <c r="F34" s="16">
        <v>1194.8</v>
      </c>
      <c r="G34" s="16">
        <v>1439.8</v>
      </c>
      <c r="H34" s="16">
        <v>990.6</v>
      </c>
      <c r="I34" s="16">
        <v>763.9</v>
      </c>
      <c r="J34" s="16">
        <v>1612.7</v>
      </c>
      <c r="K34" s="16">
        <v>2955.8</v>
      </c>
    </row>
    <row r="35" spans="1:11" ht="15" customHeight="1" x14ac:dyDescent="0.35">
      <c r="A35" s="13" t="s">
        <v>45</v>
      </c>
      <c r="B35" s="14"/>
      <c r="C35" s="15">
        <v>9.6</v>
      </c>
      <c r="D35" s="15">
        <v>8.6</v>
      </c>
      <c r="E35" s="15">
        <v>6.8</v>
      </c>
      <c r="F35" s="15">
        <v>6.3</v>
      </c>
      <c r="G35" s="15">
        <v>1.8</v>
      </c>
      <c r="H35" s="15">
        <v>0.1</v>
      </c>
      <c r="I35" s="15">
        <v>8.9</v>
      </c>
      <c r="J35" s="15">
        <v>18.2</v>
      </c>
      <c r="K35" s="15">
        <v>38.200000000000003</v>
      </c>
    </row>
    <row r="36" spans="1:11" ht="15" customHeight="1" x14ac:dyDescent="0.35">
      <c r="A36" s="13" t="s">
        <v>46</v>
      </c>
      <c r="B36" s="14"/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</row>
    <row r="37" spans="1:11" ht="15" customHeight="1" x14ac:dyDescent="0.35">
      <c r="A37" s="13" t="s">
        <v>47</v>
      </c>
      <c r="B37" s="14"/>
      <c r="C37" s="19">
        <v>-75.599999999999994</v>
      </c>
      <c r="D37" s="16">
        <v>116.7</v>
      </c>
      <c r="E37" s="16">
        <v>141</v>
      </c>
      <c r="F37" s="16">
        <v>361.4</v>
      </c>
      <c r="G37" s="16">
        <v>656.5</v>
      </c>
      <c r="H37" s="16">
        <v>252.5</v>
      </c>
      <c r="I37" s="16">
        <v>176.6</v>
      </c>
      <c r="J37" s="16">
        <v>811.9</v>
      </c>
      <c r="K37" s="16">
        <v>1893.9</v>
      </c>
    </row>
    <row r="38" spans="1:11" ht="15" customHeight="1" x14ac:dyDescent="0.35">
      <c r="A38" s="13" t="s">
        <v>48</v>
      </c>
      <c r="B38" s="14"/>
      <c r="C38" s="16">
        <v>210.1</v>
      </c>
      <c r="D38" s="16">
        <v>207.2</v>
      </c>
      <c r="E38" s="16">
        <v>356.2</v>
      </c>
      <c r="F38" s="15">
        <v>77.099999999999994</v>
      </c>
      <c r="G38" s="16">
        <v>207.7</v>
      </c>
      <c r="H38" s="16">
        <v>233.4</v>
      </c>
      <c r="I38" s="16">
        <v>204.2</v>
      </c>
      <c r="J38" s="16">
        <v>460.1</v>
      </c>
      <c r="K38" s="16">
        <v>647.79999999999995</v>
      </c>
    </row>
    <row r="39" spans="1:11" ht="15" customHeight="1" x14ac:dyDescent="0.35">
      <c r="A39" s="13" t="s">
        <v>49</v>
      </c>
      <c r="B39" s="14"/>
      <c r="C39" s="16">
        <v>322.5</v>
      </c>
      <c r="D39" s="16">
        <v>313</v>
      </c>
      <c r="E39" s="16">
        <v>459.8</v>
      </c>
      <c r="F39" s="16">
        <v>508</v>
      </c>
      <c r="G39" s="16">
        <v>662.7</v>
      </c>
      <c r="H39" s="16">
        <v>593</v>
      </c>
      <c r="I39" s="16">
        <v>511.6</v>
      </c>
      <c r="J39" s="16">
        <v>204.9</v>
      </c>
      <c r="K39" s="16">
        <v>687</v>
      </c>
    </row>
    <row r="40" spans="1:11" ht="15" customHeight="1" x14ac:dyDescent="0.35">
      <c r="A40" s="10" t="s">
        <v>52</v>
      </c>
      <c r="B40" s="11"/>
      <c r="C40" s="12"/>
      <c r="D40" s="12"/>
      <c r="E40" s="12"/>
      <c r="F40" s="12"/>
      <c r="G40" s="12"/>
      <c r="H40" s="12"/>
      <c r="I40" s="12"/>
      <c r="J40" s="12"/>
      <c r="K40" s="12"/>
    </row>
    <row r="41" spans="1:11" ht="15" customHeight="1" x14ac:dyDescent="0.35">
      <c r="A41" s="13" t="s">
        <v>43</v>
      </c>
      <c r="B41" s="14"/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</row>
    <row r="42" spans="1:11" ht="15" customHeight="1" x14ac:dyDescent="0.35">
      <c r="A42" s="13" t="s">
        <v>44</v>
      </c>
      <c r="B42" s="14"/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6">
        <v>207.1</v>
      </c>
      <c r="I42" s="16">
        <v>147.5</v>
      </c>
      <c r="J42" s="17">
        <v>0</v>
      </c>
      <c r="K42" s="17">
        <v>0</v>
      </c>
    </row>
    <row r="43" spans="1:11" ht="15" customHeight="1" x14ac:dyDescent="0.35">
      <c r="A43" s="13" t="s">
        <v>45</v>
      </c>
      <c r="B43" s="14"/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</row>
    <row r="44" spans="1:11" ht="15" customHeight="1" x14ac:dyDescent="0.35">
      <c r="A44" s="13" t="s">
        <v>46</v>
      </c>
      <c r="B44" s="14"/>
      <c r="C44" s="16">
        <v>505.5</v>
      </c>
      <c r="D44" s="16">
        <v>1558.1</v>
      </c>
      <c r="E44" s="16">
        <v>1353.8</v>
      </c>
      <c r="F44" s="16">
        <v>1834.5</v>
      </c>
      <c r="G44" s="16">
        <v>2989.2</v>
      </c>
      <c r="H44" s="16">
        <v>2665</v>
      </c>
      <c r="I44" s="16">
        <v>2109.3000000000002</v>
      </c>
      <c r="J44" s="16">
        <v>3630.6</v>
      </c>
      <c r="K44" s="16">
        <v>4701.6000000000004</v>
      </c>
    </row>
    <row r="45" spans="1:11" ht="15" customHeight="1" x14ac:dyDescent="0.35">
      <c r="A45" s="13" t="s">
        <v>47</v>
      </c>
      <c r="B45" s="14"/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6">
        <v>207.1</v>
      </c>
      <c r="I45" s="16">
        <v>147.5</v>
      </c>
      <c r="J45" s="17">
        <v>0</v>
      </c>
      <c r="K45" s="17">
        <v>0</v>
      </c>
    </row>
    <row r="46" spans="1:11" ht="15" customHeight="1" x14ac:dyDescent="0.35">
      <c r="A46" s="13" t="s">
        <v>48</v>
      </c>
      <c r="B46" s="14"/>
      <c r="C46" s="16">
        <v>1177.0999999999999</v>
      </c>
      <c r="D46" s="16">
        <v>1197.7</v>
      </c>
      <c r="E46" s="16">
        <v>1397.2</v>
      </c>
      <c r="F46" s="16">
        <v>1548.6</v>
      </c>
      <c r="G46" s="16">
        <v>1728.2</v>
      </c>
      <c r="H46" s="16">
        <v>2044</v>
      </c>
      <c r="I46" s="16">
        <v>2098.3000000000002</v>
      </c>
      <c r="J46" s="16">
        <v>1749.4</v>
      </c>
      <c r="K46" s="16">
        <v>1671.2</v>
      </c>
    </row>
    <row r="47" spans="1:11" ht="15" customHeight="1" x14ac:dyDescent="0.35">
      <c r="A47" s="13" t="s">
        <v>49</v>
      </c>
      <c r="B47" s="14"/>
      <c r="C47" s="15">
        <v>42.5</v>
      </c>
      <c r="D47" s="16">
        <v>102.1</v>
      </c>
      <c r="E47" s="16">
        <v>114.1</v>
      </c>
      <c r="F47" s="15">
        <v>91.4</v>
      </c>
      <c r="G47" s="17">
        <v>0</v>
      </c>
      <c r="H47" s="15">
        <v>41.5</v>
      </c>
      <c r="I47" s="17">
        <v>0</v>
      </c>
      <c r="J47" s="15">
        <v>5.7</v>
      </c>
      <c r="K47" s="17">
        <v>0</v>
      </c>
    </row>
    <row r="48" spans="1:11" ht="15" customHeight="1" x14ac:dyDescent="0.35">
      <c r="A48" s="10" t="s">
        <v>53</v>
      </c>
      <c r="B48" s="11"/>
      <c r="C48" s="12"/>
      <c r="D48" s="12"/>
      <c r="E48" s="12"/>
      <c r="F48" s="12"/>
      <c r="G48" s="12"/>
      <c r="H48" s="12"/>
      <c r="I48" s="12"/>
      <c r="J48" s="12"/>
      <c r="K48" s="12"/>
    </row>
    <row r="49" spans="1:11" ht="15" customHeight="1" x14ac:dyDescent="0.35">
      <c r="A49" s="13" t="s">
        <v>43</v>
      </c>
      <c r="B49" s="14"/>
      <c r="C49" s="16">
        <v>134.80000000000001</v>
      </c>
      <c r="D49" s="16">
        <v>163</v>
      </c>
      <c r="E49" s="16">
        <v>159.6</v>
      </c>
      <c r="F49" s="16">
        <v>154.80000000000001</v>
      </c>
      <c r="G49" s="16">
        <v>153</v>
      </c>
      <c r="H49" s="16">
        <v>149.5</v>
      </c>
      <c r="I49" s="16">
        <v>614</v>
      </c>
      <c r="J49" s="16">
        <v>541.79999999999995</v>
      </c>
      <c r="K49" s="16">
        <v>625.29999999999995</v>
      </c>
    </row>
    <row r="50" spans="1:11" ht="15" customHeight="1" x14ac:dyDescent="0.35">
      <c r="A50" s="13" t="s">
        <v>44</v>
      </c>
      <c r="B50" s="14"/>
      <c r="C50" s="16">
        <v>8122.6</v>
      </c>
      <c r="D50" s="17">
        <v>12095.1</v>
      </c>
      <c r="E50" s="17">
        <v>11245.8</v>
      </c>
      <c r="F50" s="17">
        <v>14042.3</v>
      </c>
      <c r="G50" s="17">
        <v>18610.099999999999</v>
      </c>
      <c r="H50" s="17">
        <v>17270.2</v>
      </c>
      <c r="I50" s="17">
        <v>17249.400000000001</v>
      </c>
      <c r="J50" s="17">
        <v>25861.7</v>
      </c>
      <c r="K50" s="17">
        <v>34384.800000000003</v>
      </c>
    </row>
    <row r="51" spans="1:11" ht="15" customHeight="1" x14ac:dyDescent="0.35">
      <c r="A51" s="13" t="s">
        <v>45</v>
      </c>
      <c r="B51" s="14"/>
      <c r="C51" s="16">
        <v>160.80000000000001</v>
      </c>
      <c r="D51" s="16">
        <v>180.6</v>
      </c>
      <c r="E51" s="16">
        <v>186.1</v>
      </c>
      <c r="F51" s="16">
        <v>155</v>
      </c>
      <c r="G51" s="16">
        <v>213.1</v>
      </c>
      <c r="H51" s="16">
        <v>228.3</v>
      </c>
      <c r="I51" s="16">
        <v>192.5</v>
      </c>
      <c r="J51" s="16">
        <v>410.7</v>
      </c>
      <c r="K51" s="16">
        <v>585.1</v>
      </c>
    </row>
    <row r="52" spans="1:11" ht="15" customHeight="1" x14ac:dyDescent="0.35">
      <c r="A52" s="13" t="s">
        <v>46</v>
      </c>
      <c r="B52" s="14"/>
      <c r="C52" s="16">
        <v>505.5</v>
      </c>
      <c r="D52" s="16">
        <v>1558.1</v>
      </c>
      <c r="E52" s="16">
        <v>1353.8</v>
      </c>
      <c r="F52" s="16">
        <v>1834.5</v>
      </c>
      <c r="G52" s="16">
        <v>2989.2</v>
      </c>
      <c r="H52" s="16">
        <v>2665</v>
      </c>
      <c r="I52" s="16">
        <v>2109.3000000000002</v>
      </c>
      <c r="J52" s="16">
        <v>3630.6</v>
      </c>
      <c r="K52" s="16">
        <v>4701.6000000000004</v>
      </c>
    </row>
    <row r="53" spans="1:11" ht="15" customHeight="1" x14ac:dyDescent="0.35">
      <c r="A53" s="13" t="s">
        <v>47</v>
      </c>
      <c r="B53" s="14"/>
      <c r="C53" s="16">
        <v>1397.4</v>
      </c>
      <c r="D53" s="16">
        <v>4496.8</v>
      </c>
      <c r="E53" s="16">
        <v>3741</v>
      </c>
      <c r="F53" s="16">
        <v>5220.3999999999996</v>
      </c>
      <c r="G53" s="16">
        <v>8523.9</v>
      </c>
      <c r="H53" s="16">
        <v>7572.3</v>
      </c>
      <c r="I53" s="16">
        <v>7529.3</v>
      </c>
      <c r="J53" s="17">
        <v>14307.8</v>
      </c>
      <c r="K53" s="17">
        <v>18527.599999999999</v>
      </c>
    </row>
    <row r="54" spans="1:11" ht="15" customHeight="1" x14ac:dyDescent="0.35">
      <c r="A54" s="13" t="s">
        <v>48</v>
      </c>
      <c r="B54" s="14"/>
      <c r="C54" s="17">
        <v>15728.5</v>
      </c>
      <c r="D54" s="17">
        <v>13628.6</v>
      </c>
      <c r="E54" s="17">
        <v>13974.9</v>
      </c>
      <c r="F54" s="17">
        <v>20474.400000000001</v>
      </c>
      <c r="G54" s="17">
        <v>28739</v>
      </c>
      <c r="H54" s="17">
        <v>46645.9</v>
      </c>
      <c r="I54" s="17">
        <v>44428.2</v>
      </c>
      <c r="J54" s="17">
        <v>81809.100000000006</v>
      </c>
      <c r="K54" s="17">
        <v>136462.20000000001</v>
      </c>
    </row>
    <row r="55" spans="1:11" ht="15" customHeight="1" x14ac:dyDescent="0.35">
      <c r="A55" s="13" t="s">
        <v>49</v>
      </c>
      <c r="B55" s="14"/>
      <c r="C55" s="17">
        <v>13234.9</v>
      </c>
      <c r="D55" s="17">
        <v>10105.5</v>
      </c>
      <c r="E55" s="16">
        <v>9993.2999999999993</v>
      </c>
      <c r="F55" s="17">
        <v>15578.6</v>
      </c>
      <c r="G55" s="17">
        <v>20261.900000000001</v>
      </c>
      <c r="H55" s="17">
        <v>36173.199999999997</v>
      </c>
      <c r="I55" s="17">
        <v>32332.799999999999</v>
      </c>
      <c r="J55" s="17">
        <v>63588</v>
      </c>
      <c r="K55" s="17">
        <v>112156.9</v>
      </c>
    </row>
  </sheetData>
  <mergeCells count="27">
    <mergeCell ref="H11"/>
    <mergeCell ref="I11"/>
    <mergeCell ref="J11"/>
    <mergeCell ref="K11"/>
    <mergeCell ref="C12"/>
    <mergeCell ref="F12"/>
    <mergeCell ref="I12"/>
    <mergeCell ref="C11"/>
    <mergeCell ref="D11"/>
    <mergeCell ref="E11"/>
    <mergeCell ref="F11"/>
    <mergeCell ref="G11"/>
    <mergeCell ref="C13"/>
    <mergeCell ref="D12"/>
    <mergeCell ref="D13"/>
    <mergeCell ref="E12"/>
    <mergeCell ref="E13"/>
    <mergeCell ref="F13"/>
    <mergeCell ref="G12"/>
    <mergeCell ref="G13"/>
    <mergeCell ref="H12"/>
    <mergeCell ref="H13"/>
    <mergeCell ref="I13"/>
    <mergeCell ref="J12"/>
    <mergeCell ref="J13"/>
    <mergeCell ref="K12"/>
    <mergeCell ref="K13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50"/>
  <sheetViews>
    <sheetView workbookViewId="0">
      <selection activeCell="C31" sqref="C31"/>
    </sheetView>
  </sheetViews>
  <sheetFormatPr defaultColWidth="8.81640625" defaultRowHeight="14.5" outlineLevelRow="1" x14ac:dyDescent="0.35"/>
  <cols>
    <col min="1" max="1" width="85.6328125" customWidth="1"/>
    <col min="2" max="11" width="15.6328125" customWidth="1"/>
  </cols>
  <sheetData>
    <row r="1" spans="1:11" ht="1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customHeight="1" x14ac:dyDescent="0.35">
      <c r="A2" s="3" t="s">
        <v>1</v>
      </c>
      <c r="B2" s="4" t="s">
        <v>2</v>
      </c>
    </row>
    <row r="3" spans="1:11" x14ac:dyDescent="0.35">
      <c r="A3" s="3" t="s">
        <v>3</v>
      </c>
      <c r="B3" s="3" t="s">
        <v>4</v>
      </c>
    </row>
    <row r="4" spans="1:11" x14ac:dyDescent="0.35">
      <c r="A4" s="3" t="s">
        <v>5</v>
      </c>
      <c r="B4" s="3" t="s">
        <v>4</v>
      </c>
    </row>
    <row r="5" spans="1:11" x14ac:dyDescent="0.35">
      <c r="A5" s="3" t="s">
        <v>6</v>
      </c>
      <c r="B5" s="3" t="s">
        <v>7</v>
      </c>
    </row>
    <row r="6" spans="1:11" x14ac:dyDescent="0.35">
      <c r="A6" s="3" t="s">
        <v>8</v>
      </c>
      <c r="B6" s="3" t="s">
        <v>9</v>
      </c>
    </row>
    <row r="7" spans="1:11" x14ac:dyDescent="0.35">
      <c r="A7" s="3" t="s">
        <v>10</v>
      </c>
      <c r="B7" s="3" t="s">
        <v>11</v>
      </c>
    </row>
    <row r="8" spans="1:11" x14ac:dyDescent="0.35">
      <c r="A8" s="3" t="s">
        <v>12</v>
      </c>
      <c r="B8" s="3" t="s">
        <v>13</v>
      </c>
    </row>
    <row r="9" spans="1:11" x14ac:dyDescent="0.35">
      <c r="A9" s="3" t="s">
        <v>14</v>
      </c>
      <c r="B9" s="3" t="s">
        <v>15</v>
      </c>
    </row>
    <row r="10" spans="1:11" x14ac:dyDescent="0.35">
      <c r="A10" s="3" t="s">
        <v>16</v>
      </c>
      <c r="B10" s="5">
        <v>45076.753914317102</v>
      </c>
    </row>
    <row r="11" spans="1:11" x14ac:dyDescent="0.35">
      <c r="A11" s="6" t="s">
        <v>17</v>
      </c>
      <c r="B11" s="6"/>
      <c r="C11" s="431" t="s">
        <v>18</v>
      </c>
      <c r="D11" s="431" t="s">
        <v>19</v>
      </c>
      <c r="E11" s="431" t="s">
        <v>20</v>
      </c>
      <c r="F11" s="431" t="s">
        <v>21</v>
      </c>
      <c r="G11" s="431" t="s">
        <v>22</v>
      </c>
      <c r="H11" s="431" t="s">
        <v>23</v>
      </c>
      <c r="I11" s="431" t="s">
        <v>24</v>
      </c>
      <c r="J11" s="431" t="s">
        <v>25</v>
      </c>
      <c r="K11" s="431" t="s">
        <v>26</v>
      </c>
    </row>
    <row r="12" spans="1:11" ht="15" customHeight="1" outlineLevel="1" x14ac:dyDescent="0.35">
      <c r="A12" s="7" t="s">
        <v>27</v>
      </c>
      <c r="C12" s="430">
        <v>41729</v>
      </c>
      <c r="D12" s="430">
        <v>42094</v>
      </c>
      <c r="E12" s="430">
        <v>42460</v>
      </c>
      <c r="F12" s="430">
        <v>42825</v>
      </c>
      <c r="G12" s="430">
        <v>43190</v>
      </c>
      <c r="H12" s="430">
        <v>43555</v>
      </c>
      <c r="I12" s="430">
        <v>43921</v>
      </c>
      <c r="J12" s="430">
        <v>44286</v>
      </c>
      <c r="K12" s="430">
        <v>44651</v>
      </c>
    </row>
    <row r="13" spans="1:11" ht="15" customHeight="1" outlineLevel="1" x14ac:dyDescent="0.35">
      <c r="A13" s="7" t="s">
        <v>28</v>
      </c>
      <c r="C13" s="430" t="s">
        <v>29</v>
      </c>
      <c r="D13" s="430" t="s">
        <v>29</v>
      </c>
      <c r="E13" s="430" t="s">
        <v>29</v>
      </c>
      <c r="F13" s="430" t="s">
        <v>29</v>
      </c>
      <c r="G13" s="430" t="s">
        <v>29</v>
      </c>
      <c r="H13" s="430" t="s">
        <v>29</v>
      </c>
      <c r="I13" s="430" t="s">
        <v>29</v>
      </c>
      <c r="J13" s="430" t="s">
        <v>29</v>
      </c>
      <c r="K13" s="430" t="s">
        <v>29</v>
      </c>
    </row>
    <row r="14" spans="1:11" x14ac:dyDescent="0.35">
      <c r="A14" s="8" t="s">
        <v>54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35">
      <c r="A15" s="8" t="s">
        <v>31</v>
      </c>
      <c r="B15" s="9" t="s">
        <v>32</v>
      </c>
      <c r="C15" s="9" t="s">
        <v>33</v>
      </c>
      <c r="D15" s="9" t="s">
        <v>34</v>
      </c>
      <c r="E15" s="9" t="s">
        <v>35</v>
      </c>
      <c r="F15" s="9" t="s">
        <v>36</v>
      </c>
      <c r="G15" s="9" t="s">
        <v>37</v>
      </c>
      <c r="H15" s="9" t="s">
        <v>38</v>
      </c>
      <c r="I15" s="9" t="s">
        <v>39</v>
      </c>
      <c r="J15" s="9" t="s">
        <v>40</v>
      </c>
      <c r="K15" s="9" t="s">
        <v>41</v>
      </c>
    </row>
    <row r="16" spans="1:11" ht="15" customHeight="1" x14ac:dyDescent="0.35">
      <c r="A16" s="10" t="s">
        <v>44</v>
      </c>
      <c r="B16" s="11"/>
      <c r="C16" s="20">
        <v>8122.6</v>
      </c>
      <c r="D16" s="12">
        <v>12095.1</v>
      </c>
      <c r="E16" s="12">
        <v>11245.8</v>
      </c>
      <c r="F16" s="12">
        <v>14042.3</v>
      </c>
      <c r="G16" s="12">
        <v>18610.099999999999</v>
      </c>
      <c r="H16" s="12">
        <v>17270.2</v>
      </c>
      <c r="I16" s="12">
        <v>17249.400000000001</v>
      </c>
      <c r="J16" s="12">
        <v>25861.7</v>
      </c>
      <c r="K16" s="12">
        <v>34384.800000000003</v>
      </c>
    </row>
    <row r="17" spans="1:11" ht="15" customHeight="1" x14ac:dyDescent="0.35">
      <c r="A17" s="13" t="s">
        <v>50</v>
      </c>
      <c r="B17" s="14">
        <v>523150</v>
      </c>
      <c r="C17" s="16">
        <v>7389.5</v>
      </c>
      <c r="D17" s="17">
        <v>11071.2</v>
      </c>
      <c r="E17" s="17">
        <v>10040.6</v>
      </c>
      <c r="F17" s="17">
        <v>12570.3</v>
      </c>
      <c r="G17" s="17">
        <v>16882.5</v>
      </c>
      <c r="H17" s="17">
        <v>15807.4</v>
      </c>
      <c r="I17" s="17">
        <v>15939.5</v>
      </c>
      <c r="J17" s="17">
        <v>23584.6</v>
      </c>
      <c r="K17" s="17">
        <v>30521.1</v>
      </c>
    </row>
    <row r="18" spans="1:11" ht="15" customHeight="1" x14ac:dyDescent="0.35">
      <c r="A18" s="13" t="s">
        <v>51</v>
      </c>
      <c r="B18" s="14">
        <v>523940</v>
      </c>
      <c r="C18" s="16">
        <v>593.29999999999995</v>
      </c>
      <c r="D18" s="16">
        <v>638.4</v>
      </c>
      <c r="E18" s="16">
        <v>833.6</v>
      </c>
      <c r="F18" s="16">
        <v>1194.8</v>
      </c>
      <c r="G18" s="16">
        <v>1439.8</v>
      </c>
      <c r="H18" s="16">
        <v>990.6</v>
      </c>
      <c r="I18" s="16">
        <v>763.9</v>
      </c>
      <c r="J18" s="16">
        <v>1612.7</v>
      </c>
      <c r="K18" s="16">
        <v>2955.8</v>
      </c>
    </row>
    <row r="19" spans="1:11" ht="15" customHeight="1" x14ac:dyDescent="0.35">
      <c r="A19" s="13" t="s">
        <v>42</v>
      </c>
      <c r="B19" s="14">
        <v>523940</v>
      </c>
      <c r="C19" s="16">
        <v>139.80000000000001</v>
      </c>
      <c r="D19" s="16">
        <v>385.5</v>
      </c>
      <c r="E19" s="16">
        <v>371.6</v>
      </c>
      <c r="F19" s="16">
        <v>277.2</v>
      </c>
      <c r="G19" s="16">
        <v>287.8</v>
      </c>
      <c r="H19" s="16">
        <v>265.10000000000002</v>
      </c>
      <c r="I19" s="16">
        <v>398.5</v>
      </c>
      <c r="J19" s="16">
        <v>664.4</v>
      </c>
      <c r="K19" s="16">
        <v>907.9</v>
      </c>
    </row>
    <row r="20" spans="1:11" ht="15" customHeight="1" x14ac:dyDescent="0.35">
      <c r="A20" s="13" t="s">
        <v>52</v>
      </c>
      <c r="B20" s="14"/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6">
        <v>207.1</v>
      </c>
      <c r="I20" s="16">
        <v>147.5</v>
      </c>
      <c r="J20" s="17">
        <v>0</v>
      </c>
      <c r="K20" s="17">
        <v>0</v>
      </c>
    </row>
    <row r="21" spans="1:11" ht="15" customHeight="1" x14ac:dyDescent="0.35">
      <c r="A21" s="10" t="s">
        <v>47</v>
      </c>
      <c r="B21" s="11"/>
      <c r="C21" s="20">
        <v>1397.4</v>
      </c>
      <c r="D21" s="20">
        <v>4496.8</v>
      </c>
      <c r="E21" s="20">
        <v>3741</v>
      </c>
      <c r="F21" s="20">
        <v>5220.3999999999996</v>
      </c>
      <c r="G21" s="20">
        <v>8523.9</v>
      </c>
      <c r="H21" s="20">
        <v>7572.3</v>
      </c>
      <c r="I21" s="20">
        <v>7529.3</v>
      </c>
      <c r="J21" s="12">
        <v>14307.8</v>
      </c>
      <c r="K21" s="12">
        <v>18527.599999999999</v>
      </c>
    </row>
    <row r="22" spans="1:11" ht="15" customHeight="1" x14ac:dyDescent="0.35">
      <c r="A22" s="13" t="s">
        <v>50</v>
      </c>
      <c r="B22" s="14">
        <v>523150</v>
      </c>
      <c r="C22" s="16">
        <v>1398.8</v>
      </c>
      <c r="D22" s="16">
        <v>4209.8999999999996</v>
      </c>
      <c r="E22" s="16">
        <v>3463</v>
      </c>
      <c r="F22" s="16">
        <v>4723.6000000000004</v>
      </c>
      <c r="G22" s="16">
        <v>7747.7</v>
      </c>
      <c r="H22" s="16">
        <v>6976</v>
      </c>
      <c r="I22" s="16">
        <v>7354.8</v>
      </c>
      <c r="J22" s="17">
        <v>13124</v>
      </c>
      <c r="K22" s="17">
        <v>16114.9</v>
      </c>
    </row>
    <row r="23" spans="1:11" ht="15" customHeight="1" x14ac:dyDescent="0.35">
      <c r="A23" s="13" t="s">
        <v>51</v>
      </c>
      <c r="B23" s="14">
        <v>523940</v>
      </c>
      <c r="C23" s="19">
        <v>-75.599999999999994</v>
      </c>
      <c r="D23" s="16">
        <v>116.7</v>
      </c>
      <c r="E23" s="16">
        <v>141</v>
      </c>
      <c r="F23" s="16">
        <v>361.4</v>
      </c>
      <c r="G23" s="16">
        <v>656.5</v>
      </c>
      <c r="H23" s="16">
        <v>252.5</v>
      </c>
      <c r="I23" s="16">
        <v>176.6</v>
      </c>
      <c r="J23" s="16">
        <v>811.9</v>
      </c>
      <c r="K23" s="16">
        <v>1893.9</v>
      </c>
    </row>
    <row r="24" spans="1:11" ht="15" customHeight="1" x14ac:dyDescent="0.35">
      <c r="A24" s="13" t="s">
        <v>42</v>
      </c>
      <c r="B24" s="14">
        <v>523940</v>
      </c>
      <c r="C24" s="15">
        <v>74.2</v>
      </c>
      <c r="D24" s="16">
        <v>170.2</v>
      </c>
      <c r="E24" s="16">
        <v>137</v>
      </c>
      <c r="F24" s="16">
        <v>135.4</v>
      </c>
      <c r="G24" s="16">
        <v>119.7</v>
      </c>
      <c r="H24" s="16">
        <v>136.69999999999999</v>
      </c>
      <c r="I24" s="18">
        <v>-149.6</v>
      </c>
      <c r="J24" s="16">
        <v>371.9</v>
      </c>
      <c r="K24" s="16">
        <v>518.79999999999995</v>
      </c>
    </row>
    <row r="25" spans="1:11" ht="15" customHeight="1" x14ac:dyDescent="0.35">
      <c r="A25" s="13" t="s">
        <v>52</v>
      </c>
      <c r="B25" s="14"/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6">
        <v>207.1</v>
      </c>
      <c r="I25" s="16">
        <v>147.5</v>
      </c>
      <c r="J25" s="17">
        <v>0</v>
      </c>
      <c r="K25" s="17">
        <v>0</v>
      </c>
    </row>
    <row r="26" spans="1:11" ht="15" customHeight="1" x14ac:dyDescent="0.35">
      <c r="A26" s="10" t="s">
        <v>46</v>
      </c>
      <c r="B26" s="11"/>
      <c r="C26" s="20">
        <v>505.5</v>
      </c>
      <c r="D26" s="20">
        <v>1558.1</v>
      </c>
      <c r="E26" s="20">
        <v>1353.8</v>
      </c>
      <c r="F26" s="20">
        <v>1834.5</v>
      </c>
      <c r="G26" s="20">
        <v>2989.2</v>
      </c>
      <c r="H26" s="20">
        <v>2665</v>
      </c>
      <c r="I26" s="20">
        <v>2109.3000000000002</v>
      </c>
      <c r="J26" s="20">
        <v>3630.6</v>
      </c>
      <c r="K26" s="20">
        <v>4701.6000000000004</v>
      </c>
    </row>
    <row r="27" spans="1:11" ht="15" customHeight="1" x14ac:dyDescent="0.35">
      <c r="A27" s="13" t="s">
        <v>50</v>
      </c>
      <c r="B27" s="14">
        <v>523150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/>
    </row>
    <row r="28" spans="1:11" ht="15" customHeight="1" x14ac:dyDescent="0.35">
      <c r="A28" s="13" t="s">
        <v>51</v>
      </c>
      <c r="B28" s="14">
        <v>523940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</row>
    <row r="29" spans="1:11" ht="15" customHeight="1" x14ac:dyDescent="0.35">
      <c r="A29" s="13" t="s">
        <v>42</v>
      </c>
      <c r="B29" s="14">
        <v>523940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</row>
    <row r="30" spans="1:11" ht="15" customHeight="1" x14ac:dyDescent="0.35">
      <c r="A30" s="13" t="s">
        <v>52</v>
      </c>
      <c r="B30" s="14"/>
      <c r="C30" s="16">
        <v>505.5</v>
      </c>
      <c r="D30" s="16">
        <v>1558.1</v>
      </c>
      <c r="E30" s="16">
        <v>1353.8</v>
      </c>
      <c r="F30" s="16">
        <v>1834.5</v>
      </c>
      <c r="G30" s="16">
        <v>2989.2</v>
      </c>
      <c r="H30" s="16">
        <v>2665</v>
      </c>
      <c r="I30" s="16">
        <v>2109.3000000000002</v>
      </c>
      <c r="J30" s="16">
        <v>3630.6</v>
      </c>
      <c r="K30" s="16">
        <v>4701.6000000000004</v>
      </c>
    </row>
    <row r="31" spans="1:11" ht="15" customHeight="1" x14ac:dyDescent="0.35">
      <c r="A31" s="10" t="s">
        <v>48</v>
      </c>
      <c r="B31" s="11"/>
      <c r="C31" s="12">
        <v>15728.5</v>
      </c>
      <c r="D31" s="12">
        <v>13628.6</v>
      </c>
      <c r="E31" s="12">
        <v>13974.9</v>
      </c>
      <c r="F31" s="12">
        <v>20474.400000000001</v>
      </c>
      <c r="G31" s="12">
        <v>28739</v>
      </c>
      <c r="H31" s="12">
        <v>46645.9</v>
      </c>
      <c r="I31" s="12">
        <v>44428.2</v>
      </c>
      <c r="J31" s="12">
        <v>81809.100000000006</v>
      </c>
      <c r="K31" s="12">
        <v>136462.20000000001</v>
      </c>
    </row>
    <row r="32" spans="1:11" ht="15" customHeight="1" x14ac:dyDescent="0.35">
      <c r="A32" s="13" t="s">
        <v>50</v>
      </c>
      <c r="B32" s="14">
        <v>523150</v>
      </c>
      <c r="C32" s="17">
        <v>11948.1</v>
      </c>
      <c r="D32" s="16">
        <v>9811.1</v>
      </c>
      <c r="E32" s="17">
        <v>10048.700000000001</v>
      </c>
      <c r="F32" s="17">
        <v>17576.7</v>
      </c>
      <c r="G32" s="17">
        <v>25403.4</v>
      </c>
      <c r="H32" s="17">
        <v>40703.1</v>
      </c>
      <c r="I32" s="17">
        <v>35598.5</v>
      </c>
      <c r="J32" s="17">
        <v>72072.899999999994</v>
      </c>
      <c r="K32" s="17">
        <v>126665</v>
      </c>
    </row>
    <row r="33" spans="1:11" ht="15" customHeight="1" x14ac:dyDescent="0.35">
      <c r="A33" s="13" t="s">
        <v>51</v>
      </c>
      <c r="B33" s="14">
        <v>523940</v>
      </c>
      <c r="C33" s="16">
        <v>210.1</v>
      </c>
      <c r="D33" s="16">
        <v>207.2</v>
      </c>
      <c r="E33" s="16">
        <v>356.2</v>
      </c>
      <c r="F33" s="15">
        <v>77.099999999999994</v>
      </c>
      <c r="G33" s="16">
        <v>207.7</v>
      </c>
      <c r="H33" s="16">
        <v>233.4</v>
      </c>
      <c r="I33" s="16">
        <v>204.2</v>
      </c>
      <c r="J33" s="16">
        <v>460.1</v>
      </c>
      <c r="K33" s="16">
        <v>647.79999999999995</v>
      </c>
    </row>
    <row r="34" spans="1:11" ht="15" customHeight="1" x14ac:dyDescent="0.35">
      <c r="A34" s="13" t="s">
        <v>42</v>
      </c>
      <c r="B34" s="14">
        <v>523940</v>
      </c>
      <c r="C34" s="16">
        <v>2393.1999999999998</v>
      </c>
      <c r="D34" s="16">
        <v>2412.6</v>
      </c>
      <c r="E34" s="16">
        <v>2172.8000000000002</v>
      </c>
      <c r="F34" s="16">
        <v>1272</v>
      </c>
      <c r="G34" s="16">
        <v>1399.7</v>
      </c>
      <c r="H34" s="16">
        <v>3665.4</v>
      </c>
      <c r="I34" s="16">
        <v>6527.2</v>
      </c>
      <c r="J34" s="16">
        <v>7526.7</v>
      </c>
      <c r="K34" s="16">
        <v>7478.2</v>
      </c>
    </row>
    <row r="35" spans="1:11" ht="15" customHeight="1" x14ac:dyDescent="0.35">
      <c r="A35" s="13" t="s">
        <v>52</v>
      </c>
      <c r="B35" s="14"/>
      <c r="C35" s="16">
        <v>1177.0999999999999</v>
      </c>
      <c r="D35" s="16">
        <v>1197.7</v>
      </c>
      <c r="E35" s="16">
        <v>1397.2</v>
      </c>
      <c r="F35" s="16">
        <v>1548.6</v>
      </c>
      <c r="G35" s="16">
        <v>1728.2</v>
      </c>
      <c r="H35" s="16">
        <v>2044</v>
      </c>
      <c r="I35" s="16">
        <v>2098.3000000000002</v>
      </c>
      <c r="J35" s="16">
        <v>1749.4</v>
      </c>
      <c r="K35" s="16">
        <v>1671.2</v>
      </c>
    </row>
    <row r="36" spans="1:11" ht="15" customHeight="1" x14ac:dyDescent="0.35">
      <c r="A36" s="10" t="s">
        <v>49</v>
      </c>
      <c r="B36" s="11"/>
      <c r="C36" s="12">
        <v>13234.9</v>
      </c>
      <c r="D36" s="12">
        <v>10105.5</v>
      </c>
      <c r="E36" s="20">
        <v>9993.2999999999993</v>
      </c>
      <c r="F36" s="12">
        <v>15578.6</v>
      </c>
      <c r="G36" s="12">
        <v>20261.900000000001</v>
      </c>
      <c r="H36" s="12">
        <v>36173.199999999997</v>
      </c>
      <c r="I36" s="12">
        <v>32332.799999999999</v>
      </c>
      <c r="J36" s="12">
        <v>63588</v>
      </c>
      <c r="K36" s="12">
        <v>112156.9</v>
      </c>
    </row>
    <row r="37" spans="1:11" ht="15" customHeight="1" x14ac:dyDescent="0.35">
      <c r="A37" s="13" t="s">
        <v>50</v>
      </c>
      <c r="B37" s="14">
        <v>523150</v>
      </c>
      <c r="C37" s="17">
        <v>11596.7</v>
      </c>
      <c r="D37" s="16">
        <v>8579.4</v>
      </c>
      <c r="E37" s="16">
        <v>8389.7999999999993</v>
      </c>
      <c r="F37" s="17">
        <v>14593.3</v>
      </c>
      <c r="G37" s="17">
        <v>19107.3</v>
      </c>
      <c r="H37" s="17">
        <v>33001.199999999997</v>
      </c>
      <c r="I37" s="17">
        <v>29239.200000000001</v>
      </c>
      <c r="J37" s="17">
        <v>57385</v>
      </c>
      <c r="K37" s="17">
        <v>105517.3</v>
      </c>
    </row>
    <row r="38" spans="1:11" ht="15" customHeight="1" x14ac:dyDescent="0.35">
      <c r="A38" s="13" t="s">
        <v>51</v>
      </c>
      <c r="B38" s="14">
        <v>523940</v>
      </c>
      <c r="C38" s="16">
        <v>322.5</v>
      </c>
      <c r="D38" s="16">
        <v>313</v>
      </c>
      <c r="E38" s="16">
        <v>459.8</v>
      </c>
      <c r="F38" s="16">
        <v>508</v>
      </c>
      <c r="G38" s="16">
        <v>662.7</v>
      </c>
      <c r="H38" s="16">
        <v>593</v>
      </c>
      <c r="I38" s="16">
        <v>511.6</v>
      </c>
      <c r="J38" s="16">
        <v>204.9</v>
      </c>
      <c r="K38" s="16">
        <v>687</v>
      </c>
    </row>
    <row r="39" spans="1:11" ht="15" customHeight="1" x14ac:dyDescent="0.35">
      <c r="A39" s="13" t="s">
        <v>42</v>
      </c>
      <c r="B39" s="14">
        <v>523940</v>
      </c>
      <c r="C39" s="16">
        <v>1273.2</v>
      </c>
      <c r="D39" s="16">
        <v>1111</v>
      </c>
      <c r="E39" s="16">
        <v>1029.5999999999999</v>
      </c>
      <c r="F39" s="16">
        <v>385.9</v>
      </c>
      <c r="G39" s="16">
        <v>491.9</v>
      </c>
      <c r="H39" s="16">
        <v>2537.5</v>
      </c>
      <c r="I39" s="16">
        <v>2582</v>
      </c>
      <c r="J39" s="16">
        <v>5992.4</v>
      </c>
      <c r="K39" s="16">
        <v>5952.6</v>
      </c>
    </row>
    <row r="40" spans="1:11" ht="15" customHeight="1" x14ac:dyDescent="0.35">
      <c r="A40" s="13" t="s">
        <v>52</v>
      </c>
      <c r="B40" s="14"/>
      <c r="C40" s="15">
        <v>42.5</v>
      </c>
      <c r="D40" s="16">
        <v>102.1</v>
      </c>
      <c r="E40" s="16">
        <v>114.1</v>
      </c>
      <c r="F40" s="15">
        <v>91.4</v>
      </c>
      <c r="G40" s="17">
        <v>0</v>
      </c>
      <c r="H40" s="15">
        <v>41.5</v>
      </c>
      <c r="I40" s="17">
        <v>0</v>
      </c>
      <c r="J40" s="15">
        <v>5.7</v>
      </c>
      <c r="K40" s="17">
        <v>0</v>
      </c>
    </row>
    <row r="41" spans="1:11" ht="15" customHeight="1" x14ac:dyDescent="0.35">
      <c r="A41" s="10" t="s">
        <v>45</v>
      </c>
      <c r="B41" s="11"/>
      <c r="C41" s="20">
        <v>160.80000000000001</v>
      </c>
      <c r="D41" s="20">
        <v>180.6</v>
      </c>
      <c r="E41" s="20">
        <v>186.1</v>
      </c>
      <c r="F41" s="20">
        <v>155</v>
      </c>
      <c r="G41" s="20">
        <v>213.1</v>
      </c>
      <c r="H41" s="20">
        <v>228.3</v>
      </c>
      <c r="I41" s="20">
        <v>192.5</v>
      </c>
      <c r="J41" s="20">
        <v>410.7</v>
      </c>
      <c r="K41" s="20">
        <v>585.1</v>
      </c>
    </row>
    <row r="42" spans="1:11" ht="15" customHeight="1" x14ac:dyDescent="0.35">
      <c r="A42" s="13" t="s">
        <v>50</v>
      </c>
      <c r="B42" s="14">
        <v>523150</v>
      </c>
      <c r="C42" s="16">
        <v>150.5</v>
      </c>
      <c r="D42" s="16">
        <v>171.4</v>
      </c>
      <c r="E42" s="16">
        <v>178.9</v>
      </c>
      <c r="F42" s="16">
        <v>148.30000000000001</v>
      </c>
      <c r="G42" s="16">
        <v>207.5</v>
      </c>
      <c r="H42" s="16">
        <v>226.1</v>
      </c>
      <c r="I42" s="16">
        <v>182.8</v>
      </c>
      <c r="J42" s="16">
        <v>391</v>
      </c>
      <c r="K42" s="16">
        <v>543.29999999999995</v>
      </c>
    </row>
    <row r="43" spans="1:11" ht="15" customHeight="1" x14ac:dyDescent="0.35">
      <c r="A43" s="13" t="s">
        <v>51</v>
      </c>
      <c r="B43" s="14">
        <v>523940</v>
      </c>
      <c r="C43" s="15">
        <v>9.6</v>
      </c>
      <c r="D43" s="15">
        <v>8.6</v>
      </c>
      <c r="E43" s="15">
        <v>6.8</v>
      </c>
      <c r="F43" s="15">
        <v>6.3</v>
      </c>
      <c r="G43" s="15">
        <v>1.8</v>
      </c>
      <c r="H43" s="15">
        <v>0.1</v>
      </c>
      <c r="I43" s="15">
        <v>8.9</v>
      </c>
      <c r="J43" s="15">
        <v>18.2</v>
      </c>
      <c r="K43" s="15">
        <v>38.200000000000003</v>
      </c>
    </row>
    <row r="44" spans="1:11" ht="15" customHeight="1" x14ac:dyDescent="0.35">
      <c r="A44" s="13" t="s">
        <v>42</v>
      </c>
      <c r="B44" s="14">
        <v>523940</v>
      </c>
      <c r="C44" s="15">
        <v>0.7</v>
      </c>
      <c r="D44" s="15">
        <v>0.6</v>
      </c>
      <c r="E44" s="15">
        <v>0.4</v>
      </c>
      <c r="F44" s="15">
        <v>0.4</v>
      </c>
      <c r="G44" s="15">
        <v>3.8</v>
      </c>
      <c r="H44" s="15">
        <v>2.1</v>
      </c>
      <c r="I44" s="15">
        <v>0.8</v>
      </c>
      <c r="J44" s="15">
        <v>1.5</v>
      </c>
      <c r="K44" s="15">
        <v>3.6</v>
      </c>
    </row>
    <row r="45" spans="1:11" ht="15" customHeight="1" x14ac:dyDescent="0.35">
      <c r="A45" s="13" t="s">
        <v>52</v>
      </c>
      <c r="B45" s="14"/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</row>
    <row r="46" spans="1:11" ht="15" customHeight="1" x14ac:dyDescent="0.35">
      <c r="A46" s="10" t="s">
        <v>43</v>
      </c>
      <c r="B46" s="11"/>
      <c r="C46" s="20">
        <v>134.80000000000001</v>
      </c>
      <c r="D46" s="20">
        <v>163</v>
      </c>
      <c r="E46" s="20">
        <v>159.6</v>
      </c>
      <c r="F46" s="20">
        <v>154.80000000000001</v>
      </c>
      <c r="G46" s="20">
        <v>153</v>
      </c>
      <c r="H46" s="20">
        <v>149.5</v>
      </c>
      <c r="I46" s="20">
        <v>614</v>
      </c>
      <c r="J46" s="20">
        <v>541.79999999999995</v>
      </c>
      <c r="K46" s="20">
        <v>625.29999999999995</v>
      </c>
    </row>
    <row r="47" spans="1:11" ht="15" customHeight="1" x14ac:dyDescent="0.35">
      <c r="A47" s="13" t="s">
        <v>50</v>
      </c>
      <c r="B47" s="14">
        <v>523150</v>
      </c>
      <c r="C47" s="16">
        <v>127.8</v>
      </c>
      <c r="D47" s="16">
        <v>155.30000000000001</v>
      </c>
      <c r="E47" s="16">
        <v>151.80000000000001</v>
      </c>
      <c r="F47" s="16">
        <v>148.1</v>
      </c>
      <c r="G47" s="16">
        <v>146.80000000000001</v>
      </c>
      <c r="H47" s="16">
        <v>144.4</v>
      </c>
      <c r="I47" s="16">
        <v>589.5</v>
      </c>
      <c r="J47" s="16">
        <v>522.79999999999995</v>
      </c>
      <c r="K47" s="16">
        <v>613.5</v>
      </c>
    </row>
    <row r="48" spans="1:11" ht="15" customHeight="1" x14ac:dyDescent="0.35">
      <c r="A48" s="13" t="s">
        <v>51</v>
      </c>
      <c r="B48" s="14">
        <v>523940</v>
      </c>
      <c r="C48" s="15">
        <v>6.5</v>
      </c>
      <c r="D48" s="15">
        <v>7.2</v>
      </c>
      <c r="E48" s="15">
        <v>7.4</v>
      </c>
      <c r="F48" s="15">
        <v>6.3</v>
      </c>
      <c r="G48" s="15">
        <v>5.8</v>
      </c>
      <c r="H48" s="15">
        <v>4.7</v>
      </c>
      <c r="I48" s="15">
        <v>22.7</v>
      </c>
      <c r="J48" s="15">
        <v>17.3</v>
      </c>
      <c r="K48" s="15">
        <v>10.8</v>
      </c>
    </row>
    <row r="49" spans="1:11" ht="15" customHeight="1" x14ac:dyDescent="0.35">
      <c r="A49" s="13" t="s">
        <v>42</v>
      </c>
      <c r="B49" s="14">
        <v>523940</v>
      </c>
      <c r="C49" s="15">
        <v>0.5</v>
      </c>
      <c r="D49" s="15">
        <v>0.5</v>
      </c>
      <c r="E49" s="15">
        <v>0.4</v>
      </c>
      <c r="F49" s="15">
        <v>0.4</v>
      </c>
      <c r="G49" s="15">
        <v>0.4</v>
      </c>
      <c r="H49" s="15">
        <v>0.4</v>
      </c>
      <c r="I49" s="15">
        <v>1.8</v>
      </c>
      <c r="J49" s="15">
        <v>1.7</v>
      </c>
      <c r="K49" s="15">
        <v>1</v>
      </c>
    </row>
    <row r="50" spans="1:11" ht="15" customHeight="1" x14ac:dyDescent="0.35">
      <c r="A50" s="13" t="s">
        <v>52</v>
      </c>
      <c r="B50" s="14"/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</row>
  </sheetData>
  <mergeCells count="27">
    <mergeCell ref="H11"/>
    <mergeCell ref="I11"/>
    <mergeCell ref="J11"/>
    <mergeCell ref="K11"/>
    <mergeCell ref="C12"/>
    <mergeCell ref="F12"/>
    <mergeCell ref="I12"/>
    <mergeCell ref="C11"/>
    <mergeCell ref="D11"/>
    <mergeCell ref="E11"/>
    <mergeCell ref="F11"/>
    <mergeCell ref="G11"/>
    <mergeCell ref="C13"/>
    <mergeCell ref="D12"/>
    <mergeCell ref="D13"/>
    <mergeCell ref="E12"/>
    <mergeCell ref="E13"/>
    <mergeCell ref="F13"/>
    <mergeCell ref="G12"/>
    <mergeCell ref="G13"/>
    <mergeCell ref="H12"/>
    <mergeCell ref="H13"/>
    <mergeCell ref="I13"/>
    <mergeCell ref="J12"/>
    <mergeCell ref="J13"/>
    <mergeCell ref="K12"/>
    <mergeCell ref="K13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26"/>
  <sheetViews>
    <sheetView workbookViewId="0">
      <selection activeCell="C1" sqref="C1"/>
    </sheetView>
  </sheetViews>
  <sheetFormatPr defaultColWidth="8.81640625" defaultRowHeight="14.5" outlineLevelRow="1" x14ac:dyDescent="0.35"/>
  <cols>
    <col min="1" max="1" width="85.6328125" customWidth="1"/>
    <col min="2" max="6" width="15.6328125" customWidth="1"/>
  </cols>
  <sheetData>
    <row r="1" spans="1:6" ht="15" customHeight="1" x14ac:dyDescent="0.35">
      <c r="A1" s="1" t="s">
        <v>0</v>
      </c>
      <c r="B1" s="2"/>
      <c r="C1" s="2"/>
      <c r="D1" s="2"/>
      <c r="E1" s="2"/>
      <c r="F1" s="2"/>
    </row>
    <row r="2" spans="1:6" ht="15" customHeight="1" x14ac:dyDescent="0.35">
      <c r="A2" s="3" t="s">
        <v>1</v>
      </c>
      <c r="B2" s="4" t="s">
        <v>2</v>
      </c>
    </row>
    <row r="3" spans="1:6" x14ac:dyDescent="0.35">
      <c r="A3" s="3" t="s">
        <v>3</v>
      </c>
      <c r="B3" s="3" t="s">
        <v>4</v>
      </c>
    </row>
    <row r="4" spans="1:6" x14ac:dyDescent="0.35">
      <c r="A4" s="3" t="s">
        <v>5</v>
      </c>
      <c r="B4" s="3" t="s">
        <v>4</v>
      </c>
    </row>
    <row r="5" spans="1:6" x14ac:dyDescent="0.35">
      <c r="A5" s="3" t="s">
        <v>6</v>
      </c>
      <c r="B5" s="3" t="s">
        <v>7</v>
      </c>
    </row>
    <row r="6" spans="1:6" x14ac:dyDescent="0.35">
      <c r="A6" s="3" t="s">
        <v>8</v>
      </c>
      <c r="B6" s="3" t="s">
        <v>9</v>
      </c>
    </row>
    <row r="7" spans="1:6" x14ac:dyDescent="0.35">
      <c r="A7" s="3" t="s">
        <v>10</v>
      </c>
      <c r="B7" s="3" t="s">
        <v>11</v>
      </c>
    </row>
    <row r="8" spans="1:6" x14ac:dyDescent="0.35">
      <c r="A8" s="3" t="s">
        <v>12</v>
      </c>
      <c r="B8" s="3" t="s">
        <v>13</v>
      </c>
    </row>
    <row r="9" spans="1:6" x14ac:dyDescent="0.35">
      <c r="A9" s="3" t="s">
        <v>14</v>
      </c>
      <c r="B9" s="3" t="s">
        <v>15</v>
      </c>
    </row>
    <row r="10" spans="1:6" x14ac:dyDescent="0.35">
      <c r="A10" s="3" t="s">
        <v>16</v>
      </c>
      <c r="B10" s="5">
        <v>45076.753914328699</v>
      </c>
    </row>
    <row r="11" spans="1:6" x14ac:dyDescent="0.35">
      <c r="A11" s="6" t="s">
        <v>17</v>
      </c>
      <c r="B11" s="431" t="s">
        <v>22</v>
      </c>
      <c r="C11" s="431" t="s">
        <v>23</v>
      </c>
      <c r="D11" s="431" t="s">
        <v>24</v>
      </c>
      <c r="E11" s="431" t="s">
        <v>25</v>
      </c>
      <c r="F11" s="431" t="s">
        <v>26</v>
      </c>
    </row>
    <row r="12" spans="1:6" ht="15" customHeight="1" outlineLevel="1" x14ac:dyDescent="0.35">
      <c r="A12" s="7" t="s">
        <v>27</v>
      </c>
      <c r="B12" s="430">
        <v>43190</v>
      </c>
      <c r="C12" s="430">
        <v>43555</v>
      </c>
      <c r="D12" s="430">
        <v>43921</v>
      </c>
      <c r="E12" s="430">
        <v>44286</v>
      </c>
      <c r="F12" s="430">
        <v>44651</v>
      </c>
    </row>
    <row r="13" spans="1:6" ht="15" customHeight="1" outlineLevel="1" x14ac:dyDescent="0.35">
      <c r="A13" s="7" t="s">
        <v>28</v>
      </c>
      <c r="B13" s="430" t="s">
        <v>29</v>
      </c>
      <c r="C13" s="430" t="s">
        <v>29</v>
      </c>
      <c r="D13" s="430" t="s">
        <v>29</v>
      </c>
      <c r="E13" s="430" t="s">
        <v>29</v>
      </c>
      <c r="F13" s="430" t="s">
        <v>29</v>
      </c>
    </row>
    <row r="14" spans="1:6" x14ac:dyDescent="0.35">
      <c r="A14" s="8" t="s">
        <v>55</v>
      </c>
      <c r="B14" s="6"/>
      <c r="C14" s="6"/>
      <c r="D14" s="6"/>
      <c r="E14" s="6"/>
      <c r="F14" s="6"/>
    </row>
    <row r="15" spans="1:6" x14ac:dyDescent="0.35">
      <c r="A15" s="8" t="s">
        <v>31</v>
      </c>
      <c r="B15" s="9" t="s">
        <v>37</v>
      </c>
      <c r="C15" s="9" t="s">
        <v>38</v>
      </c>
      <c r="D15" s="9" t="s">
        <v>39</v>
      </c>
      <c r="E15" s="9" t="s">
        <v>40</v>
      </c>
      <c r="F15" s="9" t="s">
        <v>41</v>
      </c>
    </row>
    <row r="16" spans="1:6" ht="15" customHeight="1" x14ac:dyDescent="0.35">
      <c r="A16" s="10" t="s">
        <v>4</v>
      </c>
      <c r="B16" s="12"/>
      <c r="C16" s="12"/>
      <c r="D16" s="12"/>
      <c r="E16" s="12"/>
      <c r="F16" s="12"/>
    </row>
    <row r="17" spans="1:6" ht="15" customHeight="1" x14ac:dyDescent="0.35">
      <c r="A17" s="13" t="s">
        <v>44</v>
      </c>
      <c r="B17" s="17">
        <v>17181.7</v>
      </c>
      <c r="C17" s="17">
        <v>16148</v>
      </c>
      <c r="D17" s="17">
        <v>16088</v>
      </c>
      <c r="E17" s="17">
        <v>24111.4</v>
      </c>
      <c r="F17" s="17">
        <v>32302.9</v>
      </c>
    </row>
    <row r="18" spans="1:6" ht="15" customHeight="1" x14ac:dyDescent="0.35">
      <c r="A18" s="13" t="s">
        <v>48</v>
      </c>
      <c r="B18" s="16">
        <v>1593.9</v>
      </c>
      <c r="C18" s="16">
        <v>1872.2</v>
      </c>
      <c r="D18" s="16">
        <v>3828.8</v>
      </c>
      <c r="E18" s="16">
        <v>2961.1</v>
      </c>
      <c r="F18" s="16">
        <v>3346.8</v>
      </c>
    </row>
    <row r="19" spans="1:6" ht="15" customHeight="1" x14ac:dyDescent="0.35">
      <c r="A19" s="10" t="s">
        <v>56</v>
      </c>
      <c r="B19" s="12"/>
      <c r="C19" s="12"/>
      <c r="D19" s="12"/>
      <c r="E19" s="12"/>
      <c r="F19" s="12"/>
    </row>
    <row r="20" spans="1:6" ht="15" customHeight="1" x14ac:dyDescent="0.35">
      <c r="A20" s="13" t="s">
        <v>44</v>
      </c>
      <c r="B20" s="16">
        <v>1428.4</v>
      </c>
      <c r="C20" s="16">
        <v>1122.2</v>
      </c>
      <c r="D20" s="16">
        <v>1161.4000000000001</v>
      </c>
      <c r="E20" s="16">
        <v>1750.3</v>
      </c>
      <c r="F20" s="16">
        <v>2081.9</v>
      </c>
    </row>
    <row r="21" spans="1:6" ht="15" customHeight="1" x14ac:dyDescent="0.35">
      <c r="A21" s="13" t="s">
        <v>48</v>
      </c>
      <c r="B21" s="15">
        <v>2.7</v>
      </c>
      <c r="C21" s="15">
        <v>2.1</v>
      </c>
      <c r="D21" s="15">
        <v>1.7</v>
      </c>
      <c r="E21" s="15">
        <v>0.6</v>
      </c>
      <c r="F21" s="15">
        <v>0.2</v>
      </c>
    </row>
    <row r="22" spans="1:6" ht="15" customHeight="1" x14ac:dyDescent="0.35">
      <c r="A22" s="10" t="s">
        <v>53</v>
      </c>
      <c r="B22" s="12"/>
      <c r="C22" s="12"/>
      <c r="D22" s="12"/>
      <c r="E22" s="12"/>
      <c r="F22" s="12"/>
    </row>
    <row r="23" spans="1:6" ht="15" customHeight="1" x14ac:dyDescent="0.35">
      <c r="A23" s="13" t="s">
        <v>44</v>
      </c>
      <c r="B23" s="17">
        <v>18610.099999999999</v>
      </c>
      <c r="C23" s="17">
        <v>17270.2</v>
      </c>
      <c r="D23" s="17">
        <v>17249.400000000001</v>
      </c>
      <c r="E23" s="17">
        <v>25861.7</v>
      </c>
      <c r="F23" s="17">
        <v>34384.800000000003</v>
      </c>
    </row>
    <row r="24" spans="1:6" ht="15" customHeight="1" x14ac:dyDescent="0.35">
      <c r="A24" s="13" t="s">
        <v>57</v>
      </c>
      <c r="B24" s="15">
        <v>2.7</v>
      </c>
      <c r="C24" s="15">
        <v>2.1</v>
      </c>
      <c r="D24" s="15">
        <v>1.7</v>
      </c>
      <c r="E24" s="15">
        <v>0.6</v>
      </c>
      <c r="F24" s="15">
        <v>0.2</v>
      </c>
    </row>
    <row r="25" spans="1:6" ht="15" customHeight="1" x14ac:dyDescent="0.35">
      <c r="A25" s="13" t="s">
        <v>58</v>
      </c>
      <c r="B25" s="16">
        <v>1428.4</v>
      </c>
      <c r="C25" s="16">
        <v>1122.2</v>
      </c>
      <c r="D25" s="16">
        <v>1161.4000000000001</v>
      </c>
      <c r="E25" s="16">
        <v>1750.3</v>
      </c>
      <c r="F25" s="16">
        <v>2081.9</v>
      </c>
    </row>
    <row r="26" spans="1:6" ht="15" customHeight="1" x14ac:dyDescent="0.35">
      <c r="A26" s="13" t="s">
        <v>48</v>
      </c>
      <c r="B26" s="16">
        <v>1596.6</v>
      </c>
      <c r="C26" s="16">
        <v>1874.3</v>
      </c>
      <c r="D26" s="16">
        <v>3830.5</v>
      </c>
      <c r="E26" s="16">
        <v>2961.7</v>
      </c>
      <c r="F26" s="16">
        <v>3347</v>
      </c>
    </row>
  </sheetData>
  <mergeCells count="15">
    <mergeCell ref="B11"/>
    <mergeCell ref="C11"/>
    <mergeCell ref="D11"/>
    <mergeCell ref="E11"/>
    <mergeCell ref="F11"/>
    <mergeCell ref="E12"/>
    <mergeCell ref="E13"/>
    <mergeCell ref="F12"/>
    <mergeCell ref="F13"/>
    <mergeCell ref="B12"/>
    <mergeCell ref="B13"/>
    <mergeCell ref="C12"/>
    <mergeCell ref="C13"/>
    <mergeCell ref="D12"/>
    <mergeCell ref="D13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23"/>
  <sheetViews>
    <sheetView workbookViewId="0">
      <selection activeCell="B1" sqref="B1"/>
    </sheetView>
  </sheetViews>
  <sheetFormatPr defaultColWidth="8.81640625" defaultRowHeight="14.5" outlineLevelRow="1" x14ac:dyDescent="0.35"/>
  <cols>
    <col min="1" max="1" width="85.6328125" customWidth="1"/>
    <col min="2" max="6" width="15.6328125" customWidth="1"/>
  </cols>
  <sheetData>
    <row r="1" spans="1:6" ht="15" customHeight="1" x14ac:dyDescent="0.35">
      <c r="A1" s="1" t="s">
        <v>0</v>
      </c>
      <c r="B1" s="2"/>
      <c r="C1" s="2"/>
      <c r="D1" s="2"/>
      <c r="E1" s="2"/>
      <c r="F1" s="2"/>
    </row>
    <row r="2" spans="1:6" ht="15" customHeight="1" x14ac:dyDescent="0.35">
      <c r="A2" s="3" t="s">
        <v>1</v>
      </c>
      <c r="B2" s="4" t="s">
        <v>2</v>
      </c>
    </row>
    <row r="3" spans="1:6" x14ac:dyDescent="0.35">
      <c r="A3" s="3" t="s">
        <v>3</v>
      </c>
      <c r="B3" s="3" t="s">
        <v>4</v>
      </c>
    </row>
    <row r="4" spans="1:6" x14ac:dyDescent="0.35">
      <c r="A4" s="3" t="s">
        <v>5</v>
      </c>
      <c r="B4" s="3" t="s">
        <v>4</v>
      </c>
    </row>
    <row r="5" spans="1:6" x14ac:dyDescent="0.35">
      <c r="A5" s="3" t="s">
        <v>6</v>
      </c>
      <c r="B5" s="3" t="s">
        <v>7</v>
      </c>
    </row>
    <row r="6" spans="1:6" x14ac:dyDescent="0.35">
      <c r="A6" s="3" t="s">
        <v>8</v>
      </c>
      <c r="B6" s="3" t="s">
        <v>9</v>
      </c>
    </row>
    <row r="7" spans="1:6" x14ac:dyDescent="0.35">
      <c r="A7" s="3" t="s">
        <v>10</v>
      </c>
      <c r="B7" s="3" t="s">
        <v>11</v>
      </c>
    </row>
    <row r="8" spans="1:6" x14ac:dyDescent="0.35">
      <c r="A8" s="3" t="s">
        <v>12</v>
      </c>
      <c r="B8" s="3" t="s">
        <v>13</v>
      </c>
    </row>
    <row r="9" spans="1:6" x14ac:dyDescent="0.35">
      <c r="A9" s="3" t="s">
        <v>14</v>
      </c>
      <c r="B9" s="3" t="s">
        <v>15</v>
      </c>
    </row>
    <row r="10" spans="1:6" x14ac:dyDescent="0.35">
      <c r="A10" s="3" t="s">
        <v>16</v>
      </c>
      <c r="B10" s="5">
        <v>45076.753914340297</v>
      </c>
    </row>
    <row r="11" spans="1:6" x14ac:dyDescent="0.35">
      <c r="A11" s="6" t="s">
        <v>17</v>
      </c>
      <c r="B11" s="431" t="s">
        <v>22</v>
      </c>
      <c r="C11" s="431" t="s">
        <v>23</v>
      </c>
      <c r="D11" s="431" t="s">
        <v>24</v>
      </c>
      <c r="E11" s="431" t="s">
        <v>25</v>
      </c>
      <c r="F11" s="431" t="s">
        <v>26</v>
      </c>
    </row>
    <row r="12" spans="1:6" ht="15" customHeight="1" outlineLevel="1" x14ac:dyDescent="0.35">
      <c r="A12" s="7" t="s">
        <v>27</v>
      </c>
      <c r="B12" s="430">
        <v>43190</v>
      </c>
      <c r="C12" s="430">
        <v>43555</v>
      </c>
      <c r="D12" s="430">
        <v>43921</v>
      </c>
      <c r="E12" s="430">
        <v>44286</v>
      </c>
      <c r="F12" s="430">
        <v>44651</v>
      </c>
    </row>
    <row r="13" spans="1:6" ht="15" customHeight="1" outlineLevel="1" x14ac:dyDescent="0.35">
      <c r="A13" s="7" t="s">
        <v>28</v>
      </c>
      <c r="B13" s="430" t="s">
        <v>29</v>
      </c>
      <c r="C13" s="430" t="s">
        <v>29</v>
      </c>
      <c r="D13" s="430" t="s">
        <v>29</v>
      </c>
      <c r="E13" s="430" t="s">
        <v>29</v>
      </c>
      <c r="F13" s="430" t="s">
        <v>29</v>
      </c>
    </row>
    <row r="14" spans="1:6" x14ac:dyDescent="0.35">
      <c r="A14" s="8" t="s">
        <v>59</v>
      </c>
      <c r="B14" s="6"/>
      <c r="C14" s="6"/>
      <c r="D14" s="6"/>
      <c r="E14" s="6"/>
      <c r="F14" s="6"/>
    </row>
    <row r="15" spans="1:6" x14ac:dyDescent="0.35">
      <c r="A15" s="8" t="s">
        <v>31</v>
      </c>
      <c r="B15" s="9" t="s">
        <v>37</v>
      </c>
      <c r="C15" s="9" t="s">
        <v>38</v>
      </c>
      <c r="D15" s="9" t="s">
        <v>39</v>
      </c>
      <c r="E15" s="9" t="s">
        <v>40</v>
      </c>
      <c r="F15" s="9" t="s">
        <v>41</v>
      </c>
    </row>
    <row r="16" spans="1:6" ht="15" customHeight="1" x14ac:dyDescent="0.35">
      <c r="A16" s="10" t="s">
        <v>44</v>
      </c>
      <c r="B16" s="12">
        <v>18610.099999999999</v>
      </c>
      <c r="C16" s="12">
        <v>17270.2</v>
      </c>
      <c r="D16" s="12">
        <v>17249.400000000001</v>
      </c>
      <c r="E16" s="12">
        <v>25861.7</v>
      </c>
      <c r="F16" s="12">
        <v>34384.800000000003</v>
      </c>
    </row>
    <row r="17" spans="1:6" ht="15" customHeight="1" x14ac:dyDescent="0.35">
      <c r="A17" s="13" t="s">
        <v>4</v>
      </c>
      <c r="B17" s="17">
        <v>17181.7</v>
      </c>
      <c r="C17" s="17">
        <v>16148</v>
      </c>
      <c r="D17" s="17">
        <v>16088</v>
      </c>
      <c r="E17" s="17">
        <v>24111.4</v>
      </c>
      <c r="F17" s="17">
        <v>32302.9</v>
      </c>
    </row>
    <row r="18" spans="1:6" ht="15" customHeight="1" x14ac:dyDescent="0.35">
      <c r="A18" s="13" t="s">
        <v>56</v>
      </c>
      <c r="B18" s="16">
        <v>1428.4</v>
      </c>
      <c r="C18" s="16">
        <v>1122.2</v>
      </c>
      <c r="D18" s="16">
        <v>1161.4000000000001</v>
      </c>
      <c r="E18" s="16">
        <v>1750.3</v>
      </c>
      <c r="F18" s="16">
        <v>2081.9</v>
      </c>
    </row>
    <row r="19" spans="1:6" ht="15" customHeight="1" x14ac:dyDescent="0.35">
      <c r="A19" s="10" t="s">
        <v>48</v>
      </c>
      <c r="B19" s="20">
        <v>1596.6</v>
      </c>
      <c r="C19" s="20">
        <v>1874.3</v>
      </c>
      <c r="D19" s="20">
        <v>3830.5</v>
      </c>
      <c r="E19" s="20">
        <v>2961.7</v>
      </c>
      <c r="F19" s="20">
        <v>3347</v>
      </c>
    </row>
    <row r="20" spans="1:6" ht="15" customHeight="1" x14ac:dyDescent="0.35">
      <c r="A20" s="13" t="s">
        <v>4</v>
      </c>
      <c r="B20" s="16">
        <v>1593.9</v>
      </c>
      <c r="C20" s="16">
        <v>1872.2</v>
      </c>
      <c r="D20" s="16">
        <v>3828.8</v>
      </c>
      <c r="E20" s="16">
        <v>2961.1</v>
      </c>
      <c r="F20" s="16">
        <v>3346.8</v>
      </c>
    </row>
    <row r="21" spans="1:6" ht="15" customHeight="1" x14ac:dyDescent="0.35">
      <c r="A21" s="13" t="s">
        <v>56</v>
      </c>
      <c r="B21" s="15">
        <v>2.7</v>
      </c>
      <c r="C21" s="15">
        <v>2.1</v>
      </c>
      <c r="D21" s="15">
        <v>1.7</v>
      </c>
      <c r="E21" s="15">
        <v>0.6</v>
      </c>
      <c r="F21" s="15">
        <v>0.2</v>
      </c>
    </row>
    <row r="22" spans="1:6" ht="15" customHeight="1" x14ac:dyDescent="0.35">
      <c r="A22" s="21" t="s">
        <v>58</v>
      </c>
      <c r="B22" s="16">
        <v>1428.4</v>
      </c>
      <c r="C22" s="16">
        <v>1122.2</v>
      </c>
      <c r="D22" s="16">
        <v>1161.4000000000001</v>
      </c>
      <c r="E22" s="16">
        <v>1750.3</v>
      </c>
      <c r="F22" s="16">
        <v>2081.9</v>
      </c>
    </row>
    <row r="23" spans="1:6" ht="15" customHeight="1" x14ac:dyDescent="0.35">
      <c r="A23" s="21" t="s">
        <v>57</v>
      </c>
      <c r="B23" s="15">
        <v>2.7</v>
      </c>
      <c r="C23" s="15">
        <v>2.1</v>
      </c>
      <c r="D23" s="15">
        <v>1.7</v>
      </c>
      <c r="E23" s="15">
        <v>0.6</v>
      </c>
      <c r="F23" s="15">
        <v>0.2</v>
      </c>
    </row>
  </sheetData>
  <mergeCells count="15">
    <mergeCell ref="B11"/>
    <mergeCell ref="C11"/>
    <mergeCell ref="D11"/>
    <mergeCell ref="E11"/>
    <mergeCell ref="F11"/>
    <mergeCell ref="E12"/>
    <mergeCell ref="E13"/>
    <mergeCell ref="F12"/>
    <mergeCell ref="F13"/>
    <mergeCell ref="B12"/>
    <mergeCell ref="B13"/>
    <mergeCell ref="C12"/>
    <mergeCell ref="C13"/>
    <mergeCell ref="D12"/>
    <mergeCell ref="D13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62ED-46DE-FF40-9D79-12397DA26DAB}">
  <sheetPr>
    <tabColor theme="4" tint="0.39997558519241921"/>
  </sheetPr>
  <dimension ref="A20:B26"/>
  <sheetViews>
    <sheetView showGridLines="0" tabSelected="1" workbookViewId="0">
      <selection activeCell="D26" sqref="D26"/>
    </sheetView>
  </sheetViews>
  <sheetFormatPr defaultColWidth="10.90625" defaultRowHeight="14.5" x14ac:dyDescent="0.35"/>
  <cols>
    <col min="1" max="1" width="20.36328125" customWidth="1"/>
  </cols>
  <sheetData>
    <row r="20" spans="1:2" x14ac:dyDescent="0.35">
      <c r="A20" s="66" t="s">
        <v>853</v>
      </c>
      <c r="B20" s="66"/>
    </row>
    <row r="21" spans="1:2" x14ac:dyDescent="0.35">
      <c r="A21" s="66" t="s">
        <v>854</v>
      </c>
      <c r="B21" s="66" t="s">
        <v>855</v>
      </c>
    </row>
    <row r="22" spans="1:2" x14ac:dyDescent="0.35">
      <c r="A22" s="66" t="s">
        <v>856</v>
      </c>
      <c r="B22" s="66" t="s">
        <v>857</v>
      </c>
    </row>
    <row r="23" spans="1:2" x14ac:dyDescent="0.35">
      <c r="A23" s="66" t="s">
        <v>858</v>
      </c>
      <c r="B23" s="66" t="s">
        <v>859</v>
      </c>
    </row>
    <row r="24" spans="1:2" x14ac:dyDescent="0.35">
      <c r="A24" s="66" t="s">
        <v>860</v>
      </c>
      <c r="B24" s="66" t="s">
        <v>861</v>
      </c>
    </row>
    <row r="25" spans="1:2" x14ac:dyDescent="0.35">
      <c r="A25" s="66" t="s">
        <v>852</v>
      </c>
      <c r="B25" s="66" t="s">
        <v>862</v>
      </c>
    </row>
    <row r="26" spans="1:2" x14ac:dyDescent="0.35">
      <c r="A26" s="66" t="s">
        <v>863</v>
      </c>
      <c r="B26" s="66" t="s">
        <v>864</v>
      </c>
    </row>
  </sheetData>
  <pageMargins left="0.7" right="0.7" top="0.75" bottom="0.75" header="0.3" footer="0.3"/>
  <pageSetup paperSize="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28F7-F7D1-0F41-88AB-B2023AA73F68}">
  <sheetPr>
    <tabColor theme="4" tint="0.39997558519241921"/>
  </sheetPr>
  <dimension ref="B2:F25"/>
  <sheetViews>
    <sheetView workbookViewId="0">
      <selection activeCell="C37" sqref="C37"/>
    </sheetView>
  </sheetViews>
  <sheetFormatPr defaultColWidth="10.90625" defaultRowHeight="14.5" x14ac:dyDescent="0.35"/>
  <cols>
    <col min="3" max="3" width="18.1796875" customWidth="1"/>
    <col min="4" max="4" width="26.81640625" customWidth="1"/>
    <col min="6" max="6" width="25.453125" customWidth="1"/>
  </cols>
  <sheetData>
    <row r="2" spans="2:6" ht="28.5" x14ac:dyDescent="0.65">
      <c r="B2" s="70" t="s">
        <v>2</v>
      </c>
    </row>
    <row r="4" spans="2:6" ht="20" x14ac:dyDescent="0.35">
      <c r="B4" s="432" t="s">
        <v>847</v>
      </c>
      <c r="C4" s="432"/>
      <c r="D4" s="432"/>
      <c r="E4" s="432"/>
      <c r="F4" s="432"/>
    </row>
    <row r="5" spans="2:6" x14ac:dyDescent="0.35">
      <c r="B5" s="352"/>
      <c r="C5" s="352"/>
      <c r="D5" s="352"/>
      <c r="E5" s="352"/>
      <c r="F5" s="352"/>
    </row>
    <row r="6" spans="2:6" x14ac:dyDescent="0.35">
      <c r="B6" s="352"/>
      <c r="C6" s="353" t="s">
        <v>848</v>
      </c>
      <c r="D6" s="353" t="s">
        <v>645</v>
      </c>
      <c r="E6" s="353" t="s">
        <v>548</v>
      </c>
      <c r="F6" s="352"/>
    </row>
    <row r="7" spans="2:6" x14ac:dyDescent="0.35">
      <c r="B7" s="352"/>
      <c r="C7" s="352">
        <v>1</v>
      </c>
      <c r="D7" s="354" t="s">
        <v>865</v>
      </c>
      <c r="E7" s="352" t="s">
        <v>851</v>
      </c>
      <c r="F7" s="352"/>
    </row>
    <row r="8" spans="2:6" x14ac:dyDescent="0.35">
      <c r="B8" s="352"/>
      <c r="C8" s="352">
        <v>2</v>
      </c>
      <c r="D8" s="354" t="s">
        <v>866</v>
      </c>
      <c r="E8" s="352" t="s">
        <v>867</v>
      </c>
      <c r="F8" s="352"/>
    </row>
    <row r="9" spans="2:6" x14ac:dyDescent="0.35">
      <c r="B9" s="352"/>
      <c r="C9" s="352">
        <v>3</v>
      </c>
      <c r="D9" s="354" t="s">
        <v>869</v>
      </c>
      <c r="E9" s="352" t="s">
        <v>868</v>
      </c>
      <c r="F9" s="352"/>
    </row>
    <row r="10" spans="2:6" x14ac:dyDescent="0.35">
      <c r="B10" s="352"/>
      <c r="C10" s="352">
        <v>4</v>
      </c>
      <c r="D10" s="354" t="s">
        <v>871</v>
      </c>
      <c r="E10" s="352" t="s">
        <v>870</v>
      </c>
      <c r="F10" s="352"/>
    </row>
    <row r="11" spans="2:6" x14ac:dyDescent="0.35">
      <c r="B11" s="352"/>
      <c r="C11" s="352">
        <v>5</v>
      </c>
      <c r="D11" s="354" t="s">
        <v>873</v>
      </c>
      <c r="E11" s="352" t="s">
        <v>872</v>
      </c>
      <c r="F11" s="352"/>
    </row>
    <row r="12" spans="2:6" x14ac:dyDescent="0.35">
      <c r="B12" s="352"/>
      <c r="C12" s="352">
        <v>6</v>
      </c>
      <c r="D12" s="354" t="s">
        <v>875</v>
      </c>
      <c r="E12" s="352" t="s">
        <v>874</v>
      </c>
      <c r="F12" s="352"/>
    </row>
    <row r="13" spans="2:6" x14ac:dyDescent="0.35">
      <c r="B13" s="352"/>
      <c r="C13" s="352">
        <v>7</v>
      </c>
      <c r="D13" s="354" t="s">
        <v>877</v>
      </c>
      <c r="E13" s="352" t="s">
        <v>876</v>
      </c>
      <c r="F13" s="352"/>
    </row>
    <row r="14" spans="2:6" x14ac:dyDescent="0.35">
      <c r="B14" s="352"/>
      <c r="C14" s="352">
        <v>8</v>
      </c>
      <c r="D14" s="354" t="s">
        <v>878</v>
      </c>
      <c r="E14" s="352" t="s">
        <v>604</v>
      </c>
      <c r="F14" s="352"/>
    </row>
    <row r="15" spans="2:6" x14ac:dyDescent="0.35">
      <c r="B15" s="352"/>
      <c r="C15" s="352">
        <v>9</v>
      </c>
      <c r="D15" s="351" t="s">
        <v>879</v>
      </c>
      <c r="E15" s="352" t="s">
        <v>850</v>
      </c>
      <c r="F15" s="352"/>
    </row>
    <row r="16" spans="2:6" x14ac:dyDescent="0.35">
      <c r="B16" s="352"/>
      <c r="C16" s="352">
        <v>10</v>
      </c>
      <c r="D16" s="351" t="s">
        <v>880</v>
      </c>
      <c r="E16" s="352" t="s">
        <v>662</v>
      </c>
      <c r="F16" s="352"/>
    </row>
    <row r="17" spans="2:6" x14ac:dyDescent="0.35">
      <c r="B17" s="352"/>
      <c r="C17" s="352">
        <v>11</v>
      </c>
      <c r="D17" s="354" t="s">
        <v>882</v>
      </c>
      <c r="E17" s="352" t="s">
        <v>881</v>
      </c>
      <c r="F17" s="352"/>
    </row>
    <row r="18" spans="2:6" x14ac:dyDescent="0.35">
      <c r="B18" s="352"/>
      <c r="C18" s="352">
        <v>12</v>
      </c>
      <c r="D18" s="351" t="s">
        <v>883</v>
      </c>
      <c r="E18" s="352" t="s">
        <v>634</v>
      </c>
      <c r="F18" s="352"/>
    </row>
    <row r="19" spans="2:6" x14ac:dyDescent="0.35">
      <c r="B19" s="352"/>
      <c r="C19" s="352">
        <v>13</v>
      </c>
      <c r="D19" s="351" t="s">
        <v>884</v>
      </c>
      <c r="E19" s="352" t="s">
        <v>635</v>
      </c>
      <c r="F19" s="352"/>
    </row>
    <row r="20" spans="2:6" x14ac:dyDescent="0.35">
      <c r="B20" s="352"/>
      <c r="C20" s="352">
        <v>13</v>
      </c>
      <c r="D20" s="354" t="s">
        <v>885</v>
      </c>
      <c r="E20" s="352" t="s">
        <v>817</v>
      </c>
      <c r="F20" s="352"/>
    </row>
    <row r="21" spans="2:6" x14ac:dyDescent="0.35">
      <c r="B21" s="352"/>
      <c r="C21" s="352">
        <v>14</v>
      </c>
      <c r="D21" s="351" t="s">
        <v>887</v>
      </c>
      <c r="E21" s="352" t="s">
        <v>886</v>
      </c>
      <c r="F21" s="352"/>
    </row>
    <row r="22" spans="2:6" x14ac:dyDescent="0.35">
      <c r="B22" s="352"/>
      <c r="C22" s="352">
        <v>15</v>
      </c>
      <c r="D22" s="354" t="s">
        <v>888</v>
      </c>
      <c r="E22" s="352" t="s">
        <v>849</v>
      </c>
      <c r="F22" s="352"/>
    </row>
    <row r="23" spans="2:6" x14ac:dyDescent="0.35">
      <c r="B23" s="352"/>
      <c r="C23" s="352"/>
      <c r="D23" s="350"/>
      <c r="E23" s="352"/>
      <c r="F23" s="352"/>
    </row>
    <row r="24" spans="2:6" x14ac:dyDescent="0.35">
      <c r="B24" s="352"/>
      <c r="C24" s="352"/>
      <c r="D24" s="350"/>
      <c r="E24" s="352"/>
      <c r="F24" s="352"/>
    </row>
    <row r="25" spans="2:6" x14ac:dyDescent="0.35">
      <c r="B25" s="352"/>
      <c r="C25" s="352"/>
      <c r="D25" s="350"/>
      <c r="E25" s="352"/>
      <c r="F25" s="352"/>
    </row>
  </sheetData>
  <mergeCells count="1">
    <mergeCell ref="B4:F4"/>
  </mergeCells>
  <hyperlinks>
    <hyperlink ref="D7" location="'Income Statement'!A1" display="'Income Statement'!A1" xr:uid="{CAA8C13B-9165-0543-A743-AC2FE575D070}"/>
    <hyperlink ref="D8" location="'Balance Sheet'!A1" display="'Balance Sheet'!A1" xr:uid="{EFBC07F5-504C-2C49-9015-07FF43C5FD05}"/>
    <hyperlink ref="D9" location="'Cash Flow'!A1" display="'Cash Flow'!A1" xr:uid="{B5A79BB4-B1C0-3F46-8244-BDD9E16C6ADD}"/>
    <hyperlink ref="D10" location="'Revenue Assumptions'!A1" display="'Revenue Assumptions'!A1" xr:uid="{90A27584-7CB3-274C-BC31-FF74D07DB120}"/>
    <hyperlink ref="D11" location="'Expense Assumptions'!A1" display="'Expense Assumptions'!A1" xr:uid="{199E0242-360C-B344-9425-9A62359BA116}"/>
    <hyperlink ref="D12" location="'Capex Assumption'!A1" display="'Capex Assumption'!A1" xr:uid="{2074A52D-7C8A-8A42-9F19-098FA253A43B}"/>
    <hyperlink ref="D13" location="'Working Capital'!A1" display="'Working Capital'!A1" xr:uid="{2E045D93-2A31-DD4E-AEF8-4D0435A2A137}"/>
    <hyperlink ref="D14" location="'ESG Score'!A1" display="'ESG Score'!A1" xr:uid="{B427C904-4A6A-234F-A4A7-077FFE85DEB4}"/>
    <hyperlink ref="D15" location="Rm!A1" display="Rm!A1" xr:uid="{51A2932A-97CB-E54E-AE8C-D7503325E1BF}"/>
    <hyperlink ref="D16" location="Beta!A1" display="Beta!A1" xr:uid="{8D9D5BEE-4808-0A42-ACBA-7E5FDC1D3295}"/>
    <hyperlink ref="D17" location="'P&amp;L (projection)'!A1" display="'P&amp;L (projection)'!A1" xr:uid="{83E4B704-83B7-5148-8DDA-8B83DE810CEA}"/>
    <hyperlink ref="D18" location="DCF!A1" display="DCF!A1" xr:uid="{40C5452A-034C-D042-A4F9-2E887FCA5C8E}"/>
    <hyperlink ref="D19" location="DDM!A1" display="DDM!A1" xr:uid="{B30E269C-AE13-6A41-BA65-D89625ED9418}"/>
    <hyperlink ref="D20" location="'Residual Income'!A1" display="'Residual Income'!A1" xr:uid="{94F5F0E1-1C12-6A49-8A20-5771D841D75D}"/>
    <hyperlink ref="D21" location="Relative!A1" display="Relative!A1" xr:uid="{40F8E638-CA1B-E34C-ADFA-770B28D00B4D}"/>
    <hyperlink ref="D22" location="'Price projection'!A1" display="'Price projection'!A1" xr:uid="{A99E5AB6-3E4B-0947-95F7-95F7D8BD4F29}"/>
  </hyperlink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39997558519241921"/>
    <pageSetUpPr fitToPage="1"/>
  </sheetPr>
  <dimension ref="A1:K157"/>
  <sheetViews>
    <sheetView zoomScale="125" workbookViewId="0">
      <selection activeCell="A7" sqref="A7"/>
    </sheetView>
  </sheetViews>
  <sheetFormatPr defaultColWidth="8.81640625" defaultRowHeight="14.5" outlineLevelRow="1" x14ac:dyDescent="0.35"/>
  <cols>
    <col min="1" max="1" width="85.6328125" customWidth="1"/>
    <col min="2" max="10" width="15.6328125" customWidth="1"/>
  </cols>
  <sheetData>
    <row r="1" spans="1:10" ht="15" customHeight="1" thickBot="1" x14ac:dyDescent="0.4">
      <c r="A1" s="1" t="s">
        <v>60</v>
      </c>
      <c r="B1" s="2"/>
      <c r="C1" s="2"/>
      <c r="D1" s="2"/>
      <c r="E1" s="104" t="s">
        <v>550</v>
      </c>
      <c r="F1" s="2"/>
      <c r="G1" s="2"/>
      <c r="H1" s="2"/>
      <c r="I1" s="2"/>
      <c r="J1" s="2"/>
    </row>
    <row r="2" spans="1:10" ht="15" customHeight="1" thickTop="1" x14ac:dyDescent="0.35">
      <c r="A2" s="3" t="s">
        <v>1</v>
      </c>
      <c r="B2" s="4" t="s">
        <v>2</v>
      </c>
    </row>
    <row r="3" spans="1:10" x14ac:dyDescent="0.35">
      <c r="A3" s="3" t="s">
        <v>3</v>
      </c>
      <c r="B3" s="3" t="s">
        <v>4</v>
      </c>
    </row>
    <row r="4" spans="1:10" x14ac:dyDescent="0.35">
      <c r="A4" s="3" t="s">
        <v>5</v>
      </c>
      <c r="B4" s="3" t="s">
        <v>4</v>
      </c>
    </row>
    <row r="5" spans="1:10" x14ac:dyDescent="0.35">
      <c r="A5" s="3" t="s">
        <v>6</v>
      </c>
      <c r="B5" s="3" t="s">
        <v>7</v>
      </c>
    </row>
    <row r="6" spans="1:10" x14ac:dyDescent="0.35">
      <c r="A6" s="3" t="s">
        <v>8</v>
      </c>
      <c r="B6" s="3" t="s">
        <v>9</v>
      </c>
    </row>
    <row r="7" spans="1:10" x14ac:dyDescent="0.35">
      <c r="A7" s="3" t="s">
        <v>10</v>
      </c>
      <c r="B7" s="3" t="s">
        <v>11</v>
      </c>
    </row>
    <row r="8" spans="1:10" x14ac:dyDescent="0.35">
      <c r="A8" s="3" t="s">
        <v>12</v>
      </c>
      <c r="B8" s="3" t="s">
        <v>13</v>
      </c>
    </row>
    <row r="9" spans="1:10" x14ac:dyDescent="0.35">
      <c r="A9" s="3" t="s">
        <v>14</v>
      </c>
      <c r="B9" s="3" t="s">
        <v>15</v>
      </c>
    </row>
    <row r="10" spans="1:10" x14ac:dyDescent="0.35">
      <c r="A10" s="3" t="s">
        <v>16</v>
      </c>
      <c r="B10" s="5">
        <v>45076.753914340297</v>
      </c>
    </row>
    <row r="11" spans="1:10" x14ac:dyDescent="0.35">
      <c r="A11" s="6" t="s">
        <v>17</v>
      </c>
      <c r="B11" s="431" t="s">
        <v>18</v>
      </c>
      <c r="C11" s="431" t="s">
        <v>19</v>
      </c>
      <c r="D11" s="431" t="s">
        <v>20</v>
      </c>
      <c r="E11" s="431" t="s">
        <v>21</v>
      </c>
      <c r="F11" s="431" t="s">
        <v>22</v>
      </c>
      <c r="G11" s="431" t="s">
        <v>23</v>
      </c>
      <c r="H11" s="431" t="s">
        <v>24</v>
      </c>
      <c r="I11" s="431" t="s">
        <v>25</v>
      </c>
      <c r="J11" s="431" t="s">
        <v>26</v>
      </c>
    </row>
    <row r="12" spans="1:10" ht="15" customHeight="1" outlineLevel="1" x14ac:dyDescent="0.35">
      <c r="A12" s="7" t="s">
        <v>27</v>
      </c>
      <c r="B12" s="430">
        <v>41729</v>
      </c>
      <c r="C12" s="430">
        <v>42094</v>
      </c>
      <c r="D12" s="430">
        <v>42460</v>
      </c>
      <c r="E12" s="430">
        <v>42825</v>
      </c>
      <c r="F12" s="430">
        <v>43190</v>
      </c>
      <c r="G12" s="430">
        <v>43555</v>
      </c>
      <c r="H12" s="430">
        <v>43921</v>
      </c>
      <c r="I12" s="430">
        <v>44286</v>
      </c>
      <c r="J12" s="430">
        <v>44651</v>
      </c>
    </row>
    <row r="13" spans="1:10" ht="15" customHeight="1" outlineLevel="1" x14ac:dyDescent="0.35">
      <c r="A13" s="7" t="s">
        <v>28</v>
      </c>
      <c r="B13" s="430" t="s">
        <v>29</v>
      </c>
      <c r="C13" s="430" t="s">
        <v>29</v>
      </c>
      <c r="D13" s="430" t="s">
        <v>29</v>
      </c>
      <c r="E13" s="430" t="s">
        <v>29</v>
      </c>
      <c r="F13" s="430" t="s">
        <v>29</v>
      </c>
      <c r="G13" s="430" t="s">
        <v>29</v>
      </c>
      <c r="H13" s="430" t="s">
        <v>29</v>
      </c>
      <c r="I13" s="430" t="s">
        <v>29</v>
      </c>
      <c r="J13" s="430" t="s">
        <v>29</v>
      </c>
    </row>
    <row r="14" spans="1:10" x14ac:dyDescent="0.35">
      <c r="A14" s="8" t="s">
        <v>61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5">
      <c r="A15" s="8" t="s">
        <v>31</v>
      </c>
      <c r="B15" s="9" t="s">
        <v>33</v>
      </c>
      <c r="C15" s="9" t="s">
        <v>34</v>
      </c>
      <c r="D15" s="9" t="s">
        <v>35</v>
      </c>
      <c r="E15" s="9" t="s">
        <v>36</v>
      </c>
      <c r="F15" s="9" t="s">
        <v>37</v>
      </c>
      <c r="G15" s="9" t="s">
        <v>38</v>
      </c>
      <c r="H15" s="9" t="s">
        <v>39</v>
      </c>
      <c r="I15" s="9" t="s">
        <v>40</v>
      </c>
      <c r="J15" s="9" t="s">
        <v>41</v>
      </c>
    </row>
    <row r="16" spans="1:10" ht="15" customHeight="1" x14ac:dyDescent="0.35">
      <c r="A16" s="22" t="s">
        <v>62</v>
      </c>
      <c r="B16" s="23"/>
      <c r="C16" s="23"/>
      <c r="D16" s="23"/>
      <c r="E16" s="23"/>
      <c r="F16" s="23"/>
      <c r="G16" s="23"/>
      <c r="H16" s="23"/>
      <c r="I16" s="23"/>
      <c r="J16" s="23"/>
    </row>
    <row r="17" spans="1:11" ht="15" customHeight="1" x14ac:dyDescent="0.35">
      <c r="A17" s="35" t="s">
        <v>63</v>
      </c>
      <c r="B17" s="37">
        <v>581.5</v>
      </c>
      <c r="C17" s="37">
        <v>906</v>
      </c>
      <c r="D17" s="37">
        <v>946.1</v>
      </c>
      <c r="E17" s="37">
        <v>1077.2</v>
      </c>
      <c r="F17" s="37">
        <v>1577.3</v>
      </c>
      <c r="G17" s="37">
        <v>1796.9</v>
      </c>
      <c r="H17" s="37">
        <v>2350.4</v>
      </c>
      <c r="I17" s="37">
        <v>3448.9</v>
      </c>
      <c r="J17" s="37">
        <v>7185.5</v>
      </c>
    </row>
    <row r="18" spans="1:11" ht="15" customHeight="1" x14ac:dyDescent="0.35">
      <c r="A18" s="13" t="s">
        <v>64</v>
      </c>
      <c r="B18" s="16">
        <v>581.5</v>
      </c>
      <c r="C18" s="16">
        <v>906</v>
      </c>
      <c r="D18" s="16">
        <v>946.1</v>
      </c>
      <c r="E18" s="16">
        <v>1077.2</v>
      </c>
      <c r="F18" s="16">
        <v>1577.3</v>
      </c>
      <c r="G18" s="16">
        <v>1796.9</v>
      </c>
      <c r="H18" s="16">
        <v>2350.4</v>
      </c>
      <c r="I18" s="16">
        <v>3448.9</v>
      </c>
      <c r="J18" s="16">
        <v>7185.5</v>
      </c>
    </row>
    <row r="19" spans="1:11" ht="15" customHeight="1" x14ac:dyDescent="0.35">
      <c r="A19" s="21" t="s">
        <v>65</v>
      </c>
      <c r="B19" s="16">
        <v>6595.4</v>
      </c>
      <c r="C19" s="16">
        <v>9917.9</v>
      </c>
      <c r="D19" s="16">
        <v>9123.5</v>
      </c>
      <c r="E19" s="17">
        <v>11515.3</v>
      </c>
      <c r="F19" s="17">
        <v>15224.8</v>
      </c>
      <c r="G19" s="17">
        <v>13896</v>
      </c>
      <c r="H19" s="17">
        <v>13690.3</v>
      </c>
      <c r="I19" s="17">
        <v>20131</v>
      </c>
      <c r="J19" s="17">
        <v>23819.4</v>
      </c>
      <c r="K19" s="39"/>
    </row>
    <row r="20" spans="1:11" ht="15" customHeight="1" x14ac:dyDescent="0.35">
      <c r="A20" s="40" t="s">
        <v>66</v>
      </c>
      <c r="B20" s="37">
        <v>7501.5</v>
      </c>
      <c r="C20" s="41">
        <v>10917.2</v>
      </c>
      <c r="D20" s="41">
        <v>10106.6</v>
      </c>
      <c r="E20" s="41">
        <v>12741.8</v>
      </c>
      <c r="F20" s="41">
        <v>16795.2</v>
      </c>
      <c r="G20" s="41">
        <v>15061.1</v>
      </c>
      <c r="H20" s="41">
        <v>14693.1</v>
      </c>
      <c r="I20" s="41">
        <v>22005.9</v>
      </c>
      <c r="J20" s="41">
        <v>26546.1</v>
      </c>
      <c r="K20" t="s">
        <v>541</v>
      </c>
    </row>
    <row r="21" spans="1:11" ht="15" customHeight="1" x14ac:dyDescent="0.35">
      <c r="A21" s="13" t="s">
        <v>67</v>
      </c>
      <c r="B21" s="16">
        <v>906.1</v>
      </c>
      <c r="C21" s="16">
        <v>999.3</v>
      </c>
      <c r="D21" s="16">
        <v>983.1</v>
      </c>
      <c r="E21" s="16">
        <v>1226.5</v>
      </c>
      <c r="F21" s="16">
        <v>1570.4</v>
      </c>
      <c r="G21" s="16">
        <v>1165.0999999999999</v>
      </c>
      <c r="H21" s="16">
        <v>1002.8</v>
      </c>
      <c r="I21" s="16">
        <v>1874.9</v>
      </c>
      <c r="J21" s="16">
        <v>2726.7</v>
      </c>
    </row>
    <row r="22" spans="1:11" ht="15" customHeight="1" x14ac:dyDescent="0.35">
      <c r="A22" s="35" t="s">
        <v>68</v>
      </c>
      <c r="B22" s="36">
        <v>33.5</v>
      </c>
      <c r="C22" s="37">
        <v>267.8</v>
      </c>
      <c r="D22" s="37">
        <v>182.3</v>
      </c>
      <c r="E22" s="37">
        <v>213.9</v>
      </c>
      <c r="F22" s="37">
        <v>221.1</v>
      </c>
      <c r="G22" s="37">
        <v>166</v>
      </c>
      <c r="H22" s="38">
        <v>-33.1</v>
      </c>
      <c r="I22" s="37">
        <v>386.4</v>
      </c>
      <c r="J22" s="37">
        <v>588.70000000000005</v>
      </c>
    </row>
    <row r="23" spans="1:11" ht="15" customHeight="1" x14ac:dyDescent="0.35">
      <c r="A23" s="13" t="s">
        <v>69</v>
      </c>
      <c r="B23" s="17"/>
      <c r="C23" s="17"/>
      <c r="D23" s="17"/>
      <c r="E23" s="17"/>
      <c r="F23" s="17"/>
      <c r="G23" s="17"/>
      <c r="H23" s="17"/>
      <c r="I23" s="17"/>
      <c r="J23" s="16">
        <v>201.7</v>
      </c>
    </row>
    <row r="24" spans="1:11" ht="15" customHeight="1" x14ac:dyDescent="0.35">
      <c r="A24" s="13" t="s">
        <v>70</v>
      </c>
      <c r="B24" s="15">
        <v>33.5</v>
      </c>
      <c r="C24" s="16">
        <v>267.8</v>
      </c>
      <c r="D24" s="16">
        <v>182.3</v>
      </c>
      <c r="E24" s="16">
        <v>213.9</v>
      </c>
      <c r="F24" s="16">
        <v>221.1</v>
      </c>
      <c r="G24" s="16">
        <v>166</v>
      </c>
      <c r="H24" s="17"/>
      <c r="I24" s="17"/>
      <c r="J24" s="16">
        <v>387</v>
      </c>
    </row>
    <row r="25" spans="1:11" ht="15" customHeight="1" x14ac:dyDescent="0.35">
      <c r="A25" s="24" t="s">
        <v>71</v>
      </c>
      <c r="B25" s="15">
        <v>33.5</v>
      </c>
      <c r="C25" s="16">
        <v>267.8</v>
      </c>
      <c r="D25" s="16">
        <v>182.3</v>
      </c>
      <c r="E25" s="16">
        <v>213.9</v>
      </c>
      <c r="F25" s="16">
        <v>221.1</v>
      </c>
      <c r="G25" s="16">
        <v>166</v>
      </c>
      <c r="H25" s="17"/>
      <c r="I25" s="17"/>
      <c r="J25" s="16">
        <v>387</v>
      </c>
    </row>
    <row r="26" spans="1:11" ht="15" customHeight="1" x14ac:dyDescent="0.35">
      <c r="A26" s="40" t="s">
        <v>72</v>
      </c>
      <c r="B26" s="41"/>
      <c r="C26" s="41"/>
      <c r="D26" s="41"/>
      <c r="E26" s="41"/>
      <c r="F26" s="41"/>
      <c r="G26" s="41"/>
      <c r="H26" s="38">
        <v>-33.1</v>
      </c>
      <c r="I26" s="37">
        <v>386.4</v>
      </c>
      <c r="J26" s="17"/>
    </row>
    <row r="27" spans="1:11" ht="15" customHeight="1" x14ac:dyDescent="0.35">
      <c r="A27" s="35" t="s">
        <v>73</v>
      </c>
      <c r="B27" s="41"/>
      <c r="C27" s="41"/>
      <c r="D27" s="41"/>
      <c r="E27" s="41"/>
      <c r="F27" s="36">
        <v>16.5</v>
      </c>
      <c r="G27" s="36">
        <v>21.7</v>
      </c>
      <c r="H27" s="36">
        <v>15.7</v>
      </c>
      <c r="I27" s="36">
        <v>20.5</v>
      </c>
      <c r="J27" s="36">
        <v>29.5</v>
      </c>
    </row>
    <row r="28" spans="1:11" ht="15" customHeight="1" x14ac:dyDescent="0.35">
      <c r="A28" s="21" t="s">
        <v>74</v>
      </c>
      <c r="B28" s="15">
        <v>6.1</v>
      </c>
      <c r="C28" s="15">
        <v>4.0999999999999996</v>
      </c>
      <c r="D28" s="15">
        <v>10.8</v>
      </c>
      <c r="E28" s="15">
        <v>9.4</v>
      </c>
      <c r="F28" s="17"/>
      <c r="G28" s="17"/>
      <c r="H28" s="17"/>
      <c r="I28" s="17">
        <f>I29+I21</f>
        <v>25861.7</v>
      </c>
      <c r="J28" s="17"/>
    </row>
    <row r="29" spans="1:11" ht="15" customHeight="1" x14ac:dyDescent="0.35">
      <c r="A29" s="25" t="s">
        <v>75</v>
      </c>
      <c r="B29" s="26">
        <v>7216.5</v>
      </c>
      <c r="C29" s="27">
        <v>11095.8</v>
      </c>
      <c r="D29" s="27">
        <v>10262.700000000001</v>
      </c>
      <c r="E29" s="27">
        <v>12815.8</v>
      </c>
      <c r="F29" s="27">
        <v>17039.7</v>
      </c>
      <c r="G29" s="27">
        <v>15880.6</v>
      </c>
      <c r="H29" s="27">
        <v>16023.3</v>
      </c>
      <c r="I29" s="27">
        <v>23986.799999999999</v>
      </c>
      <c r="J29" s="27">
        <v>31623.1</v>
      </c>
    </row>
    <row r="30" spans="1:11" ht="15" customHeight="1" x14ac:dyDescent="0.35">
      <c r="A30" s="22" t="s">
        <v>76</v>
      </c>
      <c r="B30" s="23"/>
      <c r="C30" s="23"/>
      <c r="D30" s="23"/>
      <c r="E30" s="23"/>
      <c r="F30" s="23"/>
      <c r="G30" s="23"/>
      <c r="H30" s="23"/>
      <c r="I30" s="23"/>
      <c r="J30" s="23"/>
    </row>
    <row r="31" spans="1:11" ht="15" customHeight="1" x14ac:dyDescent="0.35">
      <c r="A31" s="25" t="s">
        <v>77</v>
      </c>
      <c r="B31" s="43">
        <v>5522.4</v>
      </c>
      <c r="C31" s="43">
        <v>6248.5</v>
      </c>
      <c r="D31" s="43">
        <v>6227.8</v>
      </c>
      <c r="E31" s="43">
        <v>7277.1</v>
      </c>
      <c r="F31" s="43">
        <v>7874.4</v>
      </c>
      <c r="G31" s="43">
        <v>8030.9</v>
      </c>
      <c r="H31" s="43">
        <v>7672.4</v>
      </c>
      <c r="I31" s="43">
        <v>8601.2000000000007</v>
      </c>
      <c r="J31" s="45">
        <v>10396</v>
      </c>
    </row>
    <row r="32" spans="1:11" ht="15" customHeight="1" x14ac:dyDescent="0.35">
      <c r="A32" s="13" t="s">
        <v>78</v>
      </c>
      <c r="B32" s="16">
        <v>1075.8</v>
      </c>
      <c r="C32" s="16">
        <v>1125</v>
      </c>
      <c r="D32" s="16">
        <v>1156.7</v>
      </c>
      <c r="E32" s="16">
        <v>1252.5999999999999</v>
      </c>
      <c r="F32" s="16">
        <v>1282.4000000000001</v>
      </c>
      <c r="G32" s="16">
        <v>1404.2</v>
      </c>
      <c r="H32" s="16">
        <v>1357.7</v>
      </c>
      <c r="I32" s="16">
        <v>1315.6</v>
      </c>
      <c r="J32" s="16">
        <v>1744.3</v>
      </c>
    </row>
    <row r="33" spans="1:10" ht="15" customHeight="1" x14ac:dyDescent="0.35">
      <c r="A33" s="13" t="s">
        <v>79</v>
      </c>
      <c r="B33" s="16">
        <v>3345.7</v>
      </c>
      <c r="C33" s="16">
        <v>3920.7</v>
      </c>
      <c r="D33" s="16">
        <v>4013.7</v>
      </c>
      <c r="E33" s="16">
        <v>4846.6000000000004</v>
      </c>
      <c r="F33" s="16">
        <v>5508.6</v>
      </c>
      <c r="G33" s="16">
        <v>5551.4</v>
      </c>
      <c r="H33" s="16">
        <v>5347.1</v>
      </c>
      <c r="I33" s="16">
        <v>5890.2</v>
      </c>
      <c r="J33" s="16">
        <v>6653.9</v>
      </c>
    </row>
    <row r="34" spans="1:10" ht="15" customHeight="1" x14ac:dyDescent="0.35">
      <c r="A34" s="13" t="s">
        <v>80</v>
      </c>
      <c r="B34" s="16">
        <v>134.80000000000001</v>
      </c>
      <c r="C34" s="16">
        <v>163</v>
      </c>
      <c r="D34" s="16">
        <v>159.6</v>
      </c>
      <c r="E34" s="16">
        <v>154.80000000000001</v>
      </c>
      <c r="F34" s="16">
        <v>103.6</v>
      </c>
      <c r="G34" s="16">
        <v>104.8</v>
      </c>
      <c r="H34" s="16">
        <v>552.20000000000005</v>
      </c>
      <c r="I34" s="16">
        <v>463.8</v>
      </c>
      <c r="J34" s="16">
        <v>514.79999999999995</v>
      </c>
    </row>
    <row r="35" spans="1:10" ht="15" customHeight="1" x14ac:dyDescent="0.35">
      <c r="A35" s="13" t="s">
        <v>81</v>
      </c>
      <c r="B35" s="17"/>
      <c r="C35" s="17"/>
      <c r="D35" s="17"/>
      <c r="E35" s="17"/>
      <c r="F35" s="15">
        <v>49.4</v>
      </c>
      <c r="G35" s="15">
        <v>44.7</v>
      </c>
      <c r="H35" s="15">
        <v>61.8</v>
      </c>
      <c r="I35" s="15">
        <v>78.2</v>
      </c>
      <c r="J35" s="16">
        <v>110.5</v>
      </c>
    </row>
    <row r="36" spans="1:10" ht="15" customHeight="1" x14ac:dyDescent="0.35">
      <c r="A36" s="13" t="s">
        <v>82</v>
      </c>
      <c r="B36" s="16">
        <v>966.1</v>
      </c>
      <c r="C36" s="16">
        <v>1039.8</v>
      </c>
      <c r="D36" s="16">
        <v>897.8</v>
      </c>
      <c r="E36" s="16">
        <v>1023.1</v>
      </c>
      <c r="F36" s="16">
        <v>930.4</v>
      </c>
      <c r="G36" s="16">
        <v>925.8</v>
      </c>
      <c r="H36" s="16">
        <v>353.6</v>
      </c>
      <c r="I36" s="16">
        <v>853.4</v>
      </c>
      <c r="J36" s="16">
        <v>1372.5</v>
      </c>
    </row>
    <row r="37" spans="1:10" ht="15" customHeight="1" x14ac:dyDescent="0.35">
      <c r="A37" s="24" t="s">
        <v>83</v>
      </c>
      <c r="B37" s="16">
        <v>185.4</v>
      </c>
      <c r="C37" s="16">
        <v>162.6</v>
      </c>
      <c r="D37" s="16">
        <v>145.69999999999999</v>
      </c>
      <c r="E37" s="16">
        <v>264.89999999999998</v>
      </c>
      <c r="F37" s="16">
        <v>210.6</v>
      </c>
      <c r="G37" s="16">
        <v>180.7</v>
      </c>
      <c r="H37" s="16">
        <v>188.2</v>
      </c>
      <c r="I37" s="16">
        <v>541.20000000000005</v>
      </c>
      <c r="J37" s="16">
        <v>1178.5999999999999</v>
      </c>
    </row>
    <row r="38" spans="1:10" ht="15" customHeight="1" x14ac:dyDescent="0.35">
      <c r="A38" s="24" t="s">
        <v>84</v>
      </c>
      <c r="B38" s="17"/>
      <c r="C38" s="17"/>
      <c r="D38" s="17"/>
      <c r="E38" s="17"/>
      <c r="F38" s="15">
        <v>53.5</v>
      </c>
      <c r="G38" s="15">
        <v>52.2</v>
      </c>
      <c r="H38" s="15">
        <v>27.5</v>
      </c>
      <c r="I38" s="15">
        <v>66.8</v>
      </c>
      <c r="J38" s="15">
        <v>11.2</v>
      </c>
    </row>
    <row r="39" spans="1:10" ht="15" customHeight="1" x14ac:dyDescent="0.35">
      <c r="A39" s="24" t="s">
        <v>85</v>
      </c>
      <c r="B39" s="16">
        <v>722</v>
      </c>
      <c r="C39" s="16">
        <v>855.4</v>
      </c>
      <c r="D39" s="16">
        <v>743.1</v>
      </c>
      <c r="E39" s="16">
        <v>723.6</v>
      </c>
      <c r="F39" s="16">
        <v>653.70000000000005</v>
      </c>
      <c r="G39" s="16">
        <v>670.6</v>
      </c>
      <c r="H39" s="16">
        <v>137.69999999999999</v>
      </c>
      <c r="I39" s="16">
        <v>163.80000000000001</v>
      </c>
      <c r="J39" s="16">
        <v>165.6</v>
      </c>
    </row>
    <row r="40" spans="1:10" ht="15" customHeight="1" x14ac:dyDescent="0.35">
      <c r="A40" s="21" t="s">
        <v>86</v>
      </c>
      <c r="B40" s="15">
        <v>45.4</v>
      </c>
      <c r="C40" s="15">
        <v>24.3</v>
      </c>
      <c r="D40" s="15">
        <v>22.9</v>
      </c>
      <c r="E40" s="15">
        <v>28.4</v>
      </c>
      <c r="F40" s="15">
        <v>33.9</v>
      </c>
      <c r="G40" s="15">
        <v>47</v>
      </c>
      <c r="H40" s="15">
        <v>30.1</v>
      </c>
      <c r="I40" s="15">
        <v>39.1</v>
      </c>
      <c r="J40" s="15">
        <v>67.099999999999994</v>
      </c>
    </row>
    <row r="41" spans="1:10" ht="15" customHeight="1" x14ac:dyDescent="0.35">
      <c r="A41" s="13" t="s">
        <v>87</v>
      </c>
      <c r="B41" s="17"/>
      <c r="C41" s="17"/>
      <c r="D41" s="17"/>
      <c r="E41" s="17"/>
      <c r="F41" s="17"/>
      <c r="G41" s="17"/>
      <c r="H41" s="17"/>
      <c r="I41" s="15">
        <v>0.2</v>
      </c>
      <c r="J41" s="17"/>
    </row>
    <row r="42" spans="1:10" ht="15" customHeight="1" x14ac:dyDescent="0.35">
      <c r="A42" s="13" t="s">
        <v>88</v>
      </c>
      <c r="B42" s="15">
        <v>45.4</v>
      </c>
      <c r="C42" s="15">
        <v>24.3</v>
      </c>
      <c r="D42" s="15">
        <v>22.9</v>
      </c>
      <c r="E42" s="15">
        <v>28.4</v>
      </c>
      <c r="F42" s="15">
        <v>33.9</v>
      </c>
      <c r="G42" s="15">
        <v>47</v>
      </c>
      <c r="H42" s="15">
        <v>30.1</v>
      </c>
      <c r="I42" s="15">
        <v>39.299999999999997</v>
      </c>
      <c r="J42" s="15">
        <v>67.099999999999994</v>
      </c>
    </row>
    <row r="43" spans="1:10" ht="15" customHeight="1" x14ac:dyDescent="0.35">
      <c r="A43" s="21" t="s">
        <v>89</v>
      </c>
      <c r="B43" s="16">
        <v>5567.8</v>
      </c>
      <c r="C43" s="16">
        <v>6272.8</v>
      </c>
      <c r="D43" s="16">
        <v>6250.7</v>
      </c>
      <c r="E43" s="16">
        <v>7305.5</v>
      </c>
      <c r="F43" s="16">
        <v>7908.3</v>
      </c>
      <c r="G43" s="16">
        <v>8077.9</v>
      </c>
      <c r="H43" s="16">
        <v>7702.5</v>
      </c>
      <c r="I43" s="16">
        <v>8640.2999999999993</v>
      </c>
      <c r="J43" s="17">
        <v>10463.1</v>
      </c>
    </row>
    <row r="44" spans="1:10" ht="15" customHeight="1" x14ac:dyDescent="0.35">
      <c r="A44" s="21" t="s">
        <v>90</v>
      </c>
      <c r="B44" s="16">
        <v>5567.8</v>
      </c>
      <c r="C44" s="16">
        <v>6272.8</v>
      </c>
      <c r="D44" s="16">
        <v>6250.7</v>
      </c>
      <c r="E44" s="16">
        <v>7305.5</v>
      </c>
      <c r="F44" s="16">
        <v>7908.3</v>
      </c>
      <c r="G44" s="16">
        <v>8077.9</v>
      </c>
      <c r="H44" s="16">
        <v>7702.5</v>
      </c>
      <c r="I44" s="16">
        <v>8640.2999999999993</v>
      </c>
      <c r="J44" s="17">
        <v>10463.1</v>
      </c>
    </row>
    <row r="45" spans="1:10" ht="15" customHeight="1" x14ac:dyDescent="0.35">
      <c r="A45" s="22" t="s">
        <v>91</v>
      </c>
      <c r="B45" s="23"/>
      <c r="C45" s="23"/>
      <c r="D45" s="23"/>
      <c r="E45" s="23"/>
      <c r="F45" s="23"/>
      <c r="G45" s="23"/>
      <c r="H45" s="23"/>
      <c r="I45" s="23"/>
      <c r="J45" s="23"/>
    </row>
    <row r="46" spans="1:10" ht="15" customHeight="1" x14ac:dyDescent="0.35">
      <c r="A46" s="25" t="s">
        <v>92</v>
      </c>
      <c r="B46" s="26">
        <v>1648.7</v>
      </c>
      <c r="C46" s="26">
        <v>4823</v>
      </c>
      <c r="D46" s="26">
        <v>4012</v>
      </c>
      <c r="E46" s="26">
        <v>5510.3</v>
      </c>
      <c r="F46" s="26">
        <v>9131.4</v>
      </c>
      <c r="G46" s="26">
        <v>7802.7</v>
      </c>
      <c r="H46" s="26">
        <v>8320.7999999999993</v>
      </c>
      <c r="I46" s="27">
        <v>15346.5</v>
      </c>
      <c r="J46" s="27">
        <v>21160</v>
      </c>
    </row>
    <row r="47" spans="1:10" ht="15" customHeight="1" x14ac:dyDescent="0.35">
      <c r="A47" s="22" t="s">
        <v>93</v>
      </c>
      <c r="B47" s="23"/>
      <c r="C47" s="23"/>
      <c r="D47" s="23"/>
      <c r="E47" s="23"/>
      <c r="F47" s="23"/>
      <c r="G47" s="23"/>
      <c r="H47" s="23"/>
      <c r="I47" s="23"/>
      <c r="J47" s="23"/>
    </row>
    <row r="48" spans="1:10" ht="15" customHeight="1" x14ac:dyDescent="0.35">
      <c r="A48" s="21" t="s">
        <v>94</v>
      </c>
      <c r="B48" s="18">
        <v>-246.6</v>
      </c>
      <c r="C48" s="18">
        <v>-311</v>
      </c>
      <c r="D48" s="18">
        <v>-258.39999999999998</v>
      </c>
      <c r="E48" s="18">
        <v>-287.39999999999998</v>
      </c>
      <c r="F48" s="18">
        <v>-530.20000000000005</v>
      </c>
      <c r="G48" s="18">
        <v>-406</v>
      </c>
      <c r="H48" s="18">
        <v>-842.2</v>
      </c>
      <c r="I48" s="18">
        <v>-1072.8</v>
      </c>
      <c r="J48" s="18">
        <v>-2709.9</v>
      </c>
    </row>
    <row r="49" spans="1:10" ht="15" customHeight="1" x14ac:dyDescent="0.35">
      <c r="A49" s="13" t="s">
        <v>95</v>
      </c>
      <c r="B49" s="16">
        <v>238.5</v>
      </c>
      <c r="C49" s="16">
        <v>303.5</v>
      </c>
      <c r="D49" s="16">
        <v>251.2</v>
      </c>
      <c r="E49" s="16">
        <v>276.7</v>
      </c>
      <c r="F49" s="16">
        <v>483.3</v>
      </c>
      <c r="G49" s="16">
        <v>412.6</v>
      </c>
      <c r="H49" s="16">
        <v>848.8</v>
      </c>
      <c r="I49" s="16">
        <v>1044.8</v>
      </c>
      <c r="J49" s="16">
        <v>2690.6</v>
      </c>
    </row>
    <row r="50" spans="1:10" ht="15" customHeight="1" x14ac:dyDescent="0.35">
      <c r="A50" s="24" t="s">
        <v>96</v>
      </c>
      <c r="B50" s="16">
        <v>238.5</v>
      </c>
      <c r="C50" s="16">
        <v>303.5</v>
      </c>
      <c r="D50" s="16">
        <v>251.2</v>
      </c>
      <c r="E50" s="16">
        <v>276.7</v>
      </c>
      <c r="F50" s="16">
        <v>483.3</v>
      </c>
      <c r="G50" s="16">
        <v>412.6</v>
      </c>
      <c r="H50" s="16">
        <v>848.8</v>
      </c>
      <c r="I50" s="16">
        <v>1044.8</v>
      </c>
      <c r="J50" s="16">
        <v>2690.6</v>
      </c>
    </row>
    <row r="51" spans="1:10" ht="15" customHeight="1" x14ac:dyDescent="0.35">
      <c r="A51" s="13" t="s">
        <v>97</v>
      </c>
      <c r="B51" s="19">
        <v>-8.1</v>
      </c>
      <c r="C51" s="19">
        <v>-7.5</v>
      </c>
      <c r="D51" s="19">
        <v>-7.2</v>
      </c>
      <c r="E51" s="19">
        <v>-10.7</v>
      </c>
      <c r="F51" s="19">
        <v>-46.9</v>
      </c>
      <c r="G51" s="15">
        <v>6.6</v>
      </c>
      <c r="H51" s="15">
        <v>6.6</v>
      </c>
      <c r="I51" s="19">
        <v>-28</v>
      </c>
      <c r="J51" s="19">
        <v>-19.3</v>
      </c>
    </row>
    <row r="52" spans="1:10" ht="15" customHeight="1" x14ac:dyDescent="0.35">
      <c r="A52" s="24" t="s">
        <v>98</v>
      </c>
      <c r="B52" s="17"/>
      <c r="C52" s="17"/>
      <c r="D52" s="17"/>
      <c r="E52" s="17"/>
      <c r="F52" s="19">
        <v>-35.200000000000003</v>
      </c>
      <c r="G52" s="15">
        <v>17.399999999999999</v>
      </c>
      <c r="H52" s="15">
        <v>21.7</v>
      </c>
      <c r="I52" s="17">
        <v>0</v>
      </c>
      <c r="J52" s="15">
        <v>26.9</v>
      </c>
    </row>
    <row r="53" spans="1:10" ht="15" customHeight="1" x14ac:dyDescent="0.35">
      <c r="A53" s="24" t="s">
        <v>99</v>
      </c>
      <c r="B53" s="19">
        <v>-8.1</v>
      </c>
      <c r="C53" s="19">
        <v>-7.5</v>
      </c>
      <c r="D53" s="19">
        <v>-7.2</v>
      </c>
      <c r="E53" s="19">
        <v>-10.7</v>
      </c>
      <c r="F53" s="19">
        <v>-11.7</v>
      </c>
      <c r="G53" s="19">
        <v>-10.8</v>
      </c>
      <c r="H53" s="19">
        <v>-15.1</v>
      </c>
      <c r="I53" s="19">
        <v>-28</v>
      </c>
      <c r="J53" s="19">
        <v>-46.2</v>
      </c>
    </row>
    <row r="54" spans="1:10" ht="15" customHeight="1" x14ac:dyDescent="0.35">
      <c r="A54" s="21" t="s">
        <v>100</v>
      </c>
      <c r="B54" s="19">
        <v>-4.7</v>
      </c>
      <c r="C54" s="19">
        <v>-15.2</v>
      </c>
      <c r="D54" s="19">
        <v>-12.6</v>
      </c>
      <c r="E54" s="19">
        <v>-2.5</v>
      </c>
      <c r="F54" s="19">
        <v>-16.8</v>
      </c>
      <c r="G54" s="19">
        <v>-4.5999999999999996</v>
      </c>
      <c r="H54" s="19">
        <v>-8.1</v>
      </c>
      <c r="I54" s="19">
        <v>-6.9</v>
      </c>
      <c r="J54" s="15">
        <v>8.1</v>
      </c>
    </row>
    <row r="55" spans="1:10" ht="15" customHeight="1" x14ac:dyDescent="0.35">
      <c r="A55" s="21" t="s">
        <v>101</v>
      </c>
      <c r="B55" s="17"/>
      <c r="C55" s="17"/>
      <c r="D55" s="17"/>
      <c r="E55" s="17"/>
      <c r="F55" s="17">
        <v>0</v>
      </c>
      <c r="G55" s="16">
        <v>207.1</v>
      </c>
      <c r="H55" s="16">
        <v>165.5</v>
      </c>
      <c r="I55" s="17">
        <v>0</v>
      </c>
      <c r="J55" s="17"/>
    </row>
    <row r="56" spans="1:10" ht="15" customHeight="1" x14ac:dyDescent="0.35">
      <c r="A56" s="21" t="s">
        <v>102</v>
      </c>
      <c r="B56" s="16">
        <v>1397.4</v>
      </c>
      <c r="C56" s="16">
        <v>4496.8</v>
      </c>
      <c r="D56" s="16">
        <v>3741</v>
      </c>
      <c r="E56" s="16">
        <v>5220.3999999999996</v>
      </c>
      <c r="F56" s="16">
        <v>8584.4</v>
      </c>
      <c r="G56" s="16">
        <v>7599.2</v>
      </c>
      <c r="H56" s="16">
        <v>7636</v>
      </c>
      <c r="I56" s="17">
        <v>14266.8</v>
      </c>
      <c r="J56" s="17">
        <v>18458.2</v>
      </c>
    </row>
    <row r="57" spans="1:10" ht="15" customHeight="1" x14ac:dyDescent="0.35">
      <c r="A57" s="22" t="s">
        <v>103</v>
      </c>
      <c r="B57" s="23"/>
      <c r="C57" s="23"/>
      <c r="D57" s="23"/>
      <c r="E57" s="23"/>
      <c r="F57" s="23"/>
      <c r="G57" s="23"/>
      <c r="H57" s="23"/>
      <c r="I57" s="23"/>
      <c r="J57" s="23"/>
    </row>
    <row r="58" spans="1:10" ht="15" customHeight="1" x14ac:dyDescent="0.35">
      <c r="A58" s="21" t="s">
        <v>104</v>
      </c>
      <c r="B58" s="17"/>
      <c r="C58" s="17"/>
      <c r="D58" s="17"/>
      <c r="E58" s="17"/>
      <c r="F58" s="19">
        <v>-60.5</v>
      </c>
      <c r="G58" s="19">
        <v>-26.9</v>
      </c>
      <c r="H58" s="18">
        <v>-106.7</v>
      </c>
      <c r="I58" s="15">
        <v>41</v>
      </c>
      <c r="J58" s="15">
        <v>69.400000000000006</v>
      </c>
    </row>
    <row r="59" spans="1:10" ht="15" customHeight="1" x14ac:dyDescent="0.35">
      <c r="A59" s="13" t="s">
        <v>105</v>
      </c>
      <c r="B59" s="17"/>
      <c r="C59" s="17"/>
      <c r="D59" s="17"/>
      <c r="E59" s="17"/>
      <c r="F59" s="15">
        <v>60.5</v>
      </c>
      <c r="G59" s="15">
        <v>26.9</v>
      </c>
      <c r="H59" s="16">
        <v>106.7</v>
      </c>
      <c r="I59" s="19">
        <v>-41</v>
      </c>
      <c r="J59" s="19">
        <v>-69.400000000000006</v>
      </c>
    </row>
    <row r="60" spans="1:10" ht="15" customHeight="1" x14ac:dyDescent="0.35">
      <c r="A60" s="22" t="s">
        <v>106</v>
      </c>
      <c r="B60" s="23"/>
      <c r="C60" s="23"/>
      <c r="D60" s="23"/>
      <c r="E60" s="23"/>
      <c r="F60" s="23"/>
      <c r="G60" s="23"/>
      <c r="H60" s="23"/>
      <c r="I60" s="23"/>
      <c r="J60" s="23"/>
    </row>
    <row r="61" spans="1:10" ht="15" customHeight="1" x14ac:dyDescent="0.35">
      <c r="A61" s="25" t="s">
        <v>107</v>
      </c>
      <c r="B61" s="26">
        <v>1397.4</v>
      </c>
      <c r="C61" s="26">
        <v>4496.8</v>
      </c>
      <c r="D61" s="26">
        <v>3741</v>
      </c>
      <c r="E61" s="26">
        <v>5220.3999999999996</v>
      </c>
      <c r="F61" s="26">
        <v>8523.9</v>
      </c>
      <c r="G61" s="26">
        <v>7572.3</v>
      </c>
      <c r="H61" s="26">
        <v>7529.3</v>
      </c>
      <c r="I61" s="27">
        <v>14307.8</v>
      </c>
      <c r="J61" s="27">
        <v>18527.599999999999</v>
      </c>
    </row>
    <row r="62" spans="1:10" ht="15" customHeight="1" x14ac:dyDescent="0.35">
      <c r="A62" s="22" t="s">
        <v>108</v>
      </c>
      <c r="B62" s="23"/>
      <c r="C62" s="23"/>
      <c r="D62" s="23"/>
      <c r="E62" s="23"/>
      <c r="F62" s="23"/>
      <c r="G62" s="23"/>
      <c r="H62" s="23"/>
      <c r="I62" s="23"/>
      <c r="J62" s="23"/>
    </row>
    <row r="63" spans="1:10" ht="15" customHeight="1" x14ac:dyDescent="0.35">
      <c r="A63" s="21" t="s">
        <v>109</v>
      </c>
      <c r="B63" s="16">
        <v>505.5</v>
      </c>
      <c r="C63" s="16">
        <v>1558.1</v>
      </c>
      <c r="D63" s="16">
        <v>1353.8</v>
      </c>
      <c r="E63" s="16">
        <v>1834.5</v>
      </c>
      <c r="F63" s="16">
        <v>2989.2</v>
      </c>
      <c r="G63" s="16">
        <v>2665</v>
      </c>
      <c r="H63" s="16">
        <v>1907.9</v>
      </c>
      <c r="I63" s="16">
        <v>3630.6</v>
      </c>
      <c r="J63" s="16">
        <v>4701.6000000000004</v>
      </c>
    </row>
    <row r="64" spans="1:10" ht="15" customHeight="1" x14ac:dyDescent="0.35">
      <c r="A64" s="13" t="s">
        <v>110</v>
      </c>
      <c r="B64" s="16">
        <v>568.1</v>
      </c>
      <c r="C64" s="16">
        <v>1630.7</v>
      </c>
      <c r="D64" s="16">
        <v>1475.3</v>
      </c>
      <c r="E64" s="16">
        <v>1903.7</v>
      </c>
      <c r="F64" s="16">
        <v>3130</v>
      </c>
      <c r="G64" s="16">
        <v>2722.2</v>
      </c>
      <c r="H64" s="16">
        <v>1961</v>
      </c>
      <c r="I64" s="16">
        <v>3604.2</v>
      </c>
      <c r="J64" s="16">
        <v>4564</v>
      </c>
    </row>
    <row r="65" spans="1:10" ht="15" customHeight="1" x14ac:dyDescent="0.35">
      <c r="A65" s="13" t="s">
        <v>111</v>
      </c>
      <c r="B65" s="19">
        <v>-62.6</v>
      </c>
      <c r="C65" s="19">
        <v>-72.599999999999994</v>
      </c>
      <c r="D65" s="18">
        <v>-121.5</v>
      </c>
      <c r="E65" s="19">
        <v>-69.2</v>
      </c>
      <c r="F65" s="18">
        <v>-140.80000000000001</v>
      </c>
      <c r="G65" s="19">
        <v>-57.2</v>
      </c>
      <c r="H65" s="19">
        <v>-53.1</v>
      </c>
      <c r="I65" s="15">
        <v>26.4</v>
      </c>
      <c r="J65" s="16">
        <v>137.6</v>
      </c>
    </row>
    <row r="66" spans="1:10" ht="15" customHeight="1" x14ac:dyDescent="0.35">
      <c r="A66" s="22" t="s">
        <v>112</v>
      </c>
      <c r="B66" s="23"/>
      <c r="C66" s="23"/>
      <c r="D66" s="23"/>
      <c r="E66" s="23"/>
      <c r="F66" s="23"/>
      <c r="G66" s="23"/>
      <c r="H66" s="23"/>
      <c r="I66" s="23"/>
      <c r="J66" s="23"/>
    </row>
    <row r="67" spans="1:10" ht="15" customHeight="1" x14ac:dyDescent="0.35">
      <c r="A67" s="21" t="s">
        <v>113</v>
      </c>
      <c r="B67" s="16">
        <v>891.9</v>
      </c>
      <c r="C67" s="16">
        <v>2938.7</v>
      </c>
      <c r="D67" s="16">
        <v>2387.1999999999998</v>
      </c>
      <c r="E67" s="16">
        <v>3385.9</v>
      </c>
      <c r="F67" s="16">
        <v>5534.7</v>
      </c>
      <c r="G67" s="16">
        <v>4907.3</v>
      </c>
      <c r="H67" s="16">
        <v>5621.4</v>
      </c>
      <c r="I67" s="17">
        <v>10677.2</v>
      </c>
      <c r="J67" s="17">
        <v>13826</v>
      </c>
    </row>
    <row r="68" spans="1:10" ht="15" customHeight="1" x14ac:dyDescent="0.35">
      <c r="A68" s="22" t="s">
        <v>114</v>
      </c>
      <c r="B68" s="23"/>
      <c r="C68" s="23"/>
      <c r="D68" s="23"/>
      <c r="E68" s="23"/>
      <c r="F68" s="23"/>
      <c r="G68" s="23"/>
      <c r="H68" s="23"/>
      <c r="I68" s="23"/>
      <c r="J68" s="23"/>
    </row>
    <row r="69" spans="1:10" ht="15" customHeight="1" x14ac:dyDescent="0.35">
      <c r="A69" s="25" t="s">
        <v>115</v>
      </c>
      <c r="B69" s="26">
        <v>891.9</v>
      </c>
      <c r="C69" s="26">
        <v>2938.7</v>
      </c>
      <c r="D69" s="26">
        <v>2387.1999999999998</v>
      </c>
      <c r="E69" s="26">
        <v>3385.9</v>
      </c>
      <c r="F69" s="26">
        <v>5534.7</v>
      </c>
      <c r="G69" s="26">
        <v>4907.3</v>
      </c>
      <c r="H69" s="26">
        <v>5621.4</v>
      </c>
      <c r="I69" s="27">
        <v>10677.2</v>
      </c>
      <c r="J69" s="27">
        <v>13826</v>
      </c>
    </row>
    <row r="70" spans="1:10" ht="15" customHeight="1" x14ac:dyDescent="0.35">
      <c r="A70" s="21" t="s">
        <v>116</v>
      </c>
      <c r="B70" s="17"/>
      <c r="C70" s="17"/>
      <c r="D70" s="17"/>
      <c r="E70" s="17"/>
      <c r="F70" s="17"/>
      <c r="G70" s="17"/>
      <c r="H70" s="18">
        <v>-201.4</v>
      </c>
      <c r="I70" s="17"/>
      <c r="J70" s="17"/>
    </row>
    <row r="71" spans="1:10" ht="15" customHeight="1" x14ac:dyDescent="0.35">
      <c r="A71" s="13" t="s">
        <v>117</v>
      </c>
      <c r="B71" s="17"/>
      <c r="C71" s="17"/>
      <c r="D71" s="17"/>
      <c r="E71" s="17"/>
      <c r="F71" s="17"/>
      <c r="G71" s="17"/>
      <c r="H71" s="18">
        <v>-201.4</v>
      </c>
      <c r="I71" s="17"/>
      <c r="J71" s="17"/>
    </row>
    <row r="72" spans="1:10" ht="15" customHeight="1" x14ac:dyDescent="0.35">
      <c r="A72" s="21" t="s">
        <v>118</v>
      </c>
      <c r="B72" s="16">
        <v>891.9</v>
      </c>
      <c r="C72" s="16">
        <v>2938.7</v>
      </c>
      <c r="D72" s="16">
        <v>2387.1999999999998</v>
      </c>
      <c r="E72" s="16">
        <v>3385.9</v>
      </c>
      <c r="F72" s="16">
        <v>5534.7</v>
      </c>
      <c r="G72" s="16">
        <v>4907.3</v>
      </c>
      <c r="H72" s="16">
        <v>5420</v>
      </c>
      <c r="I72" s="17">
        <v>10677.2</v>
      </c>
      <c r="J72" s="17">
        <v>13826</v>
      </c>
    </row>
    <row r="73" spans="1:10" ht="15" customHeight="1" x14ac:dyDescent="0.35">
      <c r="A73" s="22" t="s">
        <v>119</v>
      </c>
      <c r="B73" s="23"/>
      <c r="C73" s="23"/>
      <c r="D73" s="23"/>
      <c r="E73" s="23"/>
      <c r="F73" s="23"/>
      <c r="G73" s="23"/>
      <c r="H73" s="23"/>
      <c r="I73" s="23"/>
      <c r="J73" s="23"/>
    </row>
    <row r="74" spans="1:10" ht="15" customHeight="1" x14ac:dyDescent="0.35">
      <c r="A74" s="21" t="s">
        <v>120</v>
      </c>
      <c r="B74" s="16">
        <v>891.9</v>
      </c>
      <c r="C74" s="16">
        <v>2938.7</v>
      </c>
      <c r="D74" s="16">
        <v>2387.1999999999998</v>
      </c>
      <c r="E74" s="16">
        <v>3385.9</v>
      </c>
      <c r="F74" s="16">
        <v>5534.7</v>
      </c>
      <c r="G74" s="16">
        <v>4907.3</v>
      </c>
      <c r="H74" s="16">
        <v>5420</v>
      </c>
      <c r="I74" s="17">
        <v>10677.2</v>
      </c>
      <c r="J74" s="17">
        <v>13826</v>
      </c>
    </row>
    <row r="75" spans="1:10" ht="15" customHeight="1" x14ac:dyDescent="0.35">
      <c r="A75" s="25" t="s">
        <v>121</v>
      </c>
      <c r="B75" s="26">
        <v>891.9</v>
      </c>
      <c r="C75" s="26">
        <v>2938.7</v>
      </c>
      <c r="D75" s="26">
        <v>2387.1999999999998</v>
      </c>
      <c r="E75" s="26">
        <v>3385.9</v>
      </c>
      <c r="F75" s="26">
        <v>5534.7</v>
      </c>
      <c r="G75" s="26">
        <v>4907.3</v>
      </c>
      <c r="H75" s="26">
        <v>5420</v>
      </c>
      <c r="I75" s="27">
        <v>10677.2</v>
      </c>
      <c r="J75" s="27">
        <v>13826</v>
      </c>
    </row>
    <row r="76" spans="1:10" ht="15" customHeight="1" x14ac:dyDescent="0.35">
      <c r="A76" s="22" t="s">
        <v>122</v>
      </c>
      <c r="B76" s="23"/>
      <c r="C76" s="23"/>
      <c r="D76" s="23"/>
      <c r="E76" s="23"/>
      <c r="F76" s="23"/>
      <c r="G76" s="23"/>
      <c r="H76" s="23"/>
      <c r="I76" s="23"/>
      <c r="J76" s="23"/>
    </row>
    <row r="77" spans="1:10" ht="15" customHeight="1" x14ac:dyDescent="0.35">
      <c r="A77" s="21" t="s">
        <v>123</v>
      </c>
      <c r="B77" s="17"/>
      <c r="C77" s="17"/>
      <c r="D77" s="17"/>
      <c r="E77" s="17"/>
      <c r="F77" s="16">
        <v>5534.7</v>
      </c>
      <c r="G77" s="16">
        <v>4907.3</v>
      </c>
      <c r="H77" s="16">
        <v>5420</v>
      </c>
      <c r="I77" s="17">
        <v>10677.2</v>
      </c>
      <c r="J77" s="17">
        <v>13826</v>
      </c>
    </row>
    <row r="78" spans="1:10" ht="15" customHeight="1" x14ac:dyDescent="0.35">
      <c r="A78" s="21" t="s">
        <v>124</v>
      </c>
      <c r="B78" s="17"/>
      <c r="C78" s="17"/>
      <c r="D78" s="17"/>
      <c r="E78" s="17"/>
      <c r="F78" s="15">
        <v>8.6</v>
      </c>
      <c r="G78" s="15">
        <v>14.3</v>
      </c>
      <c r="H78" s="15">
        <v>4.7</v>
      </c>
      <c r="I78" s="19">
        <v>-8.3000000000000007</v>
      </c>
      <c r="J78" s="15">
        <v>0.9</v>
      </c>
    </row>
    <row r="79" spans="1:10" ht="15" customHeight="1" x14ac:dyDescent="0.35">
      <c r="A79" s="21" t="s">
        <v>125</v>
      </c>
      <c r="B79" s="17"/>
      <c r="C79" s="17"/>
      <c r="D79" s="17"/>
      <c r="E79" s="17"/>
      <c r="F79" s="19">
        <v>-24.7</v>
      </c>
      <c r="G79" s="19">
        <v>-40.200000000000003</v>
      </c>
      <c r="H79" s="19">
        <v>-63.8</v>
      </c>
      <c r="I79" s="15">
        <v>33.4</v>
      </c>
      <c r="J79" s="19">
        <v>-3.5</v>
      </c>
    </row>
    <row r="80" spans="1:10" ht="15" customHeight="1" x14ac:dyDescent="0.35">
      <c r="A80" s="21" t="s">
        <v>126</v>
      </c>
      <c r="B80" s="17"/>
      <c r="C80" s="17"/>
      <c r="D80" s="17"/>
      <c r="E80" s="17"/>
      <c r="F80" s="19">
        <v>-16.100000000000001</v>
      </c>
      <c r="G80" s="19">
        <v>-25.9</v>
      </c>
      <c r="H80" s="19">
        <v>-59.1</v>
      </c>
      <c r="I80" s="15">
        <v>25.1</v>
      </c>
      <c r="J80" s="19">
        <v>-2.6</v>
      </c>
    </row>
    <row r="81" spans="1:10" ht="15" customHeight="1" x14ac:dyDescent="0.35">
      <c r="A81" s="25" t="s">
        <v>127</v>
      </c>
      <c r="B81" s="27"/>
      <c r="C81" s="27"/>
      <c r="D81" s="27"/>
      <c r="E81" s="27"/>
      <c r="F81" s="26">
        <v>5518.6</v>
      </c>
      <c r="G81" s="26">
        <v>4881.3999999999996</v>
      </c>
      <c r="H81" s="26">
        <v>5360.9</v>
      </c>
      <c r="I81" s="27">
        <v>10702.3</v>
      </c>
      <c r="J81" s="27">
        <v>13823.4</v>
      </c>
    </row>
    <row r="82" spans="1:10" ht="15" customHeight="1" x14ac:dyDescent="0.35">
      <c r="A82" s="21" t="s">
        <v>128</v>
      </c>
      <c r="B82" s="17"/>
      <c r="C82" s="17"/>
      <c r="D82" s="17"/>
      <c r="E82" s="17"/>
      <c r="F82" s="16">
        <v>5518.6</v>
      </c>
      <c r="G82" s="16">
        <v>4881.3999999999996</v>
      </c>
      <c r="H82" s="16">
        <v>5360.9</v>
      </c>
      <c r="I82" s="17">
        <v>10702.3</v>
      </c>
      <c r="J82" s="17">
        <v>13823.4</v>
      </c>
    </row>
    <row r="83" spans="1:10" ht="15" customHeight="1" x14ac:dyDescent="0.35">
      <c r="A83" s="22" t="s">
        <v>129</v>
      </c>
      <c r="B83" s="23"/>
      <c r="C83" s="23"/>
      <c r="D83" s="23"/>
      <c r="E83" s="23"/>
      <c r="F83" s="23"/>
      <c r="G83" s="23"/>
      <c r="H83" s="23"/>
      <c r="I83" s="23"/>
      <c r="J83" s="23"/>
    </row>
    <row r="84" spans="1:10" ht="15" customHeight="1" x14ac:dyDescent="0.35">
      <c r="A84" s="21" t="s">
        <v>130</v>
      </c>
      <c r="B84" s="16">
        <v>891.9</v>
      </c>
      <c r="C84" s="16">
        <v>2938.7</v>
      </c>
      <c r="D84" s="16">
        <v>2387.1999999999998</v>
      </c>
      <c r="E84" s="16">
        <v>3385.9</v>
      </c>
      <c r="F84" s="16">
        <v>5534.7</v>
      </c>
      <c r="G84" s="16">
        <v>4907.3</v>
      </c>
      <c r="H84" s="16">
        <v>5420</v>
      </c>
      <c r="I84" s="17">
        <v>10677.2</v>
      </c>
      <c r="J84" s="17">
        <v>13826</v>
      </c>
    </row>
    <row r="85" spans="1:10" ht="15" customHeight="1" x14ac:dyDescent="0.35">
      <c r="A85" s="13" t="s">
        <v>131</v>
      </c>
      <c r="B85" s="16">
        <v>891.9</v>
      </c>
      <c r="C85" s="16">
        <v>2938.7</v>
      </c>
      <c r="D85" s="16">
        <v>2387.1999999999998</v>
      </c>
      <c r="E85" s="16">
        <v>3385.9</v>
      </c>
      <c r="F85" s="16">
        <v>5534.7</v>
      </c>
      <c r="G85" s="16">
        <v>4907.3</v>
      </c>
      <c r="H85" s="16">
        <v>5621.4</v>
      </c>
      <c r="I85" s="17">
        <v>10677.2</v>
      </c>
      <c r="J85" s="17">
        <v>13826</v>
      </c>
    </row>
    <row r="86" spans="1:10" ht="15" customHeight="1" x14ac:dyDescent="0.35">
      <c r="A86" s="13" t="s">
        <v>132</v>
      </c>
      <c r="B86" s="16">
        <v>322.14</v>
      </c>
      <c r="C86" s="16">
        <v>322.14</v>
      </c>
      <c r="D86" s="16">
        <v>322.14</v>
      </c>
      <c r="E86" s="16">
        <v>322.14</v>
      </c>
      <c r="F86" s="16">
        <v>322.10000000000002</v>
      </c>
      <c r="G86" s="16">
        <v>322.10000000000002</v>
      </c>
      <c r="H86" s="16">
        <v>322.10000000000002</v>
      </c>
      <c r="I86" s="16">
        <v>322.2</v>
      </c>
      <c r="J86" s="16">
        <v>322.60000000000002</v>
      </c>
    </row>
    <row r="87" spans="1:10" ht="15" customHeight="1" x14ac:dyDescent="0.35">
      <c r="A87" s="24" t="s">
        <v>133</v>
      </c>
      <c r="B87" s="15">
        <v>2.77</v>
      </c>
      <c r="C87" s="15">
        <v>9.1199999999999992</v>
      </c>
      <c r="D87" s="15">
        <v>7.41</v>
      </c>
      <c r="E87" s="15">
        <v>10.51</v>
      </c>
      <c r="F87" s="15">
        <v>17.18</v>
      </c>
      <c r="G87" s="15">
        <v>15.24</v>
      </c>
      <c r="H87" s="15">
        <v>16.829999999999998</v>
      </c>
      <c r="I87" s="15">
        <v>33.14</v>
      </c>
      <c r="J87" s="15">
        <v>42.86</v>
      </c>
    </row>
    <row r="88" spans="1:10" ht="15" customHeight="1" x14ac:dyDescent="0.35">
      <c r="A88" s="24" t="s">
        <v>134</v>
      </c>
      <c r="B88" s="15">
        <v>2.77</v>
      </c>
      <c r="C88" s="15">
        <v>9.1199999999999992</v>
      </c>
      <c r="D88" s="15">
        <v>7.41</v>
      </c>
      <c r="E88" s="15">
        <v>10.51</v>
      </c>
      <c r="F88" s="15">
        <v>17.18</v>
      </c>
      <c r="G88" s="15">
        <v>15.24</v>
      </c>
      <c r="H88" s="15">
        <v>17.45</v>
      </c>
      <c r="I88" s="15">
        <v>33.14</v>
      </c>
      <c r="J88" s="15">
        <v>42.86</v>
      </c>
    </row>
    <row r="89" spans="1:10" ht="15" customHeight="1" x14ac:dyDescent="0.35">
      <c r="A89" s="24" t="s">
        <v>135</v>
      </c>
      <c r="B89" s="15">
        <v>2.77</v>
      </c>
      <c r="C89" s="15">
        <v>9.1199999999999992</v>
      </c>
      <c r="D89" s="15">
        <v>7.41</v>
      </c>
      <c r="E89" s="15">
        <v>10.51</v>
      </c>
      <c r="F89" s="15">
        <v>17.37</v>
      </c>
      <c r="G89" s="15">
        <v>15.32</v>
      </c>
      <c r="H89" s="15">
        <v>17.78</v>
      </c>
      <c r="I89" s="15">
        <v>33.01</v>
      </c>
      <c r="J89" s="15">
        <v>42.64</v>
      </c>
    </row>
    <row r="90" spans="1:10" ht="15" customHeight="1" x14ac:dyDescent="0.35">
      <c r="A90" s="21" t="s">
        <v>136</v>
      </c>
      <c r="B90" s="16">
        <v>891.9</v>
      </c>
      <c r="C90" s="16">
        <v>2938.7</v>
      </c>
      <c r="D90" s="16">
        <v>2387.1999999999998</v>
      </c>
      <c r="E90" s="16">
        <v>3385.9</v>
      </c>
      <c r="F90" s="16">
        <v>5534.7</v>
      </c>
      <c r="G90" s="16">
        <v>4907.3</v>
      </c>
      <c r="H90" s="16">
        <v>5420</v>
      </c>
      <c r="I90" s="17">
        <v>10677.2</v>
      </c>
      <c r="J90" s="17">
        <v>13826</v>
      </c>
    </row>
    <row r="91" spans="1:10" ht="15" customHeight="1" x14ac:dyDescent="0.35">
      <c r="A91" s="21" t="s">
        <v>137</v>
      </c>
      <c r="B91" s="15">
        <v>1</v>
      </c>
      <c r="C91" s="15">
        <v>1</v>
      </c>
      <c r="D91" s="15">
        <v>1</v>
      </c>
      <c r="E91" s="15">
        <v>1</v>
      </c>
      <c r="F91" s="15">
        <v>1</v>
      </c>
      <c r="G91" s="15">
        <v>1</v>
      </c>
      <c r="H91" s="15">
        <v>1</v>
      </c>
      <c r="I91" s="15">
        <v>1</v>
      </c>
      <c r="J91" s="15">
        <v>1</v>
      </c>
    </row>
    <row r="92" spans="1:10" ht="15" customHeight="1" x14ac:dyDescent="0.35">
      <c r="A92" s="13" t="s">
        <v>138</v>
      </c>
      <c r="B92" s="16">
        <v>322.14</v>
      </c>
      <c r="C92" s="16">
        <v>322.14</v>
      </c>
      <c r="D92" s="16">
        <v>322.14</v>
      </c>
      <c r="E92" s="16">
        <v>322.14</v>
      </c>
      <c r="F92" s="16">
        <v>322.10000000000002</v>
      </c>
      <c r="G92" s="16">
        <v>322.10000000000002</v>
      </c>
      <c r="H92" s="16">
        <v>322.10000000000002</v>
      </c>
      <c r="I92" s="16">
        <v>322.2</v>
      </c>
      <c r="J92" s="16">
        <v>322.60000000000002</v>
      </c>
    </row>
    <row r="93" spans="1:10" ht="15" customHeight="1" x14ac:dyDescent="0.35">
      <c r="A93" s="24" t="s">
        <v>139</v>
      </c>
      <c r="B93" s="15">
        <v>2.77</v>
      </c>
      <c r="C93" s="15">
        <v>9.1199999999999992</v>
      </c>
      <c r="D93" s="15">
        <v>7.41</v>
      </c>
      <c r="E93" s="15">
        <v>10.51</v>
      </c>
      <c r="F93" s="15">
        <v>17.18</v>
      </c>
      <c r="G93" s="15">
        <v>15.24</v>
      </c>
      <c r="H93" s="15">
        <v>16.829999999999998</v>
      </c>
      <c r="I93" s="15">
        <v>33.14</v>
      </c>
      <c r="J93" s="15">
        <v>42.86</v>
      </c>
    </row>
    <row r="94" spans="1:10" ht="15" customHeight="1" x14ac:dyDescent="0.35">
      <c r="A94" s="24" t="s">
        <v>140</v>
      </c>
      <c r="B94" s="15">
        <v>2.77</v>
      </c>
      <c r="C94" s="15">
        <v>9.1199999999999992</v>
      </c>
      <c r="D94" s="15">
        <v>7.41</v>
      </c>
      <c r="E94" s="15">
        <v>10.51</v>
      </c>
      <c r="F94" s="15">
        <v>17.18</v>
      </c>
      <c r="G94" s="15">
        <v>15.24</v>
      </c>
      <c r="H94" s="15">
        <v>17.45</v>
      </c>
      <c r="I94" s="15">
        <v>33.14</v>
      </c>
      <c r="J94" s="15">
        <v>42.86</v>
      </c>
    </row>
    <row r="95" spans="1:10" ht="15" customHeight="1" x14ac:dyDescent="0.35">
      <c r="A95" s="24" t="s">
        <v>141</v>
      </c>
      <c r="B95" s="15">
        <v>2.77</v>
      </c>
      <c r="C95" s="15">
        <v>9.1199999999999992</v>
      </c>
      <c r="D95" s="15">
        <v>7.41</v>
      </c>
      <c r="E95" s="15">
        <v>10.51</v>
      </c>
      <c r="F95" s="15">
        <v>17.37</v>
      </c>
      <c r="G95" s="15">
        <v>15.32</v>
      </c>
      <c r="H95" s="15">
        <v>17.78</v>
      </c>
      <c r="I95" s="15">
        <v>33.01</v>
      </c>
      <c r="J95" s="15">
        <v>42.64</v>
      </c>
    </row>
    <row r="96" spans="1:10" ht="15" customHeight="1" x14ac:dyDescent="0.35">
      <c r="A96" s="21" t="s">
        <v>142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9">
        <v>-0.63</v>
      </c>
      <c r="I96" s="17">
        <v>0</v>
      </c>
      <c r="J96" s="17">
        <v>0</v>
      </c>
    </row>
    <row r="97" spans="1:10" ht="15" customHeight="1" x14ac:dyDescent="0.35">
      <c r="A97" s="21" t="s">
        <v>143</v>
      </c>
      <c r="B97" s="17"/>
      <c r="C97" s="17"/>
      <c r="D97" s="17"/>
      <c r="E97" s="17"/>
      <c r="F97" s="15">
        <v>17.13</v>
      </c>
      <c r="G97" s="15">
        <v>15.15</v>
      </c>
      <c r="H97" s="15">
        <v>16.64</v>
      </c>
      <c r="I97" s="15">
        <v>33.22</v>
      </c>
      <c r="J97" s="15">
        <v>42.85</v>
      </c>
    </row>
    <row r="98" spans="1:10" ht="15" customHeight="1" x14ac:dyDescent="0.35">
      <c r="A98" s="22" t="s">
        <v>144</v>
      </c>
      <c r="B98" s="23"/>
      <c r="C98" s="23"/>
      <c r="D98" s="23"/>
      <c r="E98" s="23"/>
      <c r="F98" s="23"/>
      <c r="G98" s="23"/>
      <c r="H98" s="23"/>
      <c r="I98" s="23"/>
      <c r="J98" s="23"/>
    </row>
    <row r="99" spans="1:10" ht="15" customHeight="1" x14ac:dyDescent="0.35">
      <c r="A99" s="21" t="s">
        <v>145</v>
      </c>
      <c r="B99" s="17">
        <v>0</v>
      </c>
      <c r="C99" s="17">
        <v>0</v>
      </c>
      <c r="D99" s="17">
        <v>0</v>
      </c>
      <c r="E99" s="17">
        <v>0</v>
      </c>
      <c r="F99" s="17"/>
      <c r="G99" s="17"/>
      <c r="H99" s="17"/>
      <c r="I99" s="17"/>
      <c r="J99" s="17"/>
    </row>
    <row r="100" spans="1:10" ht="15" customHeight="1" x14ac:dyDescent="0.35">
      <c r="A100" s="21" t="s">
        <v>146</v>
      </c>
      <c r="B100" s="16">
        <v>891.9</v>
      </c>
      <c r="C100" s="16">
        <v>2938.7</v>
      </c>
      <c r="D100" s="16">
        <v>2387.1999999999998</v>
      </c>
      <c r="E100" s="16">
        <v>3385.9</v>
      </c>
      <c r="F100" s="16">
        <v>5534.7</v>
      </c>
      <c r="G100" s="16">
        <v>4907.3</v>
      </c>
      <c r="H100" s="16">
        <v>5420</v>
      </c>
      <c r="I100" s="17">
        <v>10677.2</v>
      </c>
      <c r="J100" s="17">
        <v>13826</v>
      </c>
    </row>
    <row r="101" spans="1:10" ht="15" customHeight="1" x14ac:dyDescent="0.35">
      <c r="A101" s="13" t="s">
        <v>147</v>
      </c>
      <c r="B101" s="16">
        <v>891.9</v>
      </c>
      <c r="C101" s="16">
        <v>2938.7</v>
      </c>
      <c r="D101" s="16">
        <v>2387.1999999999998</v>
      </c>
      <c r="E101" s="16">
        <v>3385.9</v>
      </c>
      <c r="F101" s="16">
        <v>5534.7</v>
      </c>
      <c r="G101" s="16">
        <v>4907.3</v>
      </c>
      <c r="H101" s="16">
        <v>5621.4</v>
      </c>
      <c r="I101" s="17">
        <v>10677.2</v>
      </c>
      <c r="J101" s="17">
        <v>13826</v>
      </c>
    </row>
    <row r="102" spans="1:10" ht="15" customHeight="1" x14ac:dyDescent="0.35">
      <c r="A102" s="13" t="s">
        <v>148</v>
      </c>
      <c r="B102" s="16">
        <v>322.14</v>
      </c>
      <c r="C102" s="16">
        <v>322.14</v>
      </c>
      <c r="D102" s="16">
        <v>322.14</v>
      </c>
      <c r="E102" s="16">
        <v>322.14</v>
      </c>
      <c r="F102" s="16">
        <v>322.10000000000002</v>
      </c>
      <c r="G102" s="16">
        <v>322.10000000000002</v>
      </c>
      <c r="H102" s="16">
        <v>322.39999999999998</v>
      </c>
      <c r="I102" s="16">
        <v>322.8</v>
      </c>
      <c r="J102" s="16">
        <v>326.5</v>
      </c>
    </row>
    <row r="103" spans="1:10" ht="15" customHeight="1" x14ac:dyDescent="0.35">
      <c r="A103" s="24" t="s">
        <v>149</v>
      </c>
      <c r="B103" s="15">
        <v>2.77</v>
      </c>
      <c r="C103" s="15">
        <v>9.1199999999999992</v>
      </c>
      <c r="D103" s="15">
        <v>7.41</v>
      </c>
      <c r="E103" s="15">
        <v>10.51</v>
      </c>
      <c r="F103" s="15">
        <v>17.18</v>
      </c>
      <c r="G103" s="15">
        <v>15.24</v>
      </c>
      <c r="H103" s="15">
        <v>16.809999999999999</v>
      </c>
      <c r="I103" s="15">
        <v>33.08</v>
      </c>
      <c r="J103" s="15">
        <v>42.35</v>
      </c>
    </row>
    <row r="104" spans="1:10" ht="15" customHeight="1" x14ac:dyDescent="0.35">
      <c r="A104" s="24" t="s">
        <v>150</v>
      </c>
      <c r="B104" s="15">
        <v>2.77</v>
      </c>
      <c r="C104" s="15">
        <v>9.1199999999999992</v>
      </c>
      <c r="D104" s="15">
        <v>7.41</v>
      </c>
      <c r="E104" s="15">
        <v>10.51</v>
      </c>
      <c r="F104" s="15">
        <v>17.18</v>
      </c>
      <c r="G104" s="15">
        <v>15.24</v>
      </c>
      <c r="H104" s="15">
        <v>17.440000000000001</v>
      </c>
      <c r="I104" s="15">
        <v>33.08</v>
      </c>
      <c r="J104" s="15">
        <v>42.35</v>
      </c>
    </row>
    <row r="105" spans="1:10" ht="15" customHeight="1" x14ac:dyDescent="0.35">
      <c r="A105" s="24" t="s">
        <v>151</v>
      </c>
      <c r="B105" s="15">
        <v>2.77</v>
      </c>
      <c r="C105" s="15">
        <v>9.1199999999999992</v>
      </c>
      <c r="D105" s="15">
        <v>7.41</v>
      </c>
      <c r="E105" s="15">
        <v>10.51</v>
      </c>
      <c r="F105" s="15">
        <v>17.37</v>
      </c>
      <c r="G105" s="15">
        <v>15.32</v>
      </c>
      <c r="H105" s="15">
        <v>17.77</v>
      </c>
      <c r="I105" s="15">
        <v>32.950000000000003</v>
      </c>
      <c r="J105" s="15">
        <v>42.13</v>
      </c>
    </row>
    <row r="106" spans="1:10" ht="15" customHeight="1" x14ac:dyDescent="0.35">
      <c r="A106" s="21" t="s">
        <v>152</v>
      </c>
      <c r="B106" s="16">
        <v>891.9</v>
      </c>
      <c r="C106" s="16">
        <v>2938.7</v>
      </c>
      <c r="D106" s="16">
        <v>2387.1999999999998</v>
      </c>
      <c r="E106" s="16">
        <v>3385.9</v>
      </c>
      <c r="F106" s="16">
        <v>5534.7</v>
      </c>
      <c r="G106" s="16">
        <v>4907.3</v>
      </c>
      <c r="H106" s="16">
        <v>5420</v>
      </c>
      <c r="I106" s="17">
        <v>10677.2</v>
      </c>
      <c r="J106" s="17">
        <v>13826</v>
      </c>
    </row>
    <row r="107" spans="1:10" ht="15" customHeight="1" x14ac:dyDescent="0.35">
      <c r="A107" s="21" t="s">
        <v>153</v>
      </c>
      <c r="B107" s="15">
        <v>1</v>
      </c>
      <c r="C107" s="15">
        <v>1</v>
      </c>
      <c r="D107" s="15">
        <v>1</v>
      </c>
      <c r="E107" s="15">
        <v>1</v>
      </c>
      <c r="F107" s="15">
        <v>1</v>
      </c>
      <c r="G107" s="15">
        <v>1</v>
      </c>
      <c r="H107" s="15">
        <v>1</v>
      </c>
      <c r="I107" s="15">
        <v>1</v>
      </c>
      <c r="J107" s="15">
        <v>1</v>
      </c>
    </row>
    <row r="108" spans="1:10" ht="15" customHeight="1" x14ac:dyDescent="0.35">
      <c r="A108" s="13" t="s">
        <v>154</v>
      </c>
      <c r="B108" s="16">
        <v>322.14</v>
      </c>
      <c r="C108" s="16">
        <v>322.14</v>
      </c>
      <c r="D108" s="16">
        <v>322.14</v>
      </c>
      <c r="E108" s="16">
        <v>322.14</v>
      </c>
      <c r="F108" s="16">
        <v>322.10000000000002</v>
      </c>
      <c r="G108" s="16">
        <v>322.10000000000002</v>
      </c>
      <c r="H108" s="16">
        <v>322.39999999999998</v>
      </c>
      <c r="I108" s="16">
        <v>322.8</v>
      </c>
      <c r="J108" s="16">
        <v>326.5</v>
      </c>
    </row>
    <row r="109" spans="1:10" ht="15" customHeight="1" x14ac:dyDescent="0.35">
      <c r="A109" s="24" t="s">
        <v>155</v>
      </c>
      <c r="B109" s="15">
        <v>2.77</v>
      </c>
      <c r="C109" s="15">
        <v>9.1199999999999992</v>
      </c>
      <c r="D109" s="15">
        <v>7.41</v>
      </c>
      <c r="E109" s="15">
        <v>10.51</v>
      </c>
      <c r="F109" s="15">
        <v>17.18</v>
      </c>
      <c r="G109" s="15">
        <v>15.24</v>
      </c>
      <c r="H109" s="15">
        <v>16.809999999999999</v>
      </c>
      <c r="I109" s="15">
        <v>33.08</v>
      </c>
      <c r="J109" s="15">
        <v>42.35</v>
      </c>
    </row>
    <row r="110" spans="1:10" ht="15" customHeight="1" x14ac:dyDescent="0.35">
      <c r="A110" s="24" t="s">
        <v>156</v>
      </c>
      <c r="B110" s="15">
        <v>2.77</v>
      </c>
      <c r="C110" s="15">
        <v>9.1199999999999992</v>
      </c>
      <c r="D110" s="15">
        <v>7.41</v>
      </c>
      <c r="E110" s="15">
        <v>10.51</v>
      </c>
      <c r="F110" s="15">
        <v>17.18</v>
      </c>
      <c r="G110" s="15">
        <v>15.24</v>
      </c>
      <c r="H110" s="15">
        <v>17.440000000000001</v>
      </c>
      <c r="I110" s="15">
        <v>33.08</v>
      </c>
      <c r="J110" s="15">
        <v>42.35</v>
      </c>
    </row>
    <row r="111" spans="1:10" ht="15" customHeight="1" x14ac:dyDescent="0.35">
      <c r="A111" s="24" t="s">
        <v>157</v>
      </c>
      <c r="B111" s="15">
        <v>2.77</v>
      </c>
      <c r="C111" s="15">
        <v>9.1199999999999992</v>
      </c>
      <c r="D111" s="15">
        <v>7.41</v>
      </c>
      <c r="E111" s="15">
        <v>10.51</v>
      </c>
      <c r="F111" s="15">
        <v>17.37</v>
      </c>
      <c r="G111" s="15">
        <v>15.32</v>
      </c>
      <c r="H111" s="15">
        <v>17.77</v>
      </c>
      <c r="I111" s="15">
        <v>32.950000000000003</v>
      </c>
      <c r="J111" s="15">
        <v>42.13</v>
      </c>
    </row>
    <row r="112" spans="1:10" ht="15" customHeight="1" x14ac:dyDescent="0.35">
      <c r="A112" s="21" t="s">
        <v>158</v>
      </c>
      <c r="B112" s="17">
        <v>0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9">
        <v>-0.62</v>
      </c>
      <c r="I112" s="17">
        <v>0</v>
      </c>
      <c r="J112" s="17">
        <v>0</v>
      </c>
    </row>
    <row r="113" spans="1:10" ht="15" customHeight="1" x14ac:dyDescent="0.35">
      <c r="A113" s="21" t="s">
        <v>159</v>
      </c>
      <c r="B113" s="17"/>
      <c r="C113" s="17"/>
      <c r="D113" s="17"/>
      <c r="E113" s="17"/>
      <c r="F113" s="15">
        <v>17.13</v>
      </c>
      <c r="G113" s="15">
        <v>15.15</v>
      </c>
      <c r="H113" s="15">
        <v>16.63</v>
      </c>
      <c r="I113" s="15">
        <v>33.15</v>
      </c>
      <c r="J113" s="15">
        <v>42.34</v>
      </c>
    </row>
    <row r="114" spans="1:10" ht="15" customHeight="1" x14ac:dyDescent="0.35">
      <c r="A114" s="22" t="s">
        <v>160</v>
      </c>
      <c r="B114" s="23"/>
      <c r="C114" s="23"/>
      <c r="D114" s="23"/>
      <c r="E114" s="23"/>
      <c r="F114" s="23"/>
      <c r="G114" s="23"/>
      <c r="H114" s="23"/>
      <c r="I114" s="23"/>
      <c r="J114" s="23"/>
    </row>
    <row r="115" spans="1:10" ht="15" customHeight="1" x14ac:dyDescent="0.35">
      <c r="A115" s="21" t="s">
        <v>161</v>
      </c>
      <c r="B115" s="17">
        <v>0</v>
      </c>
      <c r="C115" s="17">
        <v>0</v>
      </c>
      <c r="D115" s="17">
        <v>0</v>
      </c>
      <c r="E115" s="17">
        <v>0</v>
      </c>
      <c r="F115" s="15">
        <v>3.9</v>
      </c>
      <c r="G115" s="15">
        <v>3.7</v>
      </c>
      <c r="H115" s="15">
        <v>9.9499999999999993</v>
      </c>
      <c r="I115" s="15">
        <v>14.75</v>
      </c>
      <c r="J115" s="15">
        <v>24.75</v>
      </c>
    </row>
    <row r="116" spans="1:10" ht="15" customHeight="1" x14ac:dyDescent="0.35">
      <c r="A116" s="21" t="s">
        <v>162</v>
      </c>
      <c r="B116" s="17">
        <v>0</v>
      </c>
      <c r="C116" s="17">
        <v>0</v>
      </c>
      <c r="D116" s="17">
        <v>0</v>
      </c>
      <c r="E116" s="17">
        <v>0</v>
      </c>
      <c r="F116" s="15">
        <v>3.9</v>
      </c>
      <c r="G116" s="15">
        <v>3.7</v>
      </c>
      <c r="H116" s="15">
        <v>9.9499999999999993</v>
      </c>
      <c r="I116" s="15">
        <v>14.75</v>
      </c>
      <c r="J116" s="15">
        <v>24.75</v>
      </c>
    </row>
    <row r="117" spans="1:10" ht="15" customHeight="1" x14ac:dyDescent="0.35">
      <c r="A117" s="22" t="s">
        <v>163</v>
      </c>
      <c r="B117" s="23"/>
      <c r="C117" s="23"/>
      <c r="D117" s="23"/>
      <c r="E117" s="23"/>
      <c r="F117" s="23"/>
      <c r="G117" s="23"/>
      <c r="H117" s="23"/>
      <c r="I117" s="23"/>
      <c r="J117" s="23"/>
    </row>
    <row r="118" spans="1:10" ht="15" customHeight="1" x14ac:dyDescent="0.35">
      <c r="A118" s="21" t="s">
        <v>164</v>
      </c>
      <c r="B118" s="16">
        <v>1648.7</v>
      </c>
      <c r="C118" s="16">
        <v>4823</v>
      </c>
      <c r="D118" s="16">
        <v>4012</v>
      </c>
      <c r="E118" s="16">
        <v>5510.3</v>
      </c>
      <c r="F118" s="16">
        <v>9131.4</v>
      </c>
      <c r="G118" s="16">
        <v>7802.7</v>
      </c>
      <c r="H118" s="16">
        <v>8320.7999999999993</v>
      </c>
      <c r="I118" s="17">
        <v>15346.5</v>
      </c>
      <c r="J118" s="17">
        <v>21160</v>
      </c>
    </row>
    <row r="119" spans="1:10" ht="15" customHeight="1" x14ac:dyDescent="0.35">
      <c r="A119" s="21" t="s">
        <v>165</v>
      </c>
      <c r="B119" s="16">
        <v>1783.5</v>
      </c>
      <c r="C119" s="16">
        <v>4986</v>
      </c>
      <c r="D119" s="16">
        <v>4171.6000000000004</v>
      </c>
      <c r="E119" s="16">
        <v>5665.1</v>
      </c>
      <c r="F119" s="16">
        <v>9284.4</v>
      </c>
      <c r="G119" s="16">
        <v>7952.2</v>
      </c>
      <c r="H119" s="16">
        <v>8934.7999999999993</v>
      </c>
      <c r="I119" s="17">
        <v>15888.5</v>
      </c>
      <c r="J119" s="17">
        <v>21785.3</v>
      </c>
    </row>
    <row r="120" spans="1:10" ht="15" customHeight="1" x14ac:dyDescent="0.35">
      <c r="A120" s="21" t="s">
        <v>166</v>
      </c>
      <c r="B120" s="16">
        <v>2505.5</v>
      </c>
      <c r="C120" s="16">
        <v>5841.4</v>
      </c>
      <c r="D120" s="16">
        <v>4914.7</v>
      </c>
      <c r="E120" s="16">
        <v>6388.7</v>
      </c>
      <c r="F120" s="16">
        <v>9938.1</v>
      </c>
      <c r="G120" s="16">
        <v>8622.7999999999993</v>
      </c>
      <c r="H120" s="16">
        <v>9072.5</v>
      </c>
      <c r="I120" s="17">
        <v>16052.3</v>
      </c>
      <c r="J120" s="17">
        <v>21950.9</v>
      </c>
    </row>
    <row r="121" spans="1:10" ht="15" customHeight="1" x14ac:dyDescent="0.35">
      <c r="A121" s="22" t="s">
        <v>167</v>
      </c>
      <c r="B121" s="23"/>
      <c r="C121" s="23"/>
      <c r="D121" s="23"/>
      <c r="E121" s="23"/>
      <c r="F121" s="23"/>
      <c r="G121" s="23"/>
      <c r="H121" s="23"/>
      <c r="I121" s="23"/>
      <c r="J121" s="23"/>
    </row>
    <row r="122" spans="1:10" ht="15" customHeight="1" x14ac:dyDescent="0.35">
      <c r="A122" s="21" t="s">
        <v>168</v>
      </c>
      <c r="B122" s="16">
        <v>134.80000000000001</v>
      </c>
      <c r="C122" s="16">
        <v>163</v>
      </c>
      <c r="D122" s="16">
        <v>159.6</v>
      </c>
      <c r="E122" s="16">
        <v>154.80000000000001</v>
      </c>
      <c r="F122" s="16">
        <v>153</v>
      </c>
      <c r="G122" s="16">
        <v>149.5</v>
      </c>
      <c r="H122" s="16">
        <v>614</v>
      </c>
      <c r="I122" s="16">
        <v>542</v>
      </c>
      <c r="J122" s="16">
        <v>625.29999999999995</v>
      </c>
    </row>
    <row r="123" spans="1:10" ht="15" customHeight="1" x14ac:dyDescent="0.35">
      <c r="A123" s="13" t="s">
        <v>169</v>
      </c>
      <c r="B123" s="17"/>
      <c r="C123" s="17"/>
      <c r="D123" s="17"/>
      <c r="E123" s="17"/>
      <c r="F123" s="16">
        <v>103.6</v>
      </c>
      <c r="G123" s="16">
        <v>104.8</v>
      </c>
      <c r="H123" s="16">
        <v>552.20000000000005</v>
      </c>
      <c r="I123" s="16">
        <v>463.8</v>
      </c>
      <c r="J123" s="16">
        <v>514.79999999999995</v>
      </c>
    </row>
    <row r="124" spans="1:10" ht="15" customHeight="1" x14ac:dyDescent="0.35">
      <c r="A124" s="24" t="s">
        <v>170</v>
      </c>
      <c r="B124" s="17"/>
      <c r="C124" s="17"/>
      <c r="D124" s="17"/>
      <c r="E124" s="17"/>
      <c r="F124" s="17"/>
      <c r="G124" s="17"/>
      <c r="H124" s="16">
        <v>451.9</v>
      </c>
      <c r="I124" s="16">
        <v>349.3</v>
      </c>
      <c r="J124" s="16">
        <v>341.5</v>
      </c>
    </row>
    <row r="125" spans="1:10" ht="15" customHeight="1" x14ac:dyDescent="0.35">
      <c r="A125" s="13" t="s">
        <v>171</v>
      </c>
      <c r="B125" s="17"/>
      <c r="C125" s="17"/>
      <c r="D125" s="17"/>
      <c r="E125" s="17"/>
      <c r="F125" s="15">
        <v>49.4</v>
      </c>
      <c r="G125" s="15">
        <v>44.7</v>
      </c>
      <c r="H125" s="15">
        <v>61.8</v>
      </c>
      <c r="I125" s="15">
        <v>78.2</v>
      </c>
      <c r="J125" s="16">
        <v>110.5</v>
      </c>
    </row>
    <row r="126" spans="1:10" ht="15" customHeight="1" x14ac:dyDescent="0.35">
      <c r="A126" s="24" t="s">
        <v>172</v>
      </c>
      <c r="B126" s="17"/>
      <c r="C126" s="17"/>
      <c r="D126" s="17"/>
      <c r="E126" s="17"/>
      <c r="F126" s="15">
        <v>49.4</v>
      </c>
      <c r="G126" s="15">
        <v>44.7</v>
      </c>
      <c r="H126" s="15">
        <v>61.8</v>
      </c>
      <c r="I126" s="15">
        <v>78.2</v>
      </c>
      <c r="J126" s="16">
        <v>110.5</v>
      </c>
    </row>
    <row r="127" spans="1:10" ht="15" customHeight="1" x14ac:dyDescent="0.35">
      <c r="A127" s="28" t="s">
        <v>173</v>
      </c>
      <c r="B127" s="17"/>
      <c r="C127" s="17"/>
      <c r="D127" s="17"/>
      <c r="E127" s="17"/>
      <c r="F127" s="15">
        <v>49.4</v>
      </c>
      <c r="G127" s="15">
        <v>44.7</v>
      </c>
      <c r="H127" s="15">
        <v>61.8</v>
      </c>
      <c r="I127" s="15">
        <v>78.2</v>
      </c>
      <c r="J127" s="16">
        <v>110.5</v>
      </c>
    </row>
    <row r="128" spans="1:10" ht="15" customHeight="1" x14ac:dyDescent="0.35">
      <c r="A128" s="22" t="s">
        <v>174</v>
      </c>
      <c r="B128" s="23"/>
      <c r="C128" s="23"/>
      <c r="D128" s="23"/>
      <c r="E128" s="23"/>
      <c r="F128" s="23"/>
      <c r="G128" s="23"/>
      <c r="H128" s="23"/>
      <c r="I128" s="23"/>
      <c r="J128" s="23"/>
    </row>
    <row r="129" spans="1:10" ht="15" customHeight="1" x14ac:dyDescent="0.35">
      <c r="A129" s="21" t="s">
        <v>175</v>
      </c>
      <c r="B129" s="16">
        <v>134.80000000000001</v>
      </c>
      <c r="C129" s="16">
        <v>163</v>
      </c>
      <c r="D129" s="16">
        <v>159.6</v>
      </c>
      <c r="E129" s="16">
        <v>154.80000000000001</v>
      </c>
      <c r="F129" s="16">
        <v>153</v>
      </c>
      <c r="G129" s="16">
        <v>149.5</v>
      </c>
      <c r="H129" s="16">
        <v>614</v>
      </c>
      <c r="I129" s="16">
        <v>542</v>
      </c>
      <c r="J129" s="16">
        <v>625.29999999999995</v>
      </c>
    </row>
    <row r="130" spans="1:10" ht="15" customHeight="1" x14ac:dyDescent="0.35">
      <c r="A130" s="13" t="s">
        <v>176</v>
      </c>
      <c r="B130" s="17"/>
      <c r="C130" s="17"/>
      <c r="D130" s="17"/>
      <c r="E130" s="17"/>
      <c r="F130" s="16">
        <v>103.6</v>
      </c>
      <c r="G130" s="16">
        <v>104.8</v>
      </c>
      <c r="H130" s="16">
        <v>552.20000000000005</v>
      </c>
      <c r="I130" s="16">
        <v>463.8</v>
      </c>
      <c r="J130" s="16">
        <v>514.79999999999995</v>
      </c>
    </row>
    <row r="131" spans="1:10" ht="15" customHeight="1" x14ac:dyDescent="0.35">
      <c r="A131" s="13" t="s">
        <v>177</v>
      </c>
      <c r="B131" s="17"/>
      <c r="C131" s="17"/>
      <c r="D131" s="17"/>
      <c r="E131" s="17"/>
      <c r="F131" s="15">
        <v>49.4</v>
      </c>
      <c r="G131" s="15">
        <v>44.7</v>
      </c>
      <c r="H131" s="15">
        <v>61.8</v>
      </c>
      <c r="I131" s="15">
        <v>78.2</v>
      </c>
      <c r="J131" s="16">
        <v>110.5</v>
      </c>
    </row>
    <row r="132" spans="1:10" ht="15" customHeight="1" x14ac:dyDescent="0.35">
      <c r="A132" s="22" t="s">
        <v>178</v>
      </c>
      <c r="B132" s="23"/>
      <c r="C132" s="23"/>
      <c r="D132" s="23"/>
      <c r="E132" s="23"/>
      <c r="F132" s="23"/>
      <c r="G132" s="23"/>
      <c r="H132" s="23"/>
      <c r="I132" s="23"/>
      <c r="J132" s="23"/>
    </row>
    <row r="133" spans="1:10" ht="15" customHeight="1" x14ac:dyDescent="0.35">
      <c r="A133" s="21" t="s">
        <v>179</v>
      </c>
      <c r="B133" s="16">
        <v>3345.7</v>
      </c>
      <c r="C133" s="16">
        <v>3920.7</v>
      </c>
      <c r="D133" s="16">
        <v>4013.7</v>
      </c>
      <c r="E133" s="16">
        <v>4846.6000000000004</v>
      </c>
      <c r="F133" s="16">
        <v>5508.6</v>
      </c>
      <c r="G133" s="16">
        <v>5551.4</v>
      </c>
      <c r="H133" s="16">
        <v>5347.1</v>
      </c>
      <c r="I133" s="16">
        <v>5890.2</v>
      </c>
      <c r="J133" s="16">
        <v>6653.9</v>
      </c>
    </row>
    <row r="134" spans="1:10" ht="15" customHeight="1" x14ac:dyDescent="0.35">
      <c r="A134" s="21" t="s">
        <v>180</v>
      </c>
      <c r="B134" s="16">
        <v>3345.7</v>
      </c>
      <c r="C134" s="16">
        <v>3920.7</v>
      </c>
      <c r="D134" s="16">
        <v>4013.7</v>
      </c>
      <c r="E134" s="16">
        <v>4846.6000000000004</v>
      </c>
      <c r="F134" s="16">
        <v>5508.6</v>
      </c>
      <c r="G134" s="16">
        <v>5551.4</v>
      </c>
      <c r="H134" s="16">
        <v>5347.1</v>
      </c>
      <c r="I134" s="16">
        <v>5890.2</v>
      </c>
      <c r="J134" s="16">
        <v>6653.9</v>
      </c>
    </row>
    <row r="135" spans="1:10" ht="15" customHeight="1" x14ac:dyDescent="0.35">
      <c r="A135" s="13" t="s">
        <v>181</v>
      </c>
      <c r="B135" s="17"/>
      <c r="C135" s="17"/>
      <c r="D135" s="17"/>
      <c r="E135" s="17"/>
      <c r="F135" s="17"/>
      <c r="G135" s="15">
        <v>45.36</v>
      </c>
      <c r="H135" s="15">
        <v>88.55</v>
      </c>
      <c r="I135" s="16">
        <v>108.43</v>
      </c>
      <c r="J135" s="16">
        <v>105.63</v>
      </c>
    </row>
    <row r="136" spans="1:10" ht="15" customHeight="1" x14ac:dyDescent="0.35">
      <c r="A136" s="24" t="s">
        <v>182</v>
      </c>
      <c r="B136" s="17"/>
      <c r="C136" s="17"/>
      <c r="D136" s="17"/>
      <c r="E136" s="17"/>
      <c r="F136" s="17"/>
      <c r="G136" s="15">
        <v>64.8</v>
      </c>
      <c r="H136" s="16">
        <v>126.5</v>
      </c>
      <c r="I136" s="16">
        <v>154.9</v>
      </c>
      <c r="J136" s="16">
        <v>150.9</v>
      </c>
    </row>
    <row r="137" spans="1:10" ht="15" customHeight="1" x14ac:dyDescent="0.35">
      <c r="A137" s="24" t="s">
        <v>183</v>
      </c>
      <c r="B137" s="17"/>
      <c r="C137" s="17"/>
      <c r="D137" s="17"/>
      <c r="E137" s="17"/>
      <c r="F137" s="17"/>
      <c r="G137" s="15">
        <v>19.440000000000001</v>
      </c>
      <c r="H137" s="15">
        <v>37.950000000000003</v>
      </c>
      <c r="I137" s="15">
        <v>46.47</v>
      </c>
      <c r="J137" s="15">
        <v>45.27</v>
      </c>
    </row>
    <row r="138" spans="1:10" ht="15" customHeight="1" x14ac:dyDescent="0.35">
      <c r="A138" s="22" t="s">
        <v>184</v>
      </c>
      <c r="B138" s="23"/>
      <c r="C138" s="23"/>
      <c r="D138" s="23"/>
      <c r="E138" s="23"/>
      <c r="F138" s="23"/>
      <c r="G138" s="23"/>
      <c r="H138" s="23"/>
      <c r="I138" s="23"/>
      <c r="J138" s="23"/>
    </row>
    <row r="139" spans="1:10" ht="15" customHeight="1" x14ac:dyDescent="0.35">
      <c r="A139" s="21" t="s">
        <v>184</v>
      </c>
      <c r="B139" s="15">
        <v>16.100000000000001</v>
      </c>
      <c r="C139" s="15">
        <v>10.6</v>
      </c>
      <c r="D139" s="15">
        <v>13.9</v>
      </c>
      <c r="E139" s="15">
        <v>12.6</v>
      </c>
      <c r="F139" s="15">
        <v>8.8000000000000007</v>
      </c>
      <c r="G139" s="15">
        <v>12.6</v>
      </c>
      <c r="H139" s="15">
        <v>18.100000000000001</v>
      </c>
      <c r="I139" s="15">
        <v>16</v>
      </c>
      <c r="J139" s="15">
        <v>16.8</v>
      </c>
    </row>
    <row r="140" spans="1:10" ht="15" customHeight="1" x14ac:dyDescent="0.35">
      <c r="A140" s="13" t="s">
        <v>185</v>
      </c>
      <c r="B140" s="15">
        <v>16.100000000000001</v>
      </c>
      <c r="C140" s="15">
        <v>10.6</v>
      </c>
      <c r="D140" s="15">
        <v>13.9</v>
      </c>
      <c r="E140" s="15">
        <v>12.6</v>
      </c>
      <c r="F140" s="15">
        <v>8.8000000000000007</v>
      </c>
      <c r="G140" s="15">
        <v>12.6</v>
      </c>
      <c r="H140" s="15">
        <v>18.100000000000001</v>
      </c>
      <c r="I140" s="15">
        <v>16</v>
      </c>
      <c r="J140" s="15">
        <v>16.8</v>
      </c>
    </row>
    <row r="141" spans="1:10" ht="15" customHeight="1" x14ac:dyDescent="0.35">
      <c r="A141" s="22" t="s">
        <v>186</v>
      </c>
      <c r="B141" s="23"/>
      <c r="C141" s="23"/>
      <c r="D141" s="23"/>
      <c r="E141" s="23"/>
      <c r="F141" s="23"/>
      <c r="G141" s="23"/>
      <c r="H141" s="23"/>
      <c r="I141" s="23"/>
      <c r="J141" s="23"/>
    </row>
    <row r="142" spans="1:10" ht="15" customHeight="1" x14ac:dyDescent="0.35">
      <c r="A142" s="21" t="s">
        <v>187</v>
      </c>
      <c r="B142" s="16">
        <v>891.9</v>
      </c>
      <c r="C142" s="16">
        <v>2938.7</v>
      </c>
      <c r="D142" s="16">
        <v>2387.1999999999998</v>
      </c>
      <c r="E142" s="16">
        <v>3385.9</v>
      </c>
      <c r="F142" s="16">
        <v>5595.2</v>
      </c>
      <c r="G142" s="16">
        <v>4934.2</v>
      </c>
      <c r="H142" s="16">
        <v>5728.1</v>
      </c>
      <c r="I142" s="17">
        <v>10636.2</v>
      </c>
      <c r="J142" s="17">
        <v>13756.6</v>
      </c>
    </row>
    <row r="143" spans="1:10" ht="15" customHeight="1" x14ac:dyDescent="0.35">
      <c r="A143" s="21" t="s">
        <v>188</v>
      </c>
      <c r="B143" s="16">
        <v>891.9</v>
      </c>
      <c r="C143" s="16">
        <v>2938.7</v>
      </c>
      <c r="D143" s="16">
        <v>2387.1999999999998</v>
      </c>
      <c r="E143" s="16">
        <v>3385.9</v>
      </c>
      <c r="F143" s="16">
        <v>5595.2</v>
      </c>
      <c r="G143" s="16">
        <v>4934.2</v>
      </c>
      <c r="H143" s="16">
        <v>5728.1</v>
      </c>
      <c r="I143" s="17">
        <v>10636.2</v>
      </c>
      <c r="J143" s="17">
        <v>13756.6</v>
      </c>
    </row>
    <row r="144" spans="1:10" ht="15" customHeight="1" x14ac:dyDescent="0.35">
      <c r="A144" s="21" t="s">
        <v>189</v>
      </c>
      <c r="B144" s="16">
        <v>891.9</v>
      </c>
      <c r="C144" s="16">
        <v>2938.7</v>
      </c>
      <c r="D144" s="16">
        <v>2387.1999999999998</v>
      </c>
      <c r="E144" s="16">
        <v>3385.9</v>
      </c>
      <c r="F144" s="16">
        <v>5595.2</v>
      </c>
      <c r="G144" s="16">
        <v>4934.2</v>
      </c>
      <c r="H144" s="16">
        <v>5728.1</v>
      </c>
      <c r="I144" s="17">
        <v>10636.2</v>
      </c>
      <c r="J144" s="17">
        <v>13756.6</v>
      </c>
    </row>
    <row r="145" spans="1:10" ht="15" customHeight="1" x14ac:dyDescent="0.35">
      <c r="A145" s="21" t="s">
        <v>190</v>
      </c>
      <c r="B145" s="16">
        <v>1635.9</v>
      </c>
      <c r="C145" s="16">
        <v>4800.3</v>
      </c>
      <c r="D145" s="16">
        <v>3992.2</v>
      </c>
      <c r="E145" s="16">
        <v>5497.1</v>
      </c>
      <c r="F145" s="16">
        <v>9067.7000000000007</v>
      </c>
      <c r="G145" s="16">
        <v>8011.8</v>
      </c>
      <c r="H145" s="16">
        <v>8484.7999999999993</v>
      </c>
      <c r="I145" s="17">
        <v>15311.6</v>
      </c>
      <c r="J145" s="17">
        <v>21148.799999999999</v>
      </c>
    </row>
    <row r="146" spans="1:10" ht="15" customHeight="1" x14ac:dyDescent="0.35">
      <c r="A146" s="21" t="s">
        <v>191</v>
      </c>
      <c r="B146" s="16">
        <v>1770.7</v>
      </c>
      <c r="C146" s="16">
        <v>4963.3</v>
      </c>
      <c r="D146" s="16">
        <v>4151.8</v>
      </c>
      <c r="E146" s="16">
        <v>5651.9</v>
      </c>
      <c r="F146" s="16">
        <v>9220.7000000000007</v>
      </c>
      <c r="G146" s="16">
        <v>8161.3</v>
      </c>
      <c r="H146" s="16">
        <v>9098.7999999999993</v>
      </c>
      <c r="I146" s="17">
        <v>15853.6</v>
      </c>
      <c r="J146" s="17">
        <v>21774.1</v>
      </c>
    </row>
    <row r="147" spans="1:10" ht="15" customHeight="1" x14ac:dyDescent="0.35">
      <c r="A147" s="22" t="s">
        <v>192</v>
      </c>
      <c r="B147" s="23"/>
      <c r="C147" s="23"/>
      <c r="D147" s="23"/>
      <c r="E147" s="23"/>
      <c r="F147" s="23"/>
      <c r="G147" s="23"/>
      <c r="H147" s="23"/>
      <c r="I147" s="23"/>
      <c r="J147" s="23"/>
    </row>
    <row r="148" spans="1:10" ht="15" customHeight="1" x14ac:dyDescent="0.35">
      <c r="A148" s="21" t="s">
        <v>193</v>
      </c>
      <c r="B148" s="17"/>
      <c r="C148" s="17"/>
      <c r="D148" s="17"/>
      <c r="E148" s="17"/>
      <c r="F148" s="17"/>
      <c r="G148" s="17"/>
      <c r="H148" s="17"/>
      <c r="I148" s="17"/>
      <c r="J148" s="17"/>
    </row>
    <row r="149" spans="1:10" ht="15" customHeight="1" x14ac:dyDescent="0.35">
      <c r="A149" s="13" t="s">
        <v>194</v>
      </c>
      <c r="B149" s="17"/>
      <c r="C149" s="17"/>
      <c r="D149" s="17"/>
      <c r="E149" s="17"/>
      <c r="F149" s="17"/>
      <c r="G149" s="17"/>
      <c r="H149" s="17"/>
      <c r="I149" s="17"/>
      <c r="J149" s="15">
        <v>88.1</v>
      </c>
    </row>
    <row r="150" spans="1:10" ht="15" customHeight="1" x14ac:dyDescent="0.35">
      <c r="A150" s="22" t="s">
        <v>195</v>
      </c>
      <c r="B150" s="23"/>
      <c r="C150" s="23"/>
      <c r="D150" s="23"/>
      <c r="E150" s="23"/>
      <c r="F150" s="23"/>
      <c r="G150" s="23"/>
      <c r="H150" s="23"/>
      <c r="I150" s="23"/>
      <c r="J150" s="23"/>
    </row>
    <row r="151" spans="1:10" ht="15" customHeight="1" x14ac:dyDescent="0.35">
      <c r="A151" s="21" t="s">
        <v>196</v>
      </c>
      <c r="B151" s="16">
        <v>722</v>
      </c>
      <c r="C151" s="16">
        <v>855.4</v>
      </c>
      <c r="D151" s="16">
        <v>743.1</v>
      </c>
      <c r="E151" s="16">
        <v>723.6</v>
      </c>
      <c r="F151" s="16">
        <v>653.70000000000005</v>
      </c>
      <c r="G151" s="16">
        <v>670.6</v>
      </c>
      <c r="H151" s="16">
        <v>137.69999999999999</v>
      </c>
      <c r="I151" s="16">
        <v>163.80000000000001</v>
      </c>
      <c r="J151" s="16">
        <v>165.6</v>
      </c>
    </row>
    <row r="152" spans="1:10" ht="15" customHeight="1" x14ac:dyDescent="0.35">
      <c r="A152" s="21" t="s">
        <v>197</v>
      </c>
      <c r="B152" s="16">
        <v>185.4</v>
      </c>
      <c r="C152" s="16">
        <v>162.6</v>
      </c>
      <c r="D152" s="16">
        <v>145.69999999999999</v>
      </c>
      <c r="E152" s="16">
        <v>264.89999999999998</v>
      </c>
      <c r="F152" s="16">
        <v>210.6</v>
      </c>
      <c r="G152" s="16">
        <v>180.7</v>
      </c>
      <c r="H152" s="16">
        <v>188.2</v>
      </c>
      <c r="I152" s="16">
        <v>541.20000000000005</v>
      </c>
      <c r="J152" s="16">
        <v>1178.5999999999999</v>
      </c>
    </row>
    <row r="153" spans="1:10" ht="15" customHeight="1" x14ac:dyDescent="0.35">
      <c r="A153" s="21" t="s">
        <v>198</v>
      </c>
      <c r="B153" s="16">
        <v>4960.5</v>
      </c>
      <c r="C153" s="16">
        <v>7554.1</v>
      </c>
      <c r="D153" s="16">
        <v>6607.3</v>
      </c>
      <c r="E153" s="16">
        <v>7758.9</v>
      </c>
      <c r="F153" s="17">
        <v>10243</v>
      </c>
      <c r="G153" s="16">
        <v>9328.2999999999993</v>
      </c>
      <c r="H153" s="16">
        <v>9475.6</v>
      </c>
      <c r="I153" s="17">
        <v>15045.2</v>
      </c>
      <c r="J153" s="17">
        <v>15525.9</v>
      </c>
    </row>
    <row r="154" spans="1:10" ht="15" customHeight="1" x14ac:dyDescent="0.35">
      <c r="A154" s="21" t="s">
        <v>199</v>
      </c>
      <c r="B154" s="16">
        <v>238.5</v>
      </c>
      <c r="C154" s="16">
        <v>303.5</v>
      </c>
      <c r="D154" s="16">
        <v>251.2</v>
      </c>
      <c r="E154" s="16">
        <v>276.7</v>
      </c>
      <c r="F154" s="16">
        <v>483.3</v>
      </c>
      <c r="G154" s="16">
        <v>412.6</v>
      </c>
      <c r="H154" s="16">
        <v>848.8</v>
      </c>
      <c r="I154" s="16">
        <v>1044.8</v>
      </c>
      <c r="J154" s="16">
        <v>2690.6</v>
      </c>
    </row>
    <row r="155" spans="1:10" ht="15" customHeight="1" x14ac:dyDescent="0.35">
      <c r="A155" s="21" t="s">
        <v>76</v>
      </c>
      <c r="B155" s="16">
        <v>5567.8</v>
      </c>
      <c r="C155" s="16">
        <v>6272.8</v>
      </c>
      <c r="D155" s="16">
        <v>6250.7</v>
      </c>
      <c r="E155" s="16">
        <v>7305.5</v>
      </c>
      <c r="F155" s="16">
        <v>7908.3</v>
      </c>
      <c r="G155" s="16">
        <v>8077.9</v>
      </c>
      <c r="H155" s="16">
        <v>7702.5</v>
      </c>
      <c r="I155" s="16">
        <v>8640.2999999999993</v>
      </c>
      <c r="J155" s="17">
        <v>10463.1</v>
      </c>
    </row>
    <row r="156" spans="1:10" ht="15" customHeight="1" x14ac:dyDescent="0.35">
      <c r="A156" s="21" t="s">
        <v>200</v>
      </c>
      <c r="B156" s="16">
        <v>5522.4</v>
      </c>
      <c r="C156" s="16">
        <v>6248.5</v>
      </c>
      <c r="D156" s="16">
        <v>6227.8</v>
      </c>
      <c r="E156" s="16">
        <v>7277.1</v>
      </c>
      <c r="F156" s="16">
        <v>7874.4</v>
      </c>
      <c r="G156" s="16">
        <v>8030.9</v>
      </c>
      <c r="H156" s="16">
        <v>7672.4</v>
      </c>
      <c r="I156" s="16">
        <v>8601.2000000000007</v>
      </c>
      <c r="J156" s="17">
        <v>10396</v>
      </c>
    </row>
    <row r="157" spans="1:10" ht="15" customHeight="1" x14ac:dyDescent="0.35">
      <c r="A157" s="21" t="s">
        <v>201</v>
      </c>
      <c r="B157" s="16">
        <v>1044.1199999999999</v>
      </c>
      <c r="C157" s="16">
        <v>3137.04</v>
      </c>
      <c r="D157" s="16">
        <v>2547.5</v>
      </c>
      <c r="E157" s="16">
        <v>3565.36</v>
      </c>
      <c r="F157" s="16">
        <v>5848.51</v>
      </c>
      <c r="G157" s="16">
        <v>5174.6899999999996</v>
      </c>
      <c r="H157" s="16">
        <v>6053.72</v>
      </c>
      <c r="I157" s="17">
        <v>11456.88</v>
      </c>
      <c r="J157" s="17">
        <v>15833.83</v>
      </c>
    </row>
  </sheetData>
  <mergeCells count="27">
    <mergeCell ref="G11"/>
    <mergeCell ref="H11"/>
    <mergeCell ref="I11"/>
    <mergeCell ref="J11"/>
    <mergeCell ref="B12"/>
    <mergeCell ref="E12"/>
    <mergeCell ref="H12"/>
    <mergeCell ref="B11"/>
    <mergeCell ref="C11"/>
    <mergeCell ref="D11"/>
    <mergeCell ref="E11"/>
    <mergeCell ref="F11"/>
    <mergeCell ref="B13"/>
    <mergeCell ref="C12"/>
    <mergeCell ref="C13"/>
    <mergeCell ref="D12"/>
    <mergeCell ref="D13"/>
    <mergeCell ref="E13"/>
    <mergeCell ref="F12"/>
    <mergeCell ref="F13"/>
    <mergeCell ref="G12"/>
    <mergeCell ref="G13"/>
    <mergeCell ref="H13"/>
    <mergeCell ref="I12"/>
    <mergeCell ref="I13"/>
    <mergeCell ref="J12"/>
    <mergeCell ref="J13"/>
  </mergeCells>
  <hyperlinks>
    <hyperlink ref="E1" location="Contents!A1" display="Back to contents" xr:uid="{AF5BE8E1-9C6B-BF45-9E45-6CAC9E582E3E}"/>
  </hyperlinks>
  <pageMargins left="0.5" right="0.5" top="1" bottom="1" header="0.5" footer="0.75"/>
  <pageSetup scale="35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39997558519241921"/>
    <pageSetUpPr fitToPage="1"/>
  </sheetPr>
  <dimension ref="A1:P154"/>
  <sheetViews>
    <sheetView zoomScale="169" workbookViewId="0">
      <selection activeCell="H1" sqref="H1"/>
    </sheetView>
  </sheetViews>
  <sheetFormatPr defaultColWidth="8.81640625" defaultRowHeight="14.5" outlineLevelRow="1" x14ac:dyDescent="0.35"/>
  <cols>
    <col min="1" max="1" width="85.6328125" customWidth="1"/>
    <col min="2" max="10" width="15.6328125" customWidth="1"/>
    <col min="2000" max="2000" width="2.36328125" customWidth="1"/>
  </cols>
  <sheetData>
    <row r="1" spans="1:10" ht="15" customHeight="1" thickBot="1" x14ac:dyDescent="0.4">
      <c r="A1" s="1" t="s">
        <v>202</v>
      </c>
      <c r="B1" s="2"/>
      <c r="C1" s="2"/>
      <c r="D1" s="2"/>
      <c r="E1" s="2"/>
      <c r="F1" s="2"/>
      <c r="G1" s="2"/>
      <c r="H1" s="104" t="s">
        <v>550</v>
      </c>
      <c r="I1" s="2"/>
      <c r="J1" s="2"/>
    </row>
    <row r="2" spans="1:10" ht="15" customHeight="1" thickTop="1" x14ac:dyDescent="0.35">
      <c r="A2" s="3" t="s">
        <v>1</v>
      </c>
      <c r="B2" s="4" t="s">
        <v>2</v>
      </c>
    </row>
    <row r="3" spans="1:10" x14ac:dyDescent="0.35">
      <c r="A3" s="3" t="s">
        <v>3</v>
      </c>
      <c r="B3" s="3" t="s">
        <v>4</v>
      </c>
    </row>
    <row r="4" spans="1:10" x14ac:dyDescent="0.35">
      <c r="A4" s="3" t="s">
        <v>5</v>
      </c>
      <c r="B4" s="3" t="s">
        <v>4</v>
      </c>
    </row>
    <row r="5" spans="1:10" x14ac:dyDescent="0.35">
      <c r="A5" s="3" t="s">
        <v>6</v>
      </c>
      <c r="B5" s="3" t="s">
        <v>7</v>
      </c>
    </row>
    <row r="6" spans="1:10" x14ac:dyDescent="0.35">
      <c r="A6" s="3" t="s">
        <v>8</v>
      </c>
      <c r="B6" s="3" t="s">
        <v>9</v>
      </c>
    </row>
    <row r="7" spans="1:10" x14ac:dyDescent="0.35">
      <c r="A7" s="3" t="s">
        <v>10</v>
      </c>
      <c r="B7" s="3" t="s">
        <v>11</v>
      </c>
    </row>
    <row r="8" spans="1:10" x14ac:dyDescent="0.35">
      <c r="A8" s="3" t="s">
        <v>12</v>
      </c>
      <c r="B8" s="3" t="s">
        <v>13</v>
      </c>
    </row>
    <row r="9" spans="1:10" x14ac:dyDescent="0.35">
      <c r="A9" s="3" t="s">
        <v>14</v>
      </c>
      <c r="B9" s="3" t="s">
        <v>15</v>
      </c>
    </row>
    <row r="10" spans="1:10" x14ac:dyDescent="0.35">
      <c r="A10" s="3" t="s">
        <v>16</v>
      </c>
      <c r="B10" s="5">
        <v>45076.753914409703</v>
      </c>
    </row>
    <row r="11" spans="1:10" x14ac:dyDescent="0.35">
      <c r="A11" s="6" t="s">
        <v>17</v>
      </c>
      <c r="B11" s="431" t="s">
        <v>18</v>
      </c>
      <c r="C11" s="431" t="s">
        <v>19</v>
      </c>
      <c r="D11" s="431" t="s">
        <v>20</v>
      </c>
      <c r="E11" s="431" t="s">
        <v>21</v>
      </c>
      <c r="F11" s="431" t="s">
        <v>22</v>
      </c>
      <c r="G11" s="431" t="s">
        <v>23</v>
      </c>
      <c r="H11" s="431" t="s">
        <v>24</v>
      </c>
      <c r="I11" s="431" t="s">
        <v>25</v>
      </c>
      <c r="J11" s="431" t="s">
        <v>26</v>
      </c>
    </row>
    <row r="12" spans="1:10" ht="15" customHeight="1" outlineLevel="1" x14ac:dyDescent="0.35">
      <c r="A12" s="7" t="s">
        <v>27</v>
      </c>
      <c r="B12" s="430">
        <v>41729</v>
      </c>
      <c r="C12" s="430">
        <v>42094</v>
      </c>
      <c r="D12" s="430">
        <v>42460</v>
      </c>
      <c r="E12" s="430">
        <v>42825</v>
      </c>
      <c r="F12" s="430">
        <v>43190</v>
      </c>
      <c r="G12" s="430">
        <v>43555</v>
      </c>
      <c r="H12" s="430">
        <v>43921</v>
      </c>
      <c r="I12" s="430">
        <v>44286</v>
      </c>
      <c r="J12" s="430">
        <v>44651</v>
      </c>
    </row>
    <row r="13" spans="1:10" ht="15" customHeight="1" outlineLevel="1" x14ac:dyDescent="0.35">
      <c r="A13" s="7" t="s">
        <v>28</v>
      </c>
      <c r="B13" s="430" t="s">
        <v>29</v>
      </c>
      <c r="C13" s="430" t="s">
        <v>29</v>
      </c>
      <c r="D13" s="430" t="s">
        <v>29</v>
      </c>
      <c r="E13" s="430" t="s">
        <v>29</v>
      </c>
      <c r="F13" s="430" t="s">
        <v>29</v>
      </c>
      <c r="G13" s="430" t="s">
        <v>29</v>
      </c>
      <c r="H13" s="430" t="s">
        <v>29</v>
      </c>
      <c r="I13" s="430" t="s">
        <v>29</v>
      </c>
      <c r="J13" s="430" t="s">
        <v>29</v>
      </c>
    </row>
    <row r="14" spans="1:10" x14ac:dyDescent="0.35">
      <c r="A14" s="8" t="s">
        <v>203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5">
      <c r="A15" s="8" t="s">
        <v>31</v>
      </c>
      <c r="B15" s="9" t="s">
        <v>33</v>
      </c>
      <c r="C15" s="9" t="s">
        <v>34</v>
      </c>
      <c r="D15" s="9" t="s">
        <v>35</v>
      </c>
      <c r="E15" s="9" t="s">
        <v>36</v>
      </c>
      <c r="F15" s="9" t="s">
        <v>37</v>
      </c>
      <c r="G15" s="9" t="s">
        <v>38</v>
      </c>
      <c r="H15" s="9" t="s">
        <v>39</v>
      </c>
      <c r="I15" s="9" t="s">
        <v>40</v>
      </c>
      <c r="J15" s="9" t="s">
        <v>41</v>
      </c>
    </row>
    <row r="16" spans="1:10" ht="15" customHeight="1" x14ac:dyDescent="0.35">
      <c r="A16" s="22" t="s">
        <v>204</v>
      </c>
      <c r="B16" s="23"/>
      <c r="C16" s="23"/>
      <c r="D16" s="23"/>
      <c r="E16" s="23"/>
      <c r="F16" s="23"/>
      <c r="G16" s="23"/>
      <c r="H16" s="23"/>
      <c r="I16" s="23"/>
      <c r="J16" s="23"/>
    </row>
    <row r="17" spans="1:16" ht="15" customHeight="1" x14ac:dyDescent="0.35">
      <c r="A17" s="35" t="s">
        <v>205</v>
      </c>
      <c r="B17" s="37">
        <v>5966.6</v>
      </c>
      <c r="C17" s="37">
        <v>8530.6</v>
      </c>
      <c r="D17" s="37">
        <v>6394.2</v>
      </c>
      <c r="E17" s="37">
        <v>1206.3</v>
      </c>
      <c r="F17" s="37">
        <v>1770.7</v>
      </c>
      <c r="G17" s="41">
        <v>18841</v>
      </c>
      <c r="H17" s="37">
        <v>5418.3</v>
      </c>
      <c r="I17" s="37">
        <v>3093.2</v>
      </c>
      <c r="J17" s="37">
        <v>7735.8</v>
      </c>
    </row>
    <row r="18" spans="1:16" ht="15" customHeight="1" x14ac:dyDescent="0.35">
      <c r="A18" s="21" t="s">
        <v>206</v>
      </c>
      <c r="B18" s="17"/>
      <c r="C18" s="17"/>
      <c r="D18" s="17"/>
      <c r="E18" s="17"/>
      <c r="F18" s="17"/>
      <c r="G18" s="17"/>
      <c r="H18" s="17"/>
      <c r="I18" s="17"/>
      <c r="J18" s="15">
        <v>0.8</v>
      </c>
    </row>
    <row r="19" spans="1:16" ht="15" customHeight="1" x14ac:dyDescent="0.35">
      <c r="A19" s="25" t="s">
        <v>207</v>
      </c>
      <c r="B19" s="43">
        <v>7684</v>
      </c>
      <c r="C19" s="43">
        <v>3813.6</v>
      </c>
      <c r="D19" s="43">
        <v>4998.8999999999996</v>
      </c>
      <c r="E19" s="43">
        <v>8844.5</v>
      </c>
      <c r="F19" s="45">
        <v>10775.7</v>
      </c>
      <c r="G19" s="45">
        <v>11022.3</v>
      </c>
      <c r="H19" s="43">
        <v>9098.5</v>
      </c>
      <c r="I19" s="45">
        <v>36174.9</v>
      </c>
      <c r="J19" s="45">
        <v>75439.899999999994</v>
      </c>
      <c r="K19" s="39"/>
    </row>
    <row r="20" spans="1:16" ht="15" customHeight="1" x14ac:dyDescent="0.35">
      <c r="A20" s="40" t="s">
        <v>208</v>
      </c>
      <c r="B20" s="37">
        <v>5385.5</v>
      </c>
      <c r="C20" s="37">
        <v>1731.3</v>
      </c>
      <c r="D20" s="37">
        <v>2933.3</v>
      </c>
      <c r="E20" s="48">
        <v>7090.3</v>
      </c>
      <c r="F20" s="48">
        <v>3101</v>
      </c>
      <c r="G20" s="48">
        <v>4769.8</v>
      </c>
      <c r="H20" s="48">
        <v>887.9</v>
      </c>
      <c r="I20" s="48">
        <v>4586.1000000000004</v>
      </c>
      <c r="J20" s="48">
        <v>3848.3</v>
      </c>
      <c r="K20" s="39"/>
      <c r="L20" s="39"/>
      <c r="M20" s="39"/>
      <c r="N20" s="39"/>
      <c r="O20" s="39"/>
      <c r="P20" s="39"/>
    </row>
    <row r="21" spans="1:16" ht="15" customHeight="1" x14ac:dyDescent="0.35">
      <c r="A21" s="24" t="s">
        <v>209</v>
      </c>
      <c r="B21" s="17"/>
      <c r="C21" s="17"/>
      <c r="D21" s="17"/>
      <c r="E21" s="47">
        <v>7155.1</v>
      </c>
      <c r="F21" s="47">
        <v>3221.8</v>
      </c>
      <c r="G21" s="47">
        <v>4919.3999999999996</v>
      </c>
      <c r="H21" s="47">
        <v>1045.9000000000001</v>
      </c>
      <c r="I21" s="47">
        <v>4707.3</v>
      </c>
      <c r="J21" s="47">
        <v>3968.3</v>
      </c>
      <c r="K21" s="42"/>
      <c r="L21" s="42"/>
      <c r="M21" s="42"/>
      <c r="N21" s="42"/>
      <c r="O21" s="42"/>
      <c r="P21" s="42"/>
    </row>
    <row r="22" spans="1:16" ht="15" customHeight="1" x14ac:dyDescent="0.35">
      <c r="A22" s="24" t="s">
        <v>210</v>
      </c>
      <c r="B22" s="17"/>
      <c r="C22" s="17"/>
      <c r="D22" s="17"/>
      <c r="E22" s="15">
        <v>64.8</v>
      </c>
      <c r="F22" s="16">
        <v>120.8</v>
      </c>
      <c r="G22" s="16">
        <v>149.6</v>
      </c>
      <c r="H22" s="16">
        <v>158</v>
      </c>
      <c r="I22" s="16">
        <v>121.2</v>
      </c>
      <c r="J22" s="16">
        <v>120</v>
      </c>
    </row>
    <row r="23" spans="1:16" ht="15" customHeight="1" x14ac:dyDescent="0.35">
      <c r="A23" s="13" t="s">
        <v>211</v>
      </c>
      <c r="B23" s="17"/>
      <c r="C23" s="17"/>
      <c r="D23" s="17"/>
      <c r="E23" s="43">
        <v>971</v>
      </c>
      <c r="F23" s="43">
        <v>1062.0999999999999</v>
      </c>
      <c r="G23" s="43">
        <v>1306.5</v>
      </c>
      <c r="H23" s="43">
        <v>1502.8</v>
      </c>
      <c r="I23" s="43">
        <v>1189.3</v>
      </c>
      <c r="J23" s="43">
        <v>1247.0999999999999</v>
      </c>
    </row>
    <row r="24" spans="1:16" ht="15" customHeight="1" x14ac:dyDescent="0.35">
      <c r="A24" s="44" t="s">
        <v>212</v>
      </c>
      <c r="B24" s="43">
        <v>2298.5</v>
      </c>
      <c r="C24" s="43">
        <v>2082.3000000000002</v>
      </c>
      <c r="D24" s="43">
        <v>2065.6</v>
      </c>
      <c r="E24" s="43">
        <v>783.2</v>
      </c>
      <c r="F24" s="43">
        <v>6612.6</v>
      </c>
      <c r="G24" s="43">
        <v>4946</v>
      </c>
      <c r="H24" s="43">
        <v>6707.8</v>
      </c>
      <c r="I24" s="45">
        <v>30399.5</v>
      </c>
      <c r="J24" s="45">
        <v>70356.7</v>
      </c>
    </row>
    <row r="25" spans="1:16" ht="15" customHeight="1" x14ac:dyDescent="0.35">
      <c r="A25" s="13" t="s">
        <v>213</v>
      </c>
      <c r="B25" s="17"/>
      <c r="C25" s="17"/>
      <c r="D25" s="17"/>
      <c r="E25" s="17"/>
      <c r="F25" s="17"/>
      <c r="G25" s="17"/>
      <c r="H25" s="17"/>
      <c r="I25" s="17"/>
      <c r="J25" s="15">
        <v>12.2</v>
      </c>
    </row>
    <row r="26" spans="1:16" ht="15" customHeight="1" x14ac:dyDescent="0.35">
      <c r="A26" s="21" t="s">
        <v>214</v>
      </c>
      <c r="B26" s="16">
        <v>277</v>
      </c>
      <c r="C26" s="16">
        <v>338.1</v>
      </c>
      <c r="D26" s="16">
        <v>1412.7</v>
      </c>
      <c r="E26" s="17"/>
      <c r="F26" s="17"/>
      <c r="G26" s="17"/>
      <c r="H26" s="17"/>
      <c r="I26" s="17"/>
      <c r="J26" s="17"/>
      <c r="K26" s="46"/>
    </row>
    <row r="27" spans="1:16" ht="15" customHeight="1" x14ac:dyDescent="0.35">
      <c r="A27" s="21" t="s">
        <v>215</v>
      </c>
      <c r="B27" s="16">
        <v>1002.8</v>
      </c>
      <c r="C27" s="15">
        <v>12.2</v>
      </c>
      <c r="D27" s="15">
        <v>12.2</v>
      </c>
      <c r="E27" s="16">
        <v>678.2</v>
      </c>
      <c r="F27" s="16">
        <v>682.2</v>
      </c>
      <c r="G27" s="16">
        <v>2923.1</v>
      </c>
      <c r="H27" s="16">
        <v>8714.7000000000007</v>
      </c>
      <c r="I27" s="16">
        <v>4915.1000000000004</v>
      </c>
      <c r="J27" s="16">
        <v>2963.2</v>
      </c>
    </row>
    <row r="28" spans="1:16" ht="15" customHeight="1" x14ac:dyDescent="0.35">
      <c r="A28" s="44" t="s">
        <v>216</v>
      </c>
      <c r="B28" s="43">
        <v>1002.8</v>
      </c>
      <c r="C28" s="49">
        <v>12.2</v>
      </c>
      <c r="D28" s="49">
        <v>12.2</v>
      </c>
      <c r="E28" s="43">
        <v>633.6</v>
      </c>
      <c r="F28" s="43">
        <v>643</v>
      </c>
      <c r="G28" s="43">
        <v>2894.6</v>
      </c>
      <c r="H28" s="43">
        <v>8690</v>
      </c>
      <c r="I28" s="43">
        <v>4886.3</v>
      </c>
      <c r="J28" s="43">
        <v>2856.1</v>
      </c>
    </row>
    <row r="29" spans="1:16" ht="15" customHeight="1" x14ac:dyDescent="0.35">
      <c r="A29" s="24" t="s">
        <v>217</v>
      </c>
      <c r="B29" s="16">
        <v>1000</v>
      </c>
      <c r="C29" s="17">
        <v>0</v>
      </c>
      <c r="D29" s="17">
        <v>0</v>
      </c>
      <c r="E29" s="16">
        <v>633.6</v>
      </c>
      <c r="F29" s="16">
        <v>643</v>
      </c>
      <c r="G29" s="16">
        <v>2894.6</v>
      </c>
      <c r="H29" s="16">
        <v>8690</v>
      </c>
      <c r="I29" s="16">
        <v>4886.3</v>
      </c>
      <c r="J29" s="16">
        <v>2856.1</v>
      </c>
    </row>
    <row r="30" spans="1:16" ht="15" customHeight="1" x14ac:dyDescent="0.35">
      <c r="A30" s="24" t="s">
        <v>218</v>
      </c>
      <c r="B30" s="15">
        <v>2.8</v>
      </c>
      <c r="C30" s="15">
        <v>12.2</v>
      </c>
      <c r="D30" s="15">
        <v>12.2</v>
      </c>
      <c r="E30" s="17"/>
      <c r="F30" s="17"/>
      <c r="G30" s="17"/>
      <c r="H30" s="17"/>
      <c r="I30" s="17"/>
      <c r="J30" s="17"/>
    </row>
    <row r="31" spans="1:16" ht="15" customHeight="1" x14ac:dyDescent="0.35">
      <c r="A31" s="13" t="s">
        <v>219</v>
      </c>
      <c r="B31" s="17"/>
      <c r="C31" s="17"/>
      <c r="D31" s="17"/>
      <c r="E31" s="15">
        <v>44.6</v>
      </c>
      <c r="F31" s="15">
        <v>39.200000000000003</v>
      </c>
      <c r="G31" s="15">
        <v>28.5</v>
      </c>
      <c r="H31" s="15">
        <v>24.7</v>
      </c>
      <c r="I31" s="15">
        <v>28.8</v>
      </c>
      <c r="J31" s="16">
        <v>107.1</v>
      </c>
    </row>
    <row r="32" spans="1:16" ht="15" customHeight="1" x14ac:dyDescent="0.35">
      <c r="A32" s="50" t="s">
        <v>220</v>
      </c>
      <c r="B32" s="48">
        <v>200</v>
      </c>
      <c r="C32" s="48">
        <v>259.60000000000002</v>
      </c>
      <c r="D32" s="48">
        <v>254.7</v>
      </c>
      <c r="E32" s="48">
        <v>242.4</v>
      </c>
      <c r="F32" s="48">
        <v>312.10000000000002</v>
      </c>
      <c r="G32" s="48">
        <v>307.2</v>
      </c>
      <c r="H32" s="48">
        <v>1857.2</v>
      </c>
      <c r="I32" s="48">
        <v>1421.4</v>
      </c>
      <c r="J32" s="48">
        <v>1635.8</v>
      </c>
    </row>
    <row r="33" spans="1:11" ht="15" customHeight="1" x14ac:dyDescent="0.35">
      <c r="A33" s="13" t="s">
        <v>221</v>
      </c>
      <c r="B33" s="16">
        <v>530.29999999999995</v>
      </c>
      <c r="C33" s="16">
        <v>637.29999999999995</v>
      </c>
      <c r="D33" s="16">
        <v>703</v>
      </c>
      <c r="E33" s="17"/>
      <c r="F33" s="16">
        <v>343.9</v>
      </c>
      <c r="G33" s="16">
        <v>409.4</v>
      </c>
      <c r="H33" s="16">
        <v>2006.4</v>
      </c>
      <c r="I33" s="16">
        <v>1592</v>
      </c>
      <c r="J33" s="16">
        <v>1875.9</v>
      </c>
    </row>
    <row r="34" spans="1:11" ht="15" customHeight="1" x14ac:dyDescent="0.35">
      <c r="A34" s="13" t="s">
        <v>222</v>
      </c>
      <c r="B34" s="16">
        <v>330.3</v>
      </c>
      <c r="C34" s="16">
        <v>377.7</v>
      </c>
      <c r="D34" s="16">
        <v>448.3</v>
      </c>
      <c r="E34" s="17"/>
      <c r="F34" s="15">
        <v>31.8</v>
      </c>
      <c r="G34" s="16">
        <v>102.2</v>
      </c>
      <c r="H34" s="16">
        <v>149.19999999999999</v>
      </c>
      <c r="I34" s="16">
        <v>170.6</v>
      </c>
      <c r="J34" s="16">
        <v>240.1</v>
      </c>
    </row>
    <row r="35" spans="1:11" ht="15" customHeight="1" x14ac:dyDescent="0.35">
      <c r="A35" s="50" t="s">
        <v>223</v>
      </c>
      <c r="B35" s="48">
        <v>434.4</v>
      </c>
      <c r="C35" s="48">
        <v>548.70000000000005</v>
      </c>
      <c r="D35" s="48">
        <v>778.7</v>
      </c>
      <c r="E35" s="48">
        <v>9320.2000000000007</v>
      </c>
      <c r="F35" s="51">
        <v>15089.1</v>
      </c>
      <c r="G35" s="51">
        <v>13383.9</v>
      </c>
      <c r="H35" s="51">
        <v>19135.7</v>
      </c>
      <c r="I35" s="51">
        <v>35937.800000000003</v>
      </c>
      <c r="J35" s="51">
        <v>48344.6</v>
      </c>
    </row>
    <row r="36" spans="1:11" ht="15" customHeight="1" x14ac:dyDescent="0.35">
      <c r="A36" s="13" t="s">
        <v>224</v>
      </c>
      <c r="B36" s="17"/>
      <c r="C36" s="17"/>
      <c r="D36" s="17"/>
      <c r="E36" s="16">
        <v>8419.7000000000007</v>
      </c>
      <c r="F36" s="17">
        <v>13235.8</v>
      </c>
      <c r="G36" s="17">
        <v>12186.7</v>
      </c>
      <c r="H36" s="17">
        <v>18117.3</v>
      </c>
      <c r="I36" s="17">
        <v>34819.5</v>
      </c>
      <c r="J36" s="17">
        <v>47303.3</v>
      </c>
      <c r="K36" s="39"/>
    </row>
    <row r="37" spans="1:11" ht="15" customHeight="1" x14ac:dyDescent="0.35">
      <c r="A37" s="13" t="s">
        <v>225</v>
      </c>
      <c r="B37" s="16">
        <v>314.5</v>
      </c>
      <c r="C37" s="16">
        <v>387.1</v>
      </c>
      <c r="D37" s="16">
        <v>508.6</v>
      </c>
      <c r="E37" s="16">
        <v>516.79999999999995</v>
      </c>
      <c r="F37" s="16">
        <v>666.1</v>
      </c>
      <c r="G37" s="16">
        <v>737.5</v>
      </c>
      <c r="H37" s="16">
        <v>595.5</v>
      </c>
      <c r="I37" s="16">
        <v>560.1</v>
      </c>
      <c r="J37" s="16">
        <v>424.1</v>
      </c>
    </row>
    <row r="38" spans="1:11" ht="15" customHeight="1" x14ac:dyDescent="0.35">
      <c r="A38" s="13" t="s">
        <v>226</v>
      </c>
      <c r="B38" s="17"/>
      <c r="C38" s="17"/>
      <c r="D38" s="17"/>
      <c r="E38" s="16">
        <v>278.60000000000002</v>
      </c>
      <c r="F38" s="16">
        <v>300.5</v>
      </c>
      <c r="G38" s="16">
        <v>261.8</v>
      </c>
      <c r="H38" s="16">
        <v>170.6</v>
      </c>
      <c r="I38" s="16">
        <v>110.9</v>
      </c>
      <c r="J38" s="16">
        <v>157.9</v>
      </c>
    </row>
    <row r="39" spans="1:11" ht="15" customHeight="1" x14ac:dyDescent="0.35">
      <c r="A39" s="13" t="s">
        <v>227</v>
      </c>
      <c r="B39" s="16">
        <v>119.9</v>
      </c>
      <c r="C39" s="16">
        <v>161.6</v>
      </c>
      <c r="D39" s="16">
        <v>270.10000000000002</v>
      </c>
      <c r="E39" s="16">
        <v>105.1</v>
      </c>
      <c r="F39" s="16">
        <v>886.7</v>
      </c>
      <c r="G39" s="16">
        <v>197.9</v>
      </c>
      <c r="H39" s="16">
        <v>252.3</v>
      </c>
      <c r="I39" s="16">
        <v>447.3</v>
      </c>
      <c r="J39" s="16">
        <v>459.3</v>
      </c>
    </row>
    <row r="40" spans="1:11" ht="15" customHeight="1" x14ac:dyDescent="0.35">
      <c r="A40" s="25" t="s">
        <v>228</v>
      </c>
      <c r="B40" s="43">
        <v>163.69999999999999</v>
      </c>
      <c r="C40" s="43">
        <v>125.8</v>
      </c>
      <c r="D40" s="43">
        <v>123.5</v>
      </c>
      <c r="E40" s="43">
        <v>132.30000000000001</v>
      </c>
      <c r="F40" s="43">
        <v>109.2</v>
      </c>
      <c r="G40" s="43">
        <v>168.4</v>
      </c>
      <c r="H40" s="43">
        <v>203.8</v>
      </c>
      <c r="I40" s="43">
        <v>266.7</v>
      </c>
      <c r="J40" s="43">
        <v>342.1</v>
      </c>
    </row>
    <row r="41" spans="1:11" ht="15" customHeight="1" x14ac:dyDescent="0.35">
      <c r="A41" s="13" t="s">
        <v>229</v>
      </c>
      <c r="B41" s="16">
        <v>163.69999999999999</v>
      </c>
      <c r="C41" s="16">
        <v>125.8</v>
      </c>
      <c r="D41" s="16">
        <v>123.5</v>
      </c>
      <c r="E41" s="16">
        <v>132.30000000000001</v>
      </c>
      <c r="F41" s="16">
        <v>109.2</v>
      </c>
      <c r="G41" s="16">
        <v>168.4</v>
      </c>
      <c r="H41" s="16">
        <v>203.8</v>
      </c>
      <c r="I41" s="16">
        <v>266.7</v>
      </c>
      <c r="J41" s="16">
        <v>342.1</v>
      </c>
    </row>
    <row r="42" spans="1:11" ht="15" customHeight="1" x14ac:dyDescent="0.35">
      <c r="A42" s="24" t="s">
        <v>230</v>
      </c>
      <c r="B42" s="17"/>
      <c r="C42" s="17"/>
      <c r="D42" s="17"/>
      <c r="E42" s="17"/>
      <c r="F42" s="15">
        <v>85.4</v>
      </c>
      <c r="G42" s="16">
        <v>141</v>
      </c>
      <c r="H42" s="16">
        <v>155.4</v>
      </c>
      <c r="I42" s="16">
        <v>227.4</v>
      </c>
      <c r="J42" s="16">
        <v>309.5</v>
      </c>
    </row>
    <row r="43" spans="1:11" ht="15" customHeight="1" x14ac:dyDescent="0.35">
      <c r="A43" s="24" t="s">
        <v>231</v>
      </c>
      <c r="B43" s="16">
        <v>163.69999999999999</v>
      </c>
      <c r="C43" s="16">
        <v>125.8</v>
      </c>
      <c r="D43" s="16">
        <v>123.5</v>
      </c>
      <c r="E43" s="16">
        <v>132.30000000000001</v>
      </c>
      <c r="F43" s="15">
        <v>23.8</v>
      </c>
      <c r="G43" s="15">
        <v>27.4</v>
      </c>
      <c r="H43" s="15">
        <v>48.4</v>
      </c>
      <c r="I43" s="15">
        <v>39.299999999999997</v>
      </c>
      <c r="J43" s="15">
        <v>32.6</v>
      </c>
    </row>
    <row r="44" spans="1:11" ht="15" customHeight="1" x14ac:dyDescent="0.35">
      <c r="A44" s="13" t="s">
        <v>232</v>
      </c>
      <c r="B44" s="16">
        <v>552.29999999999995</v>
      </c>
      <c r="C44" s="16">
        <v>456.1</v>
      </c>
      <c r="D44" s="16">
        <v>276.3</v>
      </c>
      <c r="E44" s="17"/>
      <c r="F44" s="16">
        <v>122.6</v>
      </c>
      <c r="G44" s="16">
        <v>202.3</v>
      </c>
      <c r="H44" s="16">
        <v>302.10000000000002</v>
      </c>
      <c r="I44" s="16">
        <v>414.8</v>
      </c>
      <c r="J44" s="16">
        <v>600.6</v>
      </c>
    </row>
    <row r="45" spans="1:11" ht="15" customHeight="1" x14ac:dyDescent="0.35">
      <c r="A45" s="24" t="s">
        <v>233</v>
      </c>
      <c r="B45" s="16">
        <v>552.29999999999995</v>
      </c>
      <c r="C45" s="16">
        <v>456.1</v>
      </c>
      <c r="D45" s="16">
        <v>276.3</v>
      </c>
      <c r="E45" s="17"/>
      <c r="F45" s="16">
        <v>122.6</v>
      </c>
      <c r="G45" s="16">
        <v>202.3</v>
      </c>
      <c r="H45" s="16">
        <v>302.10000000000002</v>
      </c>
      <c r="I45" s="16">
        <v>414.8</v>
      </c>
      <c r="J45" s="16">
        <v>600.6</v>
      </c>
    </row>
    <row r="46" spans="1:11" ht="15" customHeight="1" x14ac:dyDescent="0.35">
      <c r="A46" s="28" t="s">
        <v>234</v>
      </c>
      <c r="B46" s="17"/>
      <c r="C46" s="17"/>
      <c r="D46" s="17"/>
      <c r="E46" s="17"/>
      <c r="F46" s="15">
        <v>98.8</v>
      </c>
      <c r="G46" s="16">
        <v>173.3</v>
      </c>
      <c r="H46" s="16">
        <v>249.7</v>
      </c>
      <c r="I46" s="16">
        <v>375.5</v>
      </c>
      <c r="J46" s="16">
        <v>568</v>
      </c>
    </row>
    <row r="47" spans="1:11" ht="15" customHeight="1" x14ac:dyDescent="0.35">
      <c r="A47" s="28" t="s">
        <v>235</v>
      </c>
      <c r="B47" s="16">
        <v>552.29999999999995</v>
      </c>
      <c r="C47" s="16">
        <v>456.1</v>
      </c>
      <c r="D47" s="16">
        <v>276.3</v>
      </c>
      <c r="E47" s="17"/>
      <c r="F47" s="15">
        <v>23.8</v>
      </c>
      <c r="G47" s="15">
        <v>29</v>
      </c>
      <c r="H47" s="15">
        <v>52.4</v>
      </c>
      <c r="I47" s="15">
        <v>39.299999999999997</v>
      </c>
      <c r="J47" s="15">
        <v>32.6</v>
      </c>
    </row>
    <row r="48" spans="1:11" ht="15" customHeight="1" x14ac:dyDescent="0.35">
      <c r="A48" s="24" t="s">
        <v>236</v>
      </c>
      <c r="B48" s="16">
        <v>388.6</v>
      </c>
      <c r="C48" s="16">
        <v>330.3</v>
      </c>
      <c r="D48" s="16">
        <v>152.80000000000001</v>
      </c>
      <c r="E48" s="17"/>
      <c r="F48" s="15">
        <v>13.4</v>
      </c>
      <c r="G48" s="15">
        <v>33.9</v>
      </c>
      <c r="H48" s="15">
        <v>98.3</v>
      </c>
      <c r="I48" s="16">
        <v>148.1</v>
      </c>
      <c r="J48" s="16">
        <v>258.5</v>
      </c>
    </row>
    <row r="49" spans="1:10" ht="15" customHeight="1" x14ac:dyDescent="0.35">
      <c r="A49" s="28" t="s">
        <v>237</v>
      </c>
      <c r="B49" s="16">
        <v>388.6</v>
      </c>
      <c r="C49" s="16">
        <v>330.3</v>
      </c>
      <c r="D49" s="16">
        <v>152.80000000000001</v>
      </c>
      <c r="E49" s="17"/>
      <c r="F49" s="15">
        <v>13.4</v>
      </c>
      <c r="G49" s="15">
        <v>33.9</v>
      </c>
      <c r="H49" s="15">
        <v>98.3</v>
      </c>
      <c r="I49" s="16">
        <v>148.1</v>
      </c>
      <c r="J49" s="16">
        <v>258.5</v>
      </c>
    </row>
    <row r="50" spans="1:10" ht="15" customHeight="1" x14ac:dyDescent="0.35">
      <c r="A50" s="28" t="s">
        <v>238</v>
      </c>
      <c r="B50" s="17"/>
      <c r="C50" s="17"/>
      <c r="D50" s="17"/>
      <c r="E50" s="17"/>
      <c r="F50" s="15">
        <v>13.4</v>
      </c>
      <c r="G50" s="15">
        <v>32.299999999999997</v>
      </c>
      <c r="H50" s="15">
        <v>94.3</v>
      </c>
      <c r="I50" s="16">
        <v>148.1</v>
      </c>
      <c r="J50" s="16">
        <v>258.5</v>
      </c>
    </row>
    <row r="51" spans="1:10" ht="15" customHeight="1" x14ac:dyDescent="0.35">
      <c r="A51" s="28" t="s">
        <v>239</v>
      </c>
      <c r="B51" s="16">
        <v>388.6</v>
      </c>
      <c r="C51" s="16">
        <v>330.3</v>
      </c>
      <c r="D51" s="16">
        <v>152.80000000000001</v>
      </c>
      <c r="E51" s="17"/>
      <c r="F51" s="17">
        <v>0</v>
      </c>
      <c r="G51" s="15">
        <v>1.6</v>
      </c>
      <c r="H51" s="15">
        <v>4</v>
      </c>
      <c r="I51" s="17">
        <v>0</v>
      </c>
      <c r="J51" s="17">
        <v>0</v>
      </c>
    </row>
    <row r="52" spans="1:10" ht="15" customHeight="1" x14ac:dyDescent="0.35">
      <c r="A52" s="22" t="s">
        <v>48</v>
      </c>
      <c r="B52" s="23"/>
      <c r="C52" s="23"/>
      <c r="D52" s="23"/>
      <c r="E52" s="23"/>
      <c r="F52" s="23"/>
      <c r="G52" s="23"/>
      <c r="H52" s="23"/>
      <c r="I52" s="23"/>
      <c r="J52" s="23"/>
    </row>
    <row r="53" spans="1:10" ht="15" customHeight="1" x14ac:dyDescent="0.35">
      <c r="A53" s="25" t="s">
        <v>48</v>
      </c>
      <c r="B53" s="27">
        <v>15728.5</v>
      </c>
      <c r="C53" s="27">
        <v>13628.6</v>
      </c>
      <c r="D53" s="27">
        <v>13974.9</v>
      </c>
      <c r="E53" s="27">
        <v>20423.900000000001</v>
      </c>
      <c r="F53" s="27">
        <v>28739</v>
      </c>
      <c r="G53" s="27">
        <v>46645.9</v>
      </c>
      <c r="H53" s="27">
        <v>44428.2</v>
      </c>
      <c r="I53" s="27">
        <v>81809.100000000006</v>
      </c>
      <c r="J53" s="27">
        <v>136462.20000000001</v>
      </c>
    </row>
    <row r="54" spans="1:10" ht="15" customHeight="1" x14ac:dyDescent="0.35">
      <c r="A54" s="22" t="s">
        <v>240</v>
      </c>
      <c r="B54" s="23"/>
      <c r="C54" s="23"/>
      <c r="D54" s="23"/>
      <c r="E54" s="23"/>
      <c r="F54" s="23"/>
      <c r="G54" s="23"/>
      <c r="H54" s="23"/>
      <c r="I54" s="23"/>
      <c r="J54" s="23"/>
    </row>
    <row r="55" spans="1:10" ht="15" customHeight="1" x14ac:dyDescent="0.35">
      <c r="A55" s="21" t="s">
        <v>241</v>
      </c>
      <c r="B55" s="16">
        <v>3171.3</v>
      </c>
      <c r="C55" s="16">
        <v>2265.3000000000002</v>
      </c>
      <c r="D55" s="16">
        <v>1728.6</v>
      </c>
      <c r="E55" s="16">
        <v>3953.4</v>
      </c>
      <c r="F55" s="16">
        <v>6724.2</v>
      </c>
      <c r="G55" s="16">
        <v>4473</v>
      </c>
      <c r="H55" s="17">
        <v>16549.7</v>
      </c>
      <c r="I55" s="17">
        <v>36270.400000000001</v>
      </c>
      <c r="J55" s="17">
        <v>78411.7</v>
      </c>
    </row>
    <row r="56" spans="1:10" ht="15" customHeight="1" x14ac:dyDescent="0.35">
      <c r="A56" s="13" t="s">
        <v>242</v>
      </c>
      <c r="B56" s="16">
        <v>3171.3</v>
      </c>
      <c r="C56" s="16">
        <v>2265.3000000000002</v>
      </c>
      <c r="D56" s="16">
        <v>1728.6</v>
      </c>
      <c r="E56" s="16">
        <v>3953.4</v>
      </c>
      <c r="F56" s="16">
        <v>6724.2</v>
      </c>
      <c r="G56" s="16">
        <v>4473</v>
      </c>
      <c r="H56" s="17">
        <v>15030.4</v>
      </c>
      <c r="I56" s="17">
        <v>35216.6</v>
      </c>
      <c r="J56" s="17">
        <v>77412.7</v>
      </c>
    </row>
    <row r="57" spans="1:10" ht="15" customHeight="1" x14ac:dyDescent="0.35">
      <c r="A57" s="24" t="s">
        <v>243</v>
      </c>
      <c r="B57" s="17"/>
      <c r="C57" s="17"/>
      <c r="D57" s="17"/>
      <c r="E57" s="17">
        <v>0</v>
      </c>
      <c r="F57" s="16">
        <v>6724.2</v>
      </c>
      <c r="G57" s="16">
        <v>4473</v>
      </c>
      <c r="H57" s="17">
        <v>14975.3</v>
      </c>
      <c r="I57" s="17">
        <v>35209.599999999999</v>
      </c>
      <c r="J57" s="17">
        <v>77392.3</v>
      </c>
    </row>
    <row r="58" spans="1:10" ht="15" customHeight="1" x14ac:dyDescent="0.35">
      <c r="A58" s="28" t="s">
        <v>244</v>
      </c>
      <c r="B58" s="17"/>
      <c r="C58" s="17"/>
      <c r="D58" s="17"/>
      <c r="E58" s="17">
        <v>0</v>
      </c>
      <c r="F58" s="16">
        <v>6724.2</v>
      </c>
      <c r="G58" s="16">
        <v>4473</v>
      </c>
      <c r="H58" s="17">
        <v>14975.3</v>
      </c>
      <c r="I58" s="17">
        <v>35209.599999999999</v>
      </c>
      <c r="J58" s="17">
        <v>77392.3</v>
      </c>
    </row>
    <row r="59" spans="1:10" ht="15" customHeight="1" x14ac:dyDescent="0.35">
      <c r="A59" s="24" t="s">
        <v>245</v>
      </c>
      <c r="B59" s="16">
        <v>3171.3</v>
      </c>
      <c r="C59" s="16">
        <v>2265.3000000000002</v>
      </c>
      <c r="D59" s="16">
        <v>1728.6</v>
      </c>
      <c r="E59" s="16">
        <v>3953.4</v>
      </c>
      <c r="F59" s="17"/>
      <c r="G59" s="17"/>
      <c r="H59" s="15">
        <v>55.1</v>
      </c>
      <c r="I59" s="15">
        <v>7</v>
      </c>
      <c r="J59" s="15">
        <v>20.399999999999999</v>
      </c>
    </row>
    <row r="60" spans="1:10" ht="15" customHeight="1" x14ac:dyDescent="0.35">
      <c r="A60" s="28" t="s">
        <v>246</v>
      </c>
      <c r="B60" s="16">
        <v>3171.3</v>
      </c>
      <c r="C60" s="16">
        <v>2265.3000000000002</v>
      </c>
      <c r="D60" s="16">
        <v>1728.6</v>
      </c>
      <c r="E60" s="16">
        <v>3953.4</v>
      </c>
      <c r="F60" s="17"/>
      <c r="G60" s="17"/>
      <c r="H60" s="17"/>
      <c r="I60" s="17"/>
      <c r="J60" s="17"/>
    </row>
    <row r="61" spans="1:10" ht="15" customHeight="1" x14ac:dyDescent="0.35">
      <c r="A61" s="28" t="s">
        <v>247</v>
      </c>
      <c r="B61" s="17"/>
      <c r="C61" s="17"/>
      <c r="D61" s="17"/>
      <c r="E61" s="17"/>
      <c r="F61" s="17"/>
      <c r="G61" s="17"/>
      <c r="H61" s="15">
        <v>55.1</v>
      </c>
      <c r="I61" s="15">
        <v>7</v>
      </c>
      <c r="J61" s="15">
        <v>20.399999999999999</v>
      </c>
    </row>
    <row r="62" spans="1:10" ht="15" customHeight="1" x14ac:dyDescent="0.35">
      <c r="A62" s="13" t="s">
        <v>248</v>
      </c>
      <c r="B62" s="17"/>
      <c r="C62" s="17"/>
      <c r="D62" s="17"/>
      <c r="E62" s="17"/>
      <c r="F62" s="17"/>
      <c r="G62" s="17"/>
      <c r="H62" s="16">
        <v>1519.3</v>
      </c>
      <c r="I62" s="16">
        <v>1053.8</v>
      </c>
      <c r="J62" s="16">
        <v>999</v>
      </c>
    </row>
    <row r="63" spans="1:10" ht="15" customHeight="1" x14ac:dyDescent="0.35">
      <c r="A63" s="24" t="s">
        <v>249</v>
      </c>
      <c r="B63" s="17"/>
      <c r="C63" s="17"/>
      <c r="D63" s="17"/>
      <c r="E63" s="17"/>
      <c r="F63" s="17"/>
      <c r="G63" s="17"/>
      <c r="H63" s="16">
        <v>1519.3</v>
      </c>
      <c r="I63" s="16">
        <v>1053.8</v>
      </c>
      <c r="J63" s="16">
        <v>999</v>
      </c>
    </row>
    <row r="64" spans="1:10" ht="15" customHeight="1" x14ac:dyDescent="0.35">
      <c r="A64" s="21" t="s">
        <v>250</v>
      </c>
      <c r="B64" s="17"/>
      <c r="C64" s="17"/>
      <c r="D64" s="17"/>
      <c r="E64" s="17">
        <v>0</v>
      </c>
      <c r="F64" s="17">
        <v>0</v>
      </c>
      <c r="G64" s="15">
        <v>41.5</v>
      </c>
      <c r="H64" s="17">
        <v>0</v>
      </c>
      <c r="I64" s="15">
        <v>5.7</v>
      </c>
      <c r="J64" s="17">
        <v>0</v>
      </c>
    </row>
    <row r="65" spans="1:10" ht="15" customHeight="1" x14ac:dyDescent="0.35">
      <c r="A65" s="21" t="s">
        <v>251</v>
      </c>
      <c r="B65" s="16">
        <v>8366.7000000000007</v>
      </c>
      <c r="C65" s="16">
        <v>5568.8</v>
      </c>
      <c r="D65" s="16">
        <v>5925.4</v>
      </c>
      <c r="E65" s="16">
        <v>4863.3</v>
      </c>
      <c r="F65" s="16">
        <v>6116.8</v>
      </c>
      <c r="G65" s="17">
        <v>23362</v>
      </c>
      <c r="H65" s="16">
        <v>6926.4</v>
      </c>
      <c r="I65" s="17">
        <v>10264.6</v>
      </c>
      <c r="J65" s="17">
        <v>10776.1</v>
      </c>
    </row>
    <row r="66" spans="1:10" ht="15" customHeight="1" x14ac:dyDescent="0.35">
      <c r="A66" s="13" t="s">
        <v>252</v>
      </c>
      <c r="B66" s="16">
        <v>8366.7000000000007</v>
      </c>
      <c r="C66" s="16">
        <v>5568.8</v>
      </c>
      <c r="D66" s="16">
        <v>5925.4</v>
      </c>
      <c r="E66" s="16">
        <v>4863.3</v>
      </c>
      <c r="F66" s="16">
        <v>6116.8</v>
      </c>
      <c r="G66" s="17">
        <v>23362</v>
      </c>
      <c r="H66" s="16">
        <v>6926.4</v>
      </c>
      <c r="I66" s="17">
        <v>10264.6</v>
      </c>
      <c r="J66" s="17">
        <v>10776.1</v>
      </c>
    </row>
    <row r="67" spans="1:10" ht="15" customHeight="1" x14ac:dyDescent="0.35">
      <c r="A67" s="21" t="s">
        <v>253</v>
      </c>
      <c r="B67" s="17"/>
      <c r="C67" s="17"/>
      <c r="D67" s="17"/>
      <c r="E67" s="15">
        <v>5.6</v>
      </c>
      <c r="F67" s="15">
        <v>1.6</v>
      </c>
      <c r="G67" s="15">
        <v>17</v>
      </c>
      <c r="H67" s="17">
        <v>0</v>
      </c>
      <c r="I67" s="15">
        <v>4.5</v>
      </c>
      <c r="J67" s="17">
        <v>0</v>
      </c>
    </row>
    <row r="68" spans="1:10" ht="15" customHeight="1" x14ac:dyDescent="0.35">
      <c r="A68" s="21" t="s">
        <v>254</v>
      </c>
      <c r="B68" s="16">
        <v>1696.9</v>
      </c>
      <c r="C68" s="16">
        <v>2271.4</v>
      </c>
      <c r="D68" s="16">
        <v>2339.3000000000002</v>
      </c>
      <c r="E68" s="16">
        <v>6586.8</v>
      </c>
      <c r="F68" s="16">
        <v>7419.3</v>
      </c>
      <c r="G68" s="16">
        <v>8279.7000000000007</v>
      </c>
      <c r="H68" s="16">
        <v>8856.7000000000007</v>
      </c>
      <c r="I68" s="17">
        <v>17042.8</v>
      </c>
      <c r="J68" s="17">
        <v>22969.1</v>
      </c>
    </row>
    <row r="69" spans="1:10" ht="15" customHeight="1" x14ac:dyDescent="0.35">
      <c r="A69" s="13" t="s">
        <v>255</v>
      </c>
      <c r="B69" s="16">
        <v>155.6</v>
      </c>
      <c r="C69" s="16">
        <v>201.6</v>
      </c>
      <c r="D69" s="16">
        <v>309.5</v>
      </c>
      <c r="E69" s="16">
        <v>389.1</v>
      </c>
      <c r="F69" s="16">
        <v>534.70000000000005</v>
      </c>
      <c r="G69" s="16">
        <v>663.6</v>
      </c>
      <c r="H69" s="16">
        <v>828.7</v>
      </c>
      <c r="I69" s="16">
        <v>606.1</v>
      </c>
      <c r="J69" s="16">
        <v>151</v>
      </c>
    </row>
    <row r="70" spans="1:10" ht="15" customHeight="1" x14ac:dyDescent="0.35">
      <c r="A70" s="24" t="s">
        <v>256</v>
      </c>
      <c r="B70" s="16">
        <v>129.1</v>
      </c>
      <c r="C70" s="16">
        <v>160.69999999999999</v>
      </c>
      <c r="D70" s="16">
        <v>267.60000000000002</v>
      </c>
      <c r="E70" s="16">
        <v>389.1</v>
      </c>
      <c r="F70" s="16">
        <v>534.70000000000005</v>
      </c>
      <c r="G70" s="16">
        <v>663.6</v>
      </c>
      <c r="H70" s="16">
        <v>828.7</v>
      </c>
      <c r="I70" s="16">
        <v>606.1</v>
      </c>
      <c r="J70" s="16">
        <v>125</v>
      </c>
    </row>
    <row r="71" spans="1:10" ht="15" customHeight="1" x14ac:dyDescent="0.35">
      <c r="A71" s="24" t="s">
        <v>257</v>
      </c>
      <c r="B71" s="15">
        <v>26.5</v>
      </c>
      <c r="C71" s="15">
        <v>40.9</v>
      </c>
      <c r="D71" s="15">
        <v>41.9</v>
      </c>
      <c r="E71" s="17"/>
      <c r="F71" s="17"/>
      <c r="G71" s="17"/>
      <c r="H71" s="17"/>
      <c r="I71" s="17"/>
      <c r="J71" s="15">
        <v>26</v>
      </c>
    </row>
    <row r="72" spans="1:10" ht="15" customHeight="1" x14ac:dyDescent="0.35">
      <c r="A72" s="13" t="s">
        <v>258</v>
      </c>
      <c r="B72" s="17"/>
      <c r="C72" s="17"/>
      <c r="D72" s="17"/>
      <c r="E72" s="15">
        <v>42.6</v>
      </c>
      <c r="F72" s="15">
        <v>31.7</v>
      </c>
      <c r="G72" s="15">
        <v>81.3</v>
      </c>
      <c r="H72" s="16">
        <v>264.60000000000002</v>
      </c>
      <c r="I72" s="16">
        <v>376.4</v>
      </c>
      <c r="J72" s="16">
        <v>418.3</v>
      </c>
    </row>
    <row r="73" spans="1:10" ht="15" customHeight="1" x14ac:dyDescent="0.35">
      <c r="A73" s="13" t="s">
        <v>259</v>
      </c>
      <c r="B73" s="16">
        <v>1541.3</v>
      </c>
      <c r="C73" s="16">
        <v>2069.8000000000002</v>
      </c>
      <c r="D73" s="16">
        <v>2029.8</v>
      </c>
      <c r="E73" s="16">
        <v>6155.1</v>
      </c>
      <c r="F73" s="16">
        <v>6852.9</v>
      </c>
      <c r="G73" s="16">
        <v>7534.8</v>
      </c>
      <c r="H73" s="16">
        <v>7763.4</v>
      </c>
      <c r="I73" s="17">
        <v>16060.3</v>
      </c>
      <c r="J73" s="17">
        <v>22399.8</v>
      </c>
    </row>
    <row r="74" spans="1:10" ht="15" customHeight="1" x14ac:dyDescent="0.35">
      <c r="A74" s="22" t="s">
        <v>260</v>
      </c>
      <c r="B74" s="23"/>
      <c r="C74" s="23"/>
      <c r="D74" s="23"/>
      <c r="E74" s="23"/>
      <c r="F74" s="23"/>
      <c r="G74" s="23"/>
      <c r="H74" s="23"/>
      <c r="I74" s="23"/>
      <c r="J74" s="23"/>
    </row>
    <row r="75" spans="1:10" ht="15" customHeight="1" x14ac:dyDescent="0.35">
      <c r="A75" s="25" t="s">
        <v>260</v>
      </c>
      <c r="B75" s="27">
        <v>13234.9</v>
      </c>
      <c r="C75" s="27">
        <v>10105.5</v>
      </c>
      <c r="D75" s="26">
        <v>9993.2999999999993</v>
      </c>
      <c r="E75" s="27">
        <v>15409.1</v>
      </c>
      <c r="F75" s="27">
        <v>20261.900000000001</v>
      </c>
      <c r="G75" s="27">
        <v>36173.199999999997</v>
      </c>
      <c r="H75" s="27">
        <v>32332.799999999999</v>
      </c>
      <c r="I75" s="27">
        <v>63588</v>
      </c>
      <c r="J75" s="27">
        <v>112156.9</v>
      </c>
    </row>
    <row r="76" spans="1:10" ht="15" customHeight="1" x14ac:dyDescent="0.35">
      <c r="A76" s="22" t="s">
        <v>261</v>
      </c>
      <c r="B76" s="23"/>
      <c r="C76" s="23"/>
      <c r="D76" s="23"/>
      <c r="E76" s="23"/>
      <c r="F76" s="23"/>
      <c r="G76" s="23"/>
      <c r="H76" s="23"/>
      <c r="I76" s="23"/>
      <c r="J76" s="23"/>
    </row>
    <row r="77" spans="1:10" ht="15" customHeight="1" x14ac:dyDescent="0.35">
      <c r="A77" s="25" t="s">
        <v>262</v>
      </c>
      <c r="B77" s="43">
        <v>2493.6</v>
      </c>
      <c r="C77" s="43">
        <v>3523.1</v>
      </c>
      <c r="D77" s="43">
        <v>3981.6</v>
      </c>
      <c r="E77" s="43">
        <v>5014.8</v>
      </c>
      <c r="F77" s="43">
        <v>8477.1</v>
      </c>
      <c r="G77" s="45">
        <v>10472.700000000001</v>
      </c>
      <c r="H77" s="45">
        <v>12095.4</v>
      </c>
      <c r="I77" s="45">
        <v>18221.099999999999</v>
      </c>
      <c r="J77" s="45">
        <v>24305.3</v>
      </c>
    </row>
    <row r="78" spans="1:10" ht="15" customHeight="1" x14ac:dyDescent="0.35">
      <c r="A78" s="44" t="s">
        <v>263</v>
      </c>
      <c r="B78" s="43">
        <v>2493.6</v>
      </c>
      <c r="C78" s="43">
        <v>3523.1</v>
      </c>
      <c r="D78" s="43">
        <v>3981.6</v>
      </c>
      <c r="E78" s="43">
        <v>5014.8</v>
      </c>
      <c r="F78" s="43">
        <v>8477.1</v>
      </c>
      <c r="G78" s="45">
        <v>10472.700000000001</v>
      </c>
      <c r="H78" s="45">
        <v>12095.4</v>
      </c>
      <c r="I78" s="45">
        <v>18221.099999999999</v>
      </c>
      <c r="J78" s="45">
        <v>24305.3</v>
      </c>
    </row>
    <row r="79" spans="1:10" ht="15" customHeight="1" x14ac:dyDescent="0.35">
      <c r="A79" s="81" t="s">
        <v>264</v>
      </c>
      <c r="B79" s="82">
        <v>1854.7</v>
      </c>
      <c r="C79" s="82">
        <v>1854.7</v>
      </c>
      <c r="D79" s="82">
        <v>1854.7</v>
      </c>
      <c r="E79" s="82">
        <v>1854.7</v>
      </c>
      <c r="F79" s="82">
        <v>1854.7</v>
      </c>
      <c r="G79" s="82">
        <v>1858.8</v>
      </c>
      <c r="H79" s="82">
        <v>1911.7</v>
      </c>
      <c r="I79" s="82">
        <v>2049.4</v>
      </c>
      <c r="J79" s="82">
        <v>2302.5</v>
      </c>
    </row>
    <row r="80" spans="1:10" ht="15" customHeight="1" x14ac:dyDescent="0.35">
      <c r="A80" s="28" t="s">
        <v>265</v>
      </c>
      <c r="B80" s="16">
        <v>1610.7</v>
      </c>
      <c r="C80" s="16">
        <v>1610.7</v>
      </c>
      <c r="D80" s="16">
        <v>1610.7</v>
      </c>
      <c r="E80" s="16">
        <v>1610.7</v>
      </c>
      <c r="F80" s="16">
        <v>1610.7</v>
      </c>
      <c r="G80" s="16">
        <v>1610.7</v>
      </c>
      <c r="H80" s="16">
        <v>1610.7</v>
      </c>
      <c r="I80" s="16">
        <v>1611.1</v>
      </c>
      <c r="J80" s="16">
        <v>1613.4</v>
      </c>
    </row>
    <row r="81" spans="1:11" ht="15" customHeight="1" x14ac:dyDescent="0.35">
      <c r="A81" s="28" t="s">
        <v>266</v>
      </c>
      <c r="B81" s="16">
        <v>244</v>
      </c>
      <c r="C81" s="16">
        <v>244</v>
      </c>
      <c r="D81" s="16">
        <v>244</v>
      </c>
      <c r="E81" s="16">
        <v>244</v>
      </c>
      <c r="F81" s="16">
        <v>244</v>
      </c>
      <c r="G81" s="16">
        <v>248.1</v>
      </c>
      <c r="H81" s="16">
        <v>301</v>
      </c>
      <c r="I81" s="16">
        <v>438.3</v>
      </c>
      <c r="J81" s="16">
        <v>689.1</v>
      </c>
    </row>
    <row r="82" spans="1:11" ht="15" customHeight="1" x14ac:dyDescent="0.35">
      <c r="A82" s="83" t="s">
        <v>267</v>
      </c>
      <c r="B82" s="43">
        <v>638.9</v>
      </c>
      <c r="C82" s="43">
        <v>1668.4</v>
      </c>
      <c r="D82" s="43">
        <v>2126.9</v>
      </c>
      <c r="E82" s="43">
        <v>3160.1</v>
      </c>
      <c r="F82" s="43">
        <v>6622.4</v>
      </c>
      <c r="G82" s="43">
        <v>8613.9</v>
      </c>
      <c r="H82" s="45">
        <v>10183.700000000001</v>
      </c>
      <c r="I82" s="45">
        <v>16171.7</v>
      </c>
      <c r="J82" s="45">
        <v>22002.799999999999</v>
      </c>
      <c r="K82" s="39"/>
    </row>
    <row r="83" spans="1:11" ht="15" customHeight="1" x14ac:dyDescent="0.35">
      <c r="A83" s="28" t="s">
        <v>268</v>
      </c>
      <c r="B83" s="15">
        <v>99.5</v>
      </c>
      <c r="C83" s="16">
        <v>941.4</v>
      </c>
      <c r="D83" s="16">
        <v>1390</v>
      </c>
      <c r="E83" s="43">
        <v>3160.1</v>
      </c>
      <c r="F83" s="16">
        <v>5888.3</v>
      </c>
      <c r="G83" s="16">
        <v>7879.3</v>
      </c>
      <c r="H83" s="16">
        <v>9449.1</v>
      </c>
      <c r="I83" s="17">
        <v>15434.9</v>
      </c>
      <c r="J83" s="17">
        <v>21286.1</v>
      </c>
      <c r="K83" s="39"/>
    </row>
    <row r="84" spans="1:11" ht="15" customHeight="1" x14ac:dyDescent="0.35">
      <c r="A84" s="28" t="s">
        <v>269</v>
      </c>
      <c r="B84" s="15">
        <v>54.7</v>
      </c>
      <c r="C84" s="15">
        <v>60.2</v>
      </c>
      <c r="D84" s="15">
        <v>70.099999999999994</v>
      </c>
      <c r="E84" s="15">
        <v>66.099999999999994</v>
      </c>
      <c r="F84" s="15">
        <v>67.3</v>
      </c>
      <c r="G84" s="15">
        <v>67.8</v>
      </c>
      <c r="H84" s="15">
        <v>67.8</v>
      </c>
      <c r="I84" s="15">
        <v>67.8</v>
      </c>
      <c r="J84" s="15">
        <v>49.3</v>
      </c>
    </row>
    <row r="85" spans="1:11" ht="15" customHeight="1" x14ac:dyDescent="0.35">
      <c r="A85" s="29" t="s">
        <v>270</v>
      </c>
      <c r="B85" s="15">
        <v>54.7</v>
      </c>
      <c r="C85" s="15">
        <v>60.2</v>
      </c>
      <c r="D85" s="15">
        <v>70.099999999999994</v>
      </c>
      <c r="E85" s="15">
        <v>66.099999999999994</v>
      </c>
      <c r="F85" s="15">
        <v>67.3</v>
      </c>
      <c r="G85" s="15">
        <v>67.8</v>
      </c>
      <c r="H85" s="15">
        <v>67.8</v>
      </c>
      <c r="I85" s="15">
        <v>67.8</v>
      </c>
      <c r="J85" s="15">
        <v>49.3</v>
      </c>
    </row>
    <row r="86" spans="1:11" ht="15" customHeight="1" x14ac:dyDescent="0.35">
      <c r="A86" s="28" t="s">
        <v>271</v>
      </c>
      <c r="B86" s="16">
        <v>484.7</v>
      </c>
      <c r="C86" s="16">
        <v>666.8</v>
      </c>
      <c r="D86" s="16">
        <v>666.8</v>
      </c>
      <c r="E86" s="16">
        <v>666.8</v>
      </c>
      <c r="F86" s="16">
        <v>666.8</v>
      </c>
      <c r="G86" s="16">
        <v>666.8</v>
      </c>
      <c r="H86" s="16">
        <v>666.8</v>
      </c>
      <c r="I86" s="16">
        <v>669</v>
      </c>
      <c r="J86" s="16">
        <v>667.4</v>
      </c>
    </row>
    <row r="87" spans="1:11" ht="15" customHeight="1" x14ac:dyDescent="0.35">
      <c r="A87" s="13" t="s">
        <v>272</v>
      </c>
      <c r="B87" s="16">
        <v>2493.6</v>
      </c>
      <c r="C87" s="16">
        <v>3523.1</v>
      </c>
      <c r="D87" s="16">
        <v>3981.6</v>
      </c>
      <c r="E87" s="16">
        <v>5014.8</v>
      </c>
      <c r="F87" s="16">
        <v>8477.1</v>
      </c>
      <c r="G87" s="17">
        <v>10472.700000000001</v>
      </c>
      <c r="H87" s="17">
        <v>12095.4</v>
      </c>
      <c r="I87" s="17">
        <v>18221.099999999999</v>
      </c>
      <c r="J87" s="17">
        <v>24305.3</v>
      </c>
    </row>
    <row r="88" spans="1:11" ht="15" customHeight="1" x14ac:dyDescent="0.35">
      <c r="A88" s="22" t="s">
        <v>273</v>
      </c>
      <c r="B88" s="23"/>
      <c r="C88" s="23"/>
      <c r="D88" s="23"/>
      <c r="E88" s="23"/>
      <c r="F88" s="23"/>
      <c r="G88" s="23"/>
      <c r="H88" s="23"/>
      <c r="I88" s="23"/>
      <c r="J88" s="23"/>
    </row>
    <row r="89" spans="1:11" ht="15" customHeight="1" x14ac:dyDescent="0.35">
      <c r="A89" s="25" t="s">
        <v>274</v>
      </c>
      <c r="B89" s="26">
        <v>2493.6</v>
      </c>
      <c r="C89" s="26">
        <v>3523.1</v>
      </c>
      <c r="D89" s="26">
        <v>3981.6</v>
      </c>
      <c r="E89" s="26">
        <v>5014.8</v>
      </c>
      <c r="F89" s="26">
        <v>8477.1</v>
      </c>
      <c r="G89" s="27">
        <v>10472.700000000001</v>
      </c>
      <c r="H89" s="27">
        <v>12095.4</v>
      </c>
      <c r="I89" s="27">
        <v>18221.099999999999</v>
      </c>
      <c r="J89" s="27">
        <v>24305.3</v>
      </c>
    </row>
    <row r="90" spans="1:11" ht="15" customHeight="1" x14ac:dyDescent="0.35">
      <c r="A90" s="22" t="s">
        <v>275</v>
      </c>
      <c r="B90" s="23"/>
      <c r="C90" s="23"/>
      <c r="D90" s="23"/>
      <c r="E90" s="23"/>
      <c r="F90" s="23"/>
      <c r="G90" s="23"/>
      <c r="H90" s="23"/>
      <c r="I90" s="23"/>
      <c r="J90" s="23"/>
    </row>
    <row r="91" spans="1:11" ht="15" customHeight="1" x14ac:dyDescent="0.35">
      <c r="A91" s="25" t="s">
        <v>276</v>
      </c>
      <c r="B91" s="27">
        <v>15728.5</v>
      </c>
      <c r="C91" s="27">
        <v>13628.6</v>
      </c>
      <c r="D91" s="27">
        <v>13974.9</v>
      </c>
      <c r="E91" s="27">
        <v>20423.900000000001</v>
      </c>
      <c r="F91" s="27">
        <v>28739</v>
      </c>
      <c r="G91" s="27">
        <v>46645.9</v>
      </c>
      <c r="H91" s="27">
        <v>44428.2</v>
      </c>
      <c r="I91" s="27">
        <v>81809.100000000006</v>
      </c>
      <c r="J91" s="27">
        <v>136462.20000000001</v>
      </c>
    </row>
    <row r="92" spans="1:11" ht="15" customHeight="1" x14ac:dyDescent="0.35">
      <c r="A92" s="22" t="s">
        <v>277</v>
      </c>
      <c r="B92" s="23"/>
      <c r="C92" s="23"/>
      <c r="D92" s="23"/>
      <c r="E92" s="23"/>
      <c r="F92" s="23"/>
      <c r="G92" s="23"/>
      <c r="H92" s="23"/>
      <c r="I92" s="23"/>
      <c r="J92" s="23"/>
    </row>
    <row r="93" spans="1:11" ht="15" customHeight="1" x14ac:dyDescent="0.35">
      <c r="A93" s="21" t="s">
        <v>278</v>
      </c>
      <c r="B93" s="16">
        <v>322.14</v>
      </c>
      <c r="C93" s="16">
        <v>322.14</v>
      </c>
      <c r="D93" s="16">
        <v>322.14</v>
      </c>
      <c r="E93" s="16">
        <v>322.14</v>
      </c>
      <c r="F93" s="16">
        <v>322.14</v>
      </c>
      <c r="G93" s="16">
        <v>322.14</v>
      </c>
      <c r="H93" s="16">
        <v>322.14</v>
      </c>
      <c r="I93" s="16">
        <v>322.22000000000003</v>
      </c>
      <c r="J93" s="16">
        <v>322.68</v>
      </c>
    </row>
    <row r="94" spans="1:11" ht="15" customHeight="1" x14ac:dyDescent="0.35">
      <c r="A94" s="13" t="s">
        <v>279</v>
      </c>
      <c r="B94" s="16">
        <v>322.14</v>
      </c>
      <c r="C94" s="16">
        <v>322.14</v>
      </c>
      <c r="D94" s="16">
        <v>322.14</v>
      </c>
      <c r="E94" s="16">
        <v>322.14</v>
      </c>
      <c r="F94" s="16">
        <v>322.14</v>
      </c>
      <c r="G94" s="16">
        <v>322.14</v>
      </c>
      <c r="H94" s="16">
        <v>322.14</v>
      </c>
      <c r="I94" s="16">
        <v>322.22000000000003</v>
      </c>
      <c r="J94" s="16">
        <v>322.68</v>
      </c>
    </row>
    <row r="95" spans="1:11" ht="15" customHeight="1" x14ac:dyDescent="0.35">
      <c r="A95" s="13" t="s">
        <v>280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</row>
    <row r="96" spans="1:11" ht="15" customHeight="1" x14ac:dyDescent="0.35">
      <c r="A96" s="21" t="s">
        <v>281</v>
      </c>
      <c r="B96" s="17"/>
      <c r="C96" s="17"/>
      <c r="D96" s="17"/>
      <c r="E96" s="17"/>
      <c r="F96" s="16">
        <v>400</v>
      </c>
      <c r="G96" s="16">
        <v>400</v>
      </c>
      <c r="H96" s="16">
        <v>400</v>
      </c>
      <c r="I96" s="16">
        <v>400</v>
      </c>
      <c r="J96" s="16">
        <v>400</v>
      </c>
    </row>
    <row r="97" spans="1:10" ht="15" customHeight="1" x14ac:dyDescent="0.35">
      <c r="A97" s="21" t="s">
        <v>282</v>
      </c>
      <c r="B97" s="16">
        <v>322.14</v>
      </c>
      <c r="C97" s="16">
        <v>322.14</v>
      </c>
      <c r="D97" s="16">
        <v>322.14</v>
      </c>
      <c r="E97" s="16">
        <v>322.14</v>
      </c>
      <c r="F97" s="16">
        <v>322.14</v>
      </c>
      <c r="G97" s="16">
        <v>322.14</v>
      </c>
      <c r="H97" s="16">
        <v>322.14</v>
      </c>
      <c r="I97" s="16">
        <v>322.22000000000003</v>
      </c>
      <c r="J97" s="16">
        <v>322.68</v>
      </c>
    </row>
    <row r="98" spans="1:10" ht="15" customHeight="1" x14ac:dyDescent="0.35">
      <c r="A98" s="13" t="s">
        <v>283</v>
      </c>
      <c r="B98" s="16">
        <v>322.14</v>
      </c>
      <c r="C98" s="16">
        <v>322.14</v>
      </c>
      <c r="D98" s="16">
        <v>322.14</v>
      </c>
      <c r="E98" s="16">
        <v>322.14</v>
      </c>
      <c r="F98" s="16">
        <v>322.14</v>
      </c>
      <c r="G98" s="16">
        <v>322.14</v>
      </c>
      <c r="H98" s="16">
        <v>322.14</v>
      </c>
      <c r="I98" s="16">
        <v>322.22000000000003</v>
      </c>
      <c r="J98" s="16">
        <v>322.68</v>
      </c>
    </row>
    <row r="99" spans="1:10" ht="15" customHeight="1" x14ac:dyDescent="0.35">
      <c r="A99" s="13" t="s">
        <v>284</v>
      </c>
      <c r="B99" s="17">
        <v>0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</row>
    <row r="100" spans="1:10" ht="15" customHeight="1" x14ac:dyDescent="0.35">
      <c r="A100" s="22" t="s">
        <v>285</v>
      </c>
      <c r="B100" s="23"/>
      <c r="C100" s="23"/>
      <c r="D100" s="23"/>
      <c r="E100" s="23"/>
      <c r="F100" s="23"/>
      <c r="G100" s="23"/>
      <c r="H100" s="23"/>
      <c r="I100" s="23"/>
      <c r="J100" s="23"/>
    </row>
    <row r="101" spans="1:10" ht="15" customHeight="1" x14ac:dyDescent="0.35">
      <c r="A101" s="21" t="s">
        <v>286</v>
      </c>
      <c r="B101" s="15">
        <v>1</v>
      </c>
      <c r="C101" s="15">
        <v>1</v>
      </c>
      <c r="D101" s="15">
        <v>1</v>
      </c>
      <c r="E101" s="15">
        <v>1</v>
      </c>
      <c r="F101" s="15">
        <v>1</v>
      </c>
      <c r="G101" s="15">
        <v>1</v>
      </c>
      <c r="H101" s="15">
        <v>1</v>
      </c>
      <c r="I101" s="15">
        <v>1</v>
      </c>
      <c r="J101" s="15">
        <v>1</v>
      </c>
    </row>
    <row r="102" spans="1:10" ht="15" customHeight="1" x14ac:dyDescent="0.35">
      <c r="A102" s="22" t="s">
        <v>287</v>
      </c>
      <c r="B102" s="23"/>
      <c r="C102" s="23"/>
      <c r="D102" s="23"/>
      <c r="E102" s="23"/>
      <c r="F102" s="23"/>
      <c r="G102" s="23"/>
      <c r="H102" s="23"/>
      <c r="I102" s="23"/>
      <c r="J102" s="23"/>
    </row>
    <row r="103" spans="1:10" ht="15" customHeight="1" x14ac:dyDescent="0.35">
      <c r="A103" s="21" t="s">
        <v>288</v>
      </c>
      <c r="B103" s="17"/>
      <c r="C103" s="17"/>
      <c r="D103" s="17"/>
      <c r="E103" s="17"/>
      <c r="F103" s="17"/>
      <c r="G103" s="17"/>
      <c r="H103" s="16">
        <v>1529.1</v>
      </c>
      <c r="I103" s="16">
        <v>962</v>
      </c>
      <c r="J103" s="16">
        <v>899</v>
      </c>
    </row>
    <row r="104" spans="1:10" ht="15" customHeight="1" x14ac:dyDescent="0.35">
      <c r="A104" s="13" t="s">
        <v>289</v>
      </c>
      <c r="B104" s="17"/>
      <c r="C104" s="17"/>
      <c r="D104" s="17"/>
      <c r="E104" s="17"/>
      <c r="F104" s="17"/>
      <c r="G104" s="17"/>
      <c r="H104" s="16">
        <v>1529.1</v>
      </c>
      <c r="I104" s="16">
        <v>962</v>
      </c>
      <c r="J104" s="16">
        <v>899</v>
      </c>
    </row>
    <row r="105" spans="1:10" ht="15" customHeight="1" x14ac:dyDescent="0.35">
      <c r="A105" s="21" t="s">
        <v>290</v>
      </c>
      <c r="B105" s="17"/>
      <c r="C105" s="17"/>
      <c r="D105" s="17"/>
      <c r="E105" s="17"/>
      <c r="F105" s="17"/>
      <c r="G105" s="17"/>
      <c r="H105" s="16">
        <v>328.1</v>
      </c>
      <c r="I105" s="16">
        <v>459.4</v>
      </c>
      <c r="J105" s="16">
        <v>736.8</v>
      </c>
    </row>
    <row r="106" spans="1:10" ht="15" customHeight="1" x14ac:dyDescent="0.35">
      <c r="A106" s="22" t="s">
        <v>291</v>
      </c>
      <c r="B106" s="23"/>
      <c r="C106" s="23"/>
      <c r="D106" s="23"/>
      <c r="E106" s="23"/>
      <c r="F106" s="23"/>
      <c r="G106" s="23"/>
      <c r="H106" s="23"/>
      <c r="I106" s="23"/>
      <c r="J106" s="23"/>
    </row>
    <row r="107" spans="1:10" ht="15" customHeight="1" x14ac:dyDescent="0.35">
      <c r="A107" s="21" t="s">
        <v>292</v>
      </c>
      <c r="B107" s="17"/>
      <c r="C107" s="17"/>
      <c r="D107" s="17"/>
      <c r="E107" s="17"/>
      <c r="F107" s="17"/>
      <c r="G107" s="17"/>
      <c r="H107" s="16">
        <v>1574.4</v>
      </c>
      <c r="I107" s="16">
        <v>1060.8</v>
      </c>
      <c r="J107" s="16">
        <v>1019.4</v>
      </c>
    </row>
    <row r="108" spans="1:10" ht="15" customHeight="1" x14ac:dyDescent="0.35">
      <c r="A108" s="21" t="s">
        <v>293</v>
      </c>
      <c r="B108" s="16">
        <v>3171.3</v>
      </c>
      <c r="C108" s="16">
        <v>2265.3000000000002</v>
      </c>
      <c r="D108" s="16">
        <v>1728.6</v>
      </c>
      <c r="E108" s="16">
        <v>3953.4</v>
      </c>
      <c r="F108" s="16">
        <v>6724.2</v>
      </c>
      <c r="G108" s="16">
        <v>4473</v>
      </c>
      <c r="H108" s="17">
        <v>16549.7</v>
      </c>
      <c r="I108" s="17">
        <v>36270.400000000001</v>
      </c>
      <c r="J108" s="17">
        <v>78411.7</v>
      </c>
    </row>
    <row r="109" spans="1:10" ht="15" customHeight="1" x14ac:dyDescent="0.35">
      <c r="A109" s="22" t="s">
        <v>294</v>
      </c>
      <c r="B109" s="23"/>
      <c r="C109" s="23"/>
      <c r="D109" s="23"/>
      <c r="E109" s="23"/>
      <c r="F109" s="23"/>
      <c r="G109" s="23"/>
      <c r="H109" s="23"/>
      <c r="I109" s="23"/>
      <c r="J109" s="23"/>
    </row>
    <row r="110" spans="1:10" ht="15" customHeight="1" x14ac:dyDescent="0.35">
      <c r="A110" s="25" t="s">
        <v>295</v>
      </c>
      <c r="B110" s="27">
        <v>13475.1</v>
      </c>
      <c r="C110" s="27">
        <v>11535.3</v>
      </c>
      <c r="D110" s="27">
        <v>11513.1</v>
      </c>
      <c r="E110" s="27"/>
      <c r="F110" s="27"/>
      <c r="G110" s="27"/>
      <c r="H110" s="27"/>
      <c r="I110" s="27"/>
      <c r="J110" s="27"/>
    </row>
    <row r="111" spans="1:10" ht="15" customHeight="1" x14ac:dyDescent="0.35">
      <c r="A111" s="25" t="s">
        <v>296</v>
      </c>
      <c r="B111" s="27">
        <v>12674.5</v>
      </c>
      <c r="C111" s="26">
        <v>9419.7999999999993</v>
      </c>
      <c r="D111" s="26">
        <v>9098.2000000000007</v>
      </c>
      <c r="E111" s="27"/>
      <c r="F111" s="27"/>
      <c r="G111" s="27"/>
      <c r="H111" s="27"/>
      <c r="I111" s="27"/>
      <c r="J111" s="27"/>
    </row>
    <row r="112" spans="1:10" ht="15" customHeight="1" x14ac:dyDescent="0.35">
      <c r="A112" s="22" t="s">
        <v>297</v>
      </c>
      <c r="B112" s="23"/>
      <c r="C112" s="23"/>
      <c r="D112" s="23"/>
      <c r="E112" s="23"/>
      <c r="F112" s="23"/>
      <c r="G112" s="23"/>
      <c r="H112" s="23"/>
      <c r="I112" s="23"/>
      <c r="J112" s="23"/>
    </row>
    <row r="113" spans="1:10" ht="15" customHeight="1" x14ac:dyDescent="0.35">
      <c r="A113" s="21" t="s">
        <v>298</v>
      </c>
      <c r="B113" s="18">
        <v>-3795.3</v>
      </c>
      <c r="C113" s="18">
        <v>-6265.3</v>
      </c>
      <c r="D113" s="18">
        <v>-4665.6000000000004</v>
      </c>
      <c r="E113" s="16">
        <v>2113.5</v>
      </c>
      <c r="F113" s="16">
        <v>4310.5</v>
      </c>
      <c r="G113" s="30">
        <v>-17262.599999999999</v>
      </c>
      <c r="H113" s="16">
        <v>2441.4</v>
      </c>
      <c r="I113" s="17">
        <v>28290.9</v>
      </c>
      <c r="J113" s="17">
        <v>67819.8</v>
      </c>
    </row>
    <row r="114" spans="1:10" ht="15" customHeight="1" x14ac:dyDescent="0.35">
      <c r="A114" s="22" t="s">
        <v>299</v>
      </c>
      <c r="B114" s="23"/>
      <c r="C114" s="23"/>
      <c r="D114" s="23"/>
      <c r="E114" s="23"/>
      <c r="F114" s="23"/>
      <c r="G114" s="23"/>
      <c r="H114" s="23"/>
      <c r="I114" s="23"/>
      <c r="J114" s="23"/>
    </row>
    <row r="115" spans="1:10" ht="15" customHeight="1" x14ac:dyDescent="0.35">
      <c r="A115" s="21" t="s">
        <v>300</v>
      </c>
      <c r="B115" s="17"/>
      <c r="C115" s="17"/>
      <c r="D115" s="17"/>
      <c r="E115" s="17"/>
      <c r="F115" s="17"/>
      <c r="G115" s="17"/>
      <c r="H115" s="16">
        <v>1574.4</v>
      </c>
      <c r="I115" s="16">
        <v>1060.8</v>
      </c>
      <c r="J115" s="16">
        <v>1019.4</v>
      </c>
    </row>
    <row r="116" spans="1:10" ht="15" customHeight="1" x14ac:dyDescent="0.35">
      <c r="A116" s="13" t="s">
        <v>301</v>
      </c>
      <c r="B116" s="17"/>
      <c r="C116" s="17"/>
      <c r="D116" s="17"/>
      <c r="E116" s="17"/>
      <c r="F116" s="17"/>
      <c r="G116" s="17"/>
      <c r="H116" s="15">
        <v>55.1</v>
      </c>
      <c r="I116" s="15">
        <v>7</v>
      </c>
      <c r="J116" s="15">
        <v>20.399999999999999</v>
      </c>
    </row>
    <row r="117" spans="1:10" ht="15" customHeight="1" x14ac:dyDescent="0.35">
      <c r="A117" s="13" t="s">
        <v>302</v>
      </c>
      <c r="B117" s="17"/>
      <c r="C117" s="17"/>
      <c r="D117" s="17"/>
      <c r="E117" s="17"/>
      <c r="F117" s="17"/>
      <c r="G117" s="17"/>
      <c r="H117" s="16">
        <v>1154.9000000000001</v>
      </c>
      <c r="I117" s="16">
        <v>928</v>
      </c>
      <c r="J117" s="16">
        <v>872.6</v>
      </c>
    </row>
    <row r="118" spans="1:10" ht="15" customHeight="1" x14ac:dyDescent="0.35">
      <c r="A118" s="13" t="s">
        <v>303</v>
      </c>
      <c r="B118" s="17"/>
      <c r="C118" s="17"/>
      <c r="D118" s="17"/>
      <c r="E118" s="17"/>
      <c r="F118" s="17"/>
      <c r="G118" s="17"/>
      <c r="H118" s="16">
        <v>364.4</v>
      </c>
      <c r="I118" s="16">
        <v>125.8</v>
      </c>
      <c r="J118" s="16">
        <v>126.4</v>
      </c>
    </row>
    <row r="119" spans="1:10" ht="15" customHeight="1" x14ac:dyDescent="0.35">
      <c r="A119" s="21" t="s">
        <v>304</v>
      </c>
      <c r="B119" s="17"/>
      <c r="C119" s="17"/>
      <c r="D119" s="17"/>
      <c r="E119" s="17"/>
      <c r="F119" s="17"/>
      <c r="G119" s="17"/>
      <c r="H119" s="16">
        <v>1154.9000000000001</v>
      </c>
      <c r="I119" s="16">
        <v>928</v>
      </c>
      <c r="J119" s="16">
        <v>872.6</v>
      </c>
    </row>
    <row r="120" spans="1:10" ht="15" customHeight="1" x14ac:dyDescent="0.35">
      <c r="A120" s="21" t="s">
        <v>305</v>
      </c>
      <c r="B120" s="17"/>
      <c r="C120" s="17"/>
      <c r="D120" s="17"/>
      <c r="E120" s="17"/>
      <c r="F120" s="17"/>
      <c r="G120" s="17"/>
      <c r="H120" s="16">
        <v>364.4</v>
      </c>
      <c r="I120" s="16">
        <v>125.8</v>
      </c>
      <c r="J120" s="16">
        <v>126.4</v>
      </c>
    </row>
    <row r="121" spans="1:10" ht="15" customHeight="1" x14ac:dyDescent="0.35">
      <c r="A121" s="22" t="s">
        <v>195</v>
      </c>
      <c r="B121" s="23"/>
      <c r="C121" s="23"/>
      <c r="D121" s="23"/>
      <c r="E121" s="23"/>
      <c r="F121" s="23"/>
      <c r="G121" s="23"/>
      <c r="H121" s="23"/>
      <c r="I121" s="23"/>
      <c r="J121" s="23"/>
    </row>
    <row r="122" spans="1:10" ht="15" customHeight="1" x14ac:dyDescent="0.35">
      <c r="A122" s="21" t="s">
        <v>306</v>
      </c>
      <c r="B122" s="16">
        <v>7508.5</v>
      </c>
      <c r="C122" s="16">
        <v>3004.7</v>
      </c>
      <c r="D122" s="16">
        <v>5118.8999999999996</v>
      </c>
      <c r="E122" s="18">
        <v>-1206.3</v>
      </c>
      <c r="F122" s="18">
        <v>-1770.7</v>
      </c>
      <c r="G122" s="30">
        <v>-18841</v>
      </c>
      <c r="H122" s="18">
        <v>-5418.3</v>
      </c>
      <c r="I122" s="18">
        <v>-3093.2</v>
      </c>
      <c r="J122" s="18">
        <v>-7735.8</v>
      </c>
    </row>
    <row r="123" spans="1:10" ht="15" customHeight="1" x14ac:dyDescent="0.35">
      <c r="A123" s="21" t="s">
        <v>307</v>
      </c>
      <c r="B123" s="16">
        <v>5966.6</v>
      </c>
      <c r="C123" s="16">
        <v>8530.6</v>
      </c>
      <c r="D123" s="16">
        <v>6394.2</v>
      </c>
      <c r="E123" s="16">
        <v>1206.3</v>
      </c>
      <c r="F123" s="16">
        <v>1770.7</v>
      </c>
      <c r="G123" s="17">
        <v>18841</v>
      </c>
      <c r="H123" s="16">
        <v>5418.3</v>
      </c>
      <c r="I123" s="16">
        <v>3093.2</v>
      </c>
      <c r="J123" s="16">
        <v>7735.8</v>
      </c>
    </row>
    <row r="124" spans="1:10" ht="15" customHeight="1" x14ac:dyDescent="0.35">
      <c r="A124" s="21" t="s">
        <v>308</v>
      </c>
      <c r="B124" s="16">
        <v>1002.8</v>
      </c>
      <c r="C124" s="15">
        <v>12.2</v>
      </c>
      <c r="D124" s="15">
        <v>12.2</v>
      </c>
      <c r="E124" s="16">
        <v>678.2</v>
      </c>
      <c r="F124" s="16">
        <v>682.2</v>
      </c>
      <c r="G124" s="16">
        <v>2923.1</v>
      </c>
      <c r="H124" s="16">
        <v>8714.7000000000007</v>
      </c>
      <c r="I124" s="16">
        <v>4915.1000000000004</v>
      </c>
      <c r="J124" s="16">
        <v>2963.2</v>
      </c>
    </row>
    <row r="125" spans="1:10" ht="15" customHeight="1" x14ac:dyDescent="0.35">
      <c r="A125" s="21" t="s">
        <v>309</v>
      </c>
      <c r="B125" s="16">
        <v>6966.6</v>
      </c>
      <c r="C125" s="16">
        <v>8530.6</v>
      </c>
      <c r="D125" s="16">
        <v>6394.2</v>
      </c>
      <c r="E125" s="16">
        <v>1839.9</v>
      </c>
      <c r="F125" s="16">
        <v>2413.6999999999998</v>
      </c>
      <c r="G125" s="17">
        <v>21735.599999999999</v>
      </c>
      <c r="H125" s="17">
        <v>14108.3</v>
      </c>
      <c r="I125" s="16">
        <v>7979.5</v>
      </c>
      <c r="J125" s="17">
        <v>10591.9</v>
      </c>
    </row>
    <row r="126" spans="1:10" ht="15" customHeight="1" x14ac:dyDescent="0.35">
      <c r="A126" s="21" t="s">
        <v>310</v>
      </c>
      <c r="B126" s="16">
        <v>3171.3</v>
      </c>
      <c r="C126" s="16">
        <v>2265.3000000000002</v>
      </c>
      <c r="D126" s="16">
        <v>1728.6</v>
      </c>
      <c r="E126" s="16">
        <v>3953.4</v>
      </c>
      <c r="F126" s="16">
        <v>6724.2</v>
      </c>
      <c r="G126" s="16">
        <v>4473</v>
      </c>
      <c r="H126" s="17">
        <v>16549.7</v>
      </c>
      <c r="I126" s="17">
        <v>36270.400000000001</v>
      </c>
      <c r="J126" s="17">
        <v>78411.7</v>
      </c>
    </row>
    <row r="127" spans="1:10" ht="15" customHeight="1" x14ac:dyDescent="0.35">
      <c r="A127" s="21" t="s">
        <v>311</v>
      </c>
      <c r="B127" s="16">
        <v>1002.8</v>
      </c>
      <c r="C127" s="15">
        <v>12.2</v>
      </c>
      <c r="D127" s="15">
        <v>12.2</v>
      </c>
      <c r="E127" s="16">
        <v>678.2</v>
      </c>
      <c r="F127" s="16">
        <v>682.2</v>
      </c>
      <c r="G127" s="16">
        <v>2923.1</v>
      </c>
      <c r="H127" s="16">
        <v>8714.7000000000007</v>
      </c>
      <c r="I127" s="16">
        <v>4915.1000000000004</v>
      </c>
      <c r="J127" s="16">
        <v>2963.2</v>
      </c>
    </row>
    <row r="128" spans="1:10" ht="15" customHeight="1" x14ac:dyDescent="0.35">
      <c r="A128" s="21" t="s">
        <v>312</v>
      </c>
      <c r="B128" s="17"/>
      <c r="C128" s="17"/>
      <c r="D128" s="17"/>
      <c r="E128" s="15">
        <v>44.6</v>
      </c>
      <c r="F128" s="15">
        <v>39.200000000000003</v>
      </c>
      <c r="G128" s="15">
        <v>28.5</v>
      </c>
      <c r="H128" s="15">
        <v>24.7</v>
      </c>
      <c r="I128" s="15">
        <v>28.8</v>
      </c>
      <c r="J128" s="16">
        <v>107.1</v>
      </c>
    </row>
    <row r="129" spans="1:10" ht="15" customHeight="1" x14ac:dyDescent="0.35">
      <c r="A129" s="21" t="s">
        <v>313</v>
      </c>
      <c r="B129" s="16">
        <v>1002.8</v>
      </c>
      <c r="C129" s="15">
        <v>12.2</v>
      </c>
      <c r="D129" s="15">
        <v>12.2</v>
      </c>
      <c r="E129" s="16">
        <v>678.2</v>
      </c>
      <c r="F129" s="16">
        <v>682.2</v>
      </c>
      <c r="G129" s="16">
        <v>2923.1</v>
      </c>
      <c r="H129" s="16">
        <v>8714.7000000000007</v>
      </c>
      <c r="I129" s="16">
        <v>4915.1000000000004</v>
      </c>
      <c r="J129" s="16">
        <v>2963.2</v>
      </c>
    </row>
    <row r="130" spans="1:10" ht="15" customHeight="1" x14ac:dyDescent="0.35">
      <c r="A130" s="21" t="s">
        <v>314</v>
      </c>
      <c r="B130" s="16">
        <v>1002.8</v>
      </c>
      <c r="C130" s="15">
        <v>12.2</v>
      </c>
      <c r="D130" s="15">
        <v>12.2</v>
      </c>
      <c r="E130" s="16">
        <v>633.6</v>
      </c>
      <c r="F130" s="16">
        <v>643</v>
      </c>
      <c r="G130" s="16">
        <v>2894.6</v>
      </c>
      <c r="H130" s="16">
        <v>8690</v>
      </c>
      <c r="I130" s="16">
        <v>4886.3</v>
      </c>
      <c r="J130" s="16">
        <v>2856.1</v>
      </c>
    </row>
    <row r="131" spans="1:10" ht="15" customHeight="1" x14ac:dyDescent="0.35">
      <c r="A131" s="21" t="s">
        <v>315</v>
      </c>
      <c r="B131" s="18">
        <v>-1301.7</v>
      </c>
      <c r="C131" s="18">
        <v>-2742.2</v>
      </c>
      <c r="D131" s="18">
        <v>-684</v>
      </c>
      <c r="E131" s="16">
        <v>7128.3</v>
      </c>
      <c r="F131" s="17">
        <v>12787.6</v>
      </c>
      <c r="G131" s="18">
        <v>-6789.9</v>
      </c>
      <c r="H131" s="17">
        <v>14536.8</v>
      </c>
      <c r="I131" s="17">
        <v>46512</v>
      </c>
      <c r="J131" s="17">
        <v>92125.1</v>
      </c>
    </row>
    <row r="132" spans="1:10" ht="15" customHeight="1" x14ac:dyDescent="0.35">
      <c r="A132" s="21" t="s">
        <v>316</v>
      </c>
      <c r="B132" s="18">
        <v>-1301.7</v>
      </c>
      <c r="C132" s="18">
        <v>-2742.2</v>
      </c>
      <c r="D132" s="18">
        <v>-684</v>
      </c>
      <c r="E132" s="16">
        <v>7128.3</v>
      </c>
      <c r="F132" s="17">
        <v>12787.6</v>
      </c>
      <c r="G132" s="18">
        <v>-6789.9</v>
      </c>
      <c r="H132" s="17">
        <v>14536.8</v>
      </c>
      <c r="I132" s="17">
        <v>46512</v>
      </c>
      <c r="J132" s="17">
        <v>92125.1</v>
      </c>
    </row>
    <row r="133" spans="1:10" ht="15" customHeight="1" x14ac:dyDescent="0.35">
      <c r="A133" s="21" t="s">
        <v>317</v>
      </c>
      <c r="B133" s="16">
        <v>155.6</v>
      </c>
      <c r="C133" s="16">
        <v>201.6</v>
      </c>
      <c r="D133" s="16">
        <v>309.5</v>
      </c>
      <c r="E133" s="16">
        <v>389.1</v>
      </c>
      <c r="F133" s="16">
        <v>534.70000000000005</v>
      </c>
      <c r="G133" s="16">
        <v>663.6</v>
      </c>
      <c r="H133" s="16">
        <v>828.7</v>
      </c>
      <c r="I133" s="16">
        <v>606.1</v>
      </c>
      <c r="J133" s="16">
        <v>151</v>
      </c>
    </row>
    <row r="134" spans="1:10" ht="15" customHeight="1" x14ac:dyDescent="0.35">
      <c r="A134" s="21" t="s">
        <v>318</v>
      </c>
      <c r="B134" s="16">
        <v>2493.6</v>
      </c>
      <c r="C134" s="16">
        <v>3523.1</v>
      </c>
      <c r="D134" s="16">
        <v>3981.6</v>
      </c>
      <c r="E134" s="16">
        <v>5014.8</v>
      </c>
      <c r="F134" s="16">
        <v>8477.1</v>
      </c>
      <c r="G134" s="17">
        <v>10472.700000000001</v>
      </c>
      <c r="H134" s="17">
        <v>12095.4</v>
      </c>
      <c r="I134" s="17">
        <v>18221.099999999999</v>
      </c>
      <c r="J134" s="17">
        <v>24305.3</v>
      </c>
    </row>
    <row r="135" spans="1:10" ht="15" customHeight="1" x14ac:dyDescent="0.35">
      <c r="A135" s="21" t="s">
        <v>319</v>
      </c>
      <c r="B135" s="16">
        <v>2329.9</v>
      </c>
      <c r="C135" s="16">
        <v>3397.3</v>
      </c>
      <c r="D135" s="16">
        <v>3858.1</v>
      </c>
      <c r="E135" s="16">
        <v>4882.5</v>
      </c>
      <c r="F135" s="16">
        <v>8367.9</v>
      </c>
      <c r="G135" s="17">
        <v>10304.299999999999</v>
      </c>
      <c r="H135" s="17">
        <v>11891.6</v>
      </c>
      <c r="I135" s="17">
        <v>17954.400000000001</v>
      </c>
      <c r="J135" s="17">
        <v>23963.200000000001</v>
      </c>
    </row>
    <row r="136" spans="1:10" ht="15" customHeight="1" x14ac:dyDescent="0.35">
      <c r="A136" s="21" t="s">
        <v>320</v>
      </c>
      <c r="B136" s="16">
        <v>2329.9</v>
      </c>
      <c r="C136" s="16">
        <v>3397.3</v>
      </c>
      <c r="D136" s="16">
        <v>3858.1</v>
      </c>
      <c r="E136" s="16">
        <v>4882.5</v>
      </c>
      <c r="F136" s="16">
        <v>8367.9</v>
      </c>
      <c r="G136" s="17">
        <v>10304.299999999999</v>
      </c>
      <c r="H136" s="17">
        <v>11891.6</v>
      </c>
      <c r="I136" s="17">
        <v>17954.400000000001</v>
      </c>
      <c r="J136" s="17">
        <v>23963.200000000001</v>
      </c>
    </row>
    <row r="137" spans="1:10" ht="15" customHeight="1" x14ac:dyDescent="0.35">
      <c r="A137" s="21" t="s">
        <v>321</v>
      </c>
      <c r="B137" s="16">
        <v>5664.9</v>
      </c>
      <c r="C137" s="16">
        <v>5788.4</v>
      </c>
      <c r="D137" s="16">
        <v>5710.2</v>
      </c>
      <c r="E137" s="16">
        <v>8968.2000000000007</v>
      </c>
      <c r="F137" s="17">
        <v>15201.3</v>
      </c>
      <c r="G137" s="17">
        <v>14945.7</v>
      </c>
      <c r="H137" s="17">
        <v>28645.1</v>
      </c>
      <c r="I137" s="17">
        <v>54491.5</v>
      </c>
      <c r="J137" s="17">
        <v>102717</v>
      </c>
    </row>
    <row r="138" spans="1:10" ht="15" customHeight="1" x14ac:dyDescent="0.35">
      <c r="A138" s="21" t="s">
        <v>322</v>
      </c>
      <c r="B138" s="16">
        <v>5664.9</v>
      </c>
      <c r="C138" s="16">
        <v>5788.4</v>
      </c>
      <c r="D138" s="16">
        <v>5710.2</v>
      </c>
      <c r="E138" s="16">
        <v>8968.2000000000007</v>
      </c>
      <c r="F138" s="17">
        <v>15201.3</v>
      </c>
      <c r="G138" s="17">
        <v>14945.7</v>
      </c>
      <c r="H138" s="17">
        <v>28645.1</v>
      </c>
      <c r="I138" s="17">
        <v>54491.5</v>
      </c>
      <c r="J138" s="17">
        <v>102717</v>
      </c>
    </row>
    <row r="139" spans="1:10" ht="15" customHeight="1" x14ac:dyDescent="0.35">
      <c r="A139" s="21" t="s">
        <v>323</v>
      </c>
      <c r="B139" s="16">
        <v>3054</v>
      </c>
      <c r="C139" s="16">
        <v>4208.8</v>
      </c>
      <c r="D139" s="16">
        <v>4876.7</v>
      </c>
      <c r="E139" s="16">
        <v>5014.8</v>
      </c>
      <c r="F139" s="16">
        <v>8477.1</v>
      </c>
      <c r="G139" s="17">
        <v>10472.700000000001</v>
      </c>
      <c r="H139" s="17">
        <v>12095.4</v>
      </c>
      <c r="I139" s="17">
        <v>18221.099999999999</v>
      </c>
      <c r="J139" s="17">
        <v>24305.3</v>
      </c>
    </row>
    <row r="140" spans="1:10" ht="15" customHeight="1" x14ac:dyDescent="0.35">
      <c r="A140" s="21" t="s">
        <v>324</v>
      </c>
      <c r="B140" s="16">
        <v>1000</v>
      </c>
      <c r="C140" s="17">
        <v>0</v>
      </c>
      <c r="D140" s="17">
        <v>0</v>
      </c>
      <c r="E140" s="16">
        <v>633.6</v>
      </c>
      <c r="F140" s="16">
        <v>643</v>
      </c>
      <c r="G140" s="16">
        <v>2894.6</v>
      </c>
      <c r="H140" s="16">
        <v>8690</v>
      </c>
      <c r="I140" s="16">
        <v>4886.3</v>
      </c>
      <c r="J140" s="16">
        <v>2856.1</v>
      </c>
    </row>
    <row r="141" spans="1:10" ht="15" customHeight="1" x14ac:dyDescent="0.35">
      <c r="A141" s="21" t="s">
        <v>325</v>
      </c>
      <c r="B141" s="17"/>
      <c r="C141" s="17"/>
      <c r="D141" s="17"/>
      <c r="E141" s="15">
        <v>42.6</v>
      </c>
      <c r="F141" s="15">
        <v>31.7</v>
      </c>
      <c r="G141" s="15">
        <v>81.3</v>
      </c>
      <c r="H141" s="16">
        <v>264.60000000000002</v>
      </c>
      <c r="I141" s="16">
        <v>376.4</v>
      </c>
      <c r="J141" s="16">
        <v>418.3</v>
      </c>
    </row>
    <row r="142" spans="1:10" ht="15" customHeight="1" x14ac:dyDescent="0.35">
      <c r="A142" s="21" t="s">
        <v>326</v>
      </c>
      <c r="B142" s="16">
        <v>2008.9</v>
      </c>
      <c r="C142" s="16">
        <v>2856.3</v>
      </c>
      <c r="D142" s="16">
        <v>3314.8</v>
      </c>
      <c r="E142" s="16">
        <v>4348</v>
      </c>
      <c r="F142" s="16">
        <v>7810.3</v>
      </c>
      <c r="G142" s="16">
        <v>9805.9</v>
      </c>
      <c r="H142" s="17">
        <v>11428.6</v>
      </c>
      <c r="I142" s="17">
        <v>17552.099999999999</v>
      </c>
      <c r="J142" s="17">
        <v>23637.9</v>
      </c>
    </row>
    <row r="143" spans="1:10" ht="15" customHeight="1" x14ac:dyDescent="0.35">
      <c r="A143" s="21" t="s">
        <v>327</v>
      </c>
      <c r="B143" s="16">
        <v>3171.3</v>
      </c>
      <c r="C143" s="16">
        <v>2265.3000000000002</v>
      </c>
      <c r="D143" s="16">
        <v>1728.6</v>
      </c>
      <c r="E143" s="16">
        <v>3953.4</v>
      </c>
      <c r="F143" s="16">
        <v>6724.2</v>
      </c>
      <c r="G143" s="16">
        <v>4473</v>
      </c>
      <c r="H143" s="17">
        <v>16549.7</v>
      </c>
      <c r="I143" s="17">
        <v>36270.400000000001</v>
      </c>
      <c r="J143" s="17">
        <v>78411.7</v>
      </c>
    </row>
    <row r="144" spans="1:10" ht="15" customHeight="1" x14ac:dyDescent="0.35">
      <c r="A144" s="22" t="s">
        <v>328</v>
      </c>
      <c r="B144" s="23"/>
      <c r="C144" s="23"/>
      <c r="D144" s="23"/>
      <c r="E144" s="23"/>
      <c r="F144" s="23"/>
      <c r="G144" s="23"/>
      <c r="H144" s="23"/>
      <c r="I144" s="23"/>
      <c r="J144" s="23"/>
    </row>
    <row r="145" spans="1:10" ht="15" customHeight="1" x14ac:dyDescent="0.35">
      <c r="A145" s="21" t="s">
        <v>329</v>
      </c>
      <c r="B145" s="17"/>
      <c r="C145" s="17"/>
      <c r="D145" s="17"/>
      <c r="E145" s="17"/>
      <c r="F145" s="17"/>
      <c r="G145" s="17"/>
      <c r="H145" s="17">
        <v>126876</v>
      </c>
      <c r="I145" s="17">
        <v>157747</v>
      </c>
      <c r="J145" s="17">
        <v>191357</v>
      </c>
    </row>
    <row r="146" spans="1:10" ht="15" customHeight="1" x14ac:dyDescent="0.35">
      <c r="A146" s="22" t="s">
        <v>330</v>
      </c>
      <c r="B146" s="23"/>
      <c r="C146" s="23"/>
      <c r="D146" s="23"/>
      <c r="E146" s="23"/>
      <c r="F146" s="23"/>
      <c r="G146" s="23"/>
      <c r="H146" s="23"/>
      <c r="I146" s="23"/>
      <c r="J146" s="23"/>
    </row>
    <row r="147" spans="1:10" ht="15" customHeight="1" x14ac:dyDescent="0.35">
      <c r="A147" s="21" t="s">
        <v>331</v>
      </c>
      <c r="B147" s="16">
        <v>895.5</v>
      </c>
      <c r="C147" s="16">
        <v>569.5</v>
      </c>
      <c r="D147" s="16">
        <v>1087.8</v>
      </c>
      <c r="E147" s="16">
        <v>899.8</v>
      </c>
      <c r="F147" s="16">
        <v>817.2</v>
      </c>
      <c r="G147" s="16">
        <v>684.7</v>
      </c>
      <c r="H147" s="17"/>
      <c r="I147" s="17"/>
      <c r="J147" s="17"/>
    </row>
    <row r="148" spans="1:10" ht="15" customHeight="1" x14ac:dyDescent="0.35">
      <c r="A148" s="13" t="s">
        <v>332</v>
      </c>
      <c r="B148" s="16">
        <v>276.5</v>
      </c>
      <c r="C148" s="16">
        <v>251.2</v>
      </c>
      <c r="D148" s="16">
        <v>236.3</v>
      </c>
      <c r="E148" s="16">
        <v>125.2</v>
      </c>
      <c r="F148" s="16">
        <v>139.6</v>
      </c>
      <c r="G148" s="16">
        <v>144.5</v>
      </c>
      <c r="H148" s="17"/>
      <c r="I148" s="17"/>
      <c r="J148" s="17"/>
    </row>
    <row r="149" spans="1:10" ht="15" customHeight="1" x14ac:dyDescent="0.35">
      <c r="A149" s="13" t="s">
        <v>333</v>
      </c>
      <c r="B149" s="16">
        <v>619</v>
      </c>
      <c r="C149" s="16">
        <v>318.3</v>
      </c>
      <c r="D149" s="16">
        <v>462.2</v>
      </c>
      <c r="E149" s="16">
        <v>511.6</v>
      </c>
      <c r="F149" s="16">
        <v>540.79999999999995</v>
      </c>
      <c r="G149" s="16">
        <v>529.70000000000005</v>
      </c>
      <c r="H149" s="17"/>
      <c r="I149" s="17"/>
      <c r="J149" s="17"/>
    </row>
    <row r="150" spans="1:10" ht="15" customHeight="1" x14ac:dyDescent="0.35">
      <c r="A150" s="13" t="s">
        <v>334</v>
      </c>
      <c r="B150" s="17">
        <v>0</v>
      </c>
      <c r="C150" s="17">
        <v>0</v>
      </c>
      <c r="D150" s="16">
        <v>389.3</v>
      </c>
      <c r="E150" s="16">
        <v>263</v>
      </c>
      <c r="F150" s="16">
        <v>136.80000000000001</v>
      </c>
      <c r="G150" s="15">
        <v>10.5</v>
      </c>
      <c r="H150" s="17"/>
      <c r="I150" s="17"/>
      <c r="J150" s="17"/>
    </row>
    <row r="151" spans="1:10" ht="15" customHeight="1" x14ac:dyDescent="0.35">
      <c r="A151" s="21" t="s">
        <v>335</v>
      </c>
      <c r="B151" s="17">
        <v>0</v>
      </c>
      <c r="C151" s="17">
        <v>0</v>
      </c>
      <c r="D151" s="16">
        <v>389.3</v>
      </c>
      <c r="E151" s="16">
        <v>263</v>
      </c>
      <c r="F151" s="16">
        <v>136.80000000000001</v>
      </c>
      <c r="G151" s="15">
        <v>10.5</v>
      </c>
      <c r="H151" s="17"/>
      <c r="I151" s="17"/>
      <c r="J151" s="17"/>
    </row>
    <row r="152" spans="1:10" ht="15" customHeight="1" x14ac:dyDescent="0.35">
      <c r="A152" s="22" t="s">
        <v>336</v>
      </c>
      <c r="B152" s="23"/>
      <c r="C152" s="23"/>
      <c r="D152" s="23"/>
      <c r="E152" s="23"/>
      <c r="F152" s="23"/>
      <c r="G152" s="23"/>
      <c r="H152" s="23"/>
      <c r="I152" s="23"/>
      <c r="J152" s="23"/>
    </row>
    <row r="153" spans="1:10" ht="15" customHeight="1" x14ac:dyDescent="0.35">
      <c r="A153" s="21" t="s">
        <v>337</v>
      </c>
      <c r="B153" s="17"/>
      <c r="C153" s="17"/>
      <c r="D153" s="17"/>
      <c r="E153" s="16">
        <v>4300</v>
      </c>
      <c r="F153" s="16">
        <v>4180</v>
      </c>
      <c r="G153" s="16">
        <v>4051</v>
      </c>
      <c r="H153" s="16">
        <v>3790</v>
      </c>
      <c r="I153" s="16">
        <v>3766</v>
      </c>
      <c r="J153" s="16">
        <v>4094</v>
      </c>
    </row>
    <row r="154" spans="1:10" ht="15" customHeight="1" x14ac:dyDescent="0.35">
      <c r="A154" s="21" t="s">
        <v>338</v>
      </c>
      <c r="B154" s="17"/>
      <c r="C154" s="17"/>
      <c r="D154" s="17"/>
      <c r="E154" s="16">
        <v>4300</v>
      </c>
      <c r="F154" s="16">
        <v>4180</v>
      </c>
      <c r="G154" s="16">
        <v>4051</v>
      </c>
      <c r="H154" s="16">
        <v>3790</v>
      </c>
      <c r="I154" s="16">
        <v>3766</v>
      </c>
      <c r="J154" s="16">
        <v>4094</v>
      </c>
    </row>
  </sheetData>
  <mergeCells count="27">
    <mergeCell ref="G11"/>
    <mergeCell ref="H11"/>
    <mergeCell ref="I11"/>
    <mergeCell ref="J11"/>
    <mergeCell ref="B12"/>
    <mergeCell ref="E12"/>
    <mergeCell ref="H12"/>
    <mergeCell ref="B11"/>
    <mergeCell ref="C11"/>
    <mergeCell ref="D11"/>
    <mergeCell ref="E11"/>
    <mergeCell ref="F11"/>
    <mergeCell ref="B13"/>
    <mergeCell ref="C12"/>
    <mergeCell ref="C13"/>
    <mergeCell ref="D12"/>
    <mergeCell ref="D13"/>
    <mergeCell ref="E13"/>
    <mergeCell ref="F12"/>
    <mergeCell ref="F13"/>
    <mergeCell ref="G12"/>
    <mergeCell ref="G13"/>
    <mergeCell ref="H13"/>
    <mergeCell ref="I12"/>
    <mergeCell ref="I13"/>
    <mergeCell ref="J12"/>
    <mergeCell ref="J13"/>
  </mergeCells>
  <hyperlinks>
    <hyperlink ref="H1" location="Contents!A1" display="Back to contents" xr:uid="{22AED78E-4645-9D4F-95B3-AE62CBB42B21}"/>
  </hyperlinks>
  <pageMargins left="0.5" right="0.5" top="1" bottom="1" header="0.5" footer="0.75"/>
  <pageSetup scale="42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39997558519241921"/>
    <pageSetUpPr fitToPage="1"/>
  </sheetPr>
  <dimension ref="A1:J85"/>
  <sheetViews>
    <sheetView workbookViewId="0">
      <selection activeCell="G1" sqref="G1"/>
    </sheetView>
  </sheetViews>
  <sheetFormatPr defaultColWidth="8.81640625" defaultRowHeight="14.5" outlineLevelRow="1" x14ac:dyDescent="0.35"/>
  <cols>
    <col min="1" max="1" width="85.6328125" customWidth="1"/>
    <col min="2" max="10" width="15.6328125" customWidth="1"/>
  </cols>
  <sheetData>
    <row r="1" spans="1:10" ht="15" customHeight="1" thickBot="1" x14ac:dyDescent="0.4">
      <c r="A1" s="1" t="s">
        <v>339</v>
      </c>
      <c r="B1" s="2"/>
      <c r="C1" s="2"/>
      <c r="D1" s="2"/>
      <c r="E1" s="2"/>
      <c r="F1" s="2"/>
      <c r="G1" s="104" t="s">
        <v>550</v>
      </c>
      <c r="H1" s="2"/>
      <c r="I1" s="2"/>
      <c r="J1" s="2"/>
    </row>
    <row r="2" spans="1:10" ht="15" customHeight="1" thickTop="1" x14ac:dyDescent="0.35">
      <c r="A2" s="3" t="s">
        <v>1</v>
      </c>
      <c r="B2" s="4" t="s">
        <v>2</v>
      </c>
    </row>
    <row r="3" spans="1:10" x14ac:dyDescent="0.35">
      <c r="A3" s="3" t="s">
        <v>3</v>
      </c>
      <c r="B3" s="3" t="s">
        <v>4</v>
      </c>
    </row>
    <row r="4" spans="1:10" x14ac:dyDescent="0.35">
      <c r="A4" s="3" t="s">
        <v>5</v>
      </c>
      <c r="B4" s="3" t="s">
        <v>4</v>
      </c>
    </row>
    <row r="5" spans="1:10" x14ac:dyDescent="0.35">
      <c r="A5" s="3" t="s">
        <v>6</v>
      </c>
      <c r="B5" s="3" t="s">
        <v>7</v>
      </c>
    </row>
    <row r="6" spans="1:10" x14ac:dyDescent="0.35">
      <c r="A6" s="3" t="s">
        <v>8</v>
      </c>
      <c r="B6" s="3" t="s">
        <v>9</v>
      </c>
    </row>
    <row r="7" spans="1:10" x14ac:dyDescent="0.35">
      <c r="A7" s="3" t="s">
        <v>10</v>
      </c>
      <c r="B7" s="3" t="s">
        <v>11</v>
      </c>
    </row>
    <row r="8" spans="1:10" x14ac:dyDescent="0.35">
      <c r="A8" s="3" t="s">
        <v>12</v>
      </c>
      <c r="B8" s="3" t="s">
        <v>13</v>
      </c>
    </row>
    <row r="9" spans="1:10" x14ac:dyDescent="0.35">
      <c r="A9" s="3" t="s">
        <v>14</v>
      </c>
      <c r="B9" s="3" t="s">
        <v>15</v>
      </c>
    </row>
    <row r="10" spans="1:10" x14ac:dyDescent="0.35">
      <c r="A10" s="3" t="s">
        <v>16</v>
      </c>
      <c r="B10" s="5">
        <v>45076.753914444402</v>
      </c>
    </row>
    <row r="11" spans="1:10" x14ac:dyDescent="0.35">
      <c r="A11" s="6" t="s">
        <v>17</v>
      </c>
      <c r="B11" s="431" t="s">
        <v>18</v>
      </c>
      <c r="C11" s="431" t="s">
        <v>19</v>
      </c>
      <c r="D11" s="431" t="s">
        <v>20</v>
      </c>
      <c r="E11" s="431" t="s">
        <v>21</v>
      </c>
      <c r="F11" s="431" t="s">
        <v>22</v>
      </c>
      <c r="G11" s="431" t="s">
        <v>23</v>
      </c>
      <c r="H11" s="431" t="s">
        <v>24</v>
      </c>
      <c r="I11" s="431" t="s">
        <v>25</v>
      </c>
      <c r="J11" s="431" t="s">
        <v>26</v>
      </c>
    </row>
    <row r="12" spans="1:10" ht="15" customHeight="1" outlineLevel="1" x14ac:dyDescent="0.35">
      <c r="A12" s="7" t="s">
        <v>27</v>
      </c>
      <c r="B12" s="430">
        <v>41729</v>
      </c>
      <c r="C12" s="430">
        <v>42094</v>
      </c>
      <c r="D12" s="430">
        <v>42460</v>
      </c>
      <c r="E12" s="430">
        <v>42825</v>
      </c>
      <c r="F12" s="430">
        <v>43190</v>
      </c>
      <c r="G12" s="430">
        <v>43555</v>
      </c>
      <c r="H12" s="430">
        <v>43921</v>
      </c>
      <c r="I12" s="430">
        <v>44286</v>
      </c>
      <c r="J12" s="430">
        <v>44651</v>
      </c>
    </row>
    <row r="13" spans="1:10" ht="15" customHeight="1" outlineLevel="1" x14ac:dyDescent="0.35">
      <c r="A13" s="7" t="s">
        <v>28</v>
      </c>
      <c r="B13" s="430" t="s">
        <v>29</v>
      </c>
      <c r="C13" s="430" t="s">
        <v>29</v>
      </c>
      <c r="D13" s="430" t="s">
        <v>29</v>
      </c>
      <c r="E13" s="430" t="s">
        <v>29</v>
      </c>
      <c r="F13" s="430" t="s">
        <v>29</v>
      </c>
      <c r="G13" s="430" t="s">
        <v>29</v>
      </c>
      <c r="H13" s="430" t="s">
        <v>29</v>
      </c>
      <c r="I13" s="430" t="s">
        <v>29</v>
      </c>
      <c r="J13" s="430" t="s">
        <v>29</v>
      </c>
    </row>
    <row r="14" spans="1:10" x14ac:dyDescent="0.35">
      <c r="A14" s="8" t="s">
        <v>340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5">
      <c r="A15" s="8" t="s">
        <v>31</v>
      </c>
      <c r="B15" s="9" t="s">
        <v>33</v>
      </c>
      <c r="C15" s="9" t="s">
        <v>34</v>
      </c>
      <c r="D15" s="9" t="s">
        <v>35</v>
      </c>
      <c r="E15" s="9" t="s">
        <v>36</v>
      </c>
      <c r="F15" s="9" t="s">
        <v>37</v>
      </c>
      <c r="G15" s="9" t="s">
        <v>38</v>
      </c>
      <c r="H15" s="9" t="s">
        <v>39</v>
      </c>
      <c r="I15" s="9" t="s">
        <v>40</v>
      </c>
      <c r="J15" s="9" t="s">
        <v>41</v>
      </c>
    </row>
    <row r="16" spans="1:10" ht="15" customHeight="1" x14ac:dyDescent="0.35">
      <c r="A16" s="22" t="s">
        <v>341</v>
      </c>
      <c r="B16" s="23"/>
      <c r="C16" s="23"/>
      <c r="D16" s="23"/>
      <c r="E16" s="23"/>
      <c r="F16" s="23"/>
      <c r="G16" s="23"/>
      <c r="H16" s="23"/>
      <c r="I16" s="23"/>
      <c r="J16" s="23"/>
    </row>
    <row r="17" spans="1:10" ht="15" customHeight="1" x14ac:dyDescent="0.35">
      <c r="A17" s="21" t="s">
        <v>342</v>
      </c>
      <c r="B17" s="16">
        <v>1397.4</v>
      </c>
      <c r="C17" s="16">
        <v>4496.8</v>
      </c>
      <c r="D17" s="16">
        <v>3741</v>
      </c>
      <c r="E17" s="16">
        <v>5220.3999999999996</v>
      </c>
      <c r="F17" s="16">
        <v>8523.9</v>
      </c>
      <c r="G17" s="16">
        <v>7572.3</v>
      </c>
      <c r="H17" s="16">
        <v>7529.3</v>
      </c>
      <c r="I17" s="17">
        <v>14307.8</v>
      </c>
      <c r="J17" s="17">
        <v>18527.599999999999</v>
      </c>
    </row>
    <row r="18" spans="1:10" ht="15" customHeight="1" x14ac:dyDescent="0.35">
      <c r="A18" s="21" t="s">
        <v>343</v>
      </c>
      <c r="B18" s="16">
        <v>410.7</v>
      </c>
      <c r="C18" s="16">
        <v>389.7</v>
      </c>
      <c r="D18" s="16">
        <v>433.3</v>
      </c>
      <c r="E18" s="16">
        <v>436.7</v>
      </c>
      <c r="F18" s="16">
        <v>800.9</v>
      </c>
      <c r="G18" s="16">
        <v>691.1</v>
      </c>
      <c r="H18" s="16">
        <v>1517.6</v>
      </c>
      <c r="I18" s="16">
        <v>1791.5</v>
      </c>
      <c r="J18" s="16">
        <v>3177.6</v>
      </c>
    </row>
    <row r="19" spans="1:10" ht="15" customHeight="1" x14ac:dyDescent="0.35">
      <c r="A19" s="13" t="s">
        <v>344</v>
      </c>
      <c r="B19" s="16">
        <v>238.5</v>
      </c>
      <c r="C19" s="16">
        <v>303.5</v>
      </c>
      <c r="D19" s="16">
        <v>251.2</v>
      </c>
      <c r="E19" s="16">
        <v>276.7</v>
      </c>
      <c r="F19" s="16">
        <v>483</v>
      </c>
      <c r="G19" s="16">
        <v>412.2</v>
      </c>
      <c r="H19" s="16">
        <v>707.1</v>
      </c>
      <c r="I19" s="16">
        <v>1044.5999999999999</v>
      </c>
      <c r="J19" s="16">
        <v>2690.4</v>
      </c>
    </row>
    <row r="20" spans="1:10" ht="15" customHeight="1" x14ac:dyDescent="0.35">
      <c r="A20" s="13" t="s">
        <v>345</v>
      </c>
      <c r="B20" s="15">
        <v>32.700000000000003</v>
      </c>
      <c r="C20" s="15">
        <v>5.5</v>
      </c>
      <c r="D20" s="15">
        <v>9.9</v>
      </c>
      <c r="E20" s="15">
        <v>2.7</v>
      </c>
      <c r="F20" s="15">
        <v>72.900000000000006</v>
      </c>
      <c r="G20" s="15">
        <v>49.3</v>
      </c>
      <c r="H20" s="19">
        <v>-97</v>
      </c>
      <c r="I20" s="15">
        <v>50.5</v>
      </c>
      <c r="J20" s="19">
        <v>-79.2</v>
      </c>
    </row>
    <row r="21" spans="1:10" ht="15" customHeight="1" x14ac:dyDescent="0.35">
      <c r="A21" s="13" t="s">
        <v>346</v>
      </c>
      <c r="B21" s="16">
        <v>134.80000000000001</v>
      </c>
      <c r="C21" s="16">
        <v>163</v>
      </c>
      <c r="D21" s="16">
        <v>159.6</v>
      </c>
      <c r="E21" s="16">
        <v>154.80000000000001</v>
      </c>
      <c r="F21" s="16">
        <v>153</v>
      </c>
      <c r="G21" s="16">
        <v>149.5</v>
      </c>
      <c r="H21" s="16">
        <v>614</v>
      </c>
      <c r="I21" s="16">
        <v>541.79999999999995</v>
      </c>
      <c r="J21" s="16">
        <v>625.29999999999995</v>
      </c>
    </row>
    <row r="22" spans="1:10" ht="15" customHeight="1" x14ac:dyDescent="0.35">
      <c r="A22" s="24" t="s">
        <v>347</v>
      </c>
      <c r="B22" s="16">
        <v>134.80000000000001</v>
      </c>
      <c r="C22" s="16">
        <v>163</v>
      </c>
      <c r="D22" s="16">
        <v>159.6</v>
      </c>
      <c r="E22" s="16">
        <v>154.80000000000001</v>
      </c>
      <c r="F22" s="16">
        <v>153</v>
      </c>
      <c r="G22" s="16">
        <v>149.5</v>
      </c>
      <c r="H22" s="16">
        <v>614</v>
      </c>
      <c r="I22" s="16">
        <v>541.79999999999995</v>
      </c>
      <c r="J22" s="16">
        <v>625.29999999999995</v>
      </c>
    </row>
    <row r="23" spans="1:10" ht="15" customHeight="1" x14ac:dyDescent="0.35">
      <c r="A23" s="13" t="s">
        <v>348</v>
      </c>
      <c r="B23" s="17"/>
      <c r="C23" s="17"/>
      <c r="D23" s="17"/>
      <c r="E23" s="17"/>
      <c r="F23" s="17">
        <v>0</v>
      </c>
      <c r="G23" s="15">
        <v>1.2</v>
      </c>
      <c r="H23" s="15">
        <v>0.7</v>
      </c>
      <c r="I23" s="15">
        <v>0.3</v>
      </c>
      <c r="J23" s="15">
        <v>0.1</v>
      </c>
    </row>
    <row r="24" spans="1:10" ht="15" customHeight="1" x14ac:dyDescent="0.35">
      <c r="A24" s="13" t="s">
        <v>349</v>
      </c>
      <c r="B24" s="15">
        <v>4.7</v>
      </c>
      <c r="C24" s="19">
        <v>-82.3</v>
      </c>
      <c r="D24" s="15">
        <v>12.6</v>
      </c>
      <c r="E24" s="15">
        <v>2.5</v>
      </c>
      <c r="F24" s="15">
        <v>16.8</v>
      </c>
      <c r="G24" s="15">
        <v>4.5999999999999996</v>
      </c>
      <c r="H24" s="15">
        <v>8.1</v>
      </c>
      <c r="I24" s="15">
        <v>6.9</v>
      </c>
      <c r="J24" s="19">
        <v>-8.1</v>
      </c>
    </row>
    <row r="25" spans="1:10" ht="15" customHeight="1" x14ac:dyDescent="0.35">
      <c r="A25" s="24" t="s">
        <v>350</v>
      </c>
      <c r="B25" s="15">
        <v>4.7</v>
      </c>
      <c r="C25" s="15">
        <v>15.2</v>
      </c>
      <c r="D25" s="15">
        <v>12.6</v>
      </c>
      <c r="E25" s="15">
        <v>2.5</v>
      </c>
      <c r="F25" s="15">
        <v>16.8</v>
      </c>
      <c r="G25" s="15">
        <v>4.5999999999999996</v>
      </c>
      <c r="H25" s="15">
        <v>8.1</v>
      </c>
      <c r="I25" s="15">
        <v>6.9</v>
      </c>
      <c r="J25" s="19">
        <v>-8.1</v>
      </c>
    </row>
    <row r="26" spans="1:10" ht="15" customHeight="1" x14ac:dyDescent="0.35">
      <c r="A26" s="24" t="s">
        <v>351</v>
      </c>
      <c r="B26" s="17">
        <v>0</v>
      </c>
      <c r="C26" s="19">
        <v>-97.5</v>
      </c>
      <c r="D26" s="17">
        <v>0</v>
      </c>
      <c r="E26" s="17">
        <v>0</v>
      </c>
      <c r="F26" s="17"/>
      <c r="G26" s="17"/>
      <c r="H26" s="17"/>
      <c r="I26" s="17"/>
      <c r="J26" s="17"/>
    </row>
    <row r="27" spans="1:10" ht="15" customHeight="1" x14ac:dyDescent="0.35">
      <c r="A27" s="13" t="s">
        <v>352</v>
      </c>
      <c r="B27" s="17"/>
      <c r="C27" s="17"/>
      <c r="D27" s="17"/>
      <c r="E27" s="17"/>
      <c r="F27" s="15">
        <v>0.2</v>
      </c>
      <c r="G27" s="15">
        <v>9.5</v>
      </c>
      <c r="H27" s="16">
        <v>158.19999999999999</v>
      </c>
      <c r="I27" s="19">
        <v>-7.5</v>
      </c>
      <c r="J27" s="18">
        <v>-201.8</v>
      </c>
    </row>
    <row r="28" spans="1:10" ht="15" customHeight="1" x14ac:dyDescent="0.35">
      <c r="A28" s="13" t="s">
        <v>353</v>
      </c>
      <c r="B28" s="17"/>
      <c r="C28" s="17"/>
      <c r="D28" s="17"/>
      <c r="E28" s="17"/>
      <c r="F28" s="15">
        <v>75</v>
      </c>
      <c r="G28" s="15">
        <v>64.8</v>
      </c>
      <c r="H28" s="16">
        <v>126.5</v>
      </c>
      <c r="I28" s="16">
        <v>154.9</v>
      </c>
      <c r="J28" s="16">
        <v>150.9</v>
      </c>
    </row>
    <row r="29" spans="1:10" ht="15" customHeight="1" x14ac:dyDescent="0.35">
      <c r="A29" s="21" t="s">
        <v>354</v>
      </c>
      <c r="B29" s="16">
        <v>531</v>
      </c>
      <c r="C29" s="16">
        <v>1578.6</v>
      </c>
      <c r="D29" s="16">
        <v>1553.3</v>
      </c>
      <c r="E29" s="16">
        <v>1986.1</v>
      </c>
      <c r="F29" s="16">
        <v>3221.1</v>
      </c>
      <c r="G29" s="16">
        <v>2925.2</v>
      </c>
      <c r="H29" s="16">
        <v>2051.3000000000002</v>
      </c>
      <c r="I29" s="16">
        <v>3285</v>
      </c>
      <c r="J29" s="16">
        <v>4627.5</v>
      </c>
    </row>
    <row r="30" spans="1:10" ht="15" customHeight="1" x14ac:dyDescent="0.35">
      <c r="A30" s="21" t="s">
        <v>355</v>
      </c>
      <c r="B30" s="16">
        <v>238.5</v>
      </c>
      <c r="C30" s="16">
        <v>303.5</v>
      </c>
      <c r="D30" s="16">
        <v>251.2</v>
      </c>
      <c r="E30" s="16">
        <v>276.7</v>
      </c>
      <c r="F30" s="16">
        <v>465.9</v>
      </c>
      <c r="G30" s="16">
        <v>400.2</v>
      </c>
      <c r="H30" s="16">
        <v>626.29999999999995</v>
      </c>
      <c r="I30" s="16">
        <v>934.6</v>
      </c>
      <c r="J30" s="16">
        <v>2124.8000000000002</v>
      </c>
    </row>
    <row r="31" spans="1:10" ht="15" customHeight="1" x14ac:dyDescent="0.35">
      <c r="A31" s="21" t="s">
        <v>356</v>
      </c>
      <c r="B31" s="17"/>
      <c r="C31" s="17"/>
      <c r="D31" s="17"/>
      <c r="E31" s="17"/>
      <c r="F31" s="15">
        <v>0.3</v>
      </c>
      <c r="G31" s="15">
        <v>0.4</v>
      </c>
      <c r="H31" s="15">
        <v>0.3</v>
      </c>
      <c r="I31" s="15">
        <v>0.2</v>
      </c>
      <c r="J31" s="15">
        <v>0.2</v>
      </c>
    </row>
    <row r="32" spans="1:10" ht="15" customHeight="1" x14ac:dyDescent="0.35">
      <c r="A32" s="21" t="s">
        <v>357</v>
      </c>
      <c r="B32" s="16">
        <v>1038.5999999999999</v>
      </c>
      <c r="C32" s="16">
        <v>3004.4</v>
      </c>
      <c r="D32" s="16">
        <v>2369.8000000000002</v>
      </c>
      <c r="E32" s="16">
        <v>3394.3</v>
      </c>
      <c r="F32" s="16">
        <v>5638.1</v>
      </c>
      <c r="G32" s="16">
        <v>4938.3999999999996</v>
      </c>
      <c r="H32" s="16">
        <v>6369.6</v>
      </c>
      <c r="I32" s="17">
        <v>11879.9</v>
      </c>
      <c r="J32" s="17">
        <v>14953.1</v>
      </c>
    </row>
    <row r="33" spans="1:10" ht="15" customHeight="1" x14ac:dyDescent="0.35">
      <c r="A33" s="21" t="s">
        <v>358</v>
      </c>
      <c r="B33" s="16">
        <v>647.70000000000005</v>
      </c>
      <c r="C33" s="18">
        <v>-1095.4000000000001</v>
      </c>
      <c r="D33" s="18">
        <v>-298.8</v>
      </c>
      <c r="E33" s="18">
        <v>-2017.8</v>
      </c>
      <c r="F33" s="18">
        <v>-5392.4</v>
      </c>
      <c r="G33" s="17">
        <v>17554.7</v>
      </c>
      <c r="H33" s="30">
        <v>-25779</v>
      </c>
      <c r="I33" s="30">
        <v>-28909.3</v>
      </c>
      <c r="J33" s="30">
        <v>-43052.3</v>
      </c>
    </row>
    <row r="34" spans="1:10" ht="15" customHeight="1" x14ac:dyDescent="0.35">
      <c r="A34" s="13" t="s">
        <v>359</v>
      </c>
      <c r="B34" s="18">
        <v>-200.1</v>
      </c>
      <c r="C34" s="16">
        <v>253.5</v>
      </c>
      <c r="D34" s="19">
        <v>-67.900000000000006</v>
      </c>
      <c r="E34" s="15">
        <v>13.5</v>
      </c>
      <c r="F34" s="18">
        <v>-1816.6</v>
      </c>
      <c r="G34" s="15">
        <v>31.7</v>
      </c>
      <c r="H34" s="16">
        <v>2106</v>
      </c>
      <c r="I34" s="30">
        <v>-27045.1</v>
      </c>
      <c r="J34" s="30">
        <v>-38765.300000000003</v>
      </c>
    </row>
    <row r="35" spans="1:10" ht="15" customHeight="1" x14ac:dyDescent="0.35">
      <c r="A35" s="13" t="s">
        <v>360</v>
      </c>
      <c r="B35" s="17"/>
      <c r="C35" s="17"/>
      <c r="D35" s="17"/>
      <c r="E35" s="17"/>
      <c r="F35" s="19">
        <v>-64.599999999999994</v>
      </c>
      <c r="G35" s="18">
        <v>-2183.4</v>
      </c>
      <c r="H35" s="18">
        <v>-5951.2</v>
      </c>
      <c r="I35" s="16">
        <v>3696.6</v>
      </c>
      <c r="J35" s="16">
        <v>2433.1999999999998</v>
      </c>
    </row>
    <row r="36" spans="1:10" ht="15" customHeight="1" x14ac:dyDescent="0.35">
      <c r="A36" s="13" t="s">
        <v>361</v>
      </c>
      <c r="B36" s="18">
        <v>-5380.6</v>
      </c>
      <c r="C36" s="16">
        <v>672.5</v>
      </c>
      <c r="D36" s="18">
        <v>-643.5</v>
      </c>
      <c r="E36" s="18">
        <v>-5413.6</v>
      </c>
      <c r="F36" s="18">
        <v>-5660.9</v>
      </c>
      <c r="G36" s="16">
        <v>1625.4</v>
      </c>
      <c r="H36" s="18">
        <v>-6027.5</v>
      </c>
      <c r="I36" s="30">
        <v>-17123.599999999999</v>
      </c>
      <c r="J36" s="30">
        <v>-13149.6</v>
      </c>
    </row>
    <row r="37" spans="1:10" ht="15" customHeight="1" x14ac:dyDescent="0.35">
      <c r="A37" s="13" t="s">
        <v>362</v>
      </c>
      <c r="B37" s="16">
        <v>6171.3</v>
      </c>
      <c r="C37" s="18">
        <v>-2786.6</v>
      </c>
      <c r="D37" s="16">
        <v>356.6</v>
      </c>
      <c r="E37" s="16">
        <v>2773.9</v>
      </c>
      <c r="F37" s="16">
        <v>1253.5</v>
      </c>
      <c r="G37" s="17">
        <v>17245.2</v>
      </c>
      <c r="H37" s="30">
        <v>-16400.900000000001</v>
      </c>
      <c r="I37" s="16">
        <v>3338.2</v>
      </c>
      <c r="J37" s="16">
        <v>511.5</v>
      </c>
    </row>
    <row r="38" spans="1:10" ht="15" customHeight="1" x14ac:dyDescent="0.35">
      <c r="A38" s="13" t="s">
        <v>363</v>
      </c>
      <c r="B38" s="15">
        <v>57.1</v>
      </c>
      <c r="C38" s="16">
        <v>765.2</v>
      </c>
      <c r="D38" s="15">
        <v>56</v>
      </c>
      <c r="E38" s="16">
        <v>608.4</v>
      </c>
      <c r="F38" s="16">
        <v>896.2</v>
      </c>
      <c r="G38" s="16">
        <v>835.8</v>
      </c>
      <c r="H38" s="16">
        <v>494.6</v>
      </c>
      <c r="I38" s="16">
        <v>8224.6</v>
      </c>
      <c r="J38" s="16">
        <v>5917.9</v>
      </c>
    </row>
    <row r="39" spans="1:10" ht="15" customHeight="1" x14ac:dyDescent="0.35">
      <c r="A39" s="25" t="s">
        <v>364</v>
      </c>
      <c r="B39" s="26">
        <v>1686.3</v>
      </c>
      <c r="C39" s="26">
        <v>1909</v>
      </c>
      <c r="D39" s="26">
        <v>2071</v>
      </c>
      <c r="E39" s="26">
        <v>1376.5</v>
      </c>
      <c r="F39" s="26">
        <v>245.7</v>
      </c>
      <c r="G39" s="27">
        <v>22493.1</v>
      </c>
      <c r="H39" s="31">
        <v>-19409.400000000001</v>
      </c>
      <c r="I39" s="31">
        <v>-17029.400000000001</v>
      </c>
      <c r="J39" s="31">
        <v>-28099.200000000001</v>
      </c>
    </row>
    <row r="40" spans="1:10" ht="15" customHeight="1" x14ac:dyDescent="0.35">
      <c r="A40" s="22"/>
      <c r="B40" s="23"/>
      <c r="C40" s="23"/>
      <c r="D40" s="23"/>
      <c r="E40" s="23"/>
      <c r="F40" s="23"/>
      <c r="G40" s="23"/>
      <c r="H40" s="23"/>
      <c r="I40" s="23"/>
      <c r="J40" s="23"/>
    </row>
    <row r="41" spans="1:10" ht="15" customHeight="1" x14ac:dyDescent="0.35">
      <c r="A41" s="21" t="s">
        <v>365</v>
      </c>
      <c r="B41" s="17"/>
      <c r="C41" s="17"/>
      <c r="D41" s="17"/>
      <c r="E41" s="17"/>
      <c r="F41" s="17"/>
      <c r="G41" s="17"/>
      <c r="H41" s="16">
        <v>141.4</v>
      </c>
      <c r="I41" s="15">
        <v>97.3</v>
      </c>
      <c r="J41" s="15">
        <v>88.1</v>
      </c>
    </row>
    <row r="42" spans="1:10" ht="15" customHeight="1" x14ac:dyDescent="0.35">
      <c r="A42" s="22" t="s">
        <v>366</v>
      </c>
      <c r="B42" s="23"/>
      <c r="C42" s="23"/>
      <c r="D42" s="23"/>
      <c r="E42" s="23"/>
      <c r="F42" s="23"/>
      <c r="G42" s="23"/>
      <c r="H42" s="23"/>
      <c r="I42" s="23"/>
      <c r="J42" s="23"/>
    </row>
    <row r="43" spans="1:10" ht="15" customHeight="1" x14ac:dyDescent="0.35">
      <c r="A43" s="21" t="s">
        <v>367</v>
      </c>
      <c r="B43" s="16">
        <v>146.69999999999999</v>
      </c>
      <c r="C43" s="16">
        <v>199.3</v>
      </c>
      <c r="D43" s="16">
        <v>165</v>
      </c>
      <c r="E43" s="16">
        <v>153.9</v>
      </c>
      <c r="F43" s="16">
        <v>216.4</v>
      </c>
      <c r="G43" s="16">
        <v>208.1</v>
      </c>
      <c r="H43" s="16">
        <v>226.2</v>
      </c>
      <c r="I43" s="16">
        <v>401.9</v>
      </c>
      <c r="J43" s="16">
        <v>632.20000000000005</v>
      </c>
    </row>
    <row r="44" spans="1:10" ht="15" customHeight="1" x14ac:dyDescent="0.35">
      <c r="A44" s="13" t="s">
        <v>368</v>
      </c>
      <c r="B44" s="16">
        <v>146.69999999999999</v>
      </c>
      <c r="C44" s="16">
        <v>199.3</v>
      </c>
      <c r="D44" s="16">
        <v>165</v>
      </c>
      <c r="E44" s="16">
        <v>153.9</v>
      </c>
      <c r="F44" s="16">
        <v>216.4</v>
      </c>
      <c r="G44" s="16">
        <v>208.1</v>
      </c>
      <c r="H44" s="16">
        <v>226.2</v>
      </c>
      <c r="I44" s="16">
        <v>401.9</v>
      </c>
      <c r="J44" s="16">
        <v>632.20000000000005</v>
      </c>
    </row>
    <row r="45" spans="1:10" ht="15" customHeight="1" x14ac:dyDescent="0.35">
      <c r="A45" s="24" t="s">
        <v>369</v>
      </c>
      <c r="B45" s="16">
        <v>146.69999999999999</v>
      </c>
      <c r="C45" s="16">
        <v>199.3</v>
      </c>
      <c r="D45" s="16">
        <v>172.4</v>
      </c>
      <c r="E45" s="16">
        <v>159.4</v>
      </c>
      <c r="F45" s="16">
        <v>223.8</v>
      </c>
      <c r="G45" s="16">
        <v>226.1</v>
      </c>
      <c r="H45" s="16">
        <v>233.9</v>
      </c>
      <c r="I45" s="16">
        <v>407</v>
      </c>
      <c r="J45" s="16">
        <v>641</v>
      </c>
    </row>
    <row r="46" spans="1:10" ht="15" customHeight="1" x14ac:dyDescent="0.35">
      <c r="A46" s="24" t="s">
        <v>370</v>
      </c>
      <c r="B46" s="17">
        <v>0</v>
      </c>
      <c r="C46" s="17">
        <v>0</v>
      </c>
      <c r="D46" s="15">
        <v>7.4</v>
      </c>
      <c r="E46" s="15">
        <v>5.5</v>
      </c>
      <c r="F46" s="15">
        <v>7.4</v>
      </c>
      <c r="G46" s="15">
        <v>18</v>
      </c>
      <c r="H46" s="15">
        <v>7.7</v>
      </c>
      <c r="I46" s="15">
        <v>5.0999999999999996</v>
      </c>
      <c r="J46" s="15">
        <v>8.8000000000000007</v>
      </c>
    </row>
    <row r="47" spans="1:10" ht="15" customHeight="1" x14ac:dyDescent="0.35">
      <c r="A47" s="13" t="s">
        <v>371</v>
      </c>
      <c r="B47" s="16">
        <v>146.69999999999999</v>
      </c>
      <c r="C47" s="16">
        <v>199.3</v>
      </c>
      <c r="D47" s="16">
        <v>172.4</v>
      </c>
      <c r="E47" s="16">
        <v>159.4</v>
      </c>
      <c r="F47" s="16">
        <v>223.8</v>
      </c>
      <c r="G47" s="16">
        <v>226.1</v>
      </c>
      <c r="H47" s="16">
        <v>233.9</v>
      </c>
      <c r="I47" s="16">
        <v>407</v>
      </c>
      <c r="J47" s="16">
        <v>641</v>
      </c>
    </row>
    <row r="48" spans="1:10" ht="15" customHeight="1" x14ac:dyDescent="0.35">
      <c r="A48" s="21" t="s">
        <v>372</v>
      </c>
      <c r="B48" s="18">
        <v>-1000</v>
      </c>
      <c r="C48" s="16">
        <v>1088.0999999999999</v>
      </c>
      <c r="D48" s="17">
        <v>0</v>
      </c>
      <c r="E48" s="19">
        <v>-15.7</v>
      </c>
      <c r="F48" s="15">
        <v>5.7</v>
      </c>
      <c r="G48" s="17">
        <v>0</v>
      </c>
      <c r="H48" s="17"/>
      <c r="I48" s="17"/>
      <c r="J48" s="19">
        <v>-55.6</v>
      </c>
    </row>
    <row r="49" spans="1:10" ht="15" customHeight="1" x14ac:dyDescent="0.35">
      <c r="A49" s="13" t="s">
        <v>373</v>
      </c>
      <c r="B49" s="18">
        <v>-1000</v>
      </c>
      <c r="C49" s="16">
        <v>1088.0999999999999</v>
      </c>
      <c r="D49" s="17">
        <v>0</v>
      </c>
      <c r="E49" s="19">
        <v>-15.7</v>
      </c>
      <c r="F49" s="15">
        <v>5.7</v>
      </c>
      <c r="G49" s="17">
        <v>0</v>
      </c>
      <c r="H49" s="17"/>
      <c r="I49" s="17"/>
      <c r="J49" s="19">
        <v>-55.6</v>
      </c>
    </row>
    <row r="50" spans="1:10" ht="15" customHeight="1" x14ac:dyDescent="0.35">
      <c r="A50" s="24" t="s">
        <v>374</v>
      </c>
      <c r="B50" s="17">
        <v>0</v>
      </c>
      <c r="C50" s="16">
        <v>1088.0999999999999</v>
      </c>
      <c r="D50" s="17">
        <v>0</v>
      </c>
      <c r="E50" s="17">
        <v>0</v>
      </c>
      <c r="F50" s="15">
        <v>5.7</v>
      </c>
      <c r="G50" s="17">
        <v>0</v>
      </c>
      <c r="H50" s="17"/>
      <c r="I50" s="17"/>
      <c r="J50" s="17"/>
    </row>
    <row r="51" spans="1:10" ht="15" customHeight="1" x14ac:dyDescent="0.35">
      <c r="A51" s="24" t="s">
        <v>375</v>
      </c>
      <c r="B51" s="16">
        <v>1000</v>
      </c>
      <c r="C51" s="17">
        <v>0</v>
      </c>
      <c r="D51" s="17">
        <v>0</v>
      </c>
      <c r="E51" s="15">
        <v>15.7</v>
      </c>
      <c r="F51" s="17"/>
      <c r="G51" s="17"/>
      <c r="H51" s="17"/>
      <c r="I51" s="17"/>
      <c r="J51" s="15">
        <v>55.6</v>
      </c>
    </row>
    <row r="52" spans="1:10" ht="15" customHeight="1" x14ac:dyDescent="0.35">
      <c r="A52" s="25" t="s">
        <v>376</v>
      </c>
      <c r="B52" s="32">
        <v>-1146.7</v>
      </c>
      <c r="C52" s="26">
        <v>888.8</v>
      </c>
      <c r="D52" s="32">
        <v>-165</v>
      </c>
      <c r="E52" s="32">
        <v>-169.6</v>
      </c>
      <c r="F52" s="32">
        <v>-210.7</v>
      </c>
      <c r="G52" s="32">
        <v>-208.1</v>
      </c>
      <c r="H52" s="32">
        <v>-226.2</v>
      </c>
      <c r="I52" s="32">
        <v>-401.9</v>
      </c>
      <c r="J52" s="32">
        <v>-687.8</v>
      </c>
    </row>
    <row r="53" spans="1:10" ht="15" customHeight="1" x14ac:dyDescent="0.35">
      <c r="A53" s="22" t="s">
        <v>377</v>
      </c>
      <c r="B53" s="23"/>
      <c r="C53" s="23"/>
      <c r="D53" s="23"/>
      <c r="E53" s="23"/>
      <c r="F53" s="23"/>
      <c r="G53" s="23"/>
      <c r="H53" s="23"/>
      <c r="I53" s="23"/>
      <c r="J53" s="23"/>
    </row>
    <row r="54" spans="1:10" ht="15" customHeight="1" x14ac:dyDescent="0.35">
      <c r="A54" s="21" t="s">
        <v>378</v>
      </c>
      <c r="B54" s="16">
        <v>276.60000000000002</v>
      </c>
      <c r="C54" s="16">
        <v>2105.4</v>
      </c>
      <c r="D54" s="16">
        <v>1926.6</v>
      </c>
      <c r="E54" s="16">
        <v>2490.1999999999998</v>
      </c>
      <c r="F54" s="16">
        <v>2224.1</v>
      </c>
      <c r="G54" s="16">
        <v>2951.1</v>
      </c>
      <c r="H54" s="16">
        <v>3864.7</v>
      </c>
      <c r="I54" s="16">
        <v>4752.1000000000004</v>
      </c>
      <c r="J54" s="16">
        <v>7984</v>
      </c>
    </row>
    <row r="55" spans="1:10" ht="15" customHeight="1" x14ac:dyDescent="0.35">
      <c r="A55" s="13" t="s">
        <v>379</v>
      </c>
      <c r="B55" s="17"/>
      <c r="C55" s="17"/>
      <c r="D55" s="17"/>
      <c r="E55" s="17"/>
      <c r="F55" s="16">
        <v>2224.1</v>
      </c>
      <c r="G55" s="16">
        <v>2951.1</v>
      </c>
      <c r="H55" s="16">
        <v>3864.7</v>
      </c>
      <c r="I55" s="16">
        <v>4752.1000000000004</v>
      </c>
      <c r="J55" s="16">
        <v>7984</v>
      </c>
    </row>
    <row r="56" spans="1:10" ht="15" customHeight="1" x14ac:dyDescent="0.35">
      <c r="A56" s="21" t="s">
        <v>380</v>
      </c>
      <c r="B56" s="18">
        <v>-500</v>
      </c>
      <c r="C56" s="17">
        <v>0</v>
      </c>
      <c r="D56" s="17">
        <v>0</v>
      </c>
      <c r="E56" s="17">
        <v>0</v>
      </c>
      <c r="F56" s="17"/>
      <c r="G56" s="17"/>
      <c r="H56" s="17"/>
      <c r="I56" s="15">
        <v>18.5</v>
      </c>
      <c r="J56" s="16">
        <v>113.8</v>
      </c>
    </row>
    <row r="57" spans="1:10" ht="15" customHeight="1" x14ac:dyDescent="0.35">
      <c r="A57" s="13" t="s">
        <v>381</v>
      </c>
      <c r="B57" s="18">
        <v>-500</v>
      </c>
      <c r="C57" s="17">
        <v>0</v>
      </c>
      <c r="D57" s="17">
        <v>0</v>
      </c>
      <c r="E57" s="17">
        <v>0</v>
      </c>
      <c r="F57" s="17"/>
      <c r="G57" s="17"/>
      <c r="H57" s="17"/>
      <c r="I57" s="17"/>
      <c r="J57" s="17"/>
    </row>
    <row r="58" spans="1:10" ht="15" customHeight="1" x14ac:dyDescent="0.35">
      <c r="A58" s="24" t="s">
        <v>382</v>
      </c>
      <c r="B58" s="18">
        <v>-500</v>
      </c>
      <c r="C58" s="17">
        <v>0</v>
      </c>
      <c r="D58" s="17">
        <v>0</v>
      </c>
      <c r="E58" s="17">
        <v>0</v>
      </c>
      <c r="F58" s="17"/>
      <c r="G58" s="17"/>
      <c r="H58" s="17"/>
      <c r="I58" s="17"/>
      <c r="J58" s="17"/>
    </row>
    <row r="59" spans="1:10" ht="15" customHeight="1" x14ac:dyDescent="0.35">
      <c r="A59" s="28" t="s">
        <v>383</v>
      </c>
      <c r="B59" s="16">
        <v>500</v>
      </c>
      <c r="C59" s="17">
        <v>0</v>
      </c>
      <c r="D59" s="17">
        <v>0</v>
      </c>
      <c r="E59" s="17">
        <v>0</v>
      </c>
      <c r="F59" s="17"/>
      <c r="G59" s="17"/>
      <c r="H59" s="17"/>
      <c r="I59" s="17"/>
      <c r="J59" s="17"/>
    </row>
    <row r="60" spans="1:10" ht="15" customHeight="1" x14ac:dyDescent="0.35">
      <c r="A60" s="13" t="s">
        <v>384</v>
      </c>
      <c r="B60" s="17"/>
      <c r="C60" s="17"/>
      <c r="D60" s="17"/>
      <c r="E60" s="17"/>
      <c r="F60" s="17"/>
      <c r="G60" s="17"/>
      <c r="H60" s="17"/>
      <c r="I60" s="15">
        <v>18.5</v>
      </c>
      <c r="J60" s="16">
        <v>113.8</v>
      </c>
    </row>
    <row r="61" spans="1:10" ht="15" customHeight="1" x14ac:dyDescent="0.35">
      <c r="A61" s="21" t="s">
        <v>385</v>
      </c>
      <c r="B61" s="16">
        <v>972.2</v>
      </c>
      <c r="C61" s="18">
        <v>-906</v>
      </c>
      <c r="D61" s="18">
        <v>-536.70000000000005</v>
      </c>
      <c r="E61" s="16">
        <v>2225.5</v>
      </c>
      <c r="F61" s="16">
        <v>2753.5</v>
      </c>
      <c r="G61" s="18">
        <v>-2263.5</v>
      </c>
      <c r="H61" s="17">
        <v>10079.200000000001</v>
      </c>
      <c r="I61" s="17">
        <v>19836.599999999999</v>
      </c>
      <c r="J61" s="17">
        <v>41301.199999999997</v>
      </c>
    </row>
    <row r="62" spans="1:10" ht="15" customHeight="1" x14ac:dyDescent="0.35">
      <c r="A62" s="13" t="s">
        <v>386</v>
      </c>
      <c r="B62" s="17"/>
      <c r="C62" s="17"/>
      <c r="D62" s="17"/>
      <c r="E62" s="17"/>
      <c r="F62" s="16">
        <v>2753.5</v>
      </c>
      <c r="G62" s="18">
        <v>-2263.5</v>
      </c>
      <c r="H62" s="17">
        <v>10421.1</v>
      </c>
      <c r="I62" s="17">
        <v>20124.099999999999</v>
      </c>
      <c r="J62" s="17">
        <v>41616.9</v>
      </c>
    </row>
    <row r="63" spans="1:10" ht="15" customHeight="1" x14ac:dyDescent="0.35">
      <c r="A63" s="24" t="s">
        <v>387</v>
      </c>
      <c r="B63" s="17"/>
      <c r="C63" s="17"/>
      <c r="D63" s="17"/>
      <c r="E63" s="17"/>
      <c r="F63" s="16">
        <v>2753.5</v>
      </c>
      <c r="G63" s="17">
        <v>0</v>
      </c>
      <c r="H63" s="17">
        <v>72700</v>
      </c>
      <c r="I63" s="17">
        <v>107209.60000000001</v>
      </c>
      <c r="J63" s="17">
        <v>204260.7</v>
      </c>
    </row>
    <row r="64" spans="1:10" ht="15" customHeight="1" x14ac:dyDescent="0.35">
      <c r="A64" s="24" t="s">
        <v>388</v>
      </c>
      <c r="B64" s="17"/>
      <c r="C64" s="17"/>
      <c r="D64" s="17"/>
      <c r="E64" s="17"/>
      <c r="F64" s="17">
        <v>0</v>
      </c>
      <c r="G64" s="16">
        <v>2263.5</v>
      </c>
      <c r="H64" s="17">
        <v>62278.9</v>
      </c>
      <c r="I64" s="17">
        <v>87085.5</v>
      </c>
      <c r="J64" s="17">
        <v>162643.79999999999</v>
      </c>
    </row>
    <row r="65" spans="1:10" ht="15" customHeight="1" x14ac:dyDescent="0.35">
      <c r="A65" s="13" t="s">
        <v>389</v>
      </c>
      <c r="B65" s="16">
        <v>972.2</v>
      </c>
      <c r="C65" s="18">
        <v>-906</v>
      </c>
      <c r="D65" s="18">
        <v>-536.70000000000005</v>
      </c>
      <c r="E65" s="16">
        <v>2225.5</v>
      </c>
      <c r="F65" s="17"/>
      <c r="G65" s="17"/>
      <c r="H65" s="18">
        <v>-341.9</v>
      </c>
      <c r="I65" s="18">
        <v>-287.5</v>
      </c>
      <c r="J65" s="18">
        <v>-315.7</v>
      </c>
    </row>
    <row r="66" spans="1:10" ht="15" customHeight="1" x14ac:dyDescent="0.35">
      <c r="A66" s="24" t="s">
        <v>390</v>
      </c>
      <c r="B66" s="17"/>
      <c r="C66" s="17"/>
      <c r="D66" s="17"/>
      <c r="E66" s="17"/>
      <c r="F66" s="17"/>
      <c r="G66" s="17"/>
      <c r="H66" s="18">
        <v>-341.9</v>
      </c>
      <c r="I66" s="18">
        <v>-287.5</v>
      </c>
      <c r="J66" s="18">
        <v>-315.7</v>
      </c>
    </row>
    <row r="67" spans="1:10" ht="15" customHeight="1" x14ac:dyDescent="0.35">
      <c r="A67" s="24" t="s">
        <v>391</v>
      </c>
      <c r="B67" s="17"/>
      <c r="C67" s="17"/>
      <c r="D67" s="17"/>
      <c r="E67" s="17"/>
      <c r="F67" s="17"/>
      <c r="G67" s="17"/>
      <c r="H67" s="16">
        <v>341.9</v>
      </c>
      <c r="I67" s="16">
        <v>287.5</v>
      </c>
      <c r="J67" s="16">
        <v>315.7</v>
      </c>
    </row>
    <row r="68" spans="1:10" ht="15" customHeight="1" x14ac:dyDescent="0.35">
      <c r="A68" s="28" t="s">
        <v>392</v>
      </c>
      <c r="B68" s="17"/>
      <c r="C68" s="17"/>
      <c r="D68" s="17"/>
      <c r="E68" s="17"/>
      <c r="F68" s="17"/>
      <c r="G68" s="17"/>
      <c r="H68" s="16">
        <v>341.9</v>
      </c>
      <c r="I68" s="16">
        <v>287.5</v>
      </c>
      <c r="J68" s="16">
        <v>315.7</v>
      </c>
    </row>
    <row r="69" spans="1:10" ht="15" customHeight="1" x14ac:dyDescent="0.35">
      <c r="A69" s="21" t="s">
        <v>393</v>
      </c>
      <c r="B69" s="17"/>
      <c r="C69" s="17"/>
      <c r="D69" s="17"/>
      <c r="E69" s="17"/>
      <c r="F69" s="17"/>
      <c r="G69" s="17"/>
      <c r="H69" s="17"/>
      <c r="I69" s="15">
        <v>1.8</v>
      </c>
      <c r="J69" s="19">
        <v>-1.6</v>
      </c>
    </row>
    <row r="70" spans="1:10" ht="15" customHeight="1" x14ac:dyDescent="0.35">
      <c r="A70" s="25" t="s">
        <v>394</v>
      </c>
      <c r="B70" s="26">
        <v>195.6</v>
      </c>
      <c r="C70" s="32">
        <v>-3011.4</v>
      </c>
      <c r="D70" s="32">
        <v>-2463.3000000000002</v>
      </c>
      <c r="E70" s="32">
        <v>-264.7</v>
      </c>
      <c r="F70" s="26">
        <v>529.4</v>
      </c>
      <c r="G70" s="32">
        <v>-5214.6000000000004</v>
      </c>
      <c r="H70" s="26">
        <v>6214.5</v>
      </c>
      <c r="I70" s="27">
        <v>15104.8</v>
      </c>
      <c r="J70" s="27">
        <v>33429.4</v>
      </c>
    </row>
    <row r="71" spans="1:10" ht="15" customHeight="1" x14ac:dyDescent="0.35">
      <c r="A71" s="22" t="s">
        <v>395</v>
      </c>
      <c r="B71" s="23"/>
      <c r="C71" s="23"/>
      <c r="D71" s="23"/>
      <c r="E71" s="23"/>
      <c r="F71" s="23"/>
      <c r="G71" s="23"/>
      <c r="H71" s="23"/>
      <c r="I71" s="23"/>
      <c r="J71" s="23"/>
    </row>
    <row r="72" spans="1:10" ht="15" customHeight="1" x14ac:dyDescent="0.35">
      <c r="A72" s="25" t="s">
        <v>396</v>
      </c>
      <c r="B72" s="26">
        <v>735.2</v>
      </c>
      <c r="C72" s="32">
        <v>-213.6</v>
      </c>
      <c r="D72" s="32">
        <v>-557.29999999999995</v>
      </c>
      <c r="E72" s="26">
        <v>942.2</v>
      </c>
      <c r="F72" s="26">
        <v>564.4</v>
      </c>
      <c r="G72" s="27">
        <v>17070.400000000001</v>
      </c>
      <c r="H72" s="31">
        <v>-13421.1</v>
      </c>
      <c r="I72" s="32">
        <v>-2326.5</v>
      </c>
      <c r="J72" s="26">
        <v>4642.3999999999996</v>
      </c>
    </row>
    <row r="73" spans="1:10" ht="15" customHeight="1" x14ac:dyDescent="0.35">
      <c r="A73" s="13" t="s">
        <v>397</v>
      </c>
      <c r="B73" s="16">
        <v>735.2</v>
      </c>
      <c r="C73" s="18">
        <v>-213.6</v>
      </c>
      <c r="D73" s="18">
        <v>-557.29999999999995</v>
      </c>
      <c r="E73" s="16">
        <v>942.2</v>
      </c>
      <c r="F73" s="16">
        <v>564.4</v>
      </c>
      <c r="G73" s="17">
        <v>17070.400000000001</v>
      </c>
      <c r="H73" s="30">
        <v>-13421.1</v>
      </c>
      <c r="I73" s="18">
        <v>-2326.5</v>
      </c>
      <c r="J73" s="16">
        <v>4642.3999999999996</v>
      </c>
    </row>
    <row r="74" spans="1:10" ht="15" customHeight="1" x14ac:dyDescent="0.35">
      <c r="A74" s="21" t="s">
        <v>398</v>
      </c>
      <c r="B74" s="16">
        <v>299.8</v>
      </c>
      <c r="C74" s="16">
        <v>1035</v>
      </c>
      <c r="D74" s="16">
        <v>821.4</v>
      </c>
      <c r="E74" s="16">
        <v>264.10000000000002</v>
      </c>
      <c r="F74" s="16">
        <v>1206.3</v>
      </c>
      <c r="G74" s="16">
        <v>1770.7</v>
      </c>
      <c r="H74" s="17">
        <v>18841.099999999999</v>
      </c>
      <c r="I74" s="16">
        <v>5420</v>
      </c>
      <c r="J74" s="16">
        <v>3093.5</v>
      </c>
    </row>
    <row r="75" spans="1:10" ht="15" customHeight="1" x14ac:dyDescent="0.35">
      <c r="A75" s="21" t="s">
        <v>399</v>
      </c>
      <c r="B75" s="16">
        <v>1035</v>
      </c>
      <c r="C75" s="16">
        <v>821.4</v>
      </c>
      <c r="D75" s="16">
        <v>264.10000000000002</v>
      </c>
      <c r="E75" s="16">
        <v>1206.3</v>
      </c>
      <c r="F75" s="16">
        <v>1770.7</v>
      </c>
      <c r="G75" s="17">
        <v>18841.099999999999</v>
      </c>
      <c r="H75" s="16">
        <v>5420</v>
      </c>
      <c r="I75" s="16">
        <v>3093.5</v>
      </c>
      <c r="J75" s="16">
        <v>7735.9</v>
      </c>
    </row>
    <row r="76" spans="1:10" ht="15" customHeight="1" x14ac:dyDescent="0.35">
      <c r="A76" s="22" t="s">
        <v>400</v>
      </c>
      <c r="B76" s="23"/>
      <c r="C76" s="23"/>
      <c r="D76" s="23"/>
      <c r="E76" s="23"/>
      <c r="F76" s="23"/>
      <c r="G76" s="23"/>
      <c r="H76" s="23"/>
      <c r="I76" s="23"/>
      <c r="J76" s="23"/>
    </row>
    <row r="77" spans="1:10" ht="15" customHeight="1" x14ac:dyDescent="0.35">
      <c r="A77" s="21" t="s">
        <v>401</v>
      </c>
      <c r="B77" s="16">
        <v>531</v>
      </c>
      <c r="C77" s="16">
        <v>1578.6</v>
      </c>
      <c r="D77" s="16">
        <v>1553.3</v>
      </c>
      <c r="E77" s="16">
        <v>1986.1</v>
      </c>
      <c r="F77" s="16">
        <v>3221.1</v>
      </c>
      <c r="G77" s="16">
        <v>2925.2</v>
      </c>
      <c r="H77" s="16">
        <v>2051.3000000000002</v>
      </c>
      <c r="I77" s="16">
        <v>3285</v>
      </c>
      <c r="J77" s="16">
        <v>4627.5</v>
      </c>
    </row>
    <row r="78" spans="1:10" ht="15" customHeight="1" x14ac:dyDescent="0.35">
      <c r="A78" s="21" t="s">
        <v>402</v>
      </c>
      <c r="B78" s="16">
        <v>238.5</v>
      </c>
      <c r="C78" s="16">
        <v>303.5</v>
      </c>
      <c r="D78" s="16">
        <v>251.2</v>
      </c>
      <c r="E78" s="16">
        <v>276.7</v>
      </c>
      <c r="F78" s="16">
        <v>465.9</v>
      </c>
      <c r="G78" s="16">
        <v>400.2</v>
      </c>
      <c r="H78" s="16">
        <v>626.29999999999995</v>
      </c>
      <c r="I78" s="16">
        <v>934.6</v>
      </c>
      <c r="J78" s="16">
        <v>2124.8000000000002</v>
      </c>
    </row>
    <row r="79" spans="1:10" ht="15" customHeight="1" x14ac:dyDescent="0.35">
      <c r="A79" s="21" t="s">
        <v>403</v>
      </c>
      <c r="B79" s="17"/>
      <c r="C79" s="17"/>
      <c r="D79" s="17"/>
      <c r="E79" s="17"/>
      <c r="F79" s="15">
        <v>0.3</v>
      </c>
      <c r="G79" s="15">
        <v>0.4</v>
      </c>
      <c r="H79" s="15">
        <v>0.3</v>
      </c>
      <c r="I79" s="15">
        <v>0.2</v>
      </c>
      <c r="J79" s="15">
        <v>0.2</v>
      </c>
    </row>
    <row r="80" spans="1:10" ht="15" customHeight="1" x14ac:dyDescent="0.35">
      <c r="A80" s="21" t="s">
        <v>404</v>
      </c>
      <c r="B80" s="16">
        <v>1277.0999999999999</v>
      </c>
      <c r="C80" s="16">
        <v>3307.9</v>
      </c>
      <c r="D80" s="16">
        <v>2621</v>
      </c>
      <c r="E80" s="16">
        <v>3671</v>
      </c>
      <c r="F80" s="16">
        <v>6104</v>
      </c>
      <c r="G80" s="16">
        <v>5338.6</v>
      </c>
      <c r="H80" s="16">
        <v>6995.9</v>
      </c>
      <c r="I80" s="17">
        <v>12814.5</v>
      </c>
      <c r="J80" s="17">
        <v>17077.900000000001</v>
      </c>
    </row>
    <row r="81" spans="1:10" ht="15" customHeight="1" x14ac:dyDescent="0.35">
      <c r="A81" s="21" t="s">
        <v>405</v>
      </c>
      <c r="B81" s="16">
        <v>134.80000000000001</v>
      </c>
      <c r="C81" s="16">
        <v>163</v>
      </c>
      <c r="D81" s="16">
        <v>159.6</v>
      </c>
      <c r="E81" s="16">
        <v>154.80000000000001</v>
      </c>
      <c r="F81" s="16">
        <v>153</v>
      </c>
      <c r="G81" s="16">
        <v>149.5</v>
      </c>
      <c r="H81" s="16">
        <v>614</v>
      </c>
      <c r="I81" s="16">
        <v>541.79999999999995</v>
      </c>
      <c r="J81" s="16">
        <v>625.29999999999995</v>
      </c>
    </row>
    <row r="82" spans="1:10" ht="15" customHeight="1" x14ac:dyDescent="0.35">
      <c r="A82" s="21" t="s">
        <v>406</v>
      </c>
      <c r="B82" s="16">
        <v>2511.8000000000002</v>
      </c>
      <c r="C82" s="16">
        <v>803.7</v>
      </c>
      <c r="D82" s="16">
        <v>1369.3</v>
      </c>
      <c r="E82" s="16">
        <v>3448.1</v>
      </c>
      <c r="F82" s="16">
        <v>2782.8</v>
      </c>
      <c r="G82" s="17">
        <v>20021.5</v>
      </c>
      <c r="H82" s="18">
        <v>-9556.4</v>
      </c>
      <c r="I82" s="16">
        <v>2405.3000000000002</v>
      </c>
      <c r="J82" s="17">
        <v>12569.8</v>
      </c>
    </row>
    <row r="83" spans="1:10" ht="15" customHeight="1" x14ac:dyDescent="0.35">
      <c r="A83" s="21" t="s">
        <v>407</v>
      </c>
      <c r="B83" s="16">
        <v>1263</v>
      </c>
      <c r="C83" s="18">
        <v>-395.7</v>
      </c>
      <c r="D83" s="19">
        <v>-28</v>
      </c>
      <c r="E83" s="18">
        <v>-1273.0999999999999</v>
      </c>
      <c r="F83" s="18">
        <v>-2202.1999999999998</v>
      </c>
      <c r="G83" s="17">
        <v>19315.900000000001</v>
      </c>
      <c r="H83" s="30">
        <v>-23508</v>
      </c>
      <c r="I83" s="30">
        <v>-22188.5</v>
      </c>
      <c r="J83" s="30">
        <v>-36724.199999999997</v>
      </c>
    </row>
    <row r="84" spans="1:10" ht="15" customHeight="1" x14ac:dyDescent="0.35">
      <c r="A84" s="21" t="s">
        <v>408</v>
      </c>
      <c r="B84" s="16">
        <v>1539.6</v>
      </c>
      <c r="C84" s="16">
        <v>1709.7</v>
      </c>
      <c r="D84" s="16">
        <v>1898.6</v>
      </c>
      <c r="E84" s="16">
        <v>1217.0999999999999</v>
      </c>
      <c r="F84" s="15">
        <v>21.9</v>
      </c>
      <c r="G84" s="17">
        <v>22267</v>
      </c>
      <c r="H84" s="30">
        <v>-19643.3</v>
      </c>
      <c r="I84" s="30">
        <v>-17436.400000000001</v>
      </c>
      <c r="J84" s="30">
        <v>-28740.2</v>
      </c>
    </row>
    <row r="85" spans="1:10" ht="15" customHeight="1" x14ac:dyDescent="0.35">
      <c r="A85" s="21" t="s">
        <v>409</v>
      </c>
      <c r="B85" s="17">
        <v>0</v>
      </c>
      <c r="C85" s="17">
        <v>0</v>
      </c>
      <c r="D85" s="17">
        <v>0</v>
      </c>
      <c r="E85" s="17">
        <v>0</v>
      </c>
      <c r="F85" s="16">
        <v>1514.6</v>
      </c>
      <c r="G85" s="16">
        <v>1836.3</v>
      </c>
      <c r="H85" s="16">
        <v>3544</v>
      </c>
      <c r="I85" s="17"/>
      <c r="J85" s="17"/>
    </row>
  </sheetData>
  <mergeCells count="27">
    <mergeCell ref="G11"/>
    <mergeCell ref="H11"/>
    <mergeCell ref="I11"/>
    <mergeCell ref="J11"/>
    <mergeCell ref="B12"/>
    <mergeCell ref="E12"/>
    <mergeCell ref="H12"/>
    <mergeCell ref="B11"/>
    <mergeCell ref="C11"/>
    <mergeCell ref="D11"/>
    <mergeCell ref="E11"/>
    <mergeCell ref="F11"/>
    <mergeCell ref="B13"/>
    <mergeCell ref="C12"/>
    <mergeCell ref="C13"/>
    <mergeCell ref="D12"/>
    <mergeCell ref="D13"/>
    <mergeCell ref="E13"/>
    <mergeCell ref="F12"/>
    <mergeCell ref="F13"/>
    <mergeCell ref="G12"/>
    <mergeCell ref="G13"/>
    <mergeCell ref="H13"/>
    <mergeCell ref="I12"/>
    <mergeCell ref="I13"/>
    <mergeCell ref="J12"/>
    <mergeCell ref="J13"/>
  </mergeCells>
  <hyperlinks>
    <hyperlink ref="G1" location="Contents!A1" display="Back to contents" xr:uid="{55C34602-41AF-EE47-B4FF-DA91206BBB22}"/>
  </hyperlinks>
  <pageMargins left="0.5" right="0.5" top="1" bottom="1" header="0.5" footer="0.75"/>
  <pageSetup scale="42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0F62-F142-044A-ACB1-06F3B5468FB5}">
  <sheetPr>
    <tabColor theme="4" tint="0.39997558519241921"/>
  </sheetPr>
  <dimension ref="A2:N31"/>
  <sheetViews>
    <sheetView zoomScale="125" zoomScaleNormal="100" workbookViewId="0">
      <selection activeCell="B18" sqref="B18"/>
    </sheetView>
  </sheetViews>
  <sheetFormatPr defaultColWidth="10.90625" defaultRowHeight="14.5" x14ac:dyDescent="0.35"/>
  <cols>
    <col min="1" max="1" width="3.453125" customWidth="1"/>
    <col min="2" max="2" width="36.6328125" customWidth="1"/>
    <col min="5" max="5" width="14.6328125" customWidth="1"/>
    <col min="6" max="6" width="16.453125" customWidth="1"/>
    <col min="7" max="7" width="16.81640625" customWidth="1"/>
    <col min="13" max="13" width="16.1796875" customWidth="1"/>
    <col min="14" max="14" width="12.36328125" customWidth="1"/>
  </cols>
  <sheetData>
    <row r="2" spans="1:14" ht="29" thickBot="1" x14ac:dyDescent="0.7">
      <c r="B2" s="70" t="s">
        <v>2</v>
      </c>
      <c r="C2" s="102"/>
      <c r="D2" s="102"/>
      <c r="E2" s="102"/>
      <c r="F2" s="102"/>
      <c r="G2" s="104"/>
      <c r="H2" s="104"/>
      <c r="I2" s="104"/>
      <c r="J2" s="104" t="s">
        <v>550</v>
      </c>
    </row>
    <row r="3" spans="1:14" ht="15" thickBot="1" x14ac:dyDescent="0.4"/>
    <row r="4" spans="1:14" x14ac:dyDescent="0.35">
      <c r="B4" s="243" t="s">
        <v>712</v>
      </c>
      <c r="C4" s="233" t="s">
        <v>573</v>
      </c>
      <c r="D4" s="233" t="s">
        <v>574</v>
      </c>
      <c r="E4" s="233" t="s">
        <v>575</v>
      </c>
      <c r="F4" s="233" t="s">
        <v>576</v>
      </c>
      <c r="G4" s="233" t="s">
        <v>551</v>
      </c>
      <c r="H4" s="233" t="s">
        <v>577</v>
      </c>
      <c r="I4" s="233" t="s">
        <v>578</v>
      </c>
      <c r="J4" s="233" t="s">
        <v>579</v>
      </c>
      <c r="K4" s="234" t="s">
        <v>580</v>
      </c>
      <c r="L4" s="235" t="s">
        <v>581</v>
      </c>
      <c r="M4" s="233" t="s">
        <v>730</v>
      </c>
      <c r="N4" s="235" t="s">
        <v>731</v>
      </c>
    </row>
    <row r="5" spans="1:14" x14ac:dyDescent="0.35">
      <c r="A5" s="185" t="s">
        <v>719</v>
      </c>
      <c r="B5" s="212" t="s">
        <v>713</v>
      </c>
      <c r="C5" s="75"/>
      <c r="D5" s="75"/>
      <c r="E5" s="75"/>
      <c r="F5" s="75"/>
      <c r="G5" s="75"/>
      <c r="H5" s="355"/>
      <c r="I5" s="355"/>
      <c r="J5" s="355"/>
      <c r="K5" s="355"/>
      <c r="L5" s="391"/>
      <c r="M5" s="71"/>
      <c r="N5" s="211"/>
    </row>
    <row r="6" spans="1:14" x14ac:dyDescent="0.35">
      <c r="A6" s="185" t="s">
        <v>720</v>
      </c>
      <c r="B6" s="197" t="s">
        <v>714</v>
      </c>
      <c r="C6" s="191">
        <v>969.9</v>
      </c>
      <c r="D6" s="191">
        <v>1087</v>
      </c>
      <c r="E6" s="191">
        <v>1484</v>
      </c>
      <c r="F6" s="191">
        <v>1978.9</v>
      </c>
      <c r="G6" s="389" t="s">
        <v>729</v>
      </c>
      <c r="H6" s="190">
        <f>F6*(1+N6)</f>
        <v>2275.7350000000001</v>
      </c>
      <c r="I6" s="190">
        <f>H6*(1+$N$6)</f>
        <v>2617.0952499999999</v>
      </c>
      <c r="J6" s="190">
        <f t="shared" ref="J6:L6" si="0">I6*(1+$N$6)</f>
        <v>3009.6595374999997</v>
      </c>
      <c r="K6" s="190">
        <f t="shared" si="0"/>
        <v>3461.1084681249995</v>
      </c>
      <c r="L6" s="245">
        <f t="shared" si="0"/>
        <v>3980.274738343749</v>
      </c>
      <c r="M6" s="356">
        <f>_xlfn.RRI(3,C6,F6)</f>
        <v>0.26833009165451105</v>
      </c>
      <c r="N6" s="372">
        <v>0.15</v>
      </c>
    </row>
    <row r="7" spans="1:14" x14ac:dyDescent="0.35">
      <c r="A7" s="185" t="s">
        <v>721</v>
      </c>
      <c r="B7" s="197" t="s">
        <v>715</v>
      </c>
      <c r="C7" s="191">
        <v>769.6</v>
      </c>
      <c r="D7" s="191">
        <v>970.5</v>
      </c>
      <c r="E7" s="191">
        <v>1710.4</v>
      </c>
      <c r="F7" s="191">
        <v>5016.7</v>
      </c>
      <c r="G7" s="389" t="s">
        <v>729</v>
      </c>
      <c r="H7" s="190">
        <f>F7*(1+N7)</f>
        <v>5518.37</v>
      </c>
      <c r="I7" s="390">
        <f>H7*(1+$N$7)</f>
        <v>6070.2070000000003</v>
      </c>
      <c r="J7" s="390">
        <f>I7*(1+$N$6)</f>
        <v>6980.7380499999999</v>
      </c>
      <c r="K7" s="390">
        <f>J7*(1+$N$6)</f>
        <v>8027.848757499999</v>
      </c>
      <c r="L7" s="392">
        <f>K7*(1+$N$6)</f>
        <v>9232.0260711249975</v>
      </c>
      <c r="M7" s="356">
        <f t="shared" ref="M7:M9" si="1">_xlfn.RRI(3,C7,F7)</f>
        <v>0.86803219664829157</v>
      </c>
      <c r="N7" s="372">
        <v>0.1</v>
      </c>
    </row>
    <row r="8" spans="1:14" x14ac:dyDescent="0.35">
      <c r="A8" s="185" t="s">
        <v>722</v>
      </c>
      <c r="B8" s="197" t="s">
        <v>716</v>
      </c>
      <c r="C8" s="191">
        <v>0.2</v>
      </c>
      <c r="D8" s="191">
        <v>0.2</v>
      </c>
      <c r="E8" s="191">
        <v>0.2</v>
      </c>
      <c r="F8" s="191">
        <v>0.1</v>
      </c>
      <c r="G8" s="389" t="s">
        <v>729</v>
      </c>
      <c r="H8" s="190">
        <f>$F$8</f>
        <v>0.1</v>
      </c>
      <c r="I8" s="190">
        <f t="shared" ref="I8:L8" si="2">$F$8</f>
        <v>0.1</v>
      </c>
      <c r="J8" s="190">
        <f t="shared" si="2"/>
        <v>0.1</v>
      </c>
      <c r="K8" s="190">
        <f t="shared" si="2"/>
        <v>0.1</v>
      </c>
      <c r="L8" s="245">
        <f t="shared" si="2"/>
        <v>0.1</v>
      </c>
      <c r="M8" s="356">
        <f t="shared" si="1"/>
        <v>-0.20629947401590021</v>
      </c>
      <c r="N8" s="373"/>
    </row>
    <row r="9" spans="1:14" ht="15" thickBot="1" x14ac:dyDescent="0.4">
      <c r="A9" s="187" t="s">
        <v>723</v>
      </c>
      <c r="B9" s="357" t="s">
        <v>717</v>
      </c>
      <c r="C9" s="188">
        <v>52.3</v>
      </c>
      <c r="D9" s="188">
        <v>292.3</v>
      </c>
      <c r="E9" s="188">
        <v>254.1</v>
      </c>
      <c r="F9" s="188">
        <v>189.4</v>
      </c>
      <c r="G9" s="201" t="s">
        <v>729</v>
      </c>
      <c r="H9" s="189">
        <f>F9*(1+6%)^2</f>
        <v>212.80984000000004</v>
      </c>
      <c r="I9" s="189">
        <f>H9*(1+6%)</f>
        <v>225.57843040000006</v>
      </c>
      <c r="J9" s="189">
        <f>I9*(1+6%)</f>
        <v>239.11313622400007</v>
      </c>
      <c r="K9" s="189">
        <f>J9*(1+6%)</f>
        <v>253.45992439744009</v>
      </c>
      <c r="L9" s="246">
        <f t="shared" ref="L9" si="3">K9*(1+6%)</f>
        <v>268.66751986128651</v>
      </c>
      <c r="M9" s="356">
        <f t="shared" si="1"/>
        <v>0.53565183108450376</v>
      </c>
      <c r="N9" s="373" t="s">
        <v>732</v>
      </c>
    </row>
    <row r="10" spans="1:14" x14ac:dyDescent="0.35">
      <c r="A10" s="185"/>
      <c r="B10" s="212" t="s">
        <v>718</v>
      </c>
      <c r="C10" s="191">
        <f>SUM(C6:C9)</f>
        <v>1792</v>
      </c>
      <c r="D10" s="191">
        <f t="shared" ref="D10:F10" si="4">SUM(D6:D9)</f>
        <v>2350</v>
      </c>
      <c r="E10" s="191">
        <f t="shared" si="4"/>
        <v>3448.7</v>
      </c>
      <c r="F10" s="191">
        <f t="shared" si="4"/>
        <v>7185.1</v>
      </c>
      <c r="G10" s="191">
        <v>10015.4</v>
      </c>
      <c r="H10" s="190">
        <f>SUM(H6:H9)</f>
        <v>8007.0148399999998</v>
      </c>
      <c r="I10" s="190">
        <f t="shared" ref="I10:L10" si="5">SUM(I6:I9)</f>
        <v>8912.9806804000018</v>
      </c>
      <c r="J10" s="190">
        <f t="shared" si="5"/>
        <v>10229.610723723999</v>
      </c>
      <c r="K10" s="190">
        <f t="shared" si="5"/>
        <v>11742.517150022441</v>
      </c>
      <c r="L10" s="245">
        <f t="shared" si="5"/>
        <v>13481.068329330034</v>
      </c>
      <c r="M10" s="356"/>
      <c r="N10" s="373"/>
    </row>
    <row r="11" spans="1:14" x14ac:dyDescent="0.35">
      <c r="A11" s="186" t="s">
        <v>724</v>
      </c>
      <c r="B11" s="212" t="s">
        <v>725</v>
      </c>
      <c r="C11" s="191"/>
      <c r="D11" s="191"/>
      <c r="E11" s="191"/>
      <c r="F11" s="191"/>
      <c r="G11" s="191"/>
      <c r="H11" s="190"/>
      <c r="I11" s="190"/>
      <c r="J11" s="190"/>
      <c r="K11" s="190"/>
      <c r="L11" s="245"/>
      <c r="M11" s="356"/>
      <c r="N11" s="373"/>
    </row>
    <row r="12" spans="1:14" x14ac:dyDescent="0.35">
      <c r="A12" s="185"/>
      <c r="B12" s="197" t="s">
        <v>726</v>
      </c>
      <c r="C12" s="191">
        <v>9328</v>
      </c>
      <c r="D12" s="191">
        <v>9476</v>
      </c>
      <c r="E12" s="191">
        <v>15045</v>
      </c>
      <c r="F12" s="191">
        <v>15525.9</v>
      </c>
      <c r="G12" s="191">
        <v>12563</v>
      </c>
      <c r="H12" s="190">
        <f>G12*(1+$N12)</f>
        <v>13316.78</v>
      </c>
      <c r="I12" s="190">
        <f t="shared" ref="I12:L12" si="6">H12*(1+$N12)</f>
        <v>14115.786800000002</v>
      </c>
      <c r="J12" s="190">
        <f t="shared" si="6"/>
        <v>14962.734008000003</v>
      </c>
      <c r="K12" s="190">
        <f t="shared" si="6"/>
        <v>15860.498048480003</v>
      </c>
      <c r="L12" s="245">
        <f t="shared" si="6"/>
        <v>16812.127931388804</v>
      </c>
      <c r="M12" s="356">
        <f>_xlfn.RRI(4,C12,G12)</f>
        <v>7.7274067746386788E-2</v>
      </c>
      <c r="N12" s="372">
        <v>0.06</v>
      </c>
    </row>
    <row r="13" spans="1:14" x14ac:dyDescent="0.35">
      <c r="A13" s="185"/>
      <c r="B13" s="197" t="s">
        <v>565</v>
      </c>
      <c r="C13" s="191">
        <v>5733</v>
      </c>
      <c r="D13" s="191">
        <v>5218</v>
      </c>
      <c r="E13" s="191">
        <v>6961</v>
      </c>
      <c r="F13" s="191">
        <v>11016.8</v>
      </c>
      <c r="G13" s="191">
        <v>10674.4</v>
      </c>
      <c r="H13" s="190">
        <f>G13*(1+$N13)</f>
        <v>12275.56</v>
      </c>
      <c r="I13" s="190">
        <f t="shared" ref="I13:K13" si="7">H13*(1+$N13)</f>
        <v>14116.893999999998</v>
      </c>
      <c r="J13" s="190">
        <f t="shared" si="7"/>
        <v>16234.428099999997</v>
      </c>
      <c r="K13" s="190">
        <f t="shared" si="7"/>
        <v>18669.592314999994</v>
      </c>
      <c r="L13" s="245">
        <f>K13*(1+$N13)</f>
        <v>21470.03116224999</v>
      </c>
      <c r="M13" s="356">
        <f t="shared" ref="M13:M15" si="8">_xlfn.RRI(4,C13,G13)</f>
        <v>0.16812786208762298</v>
      </c>
      <c r="N13" s="372">
        <v>0.15</v>
      </c>
    </row>
    <row r="14" spans="1:14" x14ac:dyDescent="0.35">
      <c r="A14" s="186" t="s">
        <v>727</v>
      </c>
      <c r="B14" s="212" t="s">
        <v>68</v>
      </c>
      <c r="C14" s="191">
        <v>166</v>
      </c>
      <c r="D14" s="191">
        <v>-33.1</v>
      </c>
      <c r="E14" s="191">
        <v>386.4</v>
      </c>
      <c r="F14" s="191">
        <v>588.70000000000005</v>
      </c>
      <c r="G14" s="191">
        <v>889</v>
      </c>
      <c r="H14" s="190">
        <f>G14*(1+6%)</f>
        <v>942.34</v>
      </c>
      <c r="I14" s="190">
        <f t="shared" ref="I14:L14" si="9">H14*(1+6%)</f>
        <v>998.88040000000012</v>
      </c>
      <c r="J14" s="190">
        <f t="shared" si="9"/>
        <v>1058.8132240000002</v>
      </c>
      <c r="K14" s="190">
        <f t="shared" si="9"/>
        <v>1122.3420174400003</v>
      </c>
      <c r="L14" s="245">
        <f t="shared" si="9"/>
        <v>1189.6825384864003</v>
      </c>
      <c r="M14" s="356">
        <f t="shared" si="8"/>
        <v>0.52124238839863524</v>
      </c>
      <c r="N14" s="373" t="s">
        <v>732</v>
      </c>
    </row>
    <row r="15" spans="1:14" ht="15" thickBot="1" x14ac:dyDescent="0.4">
      <c r="A15" s="186" t="s">
        <v>728</v>
      </c>
      <c r="B15" s="212" t="s">
        <v>554</v>
      </c>
      <c r="C15" s="188">
        <f>'Income Statement'!G35</f>
        <v>44.7</v>
      </c>
      <c r="D15" s="188">
        <f>'Income Statement'!H35</f>
        <v>61.8</v>
      </c>
      <c r="E15" s="188">
        <f>'Income Statement'!I35</f>
        <v>78.2</v>
      </c>
      <c r="F15" s="188">
        <f>'Income Statement'!J35</f>
        <v>110.5</v>
      </c>
      <c r="G15" s="188">
        <v>15.7</v>
      </c>
      <c r="H15" s="189">
        <f>G15</f>
        <v>15.7</v>
      </c>
      <c r="I15" s="189">
        <f t="shared" ref="I15:L15" si="10">H15</f>
        <v>15.7</v>
      </c>
      <c r="J15" s="189">
        <f t="shared" si="10"/>
        <v>15.7</v>
      </c>
      <c r="K15" s="189">
        <f t="shared" si="10"/>
        <v>15.7</v>
      </c>
      <c r="L15" s="246">
        <f t="shared" si="10"/>
        <v>15.7</v>
      </c>
      <c r="M15" s="356">
        <f t="shared" si="8"/>
        <v>-0.23016432601313319</v>
      </c>
      <c r="N15" s="373" t="s">
        <v>733</v>
      </c>
    </row>
    <row r="16" spans="1:14" ht="15" thickBot="1" x14ac:dyDescent="0.4">
      <c r="A16" s="185"/>
      <c r="B16" s="198"/>
      <c r="C16" s="188">
        <f t="shared" ref="C16:L16" si="11">C10+C12+C13+C14+C15</f>
        <v>17063.7</v>
      </c>
      <c r="D16" s="188">
        <f t="shared" si="11"/>
        <v>17072.7</v>
      </c>
      <c r="E16" s="188">
        <f t="shared" si="11"/>
        <v>25919.300000000003</v>
      </c>
      <c r="F16" s="188">
        <f t="shared" si="11"/>
        <v>34427</v>
      </c>
      <c r="G16" s="188">
        <f t="shared" si="11"/>
        <v>34157.5</v>
      </c>
      <c r="H16" s="189">
        <f t="shared" si="11"/>
        <v>34557.394839999994</v>
      </c>
      <c r="I16" s="189">
        <f t="shared" si="11"/>
        <v>38160.241880400004</v>
      </c>
      <c r="J16" s="189">
        <f t="shared" si="11"/>
        <v>42501.286055723991</v>
      </c>
      <c r="K16" s="189">
        <f t="shared" si="11"/>
        <v>47410.649530942435</v>
      </c>
      <c r="L16" s="246">
        <f t="shared" si="11"/>
        <v>52968.609961455229</v>
      </c>
      <c r="M16" s="67"/>
      <c r="N16" s="358"/>
    </row>
    <row r="17" spans="1:7" x14ac:dyDescent="0.35">
      <c r="A17" s="185"/>
    </row>
    <row r="18" spans="1:7" x14ac:dyDescent="0.35">
      <c r="A18" s="185"/>
      <c r="B18" s="426" t="s">
        <v>914</v>
      </c>
    </row>
    <row r="19" spans="1:7" x14ac:dyDescent="0.35">
      <c r="A19" s="185" t="s">
        <v>719</v>
      </c>
      <c r="B19" s="212" t="s">
        <v>889</v>
      </c>
    </row>
    <row r="20" spans="1:7" x14ac:dyDescent="0.35">
      <c r="A20" s="185" t="s">
        <v>720</v>
      </c>
      <c r="B20" s="197" t="s">
        <v>714</v>
      </c>
      <c r="C20" t="s">
        <v>890</v>
      </c>
    </row>
    <row r="21" spans="1:7" x14ac:dyDescent="0.35">
      <c r="A21" s="185" t="s">
        <v>721</v>
      </c>
      <c r="B21" s="197" t="s">
        <v>715</v>
      </c>
      <c r="C21" t="s">
        <v>891</v>
      </c>
    </row>
    <row r="22" spans="1:7" x14ac:dyDescent="0.35">
      <c r="A22" s="185" t="s">
        <v>722</v>
      </c>
      <c r="B22" s="197" t="s">
        <v>716</v>
      </c>
      <c r="C22" t="s">
        <v>892</v>
      </c>
    </row>
    <row r="23" spans="1:7" x14ac:dyDescent="0.35">
      <c r="A23" s="187" t="s">
        <v>723</v>
      </c>
      <c r="B23" s="357" t="s">
        <v>717</v>
      </c>
      <c r="C23" t="s">
        <v>893</v>
      </c>
    </row>
    <row r="24" spans="1:7" x14ac:dyDescent="0.35">
      <c r="A24" s="185"/>
    </row>
    <row r="25" spans="1:7" x14ac:dyDescent="0.35">
      <c r="A25" s="186" t="s">
        <v>724</v>
      </c>
      <c r="B25" s="212" t="s">
        <v>725</v>
      </c>
    </row>
    <row r="26" spans="1:7" x14ac:dyDescent="0.35">
      <c r="A26" s="185"/>
      <c r="B26" s="197" t="s">
        <v>726</v>
      </c>
      <c r="C26" t="s">
        <v>894</v>
      </c>
    </row>
    <row r="27" spans="1:7" x14ac:dyDescent="0.35">
      <c r="A27" s="185"/>
      <c r="B27" s="197" t="s">
        <v>565</v>
      </c>
      <c r="C27" t="s">
        <v>895</v>
      </c>
    </row>
    <row r="28" spans="1:7" x14ac:dyDescent="0.35">
      <c r="C28" t="s">
        <v>896</v>
      </c>
    </row>
    <row r="30" spans="1:7" x14ac:dyDescent="0.35">
      <c r="A30" s="186" t="s">
        <v>727</v>
      </c>
      <c r="B30" s="212" t="s">
        <v>68</v>
      </c>
      <c r="C30" t="s">
        <v>897</v>
      </c>
      <c r="G30" t="s">
        <v>898</v>
      </c>
    </row>
    <row r="31" spans="1:7" x14ac:dyDescent="0.35">
      <c r="A31" s="186" t="s">
        <v>728</v>
      </c>
      <c r="B31" s="212" t="s">
        <v>554</v>
      </c>
      <c r="C31" t="s">
        <v>899</v>
      </c>
      <c r="F31" t="s">
        <v>900</v>
      </c>
    </row>
  </sheetData>
  <hyperlinks>
    <hyperlink ref="J2" location="Contents!A1" display="Back to contents" xr:uid="{D84FE71F-9521-E045-9EC1-6BBDC0CC73E4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ADAB-6FB7-A948-8275-315448732D16}">
  <sheetPr>
    <tabColor theme="4" tint="0.39997558519241921"/>
  </sheetPr>
  <dimension ref="B2:O1048576"/>
  <sheetViews>
    <sheetView zoomScale="112" workbookViewId="0">
      <selection activeCell="B20" sqref="B20"/>
    </sheetView>
  </sheetViews>
  <sheetFormatPr defaultColWidth="10.90625" defaultRowHeight="14.5" x14ac:dyDescent="0.35"/>
  <cols>
    <col min="1" max="1" width="5.36328125" customWidth="1"/>
    <col min="2" max="2" width="30.36328125" customWidth="1"/>
    <col min="3" max="3" width="11.1796875" bestFit="1" customWidth="1"/>
    <col min="13" max="13" width="15.6328125" customWidth="1"/>
    <col min="14" max="14" width="15.1796875" customWidth="1"/>
  </cols>
  <sheetData>
    <row r="2" spans="2:15" ht="29" thickBot="1" x14ac:dyDescent="0.7">
      <c r="B2" s="70" t="s">
        <v>2</v>
      </c>
      <c r="C2" s="102"/>
      <c r="D2" s="102"/>
      <c r="E2" s="102"/>
      <c r="F2" s="102"/>
      <c r="G2" s="104"/>
      <c r="H2" s="104"/>
      <c r="I2" s="104"/>
      <c r="J2" s="104" t="s">
        <v>550</v>
      </c>
    </row>
    <row r="3" spans="2:15" ht="15" thickBot="1" x14ac:dyDescent="0.4"/>
    <row r="4" spans="2:15" x14ac:dyDescent="0.35">
      <c r="B4" s="243" t="s">
        <v>734</v>
      </c>
      <c r="C4" s="233" t="s">
        <v>573</v>
      </c>
      <c r="D4" s="233" t="s">
        <v>574</v>
      </c>
      <c r="E4" s="233" t="s">
        <v>575</v>
      </c>
      <c r="F4" s="233" t="s">
        <v>576</v>
      </c>
      <c r="G4" s="233" t="s">
        <v>551</v>
      </c>
      <c r="H4" s="233" t="s">
        <v>577</v>
      </c>
      <c r="I4" s="233" t="s">
        <v>578</v>
      </c>
      <c r="J4" s="233" t="s">
        <v>579</v>
      </c>
      <c r="K4" s="234" t="s">
        <v>580</v>
      </c>
      <c r="L4" s="235" t="s">
        <v>581</v>
      </c>
      <c r="M4" s="233" t="s">
        <v>730</v>
      </c>
      <c r="N4" s="235" t="s">
        <v>731</v>
      </c>
    </row>
    <row r="5" spans="2:15" x14ac:dyDescent="0.35">
      <c r="B5" s="212" t="s">
        <v>735</v>
      </c>
      <c r="C5" s="72"/>
      <c r="D5" s="72"/>
      <c r="E5" s="72"/>
      <c r="F5" s="72"/>
      <c r="G5" s="72"/>
      <c r="H5" s="359"/>
      <c r="I5" s="359"/>
      <c r="J5" s="359"/>
      <c r="K5" s="359"/>
      <c r="L5" s="393"/>
      <c r="M5" s="72"/>
      <c r="N5" s="360"/>
      <c r="O5" s="183"/>
    </row>
    <row r="6" spans="2:15" x14ac:dyDescent="0.35">
      <c r="B6" s="197" t="s">
        <v>736</v>
      </c>
      <c r="C6" s="191">
        <v>4051</v>
      </c>
      <c r="D6" s="191">
        <v>3790</v>
      </c>
      <c r="E6" s="191">
        <v>3766</v>
      </c>
      <c r="F6" s="191">
        <v>4094</v>
      </c>
      <c r="G6" s="200" t="s">
        <v>729</v>
      </c>
      <c r="H6" s="190">
        <f>F6*(1+N6)^2</f>
        <v>4217.7411499999989</v>
      </c>
      <c r="I6" s="190">
        <f>H6*(1+$N$6)</f>
        <v>4281.0072672499982</v>
      </c>
      <c r="J6" s="190">
        <f t="shared" ref="J6:L6" si="0">I6*(1+$N$6)</f>
        <v>4345.2223762587482</v>
      </c>
      <c r="K6" s="190">
        <f t="shared" si="0"/>
        <v>4410.4007119026292</v>
      </c>
      <c r="L6" s="245">
        <f t="shared" si="0"/>
        <v>4476.5567225811683</v>
      </c>
      <c r="M6" s="361">
        <f>_xlfn.RRI(3,C6,F6)</f>
        <v>3.5257753140764958E-3</v>
      </c>
      <c r="N6" s="371">
        <v>1.4999999999999999E-2</v>
      </c>
      <c r="O6" s="199"/>
    </row>
    <row r="7" spans="2:15" ht="15" thickBot="1" x14ac:dyDescent="0.4">
      <c r="B7" s="198" t="s">
        <v>737</v>
      </c>
      <c r="C7" s="188">
        <f>'P&amp;L (projection)'!C12/'Expense Assumptions'!C6*1000000</f>
        <v>1368797.827696865</v>
      </c>
      <c r="D7" s="188">
        <f>'P&amp;L (projection)'!D12/'Expense Assumptions'!D6*1000000</f>
        <v>1408443.27176781</v>
      </c>
      <c r="E7" s="188">
        <f>'P&amp;L (projection)'!E12/'Expense Assumptions'!E6*1000000</f>
        <v>1561338.2899628251</v>
      </c>
      <c r="F7" s="188">
        <f>'P&amp;L (projection)'!F12/'Expense Assumptions'!F6*1000000</f>
        <v>1622887.1519296532</v>
      </c>
      <c r="G7" s="201" t="s">
        <v>729</v>
      </c>
      <c r="H7" s="189">
        <f>F7*(1+N7)^2</f>
        <v>1858043.5002442601</v>
      </c>
      <c r="I7" s="189">
        <f>H7*(1+$N$7)</f>
        <v>1988106.5452613584</v>
      </c>
      <c r="J7" s="189">
        <f t="shared" ref="J7:L7" si="1">I7*(1+$N$7)</f>
        <v>2127274.0034296536</v>
      </c>
      <c r="K7" s="189">
        <f t="shared" si="1"/>
        <v>2276183.1836697296</v>
      </c>
      <c r="L7" s="246">
        <f t="shared" si="1"/>
        <v>2435516.0065266108</v>
      </c>
      <c r="M7" s="361">
        <f>_xlfn.RRI(3,C7,F7)</f>
        <v>5.8399611050444555E-2</v>
      </c>
      <c r="N7" s="372">
        <v>7.0000000000000007E-2</v>
      </c>
      <c r="O7" s="184"/>
    </row>
    <row r="8" spans="2:15" x14ac:dyDescent="0.35">
      <c r="B8" s="197" t="s">
        <v>738</v>
      </c>
      <c r="C8" s="191">
        <f>C6*C7/1000000</f>
        <v>5545</v>
      </c>
      <c r="D8" s="191">
        <f>D6*D7/1000000</f>
        <v>5338</v>
      </c>
      <c r="E8" s="191">
        <f>E6*E7/1000000</f>
        <v>5879.9999999999991</v>
      </c>
      <c r="F8" s="191">
        <f>F6*F7/1000000</f>
        <v>6644.1</v>
      </c>
      <c r="G8" s="191">
        <v>6978.2</v>
      </c>
      <c r="H8" s="190">
        <f>H6*H7/1000000</f>
        <v>7836.7465294702488</v>
      </c>
      <c r="I8" s="190">
        <f t="shared" ref="I8:L8" si="2">I6*I7/1000000</f>
        <v>8511.0985683311628</v>
      </c>
      <c r="J8" s="190">
        <f t="shared" si="2"/>
        <v>9243.4786001360608</v>
      </c>
      <c r="K8" s="190">
        <f t="shared" si="2"/>
        <v>10038.879933677768</v>
      </c>
      <c r="L8" s="245">
        <f t="shared" si="2"/>
        <v>10902.72555197074</v>
      </c>
      <c r="M8" s="71"/>
      <c r="N8" s="373"/>
    </row>
    <row r="9" spans="2:15" x14ac:dyDescent="0.35">
      <c r="B9" s="197"/>
      <c r="C9" s="191"/>
      <c r="D9" s="191"/>
      <c r="E9" s="191"/>
      <c r="F9" s="191"/>
      <c r="G9" s="191"/>
      <c r="H9" s="362"/>
      <c r="I9" s="362"/>
      <c r="J9" s="362"/>
      <c r="K9" s="362"/>
      <c r="L9" s="394"/>
      <c r="M9" s="71"/>
      <c r="N9" s="374"/>
    </row>
    <row r="10" spans="2:15" x14ac:dyDescent="0.35">
      <c r="B10" s="197" t="s">
        <v>557</v>
      </c>
      <c r="C10" s="191">
        <v>375</v>
      </c>
      <c r="D10" s="191">
        <v>437</v>
      </c>
      <c r="E10" s="191">
        <v>1221.5999999999999</v>
      </c>
      <c r="F10" s="191">
        <v>1665.6</v>
      </c>
      <c r="G10" s="191">
        <v>1563.2</v>
      </c>
      <c r="H10" s="363">
        <f>H11*SUM('Revenue Assumptions'!H12:H13)</f>
        <v>1791.4638000000002</v>
      </c>
      <c r="I10" s="363">
        <f>I11*SUM('Revenue Assumptions'!I12:I13)</f>
        <v>1976.2876560000004</v>
      </c>
      <c r="J10" s="363">
        <f>J11*SUM('Revenue Assumptions'!J12:J13)</f>
        <v>2183.8013475600001</v>
      </c>
      <c r="K10" s="363">
        <f>K11*SUM('Revenue Assumptions'!K12:K13)</f>
        <v>2417.1063254435999</v>
      </c>
      <c r="L10" s="395">
        <f>L11*SUM('Revenue Assumptions'!L12:L13)</f>
        <v>2679.7511365547157</v>
      </c>
      <c r="M10" s="71"/>
      <c r="N10" s="373"/>
    </row>
    <row r="11" spans="2:15" x14ac:dyDescent="0.35">
      <c r="B11" s="435" t="s">
        <v>739</v>
      </c>
      <c r="C11" s="436">
        <f>C10/SUM('Revenue Assumptions'!C12:C13)</f>
        <v>2.4898745103246796E-2</v>
      </c>
      <c r="D11" s="436">
        <f>D10/SUM('Revenue Assumptions'!D12:D13)</f>
        <v>2.9740029944194911E-2</v>
      </c>
      <c r="E11" s="436">
        <f>E10/SUM('Revenue Assumptions'!E12:E13)</f>
        <v>5.5512133054621465E-2</v>
      </c>
      <c r="F11" s="436">
        <f>F10/SUM('Revenue Assumptions'!F12:F13)</f>
        <v>6.2751717044611133E-2</v>
      </c>
      <c r="G11" s="436">
        <f>G10/SUM('Revenue Assumptions'!G12:G13)</f>
        <v>6.7270865070963193E-2</v>
      </c>
      <c r="H11" s="433">
        <f>$N$11</f>
        <v>7.0000000000000007E-2</v>
      </c>
      <c r="I11" s="433">
        <f t="shared" ref="I11:L11" si="3">$N$11</f>
        <v>7.0000000000000007E-2</v>
      </c>
      <c r="J11" s="433">
        <f t="shared" si="3"/>
        <v>7.0000000000000007E-2</v>
      </c>
      <c r="K11" s="433">
        <f t="shared" si="3"/>
        <v>7.0000000000000007E-2</v>
      </c>
      <c r="L11" s="434">
        <f t="shared" si="3"/>
        <v>7.0000000000000007E-2</v>
      </c>
      <c r="M11" s="71"/>
      <c r="N11" s="372">
        <v>7.0000000000000007E-2</v>
      </c>
    </row>
    <row r="12" spans="2:15" x14ac:dyDescent="0.35">
      <c r="B12" s="435"/>
      <c r="C12" s="436"/>
      <c r="D12" s="436"/>
      <c r="E12" s="436"/>
      <c r="F12" s="436"/>
      <c r="G12" s="436"/>
      <c r="H12" s="433"/>
      <c r="I12" s="433"/>
      <c r="J12" s="433"/>
      <c r="K12" s="433"/>
      <c r="L12" s="434"/>
      <c r="M12" s="71"/>
      <c r="N12" s="373"/>
    </row>
    <row r="13" spans="2:15" x14ac:dyDescent="0.35">
      <c r="B13" s="197"/>
      <c r="C13" s="71"/>
      <c r="D13" s="71"/>
      <c r="E13" s="71"/>
      <c r="F13" s="71"/>
      <c r="G13" s="71"/>
      <c r="H13" s="71"/>
      <c r="I13" s="71"/>
      <c r="J13" s="71"/>
      <c r="K13" s="71"/>
      <c r="L13" s="211"/>
      <c r="M13" s="71"/>
      <c r="N13" s="373"/>
    </row>
    <row r="14" spans="2:15" x14ac:dyDescent="0.35">
      <c r="B14" s="197" t="s">
        <v>559</v>
      </c>
      <c r="C14" s="191">
        <v>851</v>
      </c>
      <c r="D14" s="191">
        <v>587</v>
      </c>
      <c r="E14" s="191">
        <v>769</v>
      </c>
      <c r="F14" s="191">
        <v>1139.5999999999999</v>
      </c>
      <c r="G14" s="191">
        <v>1307.4000000000001</v>
      </c>
      <c r="H14" s="363">
        <f>H15*SUM('Revenue Assumptions'!H12:H13)</f>
        <v>1535.5403999999999</v>
      </c>
      <c r="I14" s="363">
        <f>I15*SUM('Revenue Assumptions'!I12:I13)</f>
        <v>1693.9608479999999</v>
      </c>
      <c r="J14" s="363">
        <f>J15*SUM('Revenue Assumptions'!J12:J13)</f>
        <v>1871.8297264799999</v>
      </c>
      <c r="K14" s="363">
        <f>K15*SUM('Revenue Assumptions'!K12:K13)</f>
        <v>2071.8054218088</v>
      </c>
      <c r="L14" s="395">
        <f>L15*SUM('Revenue Assumptions'!L12:L13)</f>
        <v>2296.9295456183277</v>
      </c>
      <c r="M14" s="71"/>
      <c r="N14" s="373"/>
    </row>
    <row r="15" spans="2:15" ht="29" x14ac:dyDescent="0.35">
      <c r="B15" s="364" t="s">
        <v>740</v>
      </c>
      <c r="C15" s="202">
        <f>C14/SUM('Revenue Assumptions'!C12:C13)</f>
        <v>5.6503552220968062E-2</v>
      </c>
      <c r="D15" s="202">
        <f>D14/SUM('Revenue Assumptions'!D12:D13)</f>
        <v>3.9948278208792702E-2</v>
      </c>
      <c r="E15" s="202">
        <f>E14/SUM('Revenue Assumptions'!E12:E13)</f>
        <v>3.4945014995910205E-2</v>
      </c>
      <c r="F15" s="202">
        <f>F14/SUM('Revenue Assumptions'!F12:F13)</f>
        <v>4.2934592185421984E-2</v>
      </c>
      <c r="G15" s="202">
        <f>G14/SUM('Revenue Assumptions'!G12:G13)</f>
        <v>5.6262748844535103E-2</v>
      </c>
      <c r="H15" s="203">
        <f>$N$15</f>
        <v>0.06</v>
      </c>
      <c r="I15" s="203">
        <f t="shared" ref="I15:L15" si="4">$N$15</f>
        <v>0.06</v>
      </c>
      <c r="J15" s="203">
        <f t="shared" si="4"/>
        <v>0.06</v>
      </c>
      <c r="K15" s="203">
        <f t="shared" si="4"/>
        <v>0.06</v>
      </c>
      <c r="L15" s="396">
        <f t="shared" si="4"/>
        <v>0.06</v>
      </c>
      <c r="M15" s="71"/>
      <c r="N15" s="372">
        <v>0.06</v>
      </c>
    </row>
    <row r="16" spans="2:15" x14ac:dyDescent="0.35">
      <c r="B16" s="197"/>
      <c r="C16" s="71"/>
      <c r="D16" s="71"/>
      <c r="E16" s="71"/>
      <c r="F16" s="71"/>
      <c r="G16" s="71"/>
      <c r="H16" s="71"/>
      <c r="I16" s="71"/>
      <c r="J16" s="71"/>
      <c r="K16" s="71"/>
      <c r="L16" s="211"/>
      <c r="M16" s="71"/>
      <c r="N16" s="373"/>
    </row>
    <row r="17" spans="2:14" x14ac:dyDescent="0.35">
      <c r="B17" s="197" t="s">
        <v>560</v>
      </c>
      <c r="C17" s="191">
        <v>2327</v>
      </c>
      <c r="D17" s="191">
        <v>1738</v>
      </c>
      <c r="E17" s="191">
        <v>2110.1</v>
      </c>
      <c r="F17" s="191">
        <v>3115.2</v>
      </c>
      <c r="G17" s="191">
        <v>3248.3</v>
      </c>
      <c r="H17" s="365">
        <f>H18*'Revenue Assumptions'!H16</f>
        <v>3455.7394839999997</v>
      </c>
      <c r="I17" s="365">
        <f>I18*'Revenue Assumptions'!I16</f>
        <v>3816.0241880400008</v>
      </c>
      <c r="J17" s="365">
        <f>J18*'Revenue Assumptions'!J16</f>
        <v>4250.1286055723995</v>
      </c>
      <c r="K17" s="365">
        <f>K18*'Revenue Assumptions'!K16</f>
        <v>4741.0649530942437</v>
      </c>
      <c r="L17" s="397">
        <f>L18*'Revenue Assumptions'!L16</f>
        <v>5296.8609961455231</v>
      </c>
      <c r="M17" s="71"/>
      <c r="N17" s="372"/>
    </row>
    <row r="18" spans="2:14" ht="15" thickBot="1" x14ac:dyDescent="0.4">
      <c r="B18" s="198" t="s">
        <v>741</v>
      </c>
      <c r="C18" s="366">
        <f>C17/'Revenue Assumptions'!C16</f>
        <v>0.13637136142806072</v>
      </c>
      <c r="D18" s="366">
        <f>D17/'Revenue Assumptions'!D16</f>
        <v>0.10179994962718257</v>
      </c>
      <c r="E18" s="366">
        <f>E17/'Revenue Assumptions'!E16</f>
        <v>8.1410377595073927E-2</v>
      </c>
      <c r="F18" s="366">
        <f>F17/'Revenue Assumptions'!F16</f>
        <v>9.04871176692712E-2</v>
      </c>
      <c r="G18" s="366">
        <f>G17/'Revenue Assumptions'!G16</f>
        <v>9.5097709141476985E-2</v>
      </c>
      <c r="H18" s="367">
        <f>$N$18</f>
        <v>0.1</v>
      </c>
      <c r="I18" s="367">
        <f t="shared" ref="I18:L18" si="5">$N$18</f>
        <v>0.1</v>
      </c>
      <c r="J18" s="367">
        <f t="shared" si="5"/>
        <v>0.1</v>
      </c>
      <c r="K18" s="367">
        <f t="shared" si="5"/>
        <v>0.1</v>
      </c>
      <c r="L18" s="398">
        <f t="shared" si="5"/>
        <v>0.1</v>
      </c>
      <c r="M18" s="67"/>
      <c r="N18" s="375">
        <v>0.1</v>
      </c>
    </row>
    <row r="20" spans="2:14" x14ac:dyDescent="0.35">
      <c r="B20" s="426" t="s">
        <v>914</v>
      </c>
    </row>
    <row r="21" spans="2:14" x14ac:dyDescent="0.35">
      <c r="B21" s="66" t="s">
        <v>555</v>
      </c>
      <c r="C21" t="s">
        <v>901</v>
      </c>
    </row>
    <row r="22" spans="2:14" x14ac:dyDescent="0.35">
      <c r="C22" t="s">
        <v>902</v>
      </c>
    </row>
    <row r="24" spans="2:14" x14ac:dyDescent="0.35">
      <c r="B24" s="66" t="s">
        <v>903</v>
      </c>
      <c r="C24" t="s">
        <v>904</v>
      </c>
    </row>
    <row r="26" spans="2:14" x14ac:dyDescent="0.35">
      <c r="B26" s="212" t="s">
        <v>559</v>
      </c>
      <c r="C26" t="s">
        <v>905</v>
      </c>
    </row>
    <row r="28" spans="2:14" x14ac:dyDescent="0.35">
      <c r="B28" s="66" t="s">
        <v>560</v>
      </c>
      <c r="C28" t="s">
        <v>906</v>
      </c>
    </row>
    <row r="1048576" spans="2:2" x14ac:dyDescent="0.35">
      <c r="B1048576" s="71"/>
    </row>
  </sheetData>
  <mergeCells count="11">
    <mergeCell ref="J11:J12"/>
    <mergeCell ref="K11:K12"/>
    <mergeCell ref="L11:L12"/>
    <mergeCell ref="B11:B12"/>
    <mergeCell ref="C11:C12"/>
    <mergeCell ref="D11:D12"/>
    <mergeCell ref="E11:E12"/>
    <mergeCell ref="F11:F12"/>
    <mergeCell ref="G11:G12"/>
    <mergeCell ref="H11:H12"/>
    <mergeCell ref="I11:I12"/>
  </mergeCells>
  <hyperlinks>
    <hyperlink ref="J2" location="Contents!A1" display="Back to contents" xr:uid="{3B08BEC6-583C-6149-93DA-4F85604ACFC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37AB-71D6-034B-B735-E74FD14EFD87}">
  <sheetPr>
    <tabColor theme="4" tint="0.39997558519241921"/>
  </sheetPr>
  <dimension ref="A1:L105"/>
  <sheetViews>
    <sheetView zoomScale="117" workbookViewId="0">
      <selection activeCell="B14" sqref="B14"/>
    </sheetView>
  </sheetViews>
  <sheetFormatPr defaultColWidth="10.90625" defaultRowHeight="14.5" x14ac:dyDescent="0.35"/>
  <cols>
    <col min="2" max="2" width="30.6328125" customWidth="1"/>
    <col min="3" max="3" width="20.1796875" customWidth="1"/>
    <col min="4" max="4" width="16.81640625" customWidth="1"/>
    <col min="6" max="6" width="16.453125" customWidth="1"/>
  </cols>
  <sheetData>
    <row r="1" spans="1:12" ht="29" thickBot="1" x14ac:dyDescent="0.7">
      <c r="A1" s="70" t="s">
        <v>2</v>
      </c>
      <c r="J1" s="104" t="s">
        <v>550</v>
      </c>
    </row>
    <row r="3" spans="1:12" ht="15" thickBot="1" x14ac:dyDescent="0.4">
      <c r="B3" s="205" t="s">
        <v>745</v>
      </c>
      <c r="L3" s="65" t="s">
        <v>553</v>
      </c>
    </row>
    <row r="4" spans="1:12" x14ac:dyDescent="0.35">
      <c r="B4" s="229" t="s">
        <v>645</v>
      </c>
      <c r="C4" s="233" t="s">
        <v>573</v>
      </c>
      <c r="D4" s="233" t="s">
        <v>574</v>
      </c>
      <c r="E4" s="233" t="s">
        <v>575</v>
      </c>
      <c r="F4" s="233" t="s">
        <v>576</v>
      </c>
      <c r="G4" s="233" t="s">
        <v>551</v>
      </c>
      <c r="H4" s="233" t="s">
        <v>577</v>
      </c>
      <c r="I4" s="233" t="s">
        <v>578</v>
      </c>
      <c r="J4" s="233" t="s">
        <v>579</v>
      </c>
      <c r="K4" s="234" t="s">
        <v>580</v>
      </c>
      <c r="L4" s="235" t="s">
        <v>581</v>
      </c>
    </row>
    <row r="5" spans="1:12" x14ac:dyDescent="0.35">
      <c r="B5" s="230" t="s">
        <v>746</v>
      </c>
      <c r="C5" s="191">
        <f>'Balance Sheet (projection)'!C12</f>
        <v>307</v>
      </c>
      <c r="D5" s="191">
        <f>'Balance Sheet (projection)'!D12</f>
        <v>328</v>
      </c>
      <c r="E5" s="191">
        <f>'Balance Sheet (projection)'!E12</f>
        <v>459</v>
      </c>
      <c r="F5" s="191">
        <f>'Balance Sheet (projection)'!F12</f>
        <v>736.8</v>
      </c>
      <c r="G5" s="191">
        <f>'Balance Sheet (projection)'!G12</f>
        <v>1431.1</v>
      </c>
      <c r="H5" s="191">
        <f>G61</f>
        <v>1601.9427021238444</v>
      </c>
      <c r="I5" s="191">
        <f>G72</f>
        <v>1976.7791767038636</v>
      </c>
      <c r="J5" s="191">
        <f>G83</f>
        <v>2359.0581824917836</v>
      </c>
      <c r="K5" s="191">
        <f>G94</f>
        <v>2759.9742628969125</v>
      </c>
      <c r="L5" s="410">
        <f>G105</f>
        <v>3190.006000437942</v>
      </c>
    </row>
    <row r="6" spans="1:12" x14ac:dyDescent="0.35">
      <c r="B6" s="230" t="s">
        <v>747</v>
      </c>
      <c r="C6" s="191">
        <f>'P&amp;L (projection)'!C11</f>
        <v>17045.600000000002</v>
      </c>
      <c r="D6" s="191">
        <f>'P&amp;L (projection)'!D11</f>
        <v>17027.000000000004</v>
      </c>
      <c r="E6" s="191">
        <f>'P&amp;L (projection)'!E11</f>
        <v>25861.800000000003</v>
      </c>
      <c r="F6" s="191">
        <f>'P&amp;L (projection)'!F11</f>
        <v>34346.399999999994</v>
      </c>
      <c r="G6" s="191">
        <f>'P&amp;L (projection)'!G11</f>
        <v>34157.5</v>
      </c>
      <c r="H6" s="191">
        <f>'P&amp;L (projection)'!H11</f>
        <v>45890.614839999995</v>
      </c>
      <c r="I6" s="191">
        <f>'P&amp;L (projection)'!I11</f>
        <v>51278.255480400003</v>
      </c>
      <c r="J6" s="191">
        <f>'P&amp;L (projection)'!J11</f>
        <v>57676.900931723991</v>
      </c>
      <c r="K6" s="191">
        <f>'P&amp;L (projection)'!K11</f>
        <v>64957.899828502428</v>
      </c>
      <c r="L6" s="410">
        <f>'P&amp;L (projection)'!L11</f>
        <v>73248.958585218817</v>
      </c>
    </row>
    <row r="7" spans="1:12" x14ac:dyDescent="0.35">
      <c r="B7" s="231" t="s">
        <v>748</v>
      </c>
      <c r="C7" s="191"/>
      <c r="D7" s="191">
        <f>D5-C5</f>
        <v>21</v>
      </c>
      <c r="E7" s="191">
        <f>E5-D5</f>
        <v>131</v>
      </c>
      <c r="F7" s="191">
        <f>F5-E5</f>
        <v>277.79999999999995</v>
      </c>
      <c r="G7" s="191">
        <f>G5-F5</f>
        <v>694.3</v>
      </c>
      <c r="H7" s="191">
        <f>H6*H8</f>
        <v>917.8122967999999</v>
      </c>
      <c r="I7" s="191">
        <f t="shared" ref="I7:L7" si="0">I6*I8</f>
        <v>1025.5651096080001</v>
      </c>
      <c r="J7" s="191">
        <f t="shared" si="0"/>
        <v>1153.5380186344798</v>
      </c>
      <c r="K7" s="191">
        <f t="shared" si="0"/>
        <v>1299.1579965700487</v>
      </c>
      <c r="L7" s="410">
        <f t="shared" si="0"/>
        <v>1464.9791717043763</v>
      </c>
    </row>
    <row r="8" spans="1:12" x14ac:dyDescent="0.35">
      <c r="B8" s="232" t="s">
        <v>749</v>
      </c>
      <c r="C8" s="191"/>
      <c r="D8" s="191">
        <f>D7/D6</f>
        <v>1.2333352910083983E-3</v>
      </c>
      <c r="E8" s="191">
        <f>E7/E6</f>
        <v>5.0653860133478713E-3</v>
      </c>
      <c r="F8" s="191">
        <f>F7/F6</f>
        <v>8.0881839144713863E-3</v>
      </c>
      <c r="G8" s="191">
        <f>G7/G6</f>
        <v>2.0326429041938078E-2</v>
      </c>
      <c r="H8" s="411">
        <v>0.02</v>
      </c>
      <c r="I8" s="411">
        <v>0.02</v>
      </c>
      <c r="J8" s="411">
        <v>0.02</v>
      </c>
      <c r="K8" s="411">
        <v>0.02</v>
      </c>
      <c r="L8" s="412">
        <v>0.02</v>
      </c>
    </row>
    <row r="9" spans="1:12" x14ac:dyDescent="0.35">
      <c r="B9" s="231" t="s">
        <v>750</v>
      </c>
      <c r="C9" s="413"/>
      <c r="D9" s="413"/>
      <c r="E9" s="413"/>
      <c r="F9" s="413"/>
      <c r="G9" s="413"/>
      <c r="H9" s="247">
        <f>G5</f>
        <v>1431.1</v>
      </c>
      <c r="I9" s="247">
        <f t="shared" ref="I9:L9" si="1">H5</f>
        <v>1601.9427021238444</v>
      </c>
      <c r="J9" s="247">
        <f t="shared" si="1"/>
        <v>1976.7791767038636</v>
      </c>
      <c r="K9" s="247">
        <f t="shared" si="1"/>
        <v>2359.0581824917836</v>
      </c>
      <c r="L9" s="414">
        <f t="shared" si="1"/>
        <v>2759.9742628969125</v>
      </c>
    </row>
    <row r="10" spans="1:12" x14ac:dyDescent="0.35">
      <c r="B10" s="230" t="s">
        <v>751</v>
      </c>
      <c r="C10" s="413"/>
      <c r="D10" s="413"/>
      <c r="E10" s="413"/>
      <c r="F10" s="413"/>
      <c r="G10" s="413"/>
      <c r="H10" s="191">
        <f>E61</f>
        <v>917.81229680000001</v>
      </c>
      <c r="I10" s="191">
        <f>E72</f>
        <v>1025.5651096080001</v>
      </c>
      <c r="J10" s="191">
        <f>E83</f>
        <v>1153.5380186344801</v>
      </c>
      <c r="K10" s="191">
        <f>E94</f>
        <v>1299.1579965700487</v>
      </c>
      <c r="L10" s="410">
        <f>E105</f>
        <v>1464.9791717043763</v>
      </c>
    </row>
    <row r="11" spans="1:12" x14ac:dyDescent="0.35">
      <c r="B11" s="230" t="s">
        <v>752</v>
      </c>
      <c r="C11" s="413"/>
      <c r="D11" s="413"/>
      <c r="E11" s="413"/>
      <c r="F11" s="413"/>
      <c r="G11" s="413"/>
      <c r="H11" s="191">
        <f>F61</f>
        <v>533.2329965058891</v>
      </c>
      <c r="I11" s="191">
        <f>F72</f>
        <v>650.72863502798077</v>
      </c>
      <c r="J11" s="191">
        <f>F83</f>
        <v>771.2590128465597</v>
      </c>
      <c r="K11" s="191">
        <f>F94</f>
        <v>898.24191616492021</v>
      </c>
      <c r="L11" s="410">
        <f>F105</f>
        <v>1034.9474341633468</v>
      </c>
    </row>
    <row r="12" spans="1:12" ht="15" thickBot="1" x14ac:dyDescent="0.4">
      <c r="B12" s="231" t="s">
        <v>753</v>
      </c>
      <c r="C12" s="415"/>
      <c r="D12" s="415"/>
      <c r="E12" s="415"/>
      <c r="F12" s="415"/>
      <c r="G12" s="415"/>
      <c r="H12" s="192">
        <f>H9+H10-H11</f>
        <v>1815.679300294111</v>
      </c>
      <c r="I12" s="192">
        <f t="shared" ref="I12:L12" si="2">I9+I10-I11</f>
        <v>1976.7791767038636</v>
      </c>
      <c r="J12" s="192">
        <f t="shared" si="2"/>
        <v>2359.0581824917836</v>
      </c>
      <c r="K12" s="192">
        <f t="shared" si="2"/>
        <v>2759.9742628969116</v>
      </c>
      <c r="L12" s="416">
        <f t="shared" si="2"/>
        <v>3190.006000437942</v>
      </c>
    </row>
    <row r="13" spans="1:12" x14ac:dyDescent="0.35">
      <c r="B13" s="427"/>
      <c r="C13" s="362"/>
      <c r="D13" s="362"/>
      <c r="E13" s="362"/>
      <c r="F13" s="362"/>
      <c r="G13" s="362"/>
      <c r="H13" s="247"/>
      <c r="I13" s="247"/>
      <c r="J13" s="247"/>
      <c r="K13" s="247"/>
      <c r="L13" s="247"/>
    </row>
    <row r="14" spans="1:12" x14ac:dyDescent="0.35">
      <c r="B14" s="428" t="s">
        <v>914</v>
      </c>
      <c r="C14" s="362"/>
      <c r="D14" s="362"/>
      <c r="E14" s="362"/>
      <c r="F14" s="362"/>
      <c r="G14" s="362"/>
      <c r="H14" s="247"/>
      <c r="I14" s="247"/>
      <c r="J14" s="247"/>
      <c r="K14" s="247"/>
      <c r="L14" s="247"/>
    </row>
    <row r="15" spans="1:12" x14ac:dyDescent="0.35">
      <c r="B15" s="376" t="s">
        <v>907</v>
      </c>
    </row>
    <row r="16" spans="1:12" x14ac:dyDescent="0.35">
      <c r="B16" s="66" t="s">
        <v>908</v>
      </c>
    </row>
    <row r="18" spans="2:11" x14ac:dyDescent="0.35">
      <c r="B18" s="206" t="s">
        <v>754</v>
      </c>
    </row>
    <row r="19" spans="2:11" ht="15" thickBot="1" x14ac:dyDescent="0.4">
      <c r="B19" s="207" t="s">
        <v>755</v>
      </c>
      <c r="C19" s="437" t="s">
        <v>756</v>
      </c>
      <c r="D19" s="438"/>
      <c r="E19" s="438"/>
      <c r="F19" s="439"/>
      <c r="G19" s="437" t="s">
        <v>757</v>
      </c>
      <c r="H19" s="438"/>
      <c r="I19" s="438"/>
      <c r="J19" s="439"/>
    </row>
    <row r="20" spans="2:11" ht="56.5" thickBot="1" x14ac:dyDescent="0.4">
      <c r="B20" s="216" t="s">
        <v>758</v>
      </c>
      <c r="C20" s="216" t="s">
        <v>759</v>
      </c>
      <c r="D20" s="208" t="s">
        <v>743</v>
      </c>
      <c r="E20" s="208" t="s">
        <v>760</v>
      </c>
      <c r="F20" s="209" t="s">
        <v>761</v>
      </c>
      <c r="G20" s="208" t="s">
        <v>759</v>
      </c>
      <c r="H20" s="208" t="s">
        <v>762</v>
      </c>
      <c r="I20" s="208" t="s">
        <v>760</v>
      </c>
      <c r="J20" s="209" t="s">
        <v>777</v>
      </c>
      <c r="K20" s="210" t="s">
        <v>763</v>
      </c>
    </row>
    <row r="21" spans="2:11" x14ac:dyDescent="0.35">
      <c r="B21" s="399" t="s">
        <v>764</v>
      </c>
      <c r="C21" s="197"/>
      <c r="D21" s="71"/>
      <c r="E21" s="71"/>
      <c r="F21" s="214"/>
      <c r="G21" s="71"/>
      <c r="H21" s="71"/>
      <c r="I21" s="71"/>
      <c r="J21" s="71"/>
      <c r="K21" s="211"/>
    </row>
    <row r="22" spans="2:11" x14ac:dyDescent="0.35">
      <c r="B22" s="400" t="s">
        <v>765</v>
      </c>
      <c r="C22" s="197">
        <v>425.1</v>
      </c>
      <c r="D22" s="71">
        <v>221.7</v>
      </c>
      <c r="E22" s="71">
        <v>69.2</v>
      </c>
      <c r="F22" s="214">
        <f>C22+D22-E22</f>
        <v>577.59999999999991</v>
      </c>
      <c r="G22" s="71">
        <v>115.6</v>
      </c>
      <c r="H22" s="71">
        <v>111.4</v>
      </c>
      <c r="I22" s="71">
        <v>66.599999999999994</v>
      </c>
      <c r="J22" s="71">
        <f>G22+H22-I22</f>
        <v>160.4</v>
      </c>
      <c r="K22" s="211">
        <f>F22-J22</f>
        <v>417.19999999999993</v>
      </c>
    </row>
    <row r="23" spans="2:11" x14ac:dyDescent="0.35">
      <c r="B23" s="400" t="s">
        <v>770</v>
      </c>
      <c r="C23" s="197">
        <v>16.899999999999999</v>
      </c>
      <c r="D23" s="71">
        <v>7.3</v>
      </c>
      <c r="E23" s="71">
        <v>1.1000000000000001</v>
      </c>
      <c r="F23" s="214">
        <f t="shared" ref="F23:F26" si="3">C23+D23-E23</f>
        <v>23.099999999999998</v>
      </c>
      <c r="G23" s="71">
        <v>8.4</v>
      </c>
      <c r="H23" s="71">
        <v>6.1</v>
      </c>
      <c r="I23" s="71">
        <v>1.1000000000000001</v>
      </c>
      <c r="J23" s="71">
        <f t="shared" ref="J23:J26" si="4">G23+H23-I23</f>
        <v>13.4</v>
      </c>
      <c r="K23" s="211">
        <f t="shared" ref="K23:K26" si="5">F23-J23</f>
        <v>9.6999999999999975</v>
      </c>
    </row>
    <row r="24" spans="2:11" x14ac:dyDescent="0.35">
      <c r="B24" s="400" t="s">
        <v>771</v>
      </c>
      <c r="C24" s="197">
        <v>40.5</v>
      </c>
      <c r="D24" s="71">
        <v>21</v>
      </c>
      <c r="E24" s="71">
        <v>2.7</v>
      </c>
      <c r="F24" s="214">
        <f t="shared" si="3"/>
        <v>58.8</v>
      </c>
      <c r="G24" s="71">
        <v>26.3</v>
      </c>
      <c r="H24" s="71">
        <v>13.9</v>
      </c>
      <c r="I24" s="71">
        <v>2.5</v>
      </c>
      <c r="J24" s="71">
        <f t="shared" si="4"/>
        <v>37.700000000000003</v>
      </c>
      <c r="K24" s="211">
        <f t="shared" si="5"/>
        <v>21.099999999999994</v>
      </c>
    </row>
    <row r="25" spans="2:11" x14ac:dyDescent="0.35">
      <c r="B25" s="400" t="s">
        <v>772</v>
      </c>
      <c r="C25" s="197">
        <v>54</v>
      </c>
      <c r="D25" s="71">
        <v>25.4</v>
      </c>
      <c r="E25" s="71">
        <v>24.5</v>
      </c>
      <c r="F25" s="214">
        <f t="shared" si="3"/>
        <v>54.900000000000006</v>
      </c>
      <c r="G25" s="71">
        <v>22.8</v>
      </c>
      <c r="H25" s="71">
        <v>16.399999999999999</v>
      </c>
      <c r="I25" s="71">
        <v>22</v>
      </c>
      <c r="J25" s="71">
        <f t="shared" si="4"/>
        <v>17.200000000000003</v>
      </c>
      <c r="K25" s="211">
        <f t="shared" si="5"/>
        <v>37.700000000000003</v>
      </c>
    </row>
    <row r="26" spans="2:11" x14ac:dyDescent="0.35">
      <c r="B26" s="400" t="s">
        <v>773</v>
      </c>
      <c r="C26" s="197">
        <v>53.2</v>
      </c>
      <c r="D26" s="71">
        <v>116.9</v>
      </c>
      <c r="E26" s="71">
        <v>17.899999999999999</v>
      </c>
      <c r="F26" s="214">
        <f t="shared" si="3"/>
        <v>152.20000000000002</v>
      </c>
      <c r="G26" s="71">
        <v>-2.8</v>
      </c>
      <c r="H26" s="71">
        <v>25.3</v>
      </c>
      <c r="I26" s="71">
        <v>11.6</v>
      </c>
      <c r="J26" s="71">
        <f t="shared" si="4"/>
        <v>10.9</v>
      </c>
      <c r="K26" s="211">
        <f t="shared" si="5"/>
        <v>141.30000000000001</v>
      </c>
    </row>
    <row r="27" spans="2:11" x14ac:dyDescent="0.35">
      <c r="B27" s="401" t="s">
        <v>53</v>
      </c>
      <c r="C27" s="212">
        <f>SUM(C22:C26)</f>
        <v>589.70000000000005</v>
      </c>
      <c r="D27" s="72">
        <f t="shared" ref="D27:K27" si="6">SUM(D22:D26)</f>
        <v>392.29999999999995</v>
      </c>
      <c r="E27" s="72">
        <f t="shared" si="6"/>
        <v>115.4</v>
      </c>
      <c r="F27" s="215">
        <f t="shared" si="6"/>
        <v>866.59999999999991</v>
      </c>
      <c r="G27" s="72">
        <f t="shared" si="6"/>
        <v>170.3</v>
      </c>
      <c r="H27" s="72">
        <f t="shared" si="6"/>
        <v>173.10000000000002</v>
      </c>
      <c r="I27" s="72">
        <f t="shared" si="6"/>
        <v>103.79999999999998</v>
      </c>
      <c r="J27" s="72">
        <f t="shared" si="6"/>
        <v>239.6</v>
      </c>
      <c r="K27" s="213">
        <f t="shared" si="6"/>
        <v>626.99999999999989</v>
      </c>
    </row>
    <row r="28" spans="2:11" x14ac:dyDescent="0.35">
      <c r="B28" s="399" t="s">
        <v>774</v>
      </c>
      <c r="C28" s="197"/>
      <c r="D28" s="71"/>
      <c r="E28" s="71"/>
      <c r="F28" s="214"/>
      <c r="G28" s="71"/>
      <c r="H28" s="71"/>
      <c r="I28" s="71"/>
      <c r="J28" s="71"/>
      <c r="K28" s="211"/>
    </row>
    <row r="29" spans="2:11" ht="15" thickBot="1" x14ac:dyDescent="0.4">
      <c r="B29" s="402" t="s">
        <v>775</v>
      </c>
      <c r="C29" s="250">
        <v>375.5</v>
      </c>
      <c r="D29" s="73">
        <v>192.8</v>
      </c>
      <c r="E29" s="73">
        <v>0.3</v>
      </c>
      <c r="F29" s="330">
        <f>C29+D29-E29</f>
        <v>568</v>
      </c>
      <c r="G29" s="73">
        <v>148.1</v>
      </c>
      <c r="H29" s="73">
        <v>110.5</v>
      </c>
      <c r="I29" s="73">
        <v>0.1</v>
      </c>
      <c r="J29" s="73">
        <f>G29+H29-I29</f>
        <v>258.5</v>
      </c>
      <c r="K29" s="331">
        <f>F29-J29</f>
        <v>309.5</v>
      </c>
    </row>
    <row r="31" spans="2:11" ht="15" thickBot="1" x14ac:dyDescent="0.4">
      <c r="E31" s="71"/>
    </row>
    <row r="32" spans="2:11" ht="28.5" thickBot="1" x14ac:dyDescent="0.4">
      <c r="B32" s="216" t="s">
        <v>645</v>
      </c>
      <c r="C32" s="208" t="s">
        <v>767</v>
      </c>
      <c r="D32" s="208" t="s">
        <v>768</v>
      </c>
      <c r="E32" s="71"/>
    </row>
    <row r="33" spans="2:7" x14ac:dyDescent="0.35">
      <c r="B33" s="197" t="s">
        <v>765</v>
      </c>
      <c r="C33" s="71">
        <f>K22</f>
        <v>417.19999999999993</v>
      </c>
      <c r="D33" s="218">
        <f>C33/$C$39</f>
        <v>0.44548852108916176</v>
      </c>
    </row>
    <row r="34" spans="2:7" x14ac:dyDescent="0.35">
      <c r="B34" s="197" t="s">
        <v>770</v>
      </c>
      <c r="C34" s="71">
        <f t="shared" ref="C34:C37" si="7">K23</f>
        <v>9.6999999999999975</v>
      </c>
      <c r="D34" s="218">
        <f t="shared" ref="D34:D38" si="8">C34/$C$39</f>
        <v>1.0357714895888947E-2</v>
      </c>
    </row>
    <row r="35" spans="2:7" x14ac:dyDescent="0.35">
      <c r="B35" s="197" t="s">
        <v>771</v>
      </c>
      <c r="C35" s="71">
        <f t="shared" si="7"/>
        <v>21.099999999999994</v>
      </c>
      <c r="D35" s="218">
        <f t="shared" si="8"/>
        <v>2.2530699412706884E-2</v>
      </c>
    </row>
    <row r="36" spans="2:7" x14ac:dyDescent="0.35">
      <c r="B36" s="197" t="s">
        <v>772</v>
      </c>
      <c r="C36" s="71">
        <f t="shared" si="7"/>
        <v>37.700000000000003</v>
      </c>
      <c r="D36" s="218">
        <f t="shared" si="8"/>
        <v>4.0256273358248808E-2</v>
      </c>
    </row>
    <row r="37" spans="2:7" x14ac:dyDescent="0.35">
      <c r="B37" s="197" t="s">
        <v>773</v>
      </c>
      <c r="C37" s="71">
        <f t="shared" si="7"/>
        <v>141.30000000000001</v>
      </c>
      <c r="D37" s="218">
        <f t="shared" si="8"/>
        <v>0.15088093966898028</v>
      </c>
    </row>
    <row r="38" spans="2:7" ht="15" thickBot="1" x14ac:dyDescent="0.4">
      <c r="B38" s="198" t="s">
        <v>775</v>
      </c>
      <c r="C38" s="67">
        <f>K29</f>
        <v>309.5</v>
      </c>
      <c r="D38" s="219">
        <f t="shared" si="8"/>
        <v>0.33048585157501337</v>
      </c>
    </row>
    <row r="39" spans="2:7" ht="15" thickBot="1" x14ac:dyDescent="0.4">
      <c r="B39" s="220" t="s">
        <v>53</v>
      </c>
      <c r="C39" s="74">
        <f>SUM(C33:C38)</f>
        <v>936.49999999999989</v>
      </c>
      <c r="D39" s="221">
        <f>SUM(D33:D38)</f>
        <v>1</v>
      </c>
    </row>
    <row r="41" spans="2:7" ht="15" thickBot="1" x14ac:dyDescent="0.4"/>
    <row r="42" spans="2:7" ht="15" thickBot="1" x14ac:dyDescent="0.4">
      <c r="B42" s="222" t="s">
        <v>689</v>
      </c>
      <c r="C42" s="223"/>
      <c r="D42" s="223"/>
      <c r="E42" s="223"/>
      <c r="F42" s="223"/>
      <c r="G42" s="224"/>
    </row>
    <row r="43" spans="2:7" ht="28.5" thickBot="1" x14ac:dyDescent="0.4">
      <c r="B43" s="216" t="s">
        <v>769</v>
      </c>
      <c r="C43" s="208" t="s">
        <v>776</v>
      </c>
      <c r="D43" s="208" t="s">
        <v>742</v>
      </c>
      <c r="E43" s="208" t="s">
        <v>743</v>
      </c>
      <c r="F43" s="208" t="s">
        <v>755</v>
      </c>
      <c r="G43" s="217" t="s">
        <v>744</v>
      </c>
    </row>
    <row r="44" spans="2:7" ht="15" thickBot="1" x14ac:dyDescent="0.4">
      <c r="B44" s="225">
        <f>H22/(F22-G22)</f>
        <v>0.24112554112554119</v>
      </c>
      <c r="C44" s="263" t="str">
        <f>B33</f>
        <v>Computers</v>
      </c>
      <c r="D44" s="403">
        <f>K22</f>
        <v>417.19999999999993</v>
      </c>
      <c r="E44" s="404">
        <f>VLOOKUP(C44,B33:$D$38,3,FALSE)*$G$7</f>
        <v>309.302680192205</v>
      </c>
      <c r="F44" s="403">
        <f>(D44+E44)*B44</f>
        <v>175.1783518905014</v>
      </c>
      <c r="G44" s="403">
        <f>D44+E44-F44</f>
        <v>551.32432830170353</v>
      </c>
    </row>
    <row r="45" spans="2:7" ht="15" thickBot="1" x14ac:dyDescent="0.4">
      <c r="B45" s="226">
        <f t="shared" ref="B45:B48" si="9">H23/(F23-G23)</f>
        <v>0.4149659863945579</v>
      </c>
      <c r="C45" s="263" t="str">
        <f t="shared" ref="C45:C49" si="10">B34</f>
        <v>Furniture and Fixtures</v>
      </c>
      <c r="D45" s="403">
        <f t="shared" ref="D45:D48" si="11">K23</f>
        <v>9.6999999999999975</v>
      </c>
      <c r="E45" s="404">
        <f>VLOOKUP(C45,B34:$D$38,3,FALSE)*$G$7</f>
        <v>7.1913614522156957</v>
      </c>
      <c r="F45" s="403">
        <f t="shared" ref="F45:F49" si="12">(D45+E45)*B45</f>
        <v>7.0093404665656971</v>
      </c>
      <c r="G45" s="403">
        <f t="shared" ref="G45:G49" si="13">D45+E45-F45</f>
        <v>9.8820209856499979</v>
      </c>
    </row>
    <row r="46" spans="2:7" ht="15" thickBot="1" x14ac:dyDescent="0.4">
      <c r="B46" s="226">
        <f t="shared" si="9"/>
        <v>0.4276923076923077</v>
      </c>
      <c r="C46" s="263" t="str">
        <f t="shared" si="10"/>
        <v>Office Equipment</v>
      </c>
      <c r="D46" s="403">
        <f t="shared" si="11"/>
        <v>21.099999999999994</v>
      </c>
      <c r="E46" s="404">
        <f>VLOOKUP(C46,B35:$D$38,3,FALSE)*$G$7</f>
        <v>15.643064602242388</v>
      </c>
      <c r="F46" s="403">
        <f t="shared" si="12"/>
        <v>15.714726091420589</v>
      </c>
      <c r="G46" s="403">
        <f t="shared" si="13"/>
        <v>21.028338510821797</v>
      </c>
    </row>
    <row r="47" spans="2:7" ht="15" thickBot="1" x14ac:dyDescent="0.4">
      <c r="B47" s="226">
        <f t="shared" si="9"/>
        <v>0.51090342679127709</v>
      </c>
      <c r="C47" s="263" t="str">
        <f t="shared" si="10"/>
        <v xml:space="preserve">Vehicles </v>
      </c>
      <c r="D47" s="403">
        <f t="shared" si="11"/>
        <v>37.700000000000003</v>
      </c>
      <c r="E47" s="404">
        <f>VLOOKUP(C47,B36:$D$38,3,FALSE)*$G$7</f>
        <v>27.949930592632146</v>
      </c>
      <c r="F47" s="403">
        <f t="shared" si="12"/>
        <v>33.540774508385262</v>
      </c>
      <c r="G47" s="403">
        <f t="shared" si="13"/>
        <v>32.109156084246884</v>
      </c>
    </row>
    <row r="48" spans="2:7" ht="15" thickBot="1" x14ac:dyDescent="0.4">
      <c r="B48" s="226">
        <f t="shared" si="9"/>
        <v>0.16322580645161289</v>
      </c>
      <c r="C48" s="263" t="str">
        <f t="shared" si="10"/>
        <v>Lease hold Improvements</v>
      </c>
      <c r="D48" s="403">
        <f t="shared" si="11"/>
        <v>141.30000000000001</v>
      </c>
      <c r="E48" s="404">
        <f>VLOOKUP(C48,B37:$D$38,3,FALSE)*$G$7</f>
        <v>104.75663641217299</v>
      </c>
      <c r="F48" s="403">
        <f t="shared" si="12"/>
        <v>40.162792911148237</v>
      </c>
      <c r="G48" s="403">
        <f t="shared" si="13"/>
        <v>205.89384350102478</v>
      </c>
    </row>
    <row r="49" spans="2:7" ht="15" thickBot="1" x14ac:dyDescent="0.4">
      <c r="B49" s="227">
        <f>H29/(F29-G29)</f>
        <v>0.26315789473684215</v>
      </c>
      <c r="C49" s="263" t="str">
        <f t="shared" si="10"/>
        <v>Computer Software</v>
      </c>
      <c r="D49" s="403">
        <f>K29</f>
        <v>309.5</v>
      </c>
      <c r="E49" s="404">
        <f>VLOOKUP(C49,B38:$D$38,3,FALSE)*$G$7</f>
        <v>229.45632674853178</v>
      </c>
      <c r="F49" s="403">
        <f t="shared" si="12"/>
        <v>141.83061230224521</v>
      </c>
      <c r="G49" s="403">
        <f t="shared" si="13"/>
        <v>397.12571444628657</v>
      </c>
    </row>
    <row r="50" spans="2:7" ht="15" thickBot="1" x14ac:dyDescent="0.4">
      <c r="C50" s="405" t="s">
        <v>766</v>
      </c>
      <c r="D50" s="406">
        <f>SUM(D44:D49)</f>
        <v>936.49999999999989</v>
      </c>
      <c r="E50" s="406">
        <f>SUM(E44:E49)</f>
        <v>694.3</v>
      </c>
      <c r="F50" s="406">
        <f t="shared" ref="F50:G50" si="14">SUM(F44:F49)</f>
        <v>413.43659817026639</v>
      </c>
      <c r="G50" s="406">
        <f t="shared" si="14"/>
        <v>1217.3634018297334</v>
      </c>
    </row>
    <row r="52" spans="2:7" ht="15" thickBot="1" x14ac:dyDescent="0.4"/>
    <row r="53" spans="2:7" ht="15" thickBot="1" x14ac:dyDescent="0.4">
      <c r="B53" s="222" t="s">
        <v>688</v>
      </c>
      <c r="C53" s="223"/>
      <c r="D53" s="223"/>
      <c r="E53" s="223"/>
      <c r="F53" s="223"/>
      <c r="G53" s="224"/>
    </row>
    <row r="54" spans="2:7" ht="28.5" thickBot="1" x14ac:dyDescent="0.4">
      <c r="B54" s="216" t="s">
        <v>769</v>
      </c>
      <c r="C54" s="208" t="s">
        <v>776</v>
      </c>
      <c r="D54" s="208" t="s">
        <v>742</v>
      </c>
      <c r="E54" s="208" t="s">
        <v>743</v>
      </c>
      <c r="F54" s="208" t="s">
        <v>755</v>
      </c>
      <c r="G54" s="217" t="s">
        <v>744</v>
      </c>
    </row>
    <row r="55" spans="2:7" ht="15" thickBot="1" x14ac:dyDescent="0.4">
      <c r="B55" s="225">
        <v>0.24112554112554119</v>
      </c>
      <c r="C55" s="263" t="s">
        <v>765</v>
      </c>
      <c r="D55" s="403">
        <f>G44</f>
        <v>551.32432830170353</v>
      </c>
      <c r="E55" s="403">
        <f t="shared" ref="E55:E60" si="15">VLOOKUP(C55,$B$33:$D$38,3,FALSE)*$H$7</f>
        <v>408.87484273887873</v>
      </c>
      <c r="F55" s="403">
        <f>(D55+E55)*B55</f>
        <v>231.52854470545648</v>
      </c>
      <c r="G55" s="403">
        <f>D55+E55-F55</f>
        <v>728.6706263351258</v>
      </c>
    </row>
    <row r="56" spans="2:7" ht="15" thickBot="1" x14ac:dyDescent="0.4">
      <c r="B56" s="226">
        <v>0.4149659863945579</v>
      </c>
      <c r="C56" s="263" t="s">
        <v>770</v>
      </c>
      <c r="D56" s="403">
        <f t="shared" ref="D56:D60" si="16">G45</f>
        <v>9.8820209856499979</v>
      </c>
      <c r="E56" s="403">
        <f t="shared" si="15"/>
        <v>9.5064380981954066</v>
      </c>
      <c r="F56" s="403">
        <f t="shared" ref="F56:F60" si="17">(D56+E56)*B56</f>
        <v>8.0455510483984352</v>
      </c>
      <c r="G56" s="403">
        <f t="shared" ref="G56:G60" si="18">D56+E56-F56</f>
        <v>11.342908035446969</v>
      </c>
    </row>
    <row r="57" spans="2:7" ht="15" thickBot="1" x14ac:dyDescent="0.4">
      <c r="B57" s="226">
        <v>0.4276923076923077</v>
      </c>
      <c r="C57" s="263" t="s">
        <v>771</v>
      </c>
      <c r="D57" s="403">
        <f t="shared" si="16"/>
        <v>21.028338510821797</v>
      </c>
      <c r="E57" s="403">
        <f t="shared" si="15"/>
        <v>20.678952976486915</v>
      </c>
      <c r="F57" s="403">
        <f t="shared" si="17"/>
        <v>17.837887743802803</v>
      </c>
      <c r="G57" s="403">
        <f t="shared" si="18"/>
        <v>23.869403743505906</v>
      </c>
    </row>
    <row r="58" spans="2:7" ht="15" thickBot="1" x14ac:dyDescent="0.4">
      <c r="B58" s="226">
        <v>0.51090342679127709</v>
      </c>
      <c r="C58" s="263" t="s">
        <v>772</v>
      </c>
      <c r="D58" s="403">
        <f t="shared" si="16"/>
        <v>32.109156084246884</v>
      </c>
      <c r="E58" s="403">
        <f t="shared" si="15"/>
        <v>36.947702711542981</v>
      </c>
      <c r="F58" s="403">
        <f t="shared" si="17"/>
        <v>35.281385802210387</v>
      </c>
      <c r="G58" s="403">
        <f t="shared" si="18"/>
        <v>33.775472993579477</v>
      </c>
    </row>
    <row r="59" spans="2:7" ht="15" thickBot="1" x14ac:dyDescent="0.4">
      <c r="B59" s="226">
        <v>0.16322580645161289</v>
      </c>
      <c r="C59" s="263" t="s">
        <v>773</v>
      </c>
      <c r="D59" s="403">
        <f t="shared" si="16"/>
        <v>205.89384350102478</v>
      </c>
      <c r="E59" s="403">
        <f t="shared" si="15"/>
        <v>138.48038178092901</v>
      </c>
      <c r="F59" s="403">
        <f t="shared" si="17"/>
        <v>56.210760642796323</v>
      </c>
      <c r="G59" s="403">
        <f t="shared" si="18"/>
        <v>288.16346463915744</v>
      </c>
    </row>
    <row r="60" spans="2:7" ht="15" thickBot="1" x14ac:dyDescent="0.4">
      <c r="B60" s="227">
        <v>0.26315789473684215</v>
      </c>
      <c r="C60" s="263" t="s">
        <v>775</v>
      </c>
      <c r="D60" s="403">
        <f t="shared" si="16"/>
        <v>397.12571444628657</v>
      </c>
      <c r="E60" s="403">
        <f t="shared" si="15"/>
        <v>303.32397849396688</v>
      </c>
      <c r="F60" s="403">
        <f t="shared" si="17"/>
        <v>184.32886656322464</v>
      </c>
      <c r="G60" s="403">
        <f t="shared" si="18"/>
        <v>516.12082637702883</v>
      </c>
    </row>
    <row r="61" spans="2:7" ht="15" thickBot="1" x14ac:dyDescent="0.4">
      <c r="C61" s="405" t="s">
        <v>766</v>
      </c>
      <c r="D61" s="406">
        <f>SUM(D55:D60)</f>
        <v>1217.3634018297334</v>
      </c>
      <c r="E61" s="406">
        <f t="shared" ref="E61" si="19">SUM(E55:E60)</f>
        <v>917.81229680000001</v>
      </c>
      <c r="F61" s="406">
        <f t="shared" ref="F61" si="20">SUM(F55:F60)</f>
        <v>533.2329965058891</v>
      </c>
      <c r="G61" s="406">
        <f t="shared" ref="G61" si="21">SUM(G55:G60)</f>
        <v>1601.9427021238444</v>
      </c>
    </row>
    <row r="63" spans="2:7" ht="15" thickBot="1" x14ac:dyDescent="0.4"/>
    <row r="64" spans="2:7" ht="15" thickBot="1" x14ac:dyDescent="0.4">
      <c r="B64" s="222" t="s">
        <v>687</v>
      </c>
      <c r="C64" s="223"/>
      <c r="D64" s="223"/>
      <c r="E64" s="223"/>
      <c r="F64" s="223"/>
      <c r="G64" s="224"/>
    </row>
    <row r="65" spans="2:7" ht="28.5" thickBot="1" x14ac:dyDescent="0.4">
      <c r="B65" s="216" t="s">
        <v>769</v>
      </c>
      <c r="C65" s="208" t="s">
        <v>776</v>
      </c>
      <c r="D65" s="208" t="s">
        <v>742</v>
      </c>
      <c r="E65" s="208" t="s">
        <v>743</v>
      </c>
      <c r="F65" s="208" t="s">
        <v>755</v>
      </c>
      <c r="G65" s="217" t="s">
        <v>744</v>
      </c>
    </row>
    <row r="66" spans="2:7" ht="15" thickBot="1" x14ac:dyDescent="0.4">
      <c r="B66" s="225">
        <v>0.24112554112554119</v>
      </c>
      <c r="C66" s="263" t="s">
        <v>765</v>
      </c>
      <c r="D66" s="403">
        <f>G55</f>
        <v>728.6706263351258</v>
      </c>
      <c r="E66" s="403">
        <f t="shared" ref="E66:E71" si="22">VLOOKUP(C66,$B$33:$D$38,3,FALSE)*$I$7</f>
        <v>456.87748395991201</v>
      </c>
      <c r="F66" s="403">
        <f>(D66+E66)*B66</f>
        <v>285.86592962525378</v>
      </c>
      <c r="G66" s="403">
        <f>D66+E66-F66</f>
        <v>899.68218066978397</v>
      </c>
    </row>
    <row r="67" spans="2:7" ht="15" thickBot="1" x14ac:dyDescent="0.4">
      <c r="B67" s="226">
        <v>0.4149659863945579</v>
      </c>
      <c r="C67" s="263" t="s">
        <v>770</v>
      </c>
      <c r="D67" s="403">
        <f t="shared" ref="D67:D71" si="23">G56</f>
        <v>11.342908035446969</v>
      </c>
      <c r="E67" s="403">
        <f t="shared" si="22"/>
        <v>10.622511012490763</v>
      </c>
      <c r="F67" s="403">
        <f t="shared" ref="F67:F71" si="24">(D67+E67)*B67</f>
        <v>9.1149017817972915</v>
      </c>
      <c r="G67" s="403">
        <f t="shared" ref="G67:G71" si="25">D67+E67-F67</f>
        <v>12.850517266140441</v>
      </c>
    </row>
    <row r="68" spans="2:7" ht="15" thickBot="1" x14ac:dyDescent="0.4">
      <c r="B68" s="226">
        <v>0.4276923076923077</v>
      </c>
      <c r="C68" s="263" t="s">
        <v>771</v>
      </c>
      <c r="D68" s="403">
        <f t="shared" si="23"/>
        <v>23.869403743505906</v>
      </c>
      <c r="E68" s="403">
        <f t="shared" si="22"/>
        <v>23.106699212737638</v>
      </c>
      <c r="F68" s="403">
        <f t="shared" si="24"/>
        <v>20.09131787974724</v>
      </c>
      <c r="G68" s="403">
        <f t="shared" si="25"/>
        <v>26.884785076496303</v>
      </c>
    </row>
    <row r="69" spans="2:7" ht="15" thickBot="1" x14ac:dyDescent="0.4">
      <c r="B69" s="226">
        <v>0.51090342679127709</v>
      </c>
      <c r="C69" s="263" t="s">
        <v>772</v>
      </c>
      <c r="D69" s="403">
        <f t="shared" si="23"/>
        <v>33.775472993579477</v>
      </c>
      <c r="E69" s="403">
        <f t="shared" si="22"/>
        <v>41.285429399062053</v>
      </c>
      <c r="F69" s="403">
        <f t="shared" si="24"/>
        <v>38.348872250446128</v>
      </c>
      <c r="G69" s="403">
        <f t="shared" si="25"/>
        <v>36.71203014219541</v>
      </c>
    </row>
    <row r="70" spans="2:7" ht="15" thickBot="1" x14ac:dyDescent="0.4">
      <c r="B70" s="226">
        <v>0.16322580645161289</v>
      </c>
      <c r="C70" s="263" t="s">
        <v>773</v>
      </c>
      <c r="D70" s="403">
        <f t="shared" si="23"/>
        <v>288.16346463915744</v>
      </c>
      <c r="E70" s="403">
        <f t="shared" si="22"/>
        <v>154.7382274293758</v>
      </c>
      <c r="F70" s="403">
        <f t="shared" si="24"/>
        <v>72.29298586667025</v>
      </c>
      <c r="G70" s="403">
        <f t="shared" si="25"/>
        <v>370.60870620186301</v>
      </c>
    </row>
    <row r="71" spans="2:7" ht="15" thickBot="1" x14ac:dyDescent="0.4">
      <c r="B71" s="227">
        <v>0.26315789473684215</v>
      </c>
      <c r="C71" s="263" t="s">
        <v>775</v>
      </c>
      <c r="D71" s="403">
        <f t="shared" si="23"/>
        <v>516.12082637702883</v>
      </c>
      <c r="E71" s="403">
        <f t="shared" si="22"/>
        <v>338.93475859442185</v>
      </c>
      <c r="F71" s="403">
        <f t="shared" si="24"/>
        <v>225.01462762406601</v>
      </c>
      <c r="G71" s="403">
        <f t="shared" si="25"/>
        <v>630.04095734738462</v>
      </c>
    </row>
    <row r="72" spans="2:7" ht="15" thickBot="1" x14ac:dyDescent="0.4">
      <c r="C72" s="405" t="s">
        <v>766</v>
      </c>
      <c r="D72" s="406">
        <f>SUM(D66:D71)</f>
        <v>1601.9427021238444</v>
      </c>
      <c r="E72" s="406">
        <f t="shared" ref="E72:G72" si="26">SUM(E66:E71)</f>
        <v>1025.5651096080001</v>
      </c>
      <c r="F72" s="406">
        <f t="shared" si="26"/>
        <v>650.72863502798077</v>
      </c>
      <c r="G72" s="406">
        <f t="shared" si="26"/>
        <v>1976.7791767038636</v>
      </c>
    </row>
    <row r="74" spans="2:7" ht="15" thickBot="1" x14ac:dyDescent="0.4"/>
    <row r="75" spans="2:7" ht="15" thickBot="1" x14ac:dyDescent="0.4">
      <c r="B75" s="222" t="s">
        <v>686</v>
      </c>
      <c r="C75" s="223"/>
      <c r="D75" s="223"/>
      <c r="E75" s="223"/>
      <c r="F75" s="223"/>
      <c r="G75" s="224"/>
    </row>
    <row r="76" spans="2:7" ht="28.5" thickBot="1" x14ac:dyDescent="0.4">
      <c r="B76" s="216" t="s">
        <v>769</v>
      </c>
      <c r="C76" s="208" t="s">
        <v>776</v>
      </c>
      <c r="D76" s="208" t="s">
        <v>742</v>
      </c>
      <c r="E76" s="208" t="s">
        <v>743</v>
      </c>
      <c r="F76" s="208" t="s">
        <v>755</v>
      </c>
      <c r="G76" s="217" t="s">
        <v>744</v>
      </c>
    </row>
    <row r="77" spans="2:7" ht="15" thickBot="1" x14ac:dyDescent="0.4">
      <c r="B77" s="225">
        <v>0.24112554112554119</v>
      </c>
      <c r="C77" s="263" t="s">
        <v>765</v>
      </c>
      <c r="D77" s="403">
        <f>G66</f>
        <v>899.68218066978397</v>
      </c>
      <c r="E77" s="403">
        <f t="shared" ref="E77:E82" si="27">VLOOKUP(C77,$B$33:$D$38,3,FALSE)*$J$7</f>
        <v>513.8879459415964</v>
      </c>
      <c r="F77" s="403">
        <f>(D77+E77)*B77</f>
        <v>340.84786169806887</v>
      </c>
      <c r="G77" s="403">
        <f>D77+E77-F77</f>
        <v>1072.7222649133114</v>
      </c>
    </row>
    <row r="78" spans="2:7" ht="15" thickBot="1" x14ac:dyDescent="0.4">
      <c r="B78" s="226">
        <v>0.4149659863945579</v>
      </c>
      <c r="C78" s="263" t="s">
        <v>770</v>
      </c>
      <c r="D78" s="403">
        <f t="shared" ref="D78:D82" si="28">G67</f>
        <v>12.850517266140441</v>
      </c>
      <c r="E78" s="403">
        <f t="shared" si="27"/>
        <v>11.948017918584574</v>
      </c>
      <c r="F78" s="403">
        <f t="shared" ref="F78:F82" si="29">(D78+E78)*B78</f>
        <v>10.290548614069566</v>
      </c>
      <c r="G78" s="403">
        <f t="shared" ref="G78:G82" si="30">D78+E78-F78</f>
        <v>14.507986570655449</v>
      </c>
    </row>
    <row r="79" spans="2:7" ht="15" thickBot="1" x14ac:dyDescent="0.4">
      <c r="B79" s="226">
        <v>0.4276923076923077</v>
      </c>
      <c r="C79" s="263" t="s">
        <v>771</v>
      </c>
      <c r="D79" s="403">
        <f t="shared" si="28"/>
        <v>26.884785076496303</v>
      </c>
      <c r="E79" s="403">
        <f t="shared" si="27"/>
        <v>25.990018358982937</v>
      </c>
      <c r="F79" s="403">
        <f t="shared" si="29"/>
        <v>22.614146700097272</v>
      </c>
      <c r="G79" s="403">
        <f t="shared" si="30"/>
        <v>30.260656735381964</v>
      </c>
    </row>
    <row r="80" spans="2:7" ht="15" thickBot="1" x14ac:dyDescent="0.4">
      <c r="B80" s="226">
        <v>0.51090342679127709</v>
      </c>
      <c r="C80" s="263" t="s">
        <v>772</v>
      </c>
      <c r="D80" s="403">
        <f t="shared" si="28"/>
        <v>36.71203014219541</v>
      </c>
      <c r="E80" s="403">
        <f t="shared" si="27"/>
        <v>46.43714180728233</v>
      </c>
      <c r="F80" s="403">
        <f t="shared" si="29"/>
        <v>42.481196883845307</v>
      </c>
      <c r="G80" s="403">
        <f t="shared" si="30"/>
        <v>40.667975065632426</v>
      </c>
    </row>
    <row r="81" spans="2:7" ht="15" thickBot="1" x14ac:dyDescent="0.4">
      <c r="B81" s="226">
        <v>0.16322580645161289</v>
      </c>
      <c r="C81" s="263" t="s">
        <v>773</v>
      </c>
      <c r="D81" s="403">
        <f t="shared" si="28"/>
        <v>370.60870620186301</v>
      </c>
      <c r="E81" s="403">
        <f t="shared" si="27"/>
        <v>174.04690019546399</v>
      </c>
      <c r="F81" s="403">
        <f t="shared" si="29"/>
        <v>88.901850592595949</v>
      </c>
      <c r="G81" s="403">
        <f t="shared" si="30"/>
        <v>455.75375580473104</v>
      </c>
    </row>
    <row r="82" spans="2:7" ht="15" thickBot="1" x14ac:dyDescent="0.4">
      <c r="B82" s="227">
        <v>0.26315789473684215</v>
      </c>
      <c r="C82" s="263" t="s">
        <v>775</v>
      </c>
      <c r="D82" s="403">
        <f t="shared" si="28"/>
        <v>630.04095734738462</v>
      </c>
      <c r="E82" s="403">
        <f t="shared" si="27"/>
        <v>381.22799441256973</v>
      </c>
      <c r="F82" s="403">
        <f t="shared" si="29"/>
        <v>266.12340835788274</v>
      </c>
      <c r="G82" s="403">
        <f t="shared" si="30"/>
        <v>745.14554340207155</v>
      </c>
    </row>
    <row r="83" spans="2:7" ht="15" thickBot="1" x14ac:dyDescent="0.4">
      <c r="C83" s="405" t="s">
        <v>766</v>
      </c>
      <c r="D83" s="406">
        <f>SUM(D77:D82)</f>
        <v>1976.7791767038636</v>
      </c>
      <c r="E83" s="406">
        <f t="shared" ref="E83:G83" si="31">SUM(E77:E82)</f>
        <v>1153.5380186344801</v>
      </c>
      <c r="F83" s="406">
        <f t="shared" si="31"/>
        <v>771.2590128465597</v>
      </c>
      <c r="G83" s="406">
        <f t="shared" si="31"/>
        <v>2359.0581824917836</v>
      </c>
    </row>
    <row r="85" spans="2:7" ht="15" thickBot="1" x14ac:dyDescent="0.4"/>
    <row r="86" spans="2:7" ht="15" thickBot="1" x14ac:dyDescent="0.4">
      <c r="B86" s="222" t="s">
        <v>685</v>
      </c>
      <c r="C86" s="223"/>
      <c r="D86" s="223"/>
      <c r="E86" s="223"/>
      <c r="F86" s="223"/>
      <c r="G86" s="224"/>
    </row>
    <row r="87" spans="2:7" ht="28.5" thickBot="1" x14ac:dyDescent="0.4">
      <c r="B87" s="216" t="s">
        <v>769</v>
      </c>
      <c r="C87" s="208" t="s">
        <v>776</v>
      </c>
      <c r="D87" s="208" t="s">
        <v>742</v>
      </c>
      <c r="E87" s="208" t="s">
        <v>743</v>
      </c>
      <c r="F87" s="208" t="s">
        <v>755</v>
      </c>
      <c r="G87" s="217" t="s">
        <v>744</v>
      </c>
    </row>
    <row r="88" spans="2:7" ht="15" thickBot="1" x14ac:dyDescent="0.4">
      <c r="B88" s="225">
        <v>0.24112554112554119</v>
      </c>
      <c r="C88" s="263" t="s">
        <v>765</v>
      </c>
      <c r="D88" s="403">
        <f>G77</f>
        <v>1072.7222649133114</v>
      </c>
      <c r="E88" s="403">
        <f t="shared" ref="E88:E93" si="32">VLOOKUP(C88,$B$33:$D$38,3,FALSE)*$K$7</f>
        <v>578.75997455314928</v>
      </c>
      <c r="F88" s="403">
        <f>(D88+E88)*B88</f>
        <v>398.21454865057092</v>
      </c>
      <c r="G88" s="403">
        <f>D88+E88-F88</f>
        <v>1253.2676908158896</v>
      </c>
    </row>
    <row r="89" spans="2:7" ht="15" thickBot="1" x14ac:dyDescent="0.4">
      <c r="B89" s="226">
        <v>0.4149659863945579</v>
      </c>
      <c r="C89" s="263" t="s">
        <v>770</v>
      </c>
      <c r="D89" s="403">
        <f t="shared" ref="D89:D93" si="33">G78</f>
        <v>14.507986570655449</v>
      </c>
      <c r="E89" s="403">
        <f t="shared" si="32"/>
        <v>13.456308133186834</v>
      </c>
      <c r="F89" s="403">
        <f t="shared" ref="F89:F93" si="34">(D89+E89)*B89</f>
        <v>11.604231135608025</v>
      </c>
      <c r="G89" s="403">
        <f t="shared" ref="G89:G93" si="35">D89+E89-F89</f>
        <v>16.36006356823426</v>
      </c>
    </row>
    <row r="90" spans="2:7" ht="15" thickBot="1" x14ac:dyDescent="0.4">
      <c r="B90" s="226">
        <v>0.4276923076923077</v>
      </c>
      <c r="C90" s="263" t="s">
        <v>771</v>
      </c>
      <c r="D90" s="403">
        <f t="shared" si="33"/>
        <v>30.260656735381964</v>
      </c>
      <c r="E90" s="403">
        <f t="shared" si="32"/>
        <v>29.270938310334248</v>
      </c>
      <c r="F90" s="403">
        <f t="shared" si="34"/>
        <v>25.461205265706322</v>
      </c>
      <c r="G90" s="403">
        <f t="shared" si="35"/>
        <v>34.07038978000989</v>
      </c>
    </row>
    <row r="91" spans="2:7" ht="15" thickBot="1" x14ac:dyDescent="0.4">
      <c r="B91" s="226">
        <v>0.51090342679127709</v>
      </c>
      <c r="C91" s="263" t="s">
        <v>772</v>
      </c>
      <c r="D91" s="403">
        <f t="shared" si="33"/>
        <v>40.667975065632426</v>
      </c>
      <c r="E91" s="403">
        <f t="shared" si="32"/>
        <v>52.299259445478746</v>
      </c>
      <c r="F91" s="403">
        <f t="shared" si="34"/>
        <v>47.497278691034978</v>
      </c>
      <c r="G91" s="403">
        <f t="shared" si="35"/>
        <v>45.469955820076194</v>
      </c>
    </row>
    <row r="92" spans="2:7" ht="15" thickBot="1" x14ac:dyDescent="0.4">
      <c r="B92" s="226">
        <v>0.16322580645161289</v>
      </c>
      <c r="C92" s="263" t="s">
        <v>773</v>
      </c>
      <c r="D92" s="403">
        <f t="shared" si="33"/>
        <v>455.75375580473104</v>
      </c>
      <c r="E92" s="403">
        <f t="shared" si="32"/>
        <v>196.01817930095879</v>
      </c>
      <c r="F92" s="403">
        <f t="shared" si="34"/>
        <v>106.38599973015452</v>
      </c>
      <c r="G92" s="403">
        <f t="shared" si="35"/>
        <v>545.38593537553538</v>
      </c>
    </row>
    <row r="93" spans="2:7" ht="15" thickBot="1" x14ac:dyDescent="0.4">
      <c r="B93" s="227">
        <v>0.26315789473684215</v>
      </c>
      <c r="C93" s="263" t="s">
        <v>775</v>
      </c>
      <c r="D93" s="403">
        <f t="shared" si="33"/>
        <v>745.14554340207155</v>
      </c>
      <c r="E93" s="403">
        <f t="shared" si="32"/>
        <v>429.35333682694085</v>
      </c>
      <c r="F93" s="403">
        <f t="shared" si="34"/>
        <v>309.07865269184543</v>
      </c>
      <c r="G93" s="403">
        <f t="shared" si="35"/>
        <v>865.42022753716697</v>
      </c>
    </row>
    <row r="94" spans="2:7" ht="15" thickBot="1" x14ac:dyDescent="0.4">
      <c r="C94" s="405" t="s">
        <v>766</v>
      </c>
      <c r="D94" s="406">
        <f>SUM(D88:D93)</f>
        <v>2359.0581824917836</v>
      </c>
      <c r="E94" s="406">
        <f t="shared" ref="E94:G94" si="36">SUM(E88:E93)</f>
        <v>1299.1579965700487</v>
      </c>
      <c r="F94" s="406">
        <f t="shared" si="36"/>
        <v>898.24191616492021</v>
      </c>
      <c r="G94" s="406">
        <f t="shared" si="36"/>
        <v>2759.9742628969125</v>
      </c>
    </row>
    <row r="96" spans="2:7" ht="15" thickBot="1" x14ac:dyDescent="0.4"/>
    <row r="97" spans="2:7" ht="15" thickBot="1" x14ac:dyDescent="0.4">
      <c r="B97" s="222" t="s">
        <v>684</v>
      </c>
      <c r="C97" s="223"/>
      <c r="D97" s="223"/>
      <c r="E97" s="223"/>
      <c r="F97" s="223"/>
      <c r="G97" s="224"/>
    </row>
    <row r="98" spans="2:7" ht="28.5" thickBot="1" x14ac:dyDescent="0.4">
      <c r="B98" s="216" t="s">
        <v>769</v>
      </c>
      <c r="C98" s="208" t="s">
        <v>776</v>
      </c>
      <c r="D98" s="208" t="s">
        <v>742</v>
      </c>
      <c r="E98" s="208" t="s">
        <v>743</v>
      </c>
      <c r="F98" s="208" t="s">
        <v>755</v>
      </c>
      <c r="G98" s="217" t="s">
        <v>744</v>
      </c>
    </row>
    <row r="99" spans="2:7" ht="15" thickBot="1" x14ac:dyDescent="0.4">
      <c r="B99" s="225">
        <v>0.24112554112554119</v>
      </c>
      <c r="C99" s="263" t="s">
        <v>765</v>
      </c>
      <c r="D99" s="403">
        <f>G88</f>
        <v>1253.2676908158896</v>
      </c>
      <c r="E99" s="403">
        <f t="shared" ref="E99:E104" si="37">VLOOKUP(C99,$B$33:$D$38,3,FALSE)*$L$7</f>
        <v>652.63140462900776</v>
      </c>
      <c r="F99" s="403">
        <f>(D99+E99)*B99</f>
        <v>459.56095071983032</v>
      </c>
      <c r="G99" s="403">
        <f>D99+E99-F99</f>
        <v>1446.338144725067</v>
      </c>
    </row>
    <row r="100" spans="2:7" ht="15" thickBot="1" x14ac:dyDescent="0.4">
      <c r="B100" s="226">
        <v>0.4149659863945579</v>
      </c>
      <c r="C100" s="263" t="s">
        <v>770</v>
      </c>
      <c r="D100" s="403">
        <f t="shared" ref="D100:D104" si="38">G89</f>
        <v>16.36006356823426</v>
      </c>
      <c r="E100" s="403">
        <f t="shared" si="37"/>
        <v>15.17383658892947</v>
      </c>
      <c r="F100" s="403">
        <f>(D100+E100)*B100</f>
        <v>13.08549598358495</v>
      </c>
      <c r="G100" s="403">
        <f t="shared" ref="G100:G104" si="39">D100+E100-F100</f>
        <v>18.44840417357878</v>
      </c>
    </row>
    <row r="101" spans="2:7" ht="15" thickBot="1" x14ac:dyDescent="0.4">
      <c r="B101" s="226">
        <v>0.4276923076923077</v>
      </c>
      <c r="C101" s="263" t="s">
        <v>771</v>
      </c>
      <c r="D101" s="403">
        <f t="shared" si="38"/>
        <v>34.07038978000989</v>
      </c>
      <c r="E101" s="403">
        <f t="shared" si="37"/>
        <v>33.007005363547606</v>
      </c>
      <c r="F101" s="403">
        <f t="shared" ref="F101:F104" si="40">(D101+E101)*B101</f>
        <v>28.688485922936898</v>
      </c>
      <c r="G101" s="403">
        <f t="shared" si="39"/>
        <v>38.388909220620597</v>
      </c>
    </row>
    <row r="102" spans="2:7" ht="15" thickBot="1" x14ac:dyDescent="0.4">
      <c r="B102" s="226">
        <v>0.51090342679127709</v>
      </c>
      <c r="C102" s="263" t="s">
        <v>772</v>
      </c>
      <c r="D102" s="403">
        <f t="shared" si="38"/>
        <v>45.469955820076194</v>
      </c>
      <c r="E102" s="403">
        <f t="shared" si="37"/>
        <v>58.974602000272291</v>
      </c>
      <c r="F102" s="403">
        <f t="shared" si="40"/>
        <v>53.361082500115714</v>
      </c>
      <c r="G102" s="403">
        <f t="shared" si="39"/>
        <v>51.083475320232765</v>
      </c>
    </row>
    <row r="103" spans="2:7" ht="15" thickBot="1" x14ac:dyDescent="0.4">
      <c r="B103" s="226">
        <v>0.16322580645161289</v>
      </c>
      <c r="C103" s="263" t="s">
        <v>773</v>
      </c>
      <c r="D103" s="403">
        <f t="shared" si="38"/>
        <v>545.38593537553538</v>
      </c>
      <c r="E103" s="403">
        <f t="shared" si="37"/>
        <v>221.03743402224072</v>
      </c>
      <c r="F103" s="403">
        <f t="shared" si="40"/>
        <v>125.10007255331442</v>
      </c>
      <c r="G103" s="403">
        <f t="shared" si="39"/>
        <v>641.32329684446177</v>
      </c>
    </row>
    <row r="104" spans="2:7" ht="15" thickBot="1" x14ac:dyDescent="0.4">
      <c r="B104" s="227">
        <v>0.26315789473684215</v>
      </c>
      <c r="C104" s="263" t="s">
        <v>775</v>
      </c>
      <c r="D104" s="403">
        <f t="shared" si="38"/>
        <v>865.42022753716697</v>
      </c>
      <c r="E104" s="403">
        <f t="shared" si="37"/>
        <v>484.15488910037851</v>
      </c>
      <c r="F104" s="403">
        <f t="shared" si="40"/>
        <v>355.15134648356468</v>
      </c>
      <c r="G104" s="403">
        <f t="shared" si="39"/>
        <v>994.42377015398085</v>
      </c>
    </row>
    <row r="105" spans="2:7" ht="15" thickBot="1" x14ac:dyDescent="0.4">
      <c r="C105" s="405" t="s">
        <v>766</v>
      </c>
      <c r="D105" s="406">
        <f>SUM(D99:D104)</f>
        <v>2759.9742628969125</v>
      </c>
      <c r="E105" s="406">
        <f t="shared" ref="E105:G105" si="41">SUM(E99:E104)</f>
        <v>1464.9791717043763</v>
      </c>
      <c r="F105" s="406">
        <f t="shared" si="41"/>
        <v>1034.9474341633468</v>
      </c>
      <c r="G105" s="406">
        <f t="shared" si="41"/>
        <v>3190.006000437942</v>
      </c>
    </row>
  </sheetData>
  <mergeCells count="2">
    <mergeCell ref="C19:F19"/>
    <mergeCell ref="G19:J19"/>
  </mergeCells>
  <hyperlinks>
    <hyperlink ref="J1" location="Contents!A1" display="Back to contents" xr:uid="{3852FB48-95EE-8B4D-9DC4-7F1040F45C43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099C-4FCB-F44E-81AF-D76041C4CAD8}">
  <sheetPr>
    <tabColor theme="4" tint="0.39997558519241921"/>
  </sheetPr>
  <dimension ref="B2:J16"/>
  <sheetViews>
    <sheetView zoomScale="134" workbookViewId="0">
      <selection activeCell="B10" sqref="B10"/>
    </sheetView>
  </sheetViews>
  <sheetFormatPr defaultColWidth="10.90625" defaultRowHeight="14.5" x14ac:dyDescent="0.35"/>
  <cols>
    <col min="2" max="2" width="34" customWidth="1"/>
    <col min="4" max="4" width="12.6328125" bestFit="1" customWidth="1"/>
  </cols>
  <sheetData>
    <row r="2" spans="2:10" ht="29" thickBot="1" x14ac:dyDescent="0.7">
      <c r="B2" s="70" t="s">
        <v>2</v>
      </c>
      <c r="I2" s="104" t="s">
        <v>550</v>
      </c>
    </row>
    <row r="5" spans="2:10" ht="15" thickBot="1" x14ac:dyDescent="0.4">
      <c r="B5" s="72" t="s">
        <v>786</v>
      </c>
      <c r="I5" s="65" t="s">
        <v>553</v>
      </c>
    </row>
    <row r="6" spans="2:10" ht="15" thickBot="1" x14ac:dyDescent="0.4">
      <c r="B6" s="261" t="s">
        <v>645</v>
      </c>
      <c r="C6" s="262" t="s">
        <v>791</v>
      </c>
      <c r="D6" s="262" t="s">
        <v>787</v>
      </c>
      <c r="E6" s="262" t="s">
        <v>788</v>
      </c>
      <c r="F6" s="262" t="s">
        <v>789</v>
      </c>
      <c r="G6" s="262" t="s">
        <v>792</v>
      </c>
      <c r="H6" s="262" t="s">
        <v>643</v>
      </c>
      <c r="I6" s="262" t="s">
        <v>731</v>
      </c>
    </row>
    <row r="7" spans="2:10" ht="15" thickBot="1" x14ac:dyDescent="0.4">
      <c r="B7" s="263" t="s">
        <v>209</v>
      </c>
      <c r="C7" s="419">
        <v>4919.3999999999996</v>
      </c>
      <c r="D7" s="419">
        <v>1045.9000000000001</v>
      </c>
      <c r="E7" s="419">
        <v>4707.3</v>
      </c>
      <c r="F7" s="419">
        <v>3968.3</v>
      </c>
      <c r="G7" s="417">
        <v>7734.4</v>
      </c>
      <c r="H7" s="417"/>
      <c r="I7" s="417"/>
    </row>
    <row r="8" spans="2:10" ht="15" thickBot="1" x14ac:dyDescent="0.4">
      <c r="B8" s="263" t="s">
        <v>790</v>
      </c>
      <c r="C8" s="417">
        <f>AVERAGE(C7,'Balance Sheet'!F21)*365/'P&amp;L (projection)'!C11</f>
        <v>87.164370864035277</v>
      </c>
      <c r="D8" s="417">
        <f>AVERAGE(C7:D7)*365/'P&amp;L (projection)'!D11</f>
        <v>63.937701885241061</v>
      </c>
      <c r="E8" s="417">
        <f>AVERAGE(D7:E7)*365/'P&amp;L (projection)'!E11</f>
        <v>40.598836894570375</v>
      </c>
      <c r="F8" s="417">
        <f>AVERAGE(E7:F7)*365/'P&amp;L (projection)'!F11</f>
        <v>46.097902545827225</v>
      </c>
      <c r="G8" s="417">
        <f>AVERAGE(F7:G7)*365/'P&amp;L (projection)'!G11</f>
        <v>62.526319256385861</v>
      </c>
      <c r="H8" s="417">
        <f>AVERAGE(C8:D8,G8)</f>
        <v>71.209464001887397</v>
      </c>
      <c r="I8" s="417">
        <f>H8</f>
        <v>71.209464001887397</v>
      </c>
      <c r="J8" t="s">
        <v>823</v>
      </c>
    </row>
    <row r="9" spans="2:10" x14ac:dyDescent="0.35">
      <c r="B9" s="428" t="s">
        <v>731</v>
      </c>
      <c r="C9" s="71"/>
      <c r="D9" s="71"/>
      <c r="E9" s="71"/>
      <c r="F9" s="71"/>
      <c r="G9" s="71"/>
      <c r="H9" s="71"/>
    </row>
    <row r="10" spans="2:10" x14ac:dyDescent="0.35">
      <c r="B10" s="376" t="s">
        <v>909</v>
      </c>
      <c r="C10" s="71"/>
      <c r="D10" s="71"/>
      <c r="E10" s="71"/>
      <c r="F10" s="71"/>
      <c r="G10" s="71"/>
      <c r="H10" s="71"/>
    </row>
    <row r="12" spans="2:10" ht="15" thickBot="1" x14ac:dyDescent="0.4">
      <c r="B12" s="72" t="s">
        <v>783</v>
      </c>
    </row>
    <row r="13" spans="2:10" ht="15" thickBot="1" x14ac:dyDescent="0.4">
      <c r="B13" s="407" t="s">
        <v>645</v>
      </c>
      <c r="C13" s="233" t="s">
        <v>792</v>
      </c>
      <c r="D13" s="233" t="s">
        <v>577</v>
      </c>
      <c r="E13" s="233" t="s">
        <v>578</v>
      </c>
      <c r="F13" s="233" t="s">
        <v>579</v>
      </c>
      <c r="G13" s="234" t="s">
        <v>580</v>
      </c>
      <c r="H13" s="235" t="s">
        <v>581</v>
      </c>
    </row>
    <row r="14" spans="2:10" ht="15" thickBot="1" x14ac:dyDescent="0.4">
      <c r="B14" s="263" t="s">
        <v>207</v>
      </c>
      <c r="C14" s="420">
        <f>G7</f>
        <v>7734.4</v>
      </c>
      <c r="D14" s="420">
        <f>$H$8*'P&amp;L (projection)'!H11/365</f>
        <v>8953.0029738998874</v>
      </c>
      <c r="E14" s="420">
        <f>$H$8*'P&amp;L (projection)'!I11/365</f>
        <v>10004.101610167478</v>
      </c>
      <c r="F14" s="420">
        <f>$H$8*'P&amp;L (projection)'!J11/365</f>
        <v>11252.441645583631</v>
      </c>
      <c r="G14" s="420">
        <f>$H$8*'P&amp;L (projection)'!K11/365</f>
        <v>12672.923916372469</v>
      </c>
      <c r="H14" s="420">
        <f>$H$8*'P&amp;L (projection)'!L11/365</f>
        <v>14290.463231643505</v>
      </c>
    </row>
    <row r="15" spans="2:10" ht="15" thickBot="1" x14ac:dyDescent="0.4">
      <c r="B15" s="263" t="s">
        <v>784</v>
      </c>
      <c r="C15" s="420">
        <f>G7</f>
        <v>7734.4</v>
      </c>
      <c r="D15" s="420">
        <f>D14</f>
        <v>8953.0029738998874</v>
      </c>
      <c r="E15" s="420">
        <f t="shared" ref="E15:H15" si="0">E14</f>
        <v>10004.101610167478</v>
      </c>
      <c r="F15" s="420">
        <f t="shared" si="0"/>
        <v>11252.441645583631</v>
      </c>
      <c r="G15" s="420">
        <f t="shared" si="0"/>
        <v>12672.923916372469</v>
      </c>
      <c r="H15" s="420">
        <f t="shared" si="0"/>
        <v>14290.463231643505</v>
      </c>
    </row>
    <row r="16" spans="2:10" ht="15" thickBot="1" x14ac:dyDescent="0.4">
      <c r="B16" s="263" t="s">
        <v>785</v>
      </c>
      <c r="C16" s="420">
        <f>C15-F7</f>
        <v>3766.0999999999995</v>
      </c>
      <c r="D16" s="421">
        <f>D15-C15</f>
        <v>1218.6029738998877</v>
      </c>
      <c r="E16" s="421">
        <f t="shared" ref="E16:H16" si="1">E15-D15</f>
        <v>1051.0986362675903</v>
      </c>
      <c r="F16" s="421">
        <f t="shared" si="1"/>
        <v>1248.3400354161531</v>
      </c>
      <c r="G16" s="421">
        <f t="shared" si="1"/>
        <v>1420.4822707888379</v>
      </c>
      <c r="H16" s="421">
        <f t="shared" si="1"/>
        <v>1617.5393152710367</v>
      </c>
    </row>
  </sheetData>
  <hyperlinks>
    <hyperlink ref="I2" location="Contents!A1" display="Back to contents" xr:uid="{39AE2321-F285-794C-A798-7191EB77C0C6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EACA-8EA9-0C49-A21A-76453408DE2F}">
  <sheetPr>
    <tabColor theme="4" tint="0.39997558519241921"/>
  </sheetPr>
  <dimension ref="A1:N17"/>
  <sheetViews>
    <sheetView zoomScale="112" workbookViewId="0">
      <selection activeCell="B15" sqref="B15"/>
    </sheetView>
  </sheetViews>
  <sheetFormatPr defaultColWidth="10.90625" defaultRowHeight="14.5" x14ac:dyDescent="0.35"/>
  <cols>
    <col min="2" max="2" width="20.1796875" customWidth="1"/>
    <col min="7" max="7" width="13.36328125" customWidth="1"/>
    <col min="8" max="8" width="11.6328125" customWidth="1"/>
    <col min="9" max="12" width="12.6328125" bestFit="1" customWidth="1"/>
    <col min="13" max="13" width="18.453125" customWidth="1"/>
  </cols>
  <sheetData>
    <row r="1" spans="1:14" ht="29" thickBot="1" x14ac:dyDescent="0.7">
      <c r="A1" s="70" t="s">
        <v>2</v>
      </c>
      <c r="L1" s="104" t="s">
        <v>550</v>
      </c>
    </row>
    <row r="2" spans="1:14" ht="15" thickBot="1" x14ac:dyDescent="0.4"/>
    <row r="3" spans="1:14" ht="15" thickBot="1" x14ac:dyDescent="0.4">
      <c r="B3" s="229" t="s">
        <v>645</v>
      </c>
      <c r="C3" s="233" t="s">
        <v>573</v>
      </c>
      <c r="D3" s="233" t="s">
        <v>574</v>
      </c>
      <c r="E3" s="233" t="s">
        <v>575</v>
      </c>
      <c r="F3" s="233" t="s">
        <v>576</v>
      </c>
      <c r="G3" s="233" t="s">
        <v>551</v>
      </c>
      <c r="H3" s="233" t="s">
        <v>577</v>
      </c>
      <c r="I3" s="233" t="s">
        <v>578</v>
      </c>
      <c r="J3" s="233" t="s">
        <v>579</v>
      </c>
      <c r="K3" s="234" t="s">
        <v>580</v>
      </c>
      <c r="L3" s="235" t="s">
        <v>581</v>
      </c>
      <c r="M3" s="237"/>
      <c r="N3" s="237"/>
    </row>
    <row r="4" spans="1:14" ht="15" thickBot="1" x14ac:dyDescent="0.4">
      <c r="B4" s="263" t="s">
        <v>778</v>
      </c>
      <c r="C4" s="417">
        <f>'Balance Sheet'!G55</f>
        <v>4473</v>
      </c>
      <c r="D4" s="417">
        <f>'Balance Sheet'!H55</f>
        <v>16549.7</v>
      </c>
      <c r="E4" s="417">
        <f>'Balance Sheet'!I55</f>
        <v>36270.400000000001</v>
      </c>
      <c r="F4" s="417">
        <f>'Balance Sheet'!J55</f>
        <v>78411.7</v>
      </c>
      <c r="G4" s="417">
        <f>'Balance Sheet (projection)'!G21</f>
        <v>94260.5</v>
      </c>
      <c r="H4" s="413">
        <f>G4*(1+H5)</f>
        <v>113312.70537751382</v>
      </c>
      <c r="I4" s="413">
        <f t="shared" ref="I4:L4" si="0">H4*(1+I5)</f>
        <v>136215.79770923397</v>
      </c>
      <c r="J4" s="413">
        <f t="shared" si="0"/>
        <v>163748.12942419626</v>
      </c>
      <c r="K4" s="413">
        <f t="shared" si="0"/>
        <v>196845.37579965047</v>
      </c>
      <c r="L4" s="422">
        <f t="shared" si="0"/>
        <v>236632.33351098056</v>
      </c>
      <c r="M4" s="228"/>
    </row>
    <row r="5" spans="1:14" ht="15" thickBot="1" x14ac:dyDescent="0.4">
      <c r="B5" s="263" t="s">
        <v>781</v>
      </c>
      <c r="C5" s="408"/>
      <c r="D5" s="409">
        <f>D4/C4-1</f>
        <v>2.6999105745584622</v>
      </c>
      <c r="E5" s="409">
        <f t="shared" ref="E5:G5" si="1">E4/D4-1</f>
        <v>1.191604681655861</v>
      </c>
      <c r="F5" s="409">
        <f t="shared" si="1"/>
        <v>1.161864771273545</v>
      </c>
      <c r="G5" s="409">
        <f t="shared" si="1"/>
        <v>0.2021228974757594</v>
      </c>
      <c r="H5" s="238">
        <f>$G$5</f>
        <v>0.2021228974757594</v>
      </c>
      <c r="I5" s="238">
        <f t="shared" ref="I5:L5" si="2">$G$5</f>
        <v>0.2021228974757594</v>
      </c>
      <c r="J5" s="238">
        <f t="shared" si="2"/>
        <v>0.2021228974757594</v>
      </c>
      <c r="K5" s="238">
        <f t="shared" si="2"/>
        <v>0.2021228974757594</v>
      </c>
      <c r="L5" s="239">
        <f t="shared" si="2"/>
        <v>0.2021228974757594</v>
      </c>
      <c r="M5" s="228"/>
    </row>
    <row r="6" spans="1:14" ht="15" thickBot="1" x14ac:dyDescent="0.4">
      <c r="B6" s="263" t="s">
        <v>779</v>
      </c>
      <c r="C6" s="417">
        <f>'P&amp;L (projection)'!C20</f>
        <v>423</v>
      </c>
      <c r="D6" s="417">
        <f>'P&amp;L (projection)'!D20</f>
        <v>864</v>
      </c>
      <c r="E6" s="417">
        <f>'P&amp;L (projection)'!E20</f>
        <v>1073</v>
      </c>
      <c r="F6" s="417">
        <f>'P&amp;L (projection)'!F20</f>
        <v>2736.8</v>
      </c>
      <c r="G6" s="417">
        <f>'P&amp;L (projection)'!G20</f>
        <v>5362.9</v>
      </c>
      <c r="H6" s="413">
        <f>H4*H7</f>
        <v>6798.7623226508285</v>
      </c>
      <c r="I6" s="413">
        <f t="shared" ref="I6:L6" si="3">I4*I7</f>
        <v>8172.9478625540378</v>
      </c>
      <c r="J6" s="413">
        <f t="shared" si="3"/>
        <v>9824.8877654517746</v>
      </c>
      <c r="K6" s="413">
        <f t="shared" si="3"/>
        <v>11810.722547979029</v>
      </c>
      <c r="L6" s="422">
        <f t="shared" si="3"/>
        <v>14197.940010658833</v>
      </c>
    </row>
    <row r="7" spans="1:14" ht="15" thickBot="1" x14ac:dyDescent="0.4">
      <c r="B7" s="263" t="s">
        <v>780</v>
      </c>
      <c r="C7" s="409">
        <f>C6/C4</f>
        <v>9.4567404426559351E-2</v>
      </c>
      <c r="D7" s="409">
        <f t="shared" ref="D7:G7" si="4">D6/D4</f>
        <v>5.2206384405759622E-2</v>
      </c>
      <c r="E7" s="409">
        <f t="shared" si="4"/>
        <v>2.9583351713794167E-2</v>
      </c>
      <c r="F7" s="409">
        <f t="shared" si="4"/>
        <v>3.4902954533570889E-2</v>
      </c>
      <c r="G7" s="409">
        <f t="shared" si="4"/>
        <v>5.6894457381405784E-2</v>
      </c>
      <c r="H7" s="240">
        <v>0.06</v>
      </c>
      <c r="I7" s="240">
        <v>0.06</v>
      </c>
      <c r="J7" s="240">
        <v>0.06</v>
      </c>
      <c r="K7" s="240">
        <v>0.06</v>
      </c>
      <c r="L7" s="241">
        <v>0.06</v>
      </c>
    </row>
    <row r="9" spans="1:14" ht="15" thickBot="1" x14ac:dyDescent="0.4"/>
    <row r="10" spans="1:14" x14ac:dyDescent="0.35">
      <c r="B10" s="229" t="s">
        <v>645</v>
      </c>
      <c r="C10" s="233" t="s">
        <v>573</v>
      </c>
      <c r="D10" s="233" t="s">
        <v>574</v>
      </c>
      <c r="E10" s="233" t="s">
        <v>575</v>
      </c>
      <c r="F10" s="233" t="s">
        <v>576</v>
      </c>
      <c r="G10" s="233" t="s">
        <v>551</v>
      </c>
      <c r="H10" s="233" t="s">
        <v>577</v>
      </c>
      <c r="I10" s="233" t="s">
        <v>578</v>
      </c>
      <c r="J10" s="233" t="s">
        <v>579</v>
      </c>
      <c r="K10" s="234" t="s">
        <v>580</v>
      </c>
      <c r="L10" s="235" t="s">
        <v>581</v>
      </c>
      <c r="M10" s="237"/>
    </row>
    <row r="11" spans="1:14" x14ac:dyDescent="0.35">
      <c r="B11" s="197" t="s">
        <v>562</v>
      </c>
      <c r="C11" s="191">
        <f>'P&amp;L (projection)'!C23</f>
        <v>7401.5000000000018</v>
      </c>
      <c r="D11" s="191">
        <f>'P&amp;L (projection)'!D23</f>
        <v>7555.7000000000035</v>
      </c>
      <c r="E11" s="191">
        <f>'P&amp;L (projection)'!E23</f>
        <v>14225.100000000002</v>
      </c>
      <c r="F11" s="191">
        <f>'P&amp;L (projection)'!F23</f>
        <v>18350.399999999994</v>
      </c>
      <c r="G11" s="191">
        <f>'P&amp;L (projection)'!G23</f>
        <v>14979.7</v>
      </c>
      <c r="H11" s="191">
        <f>'P&amp;L (projection)'!H23</f>
        <v>25859.328391373027</v>
      </c>
      <c r="I11" s="191">
        <f>'P&amp;L (projection)'!I23</f>
        <v>28579.27106248682</v>
      </c>
      <c r="J11" s="191">
        <f>'P&amp;L (projection)'!J23</f>
        <v>31909.814752769595</v>
      </c>
      <c r="K11" s="191">
        <f>'P&amp;L (projection)'!K23</f>
        <v>35649.338261619509</v>
      </c>
      <c r="L11" s="410">
        <f>'P&amp;L (projection)'!L23</f>
        <v>39839.735360634528</v>
      </c>
    </row>
    <row r="12" spans="1:14" x14ac:dyDescent="0.35">
      <c r="B12" s="197" t="s">
        <v>782</v>
      </c>
      <c r="C12" s="191">
        <f>'P&amp;L (projection)'!C24</f>
        <v>2665</v>
      </c>
      <c r="D12" s="191">
        <f>'P&amp;L (projection)'!D24</f>
        <v>1907.9</v>
      </c>
      <c r="E12" s="191">
        <f>'P&amp;L (projection)'!E24</f>
        <v>3630.6</v>
      </c>
      <c r="F12" s="191">
        <f>'P&amp;L (projection)'!F24</f>
        <v>4701.6000000000004</v>
      </c>
      <c r="G12" s="191">
        <f>'P&amp;L (projection)'!G24</f>
        <v>3834.9</v>
      </c>
      <c r="H12" s="191">
        <f>H11*H13</f>
        <v>6620.1551732061671</v>
      </c>
      <c r="I12" s="191">
        <f t="shared" ref="I12:L12" si="5">I11*I13</f>
        <v>7316.4780734948436</v>
      </c>
      <c r="J12" s="191">
        <f t="shared" si="5"/>
        <v>8169.1187804426072</v>
      </c>
      <c r="K12" s="191">
        <f t="shared" si="5"/>
        <v>9126.4609638033253</v>
      </c>
      <c r="L12" s="410">
        <f t="shared" si="5"/>
        <v>10199.229699826923</v>
      </c>
    </row>
    <row r="13" spans="1:14" ht="15" thickBot="1" x14ac:dyDescent="0.4">
      <c r="B13" s="198" t="s">
        <v>647</v>
      </c>
      <c r="C13" s="368">
        <f>C12/C11</f>
        <v>0.3600621495642774</v>
      </c>
      <c r="D13" s="368">
        <f t="shared" ref="D13:G13" si="6">D12/D11</f>
        <v>0.2525113490477387</v>
      </c>
      <c r="E13" s="368">
        <f t="shared" si="6"/>
        <v>0.25522491933272873</v>
      </c>
      <c r="F13" s="368">
        <f t="shared" si="6"/>
        <v>0.25621239863981177</v>
      </c>
      <c r="G13" s="368">
        <f t="shared" si="6"/>
        <v>0.25600646207867983</v>
      </c>
      <c r="H13" s="369">
        <f>$G$13</f>
        <v>0.25600646207867983</v>
      </c>
      <c r="I13" s="369">
        <f t="shared" ref="I13:L13" si="7">$G$13</f>
        <v>0.25600646207867983</v>
      </c>
      <c r="J13" s="369">
        <f t="shared" si="7"/>
        <v>0.25600646207867983</v>
      </c>
      <c r="K13" s="369">
        <f t="shared" si="7"/>
        <v>0.25600646207867983</v>
      </c>
      <c r="L13" s="370">
        <f t="shared" si="7"/>
        <v>0.25600646207867983</v>
      </c>
    </row>
    <row r="15" spans="1:14" x14ac:dyDescent="0.35">
      <c r="B15" s="429" t="s">
        <v>914</v>
      </c>
    </row>
    <row r="16" spans="1:14" x14ac:dyDescent="0.35">
      <c r="B16" t="s">
        <v>910</v>
      </c>
    </row>
    <row r="17" spans="2:2" x14ac:dyDescent="0.35">
      <c r="B17" t="s">
        <v>911</v>
      </c>
    </row>
  </sheetData>
  <hyperlinks>
    <hyperlink ref="L1" location="Contents!A1" display="Back to contents" xr:uid="{582330C1-E1DE-D545-A955-001E2BD62869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F3AC-A91F-3B4B-9935-590CA6D590A4}">
  <sheetPr>
    <tabColor theme="4" tint="0.39997558519241921"/>
  </sheetPr>
  <dimension ref="B1:L29"/>
  <sheetViews>
    <sheetView zoomScale="125" workbookViewId="0">
      <selection activeCell="G32" sqref="G32"/>
    </sheetView>
  </sheetViews>
  <sheetFormatPr defaultColWidth="10.90625" defaultRowHeight="14.5" x14ac:dyDescent="0.35"/>
  <cols>
    <col min="1" max="1" width="3.453125" customWidth="1"/>
    <col min="2" max="2" width="59.453125" customWidth="1"/>
  </cols>
  <sheetData>
    <row r="1" spans="2:12" ht="28.5" x14ac:dyDescent="0.65">
      <c r="B1" s="70" t="s">
        <v>2</v>
      </c>
    </row>
    <row r="3" spans="2:12" ht="15.5" x14ac:dyDescent="0.35">
      <c r="B3" s="60" t="s">
        <v>549</v>
      </c>
    </row>
    <row r="4" spans="2:12" ht="15" thickBot="1" x14ac:dyDescent="0.4">
      <c r="L4" s="65" t="s">
        <v>553</v>
      </c>
    </row>
    <row r="5" spans="2:12" x14ac:dyDescent="0.35">
      <c r="B5" s="243" t="s">
        <v>548</v>
      </c>
      <c r="C5" s="233" t="s">
        <v>573</v>
      </c>
      <c r="D5" s="233" t="s">
        <v>574</v>
      </c>
      <c r="E5" s="233" t="s">
        <v>575</v>
      </c>
      <c r="F5" s="233" t="s">
        <v>576</v>
      </c>
      <c r="G5" s="233" t="s">
        <v>551</v>
      </c>
      <c r="H5" s="233" t="s">
        <v>577</v>
      </c>
      <c r="I5" s="233" t="s">
        <v>578</v>
      </c>
      <c r="J5" s="233" t="s">
        <v>579</v>
      </c>
      <c r="K5" s="234" t="s">
        <v>580</v>
      </c>
      <c r="L5" s="235" t="s">
        <v>581</v>
      </c>
    </row>
    <row r="6" spans="2:12" x14ac:dyDescent="0.35">
      <c r="B6" s="244" t="s">
        <v>552</v>
      </c>
      <c r="C6" s="191">
        <f>'Income Statement'!G17</f>
        <v>1796.9</v>
      </c>
      <c r="D6" s="191">
        <f>'Income Statement'!H17</f>
        <v>2350.4</v>
      </c>
      <c r="E6" s="191">
        <f>'Income Statement'!I17</f>
        <v>3448.9</v>
      </c>
      <c r="F6" s="191">
        <f>'Income Statement'!J17</f>
        <v>7185.5</v>
      </c>
      <c r="G6" s="191">
        <v>10015.4</v>
      </c>
      <c r="H6" s="190">
        <f>'Revenue Assumptions'!H10</f>
        <v>8007.0148399999998</v>
      </c>
      <c r="I6" s="190">
        <f>'Revenue Assumptions'!I10</f>
        <v>8912.9806804000018</v>
      </c>
      <c r="J6" s="190">
        <f>'Revenue Assumptions'!J10</f>
        <v>10229.610723723999</v>
      </c>
      <c r="K6" s="190">
        <f>'Revenue Assumptions'!K10</f>
        <v>11742.517150022441</v>
      </c>
      <c r="L6" s="245">
        <f>'Revenue Assumptions'!L10</f>
        <v>13481.068329330034</v>
      </c>
    </row>
    <row r="7" spans="2:12" x14ac:dyDescent="0.35">
      <c r="B7" s="197" t="s">
        <v>571</v>
      </c>
      <c r="C7" s="191">
        <v>9328</v>
      </c>
      <c r="D7" s="191">
        <v>9476</v>
      </c>
      <c r="E7" s="191">
        <v>15045</v>
      </c>
      <c r="F7" s="191">
        <v>15525.9</v>
      </c>
      <c r="G7" s="191">
        <v>12563</v>
      </c>
      <c r="H7" s="190">
        <f>'Revenue Assumptions'!H12</f>
        <v>13316.78</v>
      </c>
      <c r="I7" s="190">
        <f>'Revenue Assumptions'!I12</f>
        <v>14115.786800000002</v>
      </c>
      <c r="J7" s="190">
        <f>'Revenue Assumptions'!J12</f>
        <v>14962.734008000003</v>
      </c>
      <c r="K7" s="190">
        <f>'Revenue Assumptions'!K12</f>
        <v>15860.498048480003</v>
      </c>
      <c r="L7" s="245">
        <f>'Revenue Assumptions'!L12</f>
        <v>16812.127931388804</v>
      </c>
    </row>
    <row r="8" spans="2:12" x14ac:dyDescent="0.35">
      <c r="B8" s="197" t="s">
        <v>565</v>
      </c>
      <c r="C8" s="191">
        <v>5733</v>
      </c>
      <c r="D8" s="191">
        <v>5218</v>
      </c>
      <c r="E8" s="191">
        <v>6961</v>
      </c>
      <c r="F8" s="191">
        <v>11016.8</v>
      </c>
      <c r="G8" s="191">
        <v>10674.4</v>
      </c>
      <c r="H8" s="190">
        <f>'Revenue Assumptions'!H13</f>
        <v>12275.56</v>
      </c>
      <c r="I8" s="190">
        <f>'Revenue Assumptions'!I13</f>
        <v>14116.893999999998</v>
      </c>
      <c r="J8" s="190">
        <f>'Revenue Assumptions'!J13</f>
        <v>16234.428099999997</v>
      </c>
      <c r="K8" s="190">
        <f>'Revenue Assumptions'!K13</f>
        <v>18669.592314999994</v>
      </c>
      <c r="L8" s="245">
        <f>'Revenue Assumptions'!L13</f>
        <v>21470.03116224999</v>
      </c>
    </row>
    <row r="9" spans="2:12" x14ac:dyDescent="0.35">
      <c r="B9" s="197" t="s">
        <v>68</v>
      </c>
      <c r="C9" s="191">
        <f>'Income Statement'!G22</f>
        <v>166</v>
      </c>
      <c r="D9" s="191">
        <f>'Income Statement'!H22</f>
        <v>-33.1</v>
      </c>
      <c r="E9" s="191">
        <f>'Income Statement'!I22</f>
        <v>386.4</v>
      </c>
      <c r="F9" s="191">
        <f>'Income Statement'!J22</f>
        <v>588.70000000000005</v>
      </c>
      <c r="G9" s="191">
        <v>889</v>
      </c>
      <c r="H9" s="190">
        <f>'Revenue Assumptions'!H13</f>
        <v>12275.56</v>
      </c>
      <c r="I9" s="190">
        <f>'Revenue Assumptions'!I13</f>
        <v>14116.893999999998</v>
      </c>
      <c r="J9" s="190">
        <f>'Revenue Assumptions'!J13</f>
        <v>16234.428099999997</v>
      </c>
      <c r="K9" s="190">
        <f>'Revenue Assumptions'!K13</f>
        <v>18669.592314999994</v>
      </c>
      <c r="L9" s="245">
        <f>'Revenue Assumptions'!L13</f>
        <v>21470.03116224999</v>
      </c>
    </row>
    <row r="10" spans="2:12" ht="15" thickBot="1" x14ac:dyDescent="0.4">
      <c r="B10" s="198" t="s">
        <v>554</v>
      </c>
      <c r="C10" s="188">
        <f>'Income Statement'!G27</f>
        <v>21.7</v>
      </c>
      <c r="D10" s="188">
        <f>'Income Statement'!H27</f>
        <v>15.7</v>
      </c>
      <c r="E10" s="188">
        <f>'Income Statement'!I27</f>
        <v>20.5</v>
      </c>
      <c r="F10" s="188">
        <f>'Income Statement'!J27</f>
        <v>29.5</v>
      </c>
      <c r="G10" s="188">
        <v>15.7</v>
      </c>
      <c r="H10" s="189">
        <f>'Revenue Assumptions'!H15</f>
        <v>15.7</v>
      </c>
      <c r="I10" s="189">
        <f>'Revenue Assumptions'!I15</f>
        <v>15.7</v>
      </c>
      <c r="J10" s="189">
        <f>'Revenue Assumptions'!J15</f>
        <v>15.7</v>
      </c>
      <c r="K10" s="189">
        <f>'Revenue Assumptions'!K15</f>
        <v>15.7</v>
      </c>
      <c r="L10" s="246">
        <f>'Revenue Assumptions'!L15</f>
        <v>15.7</v>
      </c>
    </row>
    <row r="11" spans="2:12" x14ac:dyDescent="0.35">
      <c r="B11" s="212" t="s">
        <v>566</v>
      </c>
      <c r="C11" s="247">
        <f t="shared" ref="C11:E11" si="0">SUM(C6:C10)</f>
        <v>17045.600000000002</v>
      </c>
      <c r="D11" s="247">
        <f t="shared" si="0"/>
        <v>17027.000000000004</v>
      </c>
      <c r="E11" s="247">
        <f t="shared" si="0"/>
        <v>25861.800000000003</v>
      </c>
      <c r="F11" s="247">
        <f>SUM(F6:F10)</f>
        <v>34346.399999999994</v>
      </c>
      <c r="G11" s="247">
        <f>SUM(G6:G10)</f>
        <v>34157.5</v>
      </c>
      <c r="H11" s="248">
        <f t="shared" ref="H11:L11" si="1">SUM(H6:H10)</f>
        <v>45890.614839999995</v>
      </c>
      <c r="I11" s="248">
        <f t="shared" si="1"/>
        <v>51278.255480400003</v>
      </c>
      <c r="J11" s="248">
        <f t="shared" si="1"/>
        <v>57676.900931723991</v>
      </c>
      <c r="K11" s="248">
        <f t="shared" si="1"/>
        <v>64957.899828502428</v>
      </c>
      <c r="L11" s="249">
        <f t="shared" si="1"/>
        <v>73248.958585218817</v>
      </c>
    </row>
    <row r="12" spans="2:12" x14ac:dyDescent="0.35">
      <c r="B12" s="197" t="s">
        <v>555</v>
      </c>
      <c r="C12" s="191">
        <v>5545</v>
      </c>
      <c r="D12" s="191">
        <v>5338</v>
      </c>
      <c r="E12" s="191">
        <v>5880</v>
      </c>
      <c r="F12" s="191">
        <v>6644.1</v>
      </c>
      <c r="G12" s="191">
        <v>6978.2</v>
      </c>
      <c r="H12" s="190">
        <f>'Expense Assumptions'!H8</f>
        <v>7836.7465294702488</v>
      </c>
      <c r="I12" s="190">
        <f>'Expense Assumptions'!I8</f>
        <v>8511.0985683311628</v>
      </c>
      <c r="J12" s="190">
        <f>'Expense Assumptions'!J8</f>
        <v>9243.4786001360608</v>
      </c>
      <c r="K12" s="190">
        <f>'Expense Assumptions'!K8</f>
        <v>10038.879933677768</v>
      </c>
      <c r="L12" s="245">
        <f>'Expense Assumptions'!L8</f>
        <v>10902.72555197074</v>
      </c>
    </row>
    <row r="13" spans="2:12" x14ac:dyDescent="0.35">
      <c r="B13" s="197" t="s">
        <v>557</v>
      </c>
      <c r="C13" s="191">
        <v>375</v>
      </c>
      <c r="D13" s="191">
        <v>437</v>
      </c>
      <c r="E13" s="191">
        <v>1221.5999999999999</v>
      </c>
      <c r="F13" s="191">
        <v>1665.6</v>
      </c>
      <c r="G13" s="191">
        <v>1563.2</v>
      </c>
      <c r="H13" s="190">
        <f>'Expense Assumptions'!H10</f>
        <v>1791.4638000000002</v>
      </c>
      <c r="I13" s="190">
        <f>'Expense Assumptions'!I10</f>
        <v>1976.2876560000004</v>
      </c>
      <c r="J13" s="190">
        <f>'Expense Assumptions'!J10</f>
        <v>2183.8013475600001</v>
      </c>
      <c r="K13" s="190">
        <f>'Expense Assumptions'!K10</f>
        <v>2417.1063254435999</v>
      </c>
      <c r="L13" s="245">
        <f>'Expense Assumptions'!L10</f>
        <v>2679.7511365547157</v>
      </c>
    </row>
    <row r="14" spans="2:12" x14ac:dyDescent="0.35">
      <c r="B14" s="197" t="s">
        <v>559</v>
      </c>
      <c r="C14" s="191">
        <v>851</v>
      </c>
      <c r="D14" s="191">
        <v>587</v>
      </c>
      <c r="E14" s="191">
        <v>769</v>
      </c>
      <c r="F14" s="191">
        <v>1139.5999999999999</v>
      </c>
      <c r="G14" s="191">
        <v>1307.4000000000001</v>
      </c>
      <c r="H14" s="190">
        <f>'Expense Assumptions'!H14</f>
        <v>1535.5403999999999</v>
      </c>
      <c r="I14" s="190">
        <f>'Expense Assumptions'!I14</f>
        <v>1693.9608479999999</v>
      </c>
      <c r="J14" s="190">
        <f>'Expense Assumptions'!J14</f>
        <v>1871.8297264799999</v>
      </c>
      <c r="K14" s="190">
        <f>'Expense Assumptions'!K14</f>
        <v>2071.8054218088</v>
      </c>
      <c r="L14" s="245">
        <f>'Expense Assumptions'!L14</f>
        <v>2296.9295456183277</v>
      </c>
    </row>
    <row r="15" spans="2:12" x14ac:dyDescent="0.35">
      <c r="B15" s="197" t="s">
        <v>560</v>
      </c>
      <c r="C15" s="191">
        <v>2327</v>
      </c>
      <c r="D15" s="191">
        <v>1738</v>
      </c>
      <c r="E15" s="191">
        <v>2110.1</v>
      </c>
      <c r="F15" s="191">
        <v>3115.2</v>
      </c>
      <c r="G15" s="191">
        <v>3248.3</v>
      </c>
      <c r="H15" s="190">
        <f>'Expense Assumptions'!H14</f>
        <v>1535.5403999999999</v>
      </c>
      <c r="I15" s="190">
        <f>'Expense Assumptions'!I14</f>
        <v>1693.9608479999999</v>
      </c>
      <c r="J15" s="190">
        <f>'Expense Assumptions'!J14</f>
        <v>1871.8297264799999</v>
      </c>
      <c r="K15" s="190">
        <f>'Expense Assumptions'!K14</f>
        <v>2071.8054218088</v>
      </c>
      <c r="L15" s="245">
        <f>'Expense Assumptions'!L14</f>
        <v>2296.9295456183277</v>
      </c>
    </row>
    <row r="16" spans="2:12" ht="15" thickBot="1" x14ac:dyDescent="0.4">
      <c r="B16" s="250" t="s">
        <v>561</v>
      </c>
      <c r="C16" s="192">
        <f>SUM(C12:C15)</f>
        <v>9098</v>
      </c>
      <c r="D16" s="192">
        <f t="shared" ref="D16:F16" si="2">SUM(D12:D15)</f>
        <v>8100</v>
      </c>
      <c r="E16" s="192">
        <f t="shared" si="2"/>
        <v>9980.7000000000007</v>
      </c>
      <c r="F16" s="192">
        <f t="shared" si="2"/>
        <v>12564.5</v>
      </c>
      <c r="G16" s="192">
        <f>SUM(G12:G15)</f>
        <v>13097.099999999999</v>
      </c>
      <c r="H16" s="204">
        <f t="shared" ref="H16:L16" si="3">SUM(H12:H15)</f>
        <v>12699.291129470248</v>
      </c>
      <c r="I16" s="204">
        <f t="shared" si="3"/>
        <v>13875.307920331164</v>
      </c>
      <c r="J16" s="204">
        <f t="shared" si="3"/>
        <v>15170.939400656061</v>
      </c>
      <c r="K16" s="204">
        <f t="shared" si="3"/>
        <v>16599.597102738968</v>
      </c>
      <c r="L16" s="251">
        <f t="shared" si="3"/>
        <v>18176.33577976211</v>
      </c>
    </row>
    <row r="17" spans="2:12" x14ac:dyDescent="0.35">
      <c r="B17" s="212" t="s">
        <v>547</v>
      </c>
      <c r="C17" s="247">
        <f>C11-C16</f>
        <v>7947.6000000000022</v>
      </c>
      <c r="D17" s="247">
        <f>D11-D16</f>
        <v>8927.0000000000036</v>
      </c>
      <c r="E17" s="247">
        <f>E11-E16</f>
        <v>15881.100000000002</v>
      </c>
      <c r="F17" s="247">
        <f>F11-F16</f>
        <v>21781.899999999994</v>
      </c>
      <c r="G17" s="247">
        <f>G11-G16</f>
        <v>21060.400000000001</v>
      </c>
      <c r="H17" s="248">
        <f t="shared" ref="H17:L17" si="4">H11-H16</f>
        <v>33191.323710529745</v>
      </c>
      <c r="I17" s="248">
        <f t="shared" si="4"/>
        <v>37402.947560068838</v>
      </c>
      <c r="J17" s="248">
        <f t="shared" si="4"/>
        <v>42505.961531067929</v>
      </c>
      <c r="K17" s="248">
        <f t="shared" si="4"/>
        <v>48358.30272576346</v>
      </c>
      <c r="L17" s="249">
        <f t="shared" si="4"/>
        <v>55072.622805456704</v>
      </c>
    </row>
    <row r="18" spans="2:12" x14ac:dyDescent="0.35">
      <c r="B18" s="197" t="s">
        <v>556</v>
      </c>
      <c r="C18" s="191">
        <v>150</v>
      </c>
      <c r="D18" s="191">
        <v>614</v>
      </c>
      <c r="E18" s="191">
        <v>542</v>
      </c>
      <c r="F18" s="191">
        <v>625.29999999999995</v>
      </c>
      <c r="G18" s="191">
        <v>750.7</v>
      </c>
      <c r="H18" s="190">
        <f>'Capex Assumption'!H11</f>
        <v>533.2329965058891</v>
      </c>
      <c r="I18" s="190">
        <f>'Capex Assumption'!I11</f>
        <v>650.72863502798077</v>
      </c>
      <c r="J18" s="190">
        <f>'Capex Assumption'!J11</f>
        <v>771.2590128465597</v>
      </c>
      <c r="K18" s="190">
        <f>'Capex Assumption'!K11</f>
        <v>898.24191616492021</v>
      </c>
      <c r="L18" s="245">
        <f>'Capex Assumption'!L11</f>
        <v>1034.9474341633468</v>
      </c>
    </row>
    <row r="19" spans="2:12" ht="15" thickBot="1" x14ac:dyDescent="0.4">
      <c r="B19" s="250" t="s">
        <v>546</v>
      </c>
      <c r="C19" s="192">
        <f t="shared" ref="C19:H19" si="5">C17-C18</f>
        <v>7797.6000000000022</v>
      </c>
      <c r="D19" s="192">
        <f t="shared" si="5"/>
        <v>8313.0000000000036</v>
      </c>
      <c r="E19" s="192">
        <f t="shared" si="5"/>
        <v>15339.100000000002</v>
      </c>
      <c r="F19" s="192">
        <f t="shared" si="5"/>
        <v>21156.599999999995</v>
      </c>
      <c r="G19" s="192">
        <f t="shared" si="5"/>
        <v>20309.7</v>
      </c>
      <c r="H19" s="204">
        <f t="shared" si="5"/>
        <v>32658.090714023856</v>
      </c>
      <c r="I19" s="204">
        <f t="shared" ref="I19:L19" si="6">I17-I18</f>
        <v>36752.218925040856</v>
      </c>
      <c r="J19" s="204">
        <f t="shared" si="6"/>
        <v>41734.702518221369</v>
      </c>
      <c r="K19" s="204">
        <f t="shared" si="6"/>
        <v>47460.060809598537</v>
      </c>
      <c r="L19" s="251">
        <f t="shared" si="6"/>
        <v>54037.675371293357</v>
      </c>
    </row>
    <row r="20" spans="2:12" x14ac:dyDescent="0.35">
      <c r="B20" s="197" t="s">
        <v>558</v>
      </c>
      <c r="C20" s="191">
        <v>423</v>
      </c>
      <c r="D20" s="191">
        <v>864</v>
      </c>
      <c r="E20" s="191">
        <v>1073</v>
      </c>
      <c r="F20" s="191">
        <v>2736.8</v>
      </c>
      <c r="G20" s="191">
        <v>5362.9</v>
      </c>
      <c r="H20" s="190">
        <f>'Debt &amp; Tax Assumption'!H6</f>
        <v>6798.7623226508285</v>
      </c>
      <c r="I20" s="190">
        <f>'Debt &amp; Tax Assumption'!I6</f>
        <v>8172.9478625540378</v>
      </c>
      <c r="J20" s="190">
        <f>'Debt &amp; Tax Assumption'!J6</f>
        <v>9824.8877654517746</v>
      </c>
      <c r="K20" s="190">
        <f>'Debt &amp; Tax Assumption'!K6</f>
        <v>11810.722547979029</v>
      </c>
      <c r="L20" s="245">
        <f>'Debt &amp; Tax Assumption'!L6</f>
        <v>14197.940010658833</v>
      </c>
    </row>
    <row r="21" spans="2:12" x14ac:dyDescent="0.35">
      <c r="B21" s="212" t="s">
        <v>562</v>
      </c>
      <c r="C21" s="247">
        <f>C19-C20</f>
        <v>7374.6000000000022</v>
      </c>
      <c r="D21" s="247">
        <f t="shared" ref="D21:G21" si="7">D19-D20</f>
        <v>7449.0000000000036</v>
      </c>
      <c r="E21" s="247">
        <f t="shared" si="7"/>
        <v>14266.100000000002</v>
      </c>
      <c r="F21" s="247">
        <f t="shared" si="7"/>
        <v>18419.799999999996</v>
      </c>
      <c r="G21" s="247">
        <f t="shared" si="7"/>
        <v>14946.800000000001</v>
      </c>
      <c r="H21" s="248">
        <f>H19-H20</f>
        <v>25859.328391373027</v>
      </c>
      <c r="I21" s="248">
        <f t="shared" ref="I21:L21" si="8">I19-I20</f>
        <v>28579.27106248682</v>
      </c>
      <c r="J21" s="248">
        <f t="shared" si="8"/>
        <v>31909.814752769595</v>
      </c>
      <c r="K21" s="248">
        <f t="shared" si="8"/>
        <v>35649.338261619509</v>
      </c>
      <c r="L21" s="249">
        <f t="shared" si="8"/>
        <v>39839.735360634528</v>
      </c>
    </row>
    <row r="22" spans="2:12" x14ac:dyDescent="0.35">
      <c r="B22" s="197" t="s">
        <v>563</v>
      </c>
      <c r="C22" s="193">
        <v>26.9</v>
      </c>
      <c r="D22" s="193">
        <v>106.7</v>
      </c>
      <c r="E22" s="193">
        <v>-41</v>
      </c>
      <c r="F22" s="193">
        <v>-69.400000000000006</v>
      </c>
      <c r="G22" s="191">
        <v>32.9</v>
      </c>
      <c r="H22" s="190">
        <f>0</f>
        <v>0</v>
      </c>
      <c r="I22" s="190">
        <f>0</f>
        <v>0</v>
      </c>
      <c r="J22" s="190">
        <f>0</f>
        <v>0</v>
      </c>
      <c r="K22" s="190">
        <f>0</f>
        <v>0</v>
      </c>
      <c r="L22" s="245">
        <f>0</f>
        <v>0</v>
      </c>
    </row>
    <row r="23" spans="2:12" ht="15" thickBot="1" x14ac:dyDescent="0.4">
      <c r="B23" s="250" t="s">
        <v>106</v>
      </c>
      <c r="C23" s="192">
        <f>C21+C22</f>
        <v>7401.5000000000018</v>
      </c>
      <c r="D23" s="192">
        <f t="shared" ref="D23:G23" si="9">D21+D22</f>
        <v>7555.7000000000035</v>
      </c>
      <c r="E23" s="192">
        <f t="shared" si="9"/>
        <v>14225.100000000002</v>
      </c>
      <c r="F23" s="192">
        <f t="shared" si="9"/>
        <v>18350.399999999994</v>
      </c>
      <c r="G23" s="192">
        <f t="shared" si="9"/>
        <v>14979.7</v>
      </c>
      <c r="H23" s="204">
        <f>H21-H22</f>
        <v>25859.328391373027</v>
      </c>
      <c r="I23" s="204">
        <f t="shared" ref="I23:L23" si="10">I21-I22</f>
        <v>28579.27106248682</v>
      </c>
      <c r="J23" s="204">
        <f t="shared" si="10"/>
        <v>31909.814752769595</v>
      </c>
      <c r="K23" s="204">
        <f t="shared" si="10"/>
        <v>35649.338261619509</v>
      </c>
      <c r="L23" s="251">
        <f t="shared" si="10"/>
        <v>39839.735360634528</v>
      </c>
    </row>
    <row r="24" spans="2:12" ht="15" thickBot="1" x14ac:dyDescent="0.4">
      <c r="B24" s="220" t="s">
        <v>564</v>
      </c>
      <c r="C24" s="194">
        <v>2665</v>
      </c>
      <c r="D24" s="194">
        <v>1907.9</v>
      </c>
      <c r="E24" s="194">
        <v>3630.6</v>
      </c>
      <c r="F24" s="194">
        <v>4701.6000000000004</v>
      </c>
      <c r="G24" s="195">
        <v>3834.9</v>
      </c>
      <c r="H24" s="196">
        <f>'Debt &amp; Tax Assumption'!H12</f>
        <v>6620.1551732061671</v>
      </c>
      <c r="I24" s="196">
        <f>'Debt &amp; Tax Assumption'!I12</f>
        <v>7316.4780734948436</v>
      </c>
      <c r="J24" s="196">
        <f>'Debt &amp; Tax Assumption'!J12</f>
        <v>8169.1187804426072</v>
      </c>
      <c r="K24" s="196">
        <f>'Debt &amp; Tax Assumption'!K12</f>
        <v>9126.4609638033253</v>
      </c>
      <c r="L24" s="252">
        <f>'Debt &amp; Tax Assumption'!L12</f>
        <v>10199.229699826923</v>
      </c>
    </row>
    <row r="25" spans="2:12" x14ac:dyDescent="0.35">
      <c r="B25" s="212" t="s">
        <v>545</v>
      </c>
      <c r="C25" s="247">
        <f>C23-C24</f>
        <v>4736.5000000000018</v>
      </c>
      <c r="D25" s="247">
        <f t="shared" ref="D25:G25" si="11">D23-D24</f>
        <v>5647.8000000000029</v>
      </c>
      <c r="E25" s="247">
        <f t="shared" si="11"/>
        <v>10594.500000000002</v>
      </c>
      <c r="F25" s="247">
        <f t="shared" si="11"/>
        <v>13648.799999999994</v>
      </c>
      <c r="G25" s="247">
        <f t="shared" si="11"/>
        <v>11144.800000000001</v>
      </c>
      <c r="H25" s="190">
        <f>H23-H24</f>
        <v>19239.173218166859</v>
      </c>
      <c r="I25" s="190">
        <f t="shared" ref="I25:L25" si="12">I23-I24</f>
        <v>21262.792988991976</v>
      </c>
      <c r="J25" s="190">
        <f t="shared" si="12"/>
        <v>23740.695972326987</v>
      </c>
      <c r="K25" s="190">
        <f t="shared" si="12"/>
        <v>26522.877297816183</v>
      </c>
      <c r="L25" s="245">
        <f t="shared" si="12"/>
        <v>29640.505660807605</v>
      </c>
    </row>
    <row r="26" spans="2:12" x14ac:dyDescent="0.35">
      <c r="B26" s="197" t="s">
        <v>567</v>
      </c>
      <c r="C26" s="193">
        <v>322.10000000000002</v>
      </c>
      <c r="D26" s="193">
        <v>322.10000000000002</v>
      </c>
      <c r="E26" s="193">
        <v>322.2</v>
      </c>
      <c r="F26" s="193">
        <v>322.60000000000002</v>
      </c>
      <c r="G26" s="193">
        <v>322.60000000000002</v>
      </c>
      <c r="H26" s="190">
        <f>$G$26</f>
        <v>322.60000000000002</v>
      </c>
      <c r="I26" s="190">
        <f t="shared" ref="I26:L26" si="13">$G$26</f>
        <v>322.60000000000002</v>
      </c>
      <c r="J26" s="190">
        <f t="shared" si="13"/>
        <v>322.60000000000002</v>
      </c>
      <c r="K26" s="190">
        <f t="shared" si="13"/>
        <v>322.60000000000002</v>
      </c>
      <c r="L26" s="245">
        <f t="shared" si="13"/>
        <v>322.60000000000002</v>
      </c>
    </row>
    <row r="27" spans="2:12" x14ac:dyDescent="0.35">
      <c r="B27" s="212" t="s">
        <v>568</v>
      </c>
      <c r="C27" s="247">
        <f>C25/C26</f>
        <v>14.70506054020491</v>
      </c>
      <c r="D27" s="247">
        <f t="shared" ref="D27:G27" si="14">D25/D26</f>
        <v>17.534306116113015</v>
      </c>
      <c r="E27" s="247">
        <f t="shared" si="14"/>
        <v>32.881750465549352</v>
      </c>
      <c r="F27" s="247">
        <f t="shared" si="14"/>
        <v>42.308741475511447</v>
      </c>
      <c r="G27" s="247">
        <f t="shared" si="14"/>
        <v>34.546807191568504</v>
      </c>
      <c r="H27" s="248">
        <f>H25/H26</f>
        <v>59.637858704794972</v>
      </c>
      <c r="I27" s="248">
        <f t="shared" ref="I27:L27" si="15">I25/I26</f>
        <v>65.910703623657696</v>
      </c>
      <c r="J27" s="248">
        <f t="shared" si="15"/>
        <v>73.591742009693078</v>
      </c>
      <c r="K27" s="248">
        <f t="shared" si="15"/>
        <v>82.215986664030325</v>
      </c>
      <c r="L27" s="249">
        <f t="shared" si="15"/>
        <v>91.880054745218857</v>
      </c>
    </row>
    <row r="28" spans="2:12" x14ac:dyDescent="0.35">
      <c r="B28" s="197" t="s">
        <v>569</v>
      </c>
      <c r="C28" s="236">
        <v>0.24399999999999999</v>
      </c>
      <c r="D28" s="236">
        <v>0.59799999999999998</v>
      </c>
      <c r="E28" s="236">
        <v>0.44400000000000001</v>
      </c>
      <c r="F28" s="236">
        <v>0.42249999999999999</v>
      </c>
      <c r="G28" s="236">
        <v>0.6512</v>
      </c>
      <c r="H28" s="253">
        <v>0.5</v>
      </c>
      <c r="I28" s="253">
        <v>0.5</v>
      </c>
      <c r="J28" s="253">
        <v>0.5</v>
      </c>
      <c r="K28" s="253">
        <v>0.5</v>
      </c>
      <c r="L28" s="254">
        <v>0.5</v>
      </c>
    </row>
    <row r="29" spans="2:12" ht="15" thickBot="1" x14ac:dyDescent="0.4">
      <c r="B29" s="250" t="s">
        <v>570</v>
      </c>
      <c r="C29" s="192">
        <f>C27*C28</f>
        <v>3.5880347718099981</v>
      </c>
      <c r="D29" s="192">
        <f t="shared" ref="D29:F29" si="16">D27*D28</f>
        <v>10.485515057435583</v>
      </c>
      <c r="E29" s="192">
        <f t="shared" si="16"/>
        <v>14.599497206703912</v>
      </c>
      <c r="F29" s="192">
        <f t="shared" si="16"/>
        <v>17.875443273403587</v>
      </c>
      <c r="G29" s="192">
        <f>G28*G27</f>
        <v>22.496880843149409</v>
      </c>
      <c r="H29" s="242">
        <f>H28*H27</f>
        <v>29.818929352397486</v>
      </c>
      <c r="I29" s="242">
        <f t="shared" ref="I29:L29" si="17">I28*I27</f>
        <v>32.955351811828848</v>
      </c>
      <c r="J29" s="242">
        <f t="shared" si="17"/>
        <v>36.795871004846539</v>
      </c>
      <c r="K29" s="242">
        <f t="shared" si="17"/>
        <v>41.107993332015162</v>
      </c>
      <c r="L29" s="255">
        <f t="shared" si="17"/>
        <v>45.940027372609428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FB7B-848F-1D4C-987E-E7E35ADC8662}">
  <sheetPr>
    <tabColor theme="4" tint="0.59999389629810485"/>
  </sheetPr>
  <dimension ref="B1:J29"/>
  <sheetViews>
    <sheetView showGridLines="0" zoomScale="150" zoomScaleNormal="96" workbookViewId="0">
      <selection activeCell="H1" sqref="H1"/>
    </sheetView>
  </sheetViews>
  <sheetFormatPr defaultColWidth="8.81640625" defaultRowHeight="12.5" x14ac:dyDescent="0.25"/>
  <cols>
    <col min="1" max="1" width="4.36328125" style="87" customWidth="1"/>
    <col min="2" max="2" width="29.1796875" style="87" bestFit="1" customWidth="1"/>
    <col min="3" max="3" width="10.453125" style="87" customWidth="1"/>
    <col min="4" max="4" width="13.81640625" style="87" customWidth="1"/>
    <col min="5" max="5" width="9.1796875" style="87" customWidth="1"/>
    <col min="6" max="6" width="15.1796875" style="87" bestFit="1" customWidth="1"/>
    <col min="7" max="16384" width="8.81640625" style="87"/>
  </cols>
  <sheetData>
    <row r="1" spans="2:10" ht="14.5" thickBot="1" x14ac:dyDescent="0.35">
      <c r="H1" s="104" t="s">
        <v>550</v>
      </c>
    </row>
    <row r="2" spans="2:10" ht="28.5" x14ac:dyDescent="0.65">
      <c r="B2" s="85" t="s">
        <v>2</v>
      </c>
      <c r="C2" s="52"/>
      <c r="D2" s="52"/>
      <c r="E2" s="52"/>
      <c r="F2" s="52"/>
      <c r="G2" s="52"/>
      <c r="H2" s="86"/>
      <c r="I2" s="52"/>
      <c r="J2" s="52"/>
    </row>
    <row r="3" spans="2:10" ht="13" x14ac:dyDescent="0.3">
      <c r="C3" s="88"/>
    </row>
    <row r="4" spans="2:10" ht="13" x14ac:dyDescent="0.25">
      <c r="B4" s="440" t="s">
        <v>604</v>
      </c>
      <c r="C4" s="440"/>
      <c r="D4" s="440"/>
      <c r="E4" s="440"/>
      <c r="F4" s="440"/>
    </row>
    <row r="5" spans="2:10" ht="13" x14ac:dyDescent="0.25">
      <c r="B5" s="440" t="s">
        <v>605</v>
      </c>
      <c r="C5" s="440"/>
      <c r="D5" s="440"/>
      <c r="E5" s="440"/>
      <c r="F5" s="440"/>
    </row>
    <row r="6" spans="2:10" ht="13" x14ac:dyDescent="0.25">
      <c r="B6" s="90" t="s">
        <v>606</v>
      </c>
      <c r="C6" s="91" t="s">
        <v>607</v>
      </c>
      <c r="D6" s="91" t="s">
        <v>608</v>
      </c>
      <c r="E6" s="91" t="s">
        <v>609</v>
      </c>
      <c r="F6" s="89" t="s">
        <v>610</v>
      </c>
    </row>
    <row r="7" spans="2:10" x14ac:dyDescent="0.25">
      <c r="B7" s="92" t="s">
        <v>611</v>
      </c>
      <c r="C7" s="92">
        <v>5</v>
      </c>
      <c r="D7" s="92">
        <v>4</v>
      </c>
      <c r="E7" s="93">
        <v>0.6</v>
      </c>
      <c r="F7" s="93">
        <f>(D7/C7)*E7</f>
        <v>0.48</v>
      </c>
    </row>
    <row r="8" spans="2:10" x14ac:dyDescent="0.25">
      <c r="B8" s="92" t="s">
        <v>612</v>
      </c>
      <c r="C8" s="92">
        <v>5</v>
      </c>
      <c r="D8" s="92">
        <v>3.5</v>
      </c>
      <c r="E8" s="93">
        <v>0.3</v>
      </c>
      <c r="F8" s="93">
        <f>(D8/C8)*E8</f>
        <v>0.21</v>
      </c>
    </row>
    <row r="9" spans="2:10" x14ac:dyDescent="0.25">
      <c r="B9" s="92" t="s">
        <v>613</v>
      </c>
      <c r="C9" s="92">
        <v>5</v>
      </c>
      <c r="D9" s="92">
        <v>4</v>
      </c>
      <c r="E9" s="93">
        <v>0.1</v>
      </c>
      <c r="F9" s="93">
        <f>(D9/C9)*E9</f>
        <v>8.0000000000000016E-2</v>
      </c>
    </row>
    <row r="10" spans="2:10" x14ac:dyDescent="0.25">
      <c r="B10" s="92"/>
      <c r="C10" s="92"/>
      <c r="D10" s="92"/>
      <c r="E10" s="92"/>
      <c r="F10" s="93">
        <f>SUM(F7:F9)*5</f>
        <v>3.85</v>
      </c>
    </row>
    <row r="11" spans="2:10" ht="13" x14ac:dyDescent="0.25">
      <c r="B11" s="94" t="s">
        <v>614</v>
      </c>
      <c r="C11" s="95"/>
      <c r="D11" s="95"/>
      <c r="E11" s="95"/>
      <c r="F11" s="96">
        <f>F10*0.2</f>
        <v>0.77</v>
      </c>
    </row>
    <row r="12" spans="2:10" ht="13" x14ac:dyDescent="0.25">
      <c r="B12" s="440" t="s">
        <v>615</v>
      </c>
      <c r="C12" s="440"/>
      <c r="D12" s="440"/>
      <c r="E12" s="440"/>
      <c r="F12" s="440"/>
    </row>
    <row r="13" spans="2:10" x14ac:dyDescent="0.25">
      <c r="B13" s="92" t="s">
        <v>616</v>
      </c>
      <c r="C13" s="87">
        <v>5</v>
      </c>
      <c r="D13" s="87">
        <v>3.5</v>
      </c>
      <c r="E13" s="97">
        <v>0.25</v>
      </c>
      <c r="F13" s="93">
        <f t="shared" ref="F13:F16" si="0">(D13/C13)*E13</f>
        <v>0.17499999999999999</v>
      </c>
    </row>
    <row r="14" spans="2:10" x14ac:dyDescent="0.25">
      <c r="B14" s="92" t="s">
        <v>617</v>
      </c>
      <c r="C14" s="87">
        <v>5</v>
      </c>
      <c r="D14" s="87">
        <v>3</v>
      </c>
      <c r="E14" s="97">
        <v>0.2</v>
      </c>
      <c r="F14" s="93">
        <f t="shared" si="0"/>
        <v>0.12</v>
      </c>
    </row>
    <row r="15" spans="2:10" x14ac:dyDescent="0.25">
      <c r="B15" s="92" t="s">
        <v>618</v>
      </c>
      <c r="C15" s="87">
        <v>5</v>
      </c>
      <c r="D15" s="87">
        <v>3</v>
      </c>
      <c r="E15" s="97">
        <v>0.15</v>
      </c>
      <c r="F15" s="93">
        <f t="shared" si="0"/>
        <v>0.09</v>
      </c>
    </row>
    <row r="16" spans="2:10" x14ac:dyDescent="0.25">
      <c r="B16" s="92" t="s">
        <v>619</v>
      </c>
      <c r="C16" s="87">
        <v>5</v>
      </c>
      <c r="D16" s="87">
        <v>4</v>
      </c>
      <c r="E16" s="97">
        <v>0.4</v>
      </c>
      <c r="F16" s="93">
        <f t="shared" si="0"/>
        <v>0.32000000000000006</v>
      </c>
    </row>
    <row r="17" spans="2:6" x14ac:dyDescent="0.25">
      <c r="B17" s="92"/>
      <c r="F17" s="98">
        <f>SUM(F13:F16)*5</f>
        <v>3.5250000000000004</v>
      </c>
    </row>
    <row r="18" spans="2:6" ht="13" x14ac:dyDescent="0.3">
      <c r="B18" s="94" t="s">
        <v>620</v>
      </c>
      <c r="C18" s="99"/>
      <c r="D18" s="99"/>
      <c r="E18" s="99"/>
      <c r="F18" s="100">
        <f>F17*0.4</f>
        <v>1.4100000000000001</v>
      </c>
    </row>
    <row r="19" spans="2:6" ht="13" x14ac:dyDescent="0.25">
      <c r="B19" s="440" t="s">
        <v>621</v>
      </c>
      <c r="C19" s="440"/>
      <c r="D19" s="440"/>
      <c r="E19" s="440"/>
      <c r="F19" s="440"/>
    </row>
    <row r="20" spans="2:6" x14ac:dyDescent="0.25">
      <c r="B20" s="92" t="s">
        <v>622</v>
      </c>
      <c r="C20" s="87">
        <v>5</v>
      </c>
      <c r="D20" s="87">
        <v>4</v>
      </c>
      <c r="E20" s="97">
        <v>0.35</v>
      </c>
      <c r="F20" s="98">
        <f>(D20/C20)*E20</f>
        <v>0.27999999999999997</v>
      </c>
    </row>
    <row r="21" spans="2:6" x14ac:dyDescent="0.25">
      <c r="B21" s="92" t="s">
        <v>328</v>
      </c>
      <c r="C21" s="87">
        <v>5</v>
      </c>
      <c r="D21" s="87">
        <v>4</v>
      </c>
      <c r="E21" s="97">
        <v>0.35</v>
      </c>
      <c r="F21" s="98">
        <f>(D21/C21)*E21</f>
        <v>0.27999999999999997</v>
      </c>
    </row>
    <row r="22" spans="2:6" x14ac:dyDescent="0.25">
      <c r="B22" s="92" t="s">
        <v>623</v>
      </c>
      <c r="C22" s="87">
        <v>5</v>
      </c>
      <c r="D22" s="87">
        <v>4</v>
      </c>
      <c r="E22" s="97">
        <v>0.3</v>
      </c>
      <c r="F22" s="98">
        <f>(D22/C22)*E22</f>
        <v>0.24</v>
      </c>
    </row>
    <row r="23" spans="2:6" x14ac:dyDescent="0.25">
      <c r="B23" s="92"/>
      <c r="F23" s="98">
        <f>SUM(F20:F22)*5</f>
        <v>3.9999999999999996</v>
      </c>
    </row>
    <row r="24" spans="2:6" ht="13" x14ac:dyDescent="0.3">
      <c r="B24" s="94" t="s">
        <v>624</v>
      </c>
      <c r="C24" s="99"/>
      <c r="D24" s="99"/>
      <c r="E24" s="99"/>
      <c r="F24" s="100">
        <f>F23*0.4</f>
        <v>1.5999999999999999</v>
      </c>
    </row>
    <row r="25" spans="2:6" ht="13" x14ac:dyDescent="0.3">
      <c r="B25" s="94" t="s">
        <v>625</v>
      </c>
      <c r="C25" s="99"/>
      <c r="D25" s="99"/>
      <c r="E25" s="99"/>
      <c r="F25" s="100">
        <f>F24+F18+F11</f>
        <v>3.78</v>
      </c>
    </row>
    <row r="28" spans="2:6" ht="13" x14ac:dyDescent="0.3">
      <c r="B28" s="88" t="s">
        <v>626</v>
      </c>
    </row>
    <row r="29" spans="2:6" ht="15.5" x14ac:dyDescent="0.35">
      <c r="B29" s="101" t="s">
        <v>627</v>
      </c>
    </row>
  </sheetData>
  <mergeCells count="4">
    <mergeCell ref="B4:F4"/>
    <mergeCell ref="B5:F5"/>
    <mergeCell ref="B12:F12"/>
    <mergeCell ref="B19:F19"/>
  </mergeCells>
  <hyperlinks>
    <hyperlink ref="B29" r:id="rId1" xr:uid="{012CB04F-4EFF-6E4A-B7AC-AD77650738BE}"/>
    <hyperlink ref="H1" location="Contents!A1" display="Back to contents" xr:uid="{BD6EBED9-4E06-084B-8857-4842CB37F0D0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E602-C483-A24F-A46D-3B2F4C46259B}">
  <sheetPr>
    <tabColor theme="4" tint="0.39997558519241921"/>
  </sheetPr>
  <dimension ref="A1:H1236"/>
  <sheetViews>
    <sheetView zoomScale="169" workbookViewId="0">
      <selection activeCell="F7" sqref="F7"/>
    </sheetView>
  </sheetViews>
  <sheetFormatPr defaultColWidth="10.90625" defaultRowHeight="14.5" x14ac:dyDescent="0.35"/>
  <cols>
    <col min="5" max="5" width="13" customWidth="1"/>
  </cols>
  <sheetData>
    <row r="1" spans="1:8" ht="15" thickBot="1" x14ac:dyDescent="0.4">
      <c r="A1" s="264" t="s">
        <v>796</v>
      </c>
      <c r="H1" s="104" t="s">
        <v>550</v>
      </c>
    </row>
    <row r="2" spans="1:8" ht="15" thickBot="1" x14ac:dyDescent="0.4">
      <c r="B2" s="285" t="s">
        <v>793</v>
      </c>
      <c r="C2" s="285" t="s">
        <v>794</v>
      </c>
    </row>
    <row r="3" spans="1:8" ht="15" thickBot="1" x14ac:dyDescent="0.4">
      <c r="B3" s="269">
        <v>43256</v>
      </c>
      <c r="C3" s="328">
        <v>14444.209961</v>
      </c>
      <c r="E3" s="265" t="s">
        <v>797</v>
      </c>
      <c r="F3" s="267">
        <f>_xlfn.RRI(5,C3,C1236)</f>
        <v>0.11705744488642011</v>
      </c>
    </row>
    <row r="4" spans="1:8" ht="15" thickBot="1" x14ac:dyDescent="0.4">
      <c r="B4" s="269">
        <v>43257</v>
      </c>
      <c r="C4" s="328">
        <v>14595.650390999999</v>
      </c>
    </row>
    <row r="5" spans="1:8" ht="15" thickBot="1" x14ac:dyDescent="0.4">
      <c r="B5" s="269">
        <v>43258</v>
      </c>
      <c r="C5" s="328">
        <v>14742.839844</v>
      </c>
    </row>
    <row r="6" spans="1:8" ht="15" thickBot="1" x14ac:dyDescent="0.4">
      <c r="B6" s="269">
        <v>43259</v>
      </c>
      <c r="C6" s="328">
        <v>14768.919921999999</v>
      </c>
    </row>
    <row r="7" spans="1:8" ht="15" thickBot="1" x14ac:dyDescent="0.4">
      <c r="B7" s="269">
        <v>43262</v>
      </c>
      <c r="C7" s="328">
        <v>14793.530273</v>
      </c>
    </row>
    <row r="8" spans="1:8" ht="15" thickBot="1" x14ac:dyDescent="0.4">
      <c r="B8" s="269">
        <v>43263</v>
      </c>
      <c r="C8" s="328">
        <v>14873.599609000001</v>
      </c>
    </row>
    <row r="9" spans="1:8" ht="15" thickBot="1" x14ac:dyDescent="0.4">
      <c r="B9" s="269">
        <v>43264</v>
      </c>
      <c r="C9" s="328">
        <v>14878.059569999999</v>
      </c>
    </row>
    <row r="10" spans="1:8" ht="15" thickBot="1" x14ac:dyDescent="0.4">
      <c r="B10" s="269">
        <v>43265</v>
      </c>
      <c r="C10" s="328">
        <v>14835.889648</v>
      </c>
    </row>
    <row r="11" spans="1:8" ht="15" thickBot="1" x14ac:dyDescent="0.4">
      <c r="B11" s="269">
        <v>43266</v>
      </c>
      <c r="C11" s="328">
        <v>14813.400390999999</v>
      </c>
    </row>
    <row r="12" spans="1:8" ht="15" thickBot="1" x14ac:dyDescent="0.4">
      <c r="B12" s="269">
        <v>43269</v>
      </c>
      <c r="C12" s="328">
        <v>14777.599609000001</v>
      </c>
    </row>
    <row r="13" spans="1:8" ht="15" thickBot="1" x14ac:dyDescent="0.4">
      <c r="B13" s="269">
        <v>43270</v>
      </c>
      <c r="C13" s="328">
        <v>14649.059569999999</v>
      </c>
    </row>
    <row r="14" spans="1:8" ht="15" thickBot="1" x14ac:dyDescent="0.4">
      <c r="B14" s="269">
        <v>43271</v>
      </c>
      <c r="C14" s="328">
        <v>14715.019531</v>
      </c>
    </row>
    <row r="15" spans="1:8" ht="15" thickBot="1" x14ac:dyDescent="0.4">
      <c r="B15" s="269">
        <v>43272</v>
      </c>
      <c r="C15" s="328">
        <v>14654.160156</v>
      </c>
    </row>
    <row r="16" spans="1:8" ht="15" thickBot="1" x14ac:dyDescent="0.4">
      <c r="B16" s="269">
        <v>43273</v>
      </c>
      <c r="C16" s="328">
        <v>14743.269531</v>
      </c>
    </row>
    <row r="17" spans="2:3" ht="15" thickBot="1" x14ac:dyDescent="0.4">
      <c r="B17" s="269">
        <v>43276</v>
      </c>
      <c r="C17" s="328">
        <v>14646.200194999999</v>
      </c>
    </row>
    <row r="18" spans="2:3" ht="15" thickBot="1" x14ac:dyDescent="0.4">
      <c r="B18" s="269">
        <v>43277</v>
      </c>
      <c r="C18" s="328">
        <v>14640.969727</v>
      </c>
    </row>
    <row r="19" spans="2:3" ht="15" thickBot="1" x14ac:dyDescent="0.4">
      <c r="B19" s="269">
        <v>43278</v>
      </c>
      <c r="C19" s="328">
        <v>14478.959961</v>
      </c>
    </row>
    <row r="20" spans="2:3" ht="15" thickBot="1" x14ac:dyDescent="0.4">
      <c r="B20" s="269">
        <v>43279</v>
      </c>
      <c r="C20" s="328">
        <v>14337.410156</v>
      </c>
    </row>
    <row r="21" spans="2:3" ht="15" thickBot="1" x14ac:dyDescent="0.4">
      <c r="B21" s="269">
        <v>43280</v>
      </c>
      <c r="C21" s="328">
        <v>14528.540039</v>
      </c>
    </row>
    <row r="22" spans="2:3" ht="15" thickBot="1" x14ac:dyDescent="0.4">
      <c r="B22" s="269">
        <v>43283</v>
      </c>
      <c r="C22" s="328">
        <v>14450.230469</v>
      </c>
    </row>
    <row r="23" spans="2:3" ht="15" thickBot="1" x14ac:dyDescent="0.4">
      <c r="B23" s="269">
        <v>43284</v>
      </c>
      <c r="C23" s="328">
        <v>14515.440430000001</v>
      </c>
    </row>
    <row r="24" spans="2:3" ht="15" thickBot="1" x14ac:dyDescent="0.4">
      <c r="B24" s="269">
        <v>43285</v>
      </c>
      <c r="C24" s="328">
        <v>14584.969727</v>
      </c>
    </row>
    <row r="25" spans="2:3" ht="15" thickBot="1" x14ac:dyDescent="0.4">
      <c r="B25" s="269">
        <v>43286</v>
      </c>
      <c r="C25" s="328">
        <v>14546.610352</v>
      </c>
    </row>
    <row r="26" spans="2:3" ht="15" thickBot="1" x14ac:dyDescent="0.4">
      <c r="B26" s="269">
        <v>43287</v>
      </c>
      <c r="C26" s="328">
        <v>14587.740234000001</v>
      </c>
    </row>
    <row r="27" spans="2:3" ht="15" thickBot="1" x14ac:dyDescent="0.4">
      <c r="B27" s="269">
        <v>43290</v>
      </c>
      <c r="C27" s="328">
        <v>14719.509765999999</v>
      </c>
    </row>
    <row r="28" spans="2:3" ht="15" thickBot="1" x14ac:dyDescent="0.4">
      <c r="B28" s="269">
        <v>43291</v>
      </c>
      <c r="C28" s="328">
        <v>14847.650390999999</v>
      </c>
    </row>
    <row r="29" spans="2:3" ht="15" thickBot="1" x14ac:dyDescent="0.4">
      <c r="B29" s="269">
        <v>43292</v>
      </c>
      <c r="C29" s="328">
        <v>14820.450194999999</v>
      </c>
    </row>
    <row r="30" spans="2:3" ht="15" thickBot="1" x14ac:dyDescent="0.4">
      <c r="B30" s="269">
        <v>43293</v>
      </c>
      <c r="C30" s="328">
        <v>14882.129883</v>
      </c>
    </row>
    <row r="31" spans="2:3" ht="15" thickBot="1" x14ac:dyDescent="0.4">
      <c r="B31" s="269">
        <v>43294</v>
      </c>
      <c r="C31" s="328">
        <v>14826.580078000001</v>
      </c>
    </row>
    <row r="32" spans="2:3" ht="15" thickBot="1" x14ac:dyDescent="0.4">
      <c r="B32" s="269">
        <v>43297</v>
      </c>
      <c r="C32" s="328">
        <v>14649.370117</v>
      </c>
    </row>
    <row r="33" spans="2:3" ht="15" thickBot="1" x14ac:dyDescent="0.4">
      <c r="B33" s="269">
        <v>43298</v>
      </c>
      <c r="C33" s="328">
        <v>14786.730469</v>
      </c>
    </row>
    <row r="34" spans="2:3" ht="15" thickBot="1" x14ac:dyDescent="0.4">
      <c r="B34" s="269">
        <v>43299</v>
      </c>
      <c r="C34" s="328">
        <v>14705.780273</v>
      </c>
    </row>
    <row r="35" spans="2:3" ht="15" thickBot="1" x14ac:dyDescent="0.4">
      <c r="B35" s="269">
        <v>43300</v>
      </c>
      <c r="C35" s="328">
        <v>14657.629883</v>
      </c>
    </row>
    <row r="36" spans="2:3" ht="15" thickBot="1" x14ac:dyDescent="0.4">
      <c r="B36" s="269">
        <v>43301</v>
      </c>
      <c r="C36" s="328">
        <v>14735.330078000001</v>
      </c>
    </row>
    <row r="37" spans="2:3" ht="15" thickBot="1" x14ac:dyDescent="0.4">
      <c r="B37" s="269">
        <v>43304</v>
      </c>
      <c r="C37" s="328">
        <v>14855.219727</v>
      </c>
    </row>
    <row r="38" spans="2:3" ht="15" thickBot="1" x14ac:dyDescent="0.4">
      <c r="B38" s="269">
        <v>43305</v>
      </c>
      <c r="C38" s="328">
        <v>14994.469727</v>
      </c>
    </row>
    <row r="39" spans="2:3" ht="15" thickBot="1" x14ac:dyDescent="0.4">
      <c r="B39" s="269">
        <v>43306</v>
      </c>
      <c r="C39" s="328">
        <v>14996.190430000001</v>
      </c>
    </row>
    <row r="40" spans="2:3" ht="15" thickBot="1" x14ac:dyDescent="0.4">
      <c r="B40" s="269">
        <v>43307</v>
      </c>
      <c r="C40" s="328">
        <v>15059.900390999999</v>
      </c>
    </row>
    <row r="41" spans="2:3" ht="15" thickBot="1" x14ac:dyDescent="0.4">
      <c r="B41" s="269">
        <v>43308</v>
      </c>
      <c r="C41" s="328">
        <v>15200.809569999999</v>
      </c>
    </row>
    <row r="42" spans="2:3" ht="15" thickBot="1" x14ac:dyDescent="0.4">
      <c r="B42" s="269">
        <v>43311</v>
      </c>
      <c r="C42" s="328">
        <v>15264.349609000001</v>
      </c>
    </row>
    <row r="43" spans="2:3" ht="15" thickBot="1" x14ac:dyDescent="0.4">
      <c r="B43" s="269">
        <v>43312</v>
      </c>
      <c r="C43" s="328">
        <v>15314.809569999999</v>
      </c>
    </row>
    <row r="44" spans="2:3" ht="15" thickBot="1" x14ac:dyDescent="0.4">
      <c r="B44" s="269">
        <v>43313</v>
      </c>
      <c r="C44" s="328">
        <v>15312.719727</v>
      </c>
    </row>
    <row r="45" spans="2:3" ht="15" thickBot="1" x14ac:dyDescent="0.4">
      <c r="B45" s="269">
        <v>43314</v>
      </c>
      <c r="C45" s="328">
        <v>15219.820313</v>
      </c>
    </row>
    <row r="46" spans="2:3" ht="15" thickBot="1" x14ac:dyDescent="0.4">
      <c r="B46" s="269">
        <v>43315</v>
      </c>
      <c r="C46" s="328">
        <v>15361.139648</v>
      </c>
    </row>
    <row r="47" spans="2:3" ht="15" thickBot="1" x14ac:dyDescent="0.4">
      <c r="B47" s="269">
        <v>43318</v>
      </c>
      <c r="C47" s="328">
        <v>15404.190430000001</v>
      </c>
    </row>
    <row r="48" spans="2:3" ht="15" thickBot="1" x14ac:dyDescent="0.4">
      <c r="B48" s="269">
        <v>43319</v>
      </c>
      <c r="C48" s="328">
        <v>15391.070313</v>
      </c>
    </row>
    <row r="49" spans="2:3" ht="15" thickBot="1" x14ac:dyDescent="0.4">
      <c r="B49" s="269">
        <v>43320</v>
      </c>
      <c r="C49" s="328">
        <v>15450.349609000001</v>
      </c>
    </row>
    <row r="50" spans="2:3" ht="15" thickBot="1" x14ac:dyDescent="0.4">
      <c r="B50" s="269">
        <v>43321</v>
      </c>
      <c r="C50" s="328">
        <v>15500.190430000001</v>
      </c>
    </row>
    <row r="51" spans="2:3" ht="15" thickBot="1" x14ac:dyDescent="0.4">
      <c r="B51" s="269">
        <v>43322</v>
      </c>
      <c r="C51" s="328">
        <v>15423.219727</v>
      </c>
    </row>
    <row r="52" spans="2:3" ht="15" thickBot="1" x14ac:dyDescent="0.4">
      <c r="B52" s="269">
        <v>43325</v>
      </c>
      <c r="C52" s="328">
        <v>15323.040039</v>
      </c>
    </row>
    <row r="53" spans="2:3" ht="15" thickBot="1" x14ac:dyDescent="0.4">
      <c r="B53" s="269">
        <v>43326</v>
      </c>
      <c r="C53" s="328">
        <v>15425.179688</v>
      </c>
    </row>
    <row r="54" spans="2:3" ht="15" thickBot="1" x14ac:dyDescent="0.4">
      <c r="B54" s="269">
        <v>43328</v>
      </c>
      <c r="C54" s="328">
        <v>15360.75</v>
      </c>
    </row>
    <row r="55" spans="2:3" ht="15" thickBot="1" x14ac:dyDescent="0.4">
      <c r="B55" s="269">
        <v>43329</v>
      </c>
      <c r="C55" s="328">
        <v>15495.209961</v>
      </c>
    </row>
    <row r="56" spans="2:3" ht="15" thickBot="1" x14ac:dyDescent="0.4">
      <c r="B56" s="269">
        <v>43332</v>
      </c>
      <c r="C56" s="328">
        <v>15605.900390999999</v>
      </c>
    </row>
    <row r="57" spans="2:3" ht="15" thickBot="1" x14ac:dyDescent="0.4">
      <c r="B57" s="269">
        <v>43333</v>
      </c>
      <c r="C57" s="328">
        <v>15639.679688</v>
      </c>
    </row>
    <row r="58" spans="2:3" ht="15" thickBot="1" x14ac:dyDescent="0.4">
      <c r="B58" s="269">
        <v>43335</v>
      </c>
      <c r="C58" s="328">
        <v>15663.769531</v>
      </c>
    </row>
    <row r="59" spans="2:3" ht="15" thickBot="1" x14ac:dyDescent="0.4">
      <c r="B59" s="269">
        <v>43336</v>
      </c>
      <c r="C59" s="328">
        <v>15629.209961</v>
      </c>
    </row>
    <row r="60" spans="2:3" ht="15" thickBot="1" x14ac:dyDescent="0.4">
      <c r="B60" s="269">
        <v>43339</v>
      </c>
      <c r="C60" s="328">
        <v>15796.410156</v>
      </c>
    </row>
    <row r="61" spans="2:3" ht="15" thickBot="1" x14ac:dyDescent="0.4">
      <c r="B61" s="269">
        <v>43340</v>
      </c>
      <c r="C61" s="328">
        <v>15838.839844</v>
      </c>
    </row>
    <row r="62" spans="2:3" ht="15" thickBot="1" x14ac:dyDescent="0.4">
      <c r="B62" s="269">
        <v>43341</v>
      </c>
      <c r="C62" s="328">
        <v>15816.480469</v>
      </c>
    </row>
    <row r="63" spans="2:3" ht="15" thickBot="1" x14ac:dyDescent="0.4">
      <c r="B63" s="269">
        <v>43342</v>
      </c>
      <c r="C63" s="328">
        <v>15819.650390999999</v>
      </c>
    </row>
    <row r="64" spans="2:3" ht="15" thickBot="1" x14ac:dyDescent="0.4">
      <c r="B64" s="269">
        <v>43343</v>
      </c>
      <c r="C64" s="328">
        <v>15846.200194999999</v>
      </c>
    </row>
    <row r="65" spans="2:3" ht="15" thickBot="1" x14ac:dyDescent="0.4">
      <c r="B65" s="269">
        <v>43346</v>
      </c>
      <c r="C65" s="328">
        <v>15737.530273</v>
      </c>
    </row>
    <row r="66" spans="2:3" ht="15" thickBot="1" x14ac:dyDescent="0.4">
      <c r="B66" s="269">
        <v>43347</v>
      </c>
      <c r="C66" s="328">
        <v>15548.650390999999</v>
      </c>
    </row>
    <row r="67" spans="2:3" ht="15" thickBot="1" x14ac:dyDescent="0.4">
      <c r="B67" s="269">
        <v>43348</v>
      </c>
      <c r="C67" s="328">
        <v>15485.849609000001</v>
      </c>
    </row>
    <row r="68" spans="2:3" ht="15" thickBot="1" x14ac:dyDescent="0.4">
      <c r="B68" s="269">
        <v>43349</v>
      </c>
      <c r="C68" s="328">
        <v>15563.120117</v>
      </c>
    </row>
    <row r="69" spans="2:3" ht="15" thickBot="1" x14ac:dyDescent="0.4">
      <c r="B69" s="269">
        <v>43350</v>
      </c>
      <c r="C69" s="328">
        <v>15659.969727</v>
      </c>
    </row>
    <row r="70" spans="2:3" ht="15" thickBot="1" x14ac:dyDescent="0.4">
      <c r="B70" s="269">
        <v>43353</v>
      </c>
      <c r="C70" s="328">
        <v>15451.730469</v>
      </c>
    </row>
    <row r="71" spans="2:3" ht="15" thickBot="1" x14ac:dyDescent="0.4">
      <c r="B71" s="269">
        <v>43354</v>
      </c>
      <c r="C71" s="328">
        <v>15234.389648</v>
      </c>
    </row>
    <row r="72" spans="2:3" ht="15" thickBot="1" x14ac:dyDescent="0.4">
      <c r="B72" s="269">
        <v>43355</v>
      </c>
      <c r="C72" s="328">
        <v>15325.849609000001</v>
      </c>
    </row>
    <row r="73" spans="2:3" ht="15" thickBot="1" x14ac:dyDescent="0.4">
      <c r="B73" s="269">
        <v>43357</v>
      </c>
      <c r="C73" s="328">
        <v>15528.440430000001</v>
      </c>
    </row>
    <row r="74" spans="2:3" ht="15" thickBot="1" x14ac:dyDescent="0.4">
      <c r="B74" s="269">
        <v>43360</v>
      </c>
      <c r="C74" s="328">
        <v>15376.690430000001</v>
      </c>
    </row>
    <row r="75" spans="2:3" ht="15" thickBot="1" x14ac:dyDescent="0.4">
      <c r="B75" s="269">
        <v>43361</v>
      </c>
      <c r="C75" s="328">
        <v>15218</v>
      </c>
    </row>
    <row r="76" spans="2:3" ht="15" thickBot="1" x14ac:dyDescent="0.4">
      <c r="B76" s="269">
        <v>43362</v>
      </c>
      <c r="C76" s="328">
        <v>15139.040039</v>
      </c>
    </row>
    <row r="77" spans="2:3" ht="15" thickBot="1" x14ac:dyDescent="0.4">
      <c r="B77" s="269">
        <v>43364</v>
      </c>
      <c r="C77" s="328">
        <v>14945.389648</v>
      </c>
    </row>
    <row r="78" spans="2:3" ht="15" thickBot="1" x14ac:dyDescent="0.4">
      <c r="B78" s="269">
        <v>43367</v>
      </c>
      <c r="C78" s="328">
        <v>14654.490234000001</v>
      </c>
    </row>
    <row r="79" spans="2:3" ht="15" thickBot="1" x14ac:dyDescent="0.4">
      <c r="B79" s="269">
        <v>43368</v>
      </c>
      <c r="C79" s="328">
        <v>14751.490234000001</v>
      </c>
    </row>
    <row r="80" spans="2:3" ht="15" thickBot="1" x14ac:dyDescent="0.4">
      <c r="B80" s="269">
        <v>43369</v>
      </c>
      <c r="C80" s="328">
        <v>14745.990234000001</v>
      </c>
    </row>
    <row r="81" spans="2:3" ht="15" thickBot="1" x14ac:dyDescent="0.4">
      <c r="B81" s="269">
        <v>43370</v>
      </c>
      <c r="C81" s="328">
        <v>14590.830078000001</v>
      </c>
    </row>
    <row r="82" spans="2:3" ht="15" thickBot="1" x14ac:dyDescent="0.4">
      <c r="B82" s="269">
        <v>43371</v>
      </c>
      <c r="C82" s="328">
        <v>14445.889648</v>
      </c>
    </row>
    <row r="83" spans="2:3" ht="15" thickBot="1" x14ac:dyDescent="0.4">
      <c r="B83" s="269">
        <v>43374</v>
      </c>
      <c r="C83" s="328">
        <v>14533.549805000001</v>
      </c>
    </row>
    <row r="84" spans="2:3" ht="15" thickBot="1" x14ac:dyDescent="0.4">
      <c r="B84" s="269">
        <v>43376</v>
      </c>
      <c r="C84" s="328">
        <v>14365.429688</v>
      </c>
    </row>
    <row r="85" spans="2:3" ht="15" thickBot="1" x14ac:dyDescent="0.4">
      <c r="B85" s="269">
        <v>43377</v>
      </c>
      <c r="C85" s="328">
        <v>14047.349609000001</v>
      </c>
    </row>
    <row r="86" spans="2:3" ht="15" thickBot="1" x14ac:dyDescent="0.4">
      <c r="B86" s="269">
        <v>43378</v>
      </c>
      <c r="C86" s="328">
        <v>13689.969727</v>
      </c>
    </row>
    <row r="87" spans="2:3" ht="15" thickBot="1" x14ac:dyDescent="0.4">
      <c r="B87" s="269">
        <v>43381</v>
      </c>
      <c r="C87" s="328">
        <v>13652.669921999999</v>
      </c>
    </row>
    <row r="88" spans="2:3" ht="15" thickBot="1" x14ac:dyDescent="0.4">
      <c r="B88" s="269">
        <v>43382</v>
      </c>
      <c r="C88" s="328">
        <v>13585.360352</v>
      </c>
    </row>
    <row r="89" spans="2:3" ht="15" thickBot="1" x14ac:dyDescent="0.4">
      <c r="B89" s="269">
        <v>43383</v>
      </c>
      <c r="C89" s="328">
        <v>13882.349609000001</v>
      </c>
    </row>
    <row r="90" spans="2:3" ht="15" thickBot="1" x14ac:dyDescent="0.4">
      <c r="B90" s="269">
        <v>43384</v>
      </c>
      <c r="C90" s="328">
        <v>13596.820313</v>
      </c>
    </row>
    <row r="91" spans="2:3" ht="15" thickBot="1" x14ac:dyDescent="0.4">
      <c r="B91" s="269">
        <v>43385</v>
      </c>
      <c r="C91" s="328">
        <v>13906.099609000001</v>
      </c>
    </row>
    <row r="92" spans="2:3" ht="15" thickBot="1" x14ac:dyDescent="0.4">
      <c r="B92" s="269">
        <v>43388</v>
      </c>
      <c r="C92" s="328">
        <v>13978.450194999999</v>
      </c>
    </row>
    <row r="93" spans="2:3" ht="15" thickBot="1" x14ac:dyDescent="0.4">
      <c r="B93" s="269">
        <v>43389</v>
      </c>
      <c r="C93" s="328">
        <v>14111.629883</v>
      </c>
    </row>
    <row r="94" spans="2:3" ht="15" thickBot="1" x14ac:dyDescent="0.4">
      <c r="B94" s="269">
        <v>43390</v>
      </c>
      <c r="C94" s="328">
        <v>13887.259765999999</v>
      </c>
    </row>
    <row r="95" spans="2:3" ht="15" thickBot="1" x14ac:dyDescent="0.4">
      <c r="B95" s="269">
        <v>43392</v>
      </c>
      <c r="C95" s="328">
        <v>13704.740234000001</v>
      </c>
    </row>
    <row r="96" spans="2:3" ht="15" thickBot="1" x14ac:dyDescent="0.4">
      <c r="B96" s="269">
        <v>43395</v>
      </c>
      <c r="C96" s="328">
        <v>13602.860352</v>
      </c>
    </row>
    <row r="97" spans="2:3" ht="15" thickBot="1" x14ac:dyDescent="0.4">
      <c r="B97" s="269">
        <v>43396</v>
      </c>
      <c r="C97" s="328">
        <v>13470.5</v>
      </c>
    </row>
    <row r="98" spans="2:3" ht="15" thickBot="1" x14ac:dyDescent="0.4">
      <c r="B98" s="269">
        <v>43397</v>
      </c>
      <c r="C98" s="328">
        <v>13578.400390999999</v>
      </c>
    </row>
    <row r="99" spans="2:3" ht="15" thickBot="1" x14ac:dyDescent="0.4">
      <c r="B99" s="269">
        <v>43398</v>
      </c>
      <c r="C99" s="328">
        <v>13443.570313</v>
      </c>
    </row>
    <row r="100" spans="2:3" ht="15" thickBot="1" x14ac:dyDescent="0.4">
      <c r="B100" s="269">
        <v>43399</v>
      </c>
      <c r="C100" s="328">
        <v>13352.530273</v>
      </c>
    </row>
    <row r="101" spans="2:3" ht="15" thickBot="1" x14ac:dyDescent="0.4">
      <c r="B101" s="269">
        <v>43402</v>
      </c>
      <c r="C101" s="328">
        <v>13655.889648</v>
      </c>
    </row>
    <row r="102" spans="2:3" ht="15" thickBot="1" x14ac:dyDescent="0.4">
      <c r="B102" s="269">
        <v>43403</v>
      </c>
      <c r="C102" s="328">
        <v>13647.099609000001</v>
      </c>
    </row>
    <row r="103" spans="2:3" ht="15" thickBot="1" x14ac:dyDescent="0.4">
      <c r="B103" s="269">
        <v>43404</v>
      </c>
      <c r="C103" s="328">
        <v>13881.709961</v>
      </c>
    </row>
    <row r="104" spans="2:3" ht="15" thickBot="1" x14ac:dyDescent="0.4">
      <c r="B104" s="269">
        <v>43405</v>
      </c>
      <c r="C104" s="328">
        <v>13915.75</v>
      </c>
    </row>
    <row r="105" spans="2:3" ht="15" thickBot="1" x14ac:dyDescent="0.4">
      <c r="B105" s="269">
        <v>43406</v>
      </c>
      <c r="C105" s="328">
        <v>14112.759765999999</v>
      </c>
    </row>
    <row r="106" spans="2:3" ht="15" thickBot="1" x14ac:dyDescent="0.4">
      <c r="B106" s="269">
        <v>43409</v>
      </c>
      <c r="C106" s="328">
        <v>14081.570313</v>
      </c>
    </row>
    <row r="107" spans="2:3" ht="15" thickBot="1" x14ac:dyDescent="0.4">
      <c r="B107" s="269">
        <v>43410</v>
      </c>
      <c r="C107" s="328">
        <v>14062.780273</v>
      </c>
    </row>
    <row r="108" spans="2:3" ht="15" thickBot="1" x14ac:dyDescent="0.4">
      <c r="B108" s="269">
        <v>43411</v>
      </c>
      <c r="C108" s="328">
        <v>14170.330078000001</v>
      </c>
    </row>
    <row r="109" spans="2:3" ht="15" thickBot="1" x14ac:dyDescent="0.4">
      <c r="B109" s="269">
        <v>43413</v>
      </c>
      <c r="C109" s="328">
        <v>14185.400390999999</v>
      </c>
    </row>
    <row r="110" spans="2:3" ht="15" thickBot="1" x14ac:dyDescent="0.4">
      <c r="B110" s="269">
        <v>43416</v>
      </c>
      <c r="C110" s="328">
        <v>14042.740234000001</v>
      </c>
    </row>
    <row r="111" spans="2:3" ht="15" thickBot="1" x14ac:dyDescent="0.4">
      <c r="B111" s="269">
        <v>43417</v>
      </c>
      <c r="C111" s="328">
        <v>14146.169921999999</v>
      </c>
    </row>
    <row r="112" spans="2:3" ht="15" thickBot="1" x14ac:dyDescent="0.4">
      <c r="B112" s="269">
        <v>43418</v>
      </c>
      <c r="C112" s="328">
        <v>14143.549805000001</v>
      </c>
    </row>
    <row r="113" spans="2:3" ht="15" thickBot="1" x14ac:dyDescent="0.4">
      <c r="B113" s="269">
        <v>43419</v>
      </c>
      <c r="C113" s="328">
        <v>14193.110352</v>
      </c>
    </row>
    <row r="114" spans="2:3" ht="15" thickBot="1" x14ac:dyDescent="0.4">
      <c r="B114" s="269">
        <v>43420</v>
      </c>
      <c r="C114" s="328">
        <v>14249.660156</v>
      </c>
    </row>
    <row r="115" spans="2:3" ht="15" thickBot="1" x14ac:dyDescent="0.4">
      <c r="B115" s="269">
        <v>43423</v>
      </c>
      <c r="C115" s="328">
        <v>14346.059569999999</v>
      </c>
    </row>
    <row r="116" spans="2:3" ht="15" thickBot="1" x14ac:dyDescent="0.4">
      <c r="B116" s="269">
        <v>43424</v>
      </c>
      <c r="C116" s="328">
        <v>14208.299805000001</v>
      </c>
    </row>
    <row r="117" spans="2:3" ht="15" thickBot="1" x14ac:dyDescent="0.4">
      <c r="B117" s="269">
        <v>43425</v>
      </c>
      <c r="C117" s="328">
        <v>14173.589844</v>
      </c>
    </row>
    <row r="118" spans="2:3" ht="15" thickBot="1" x14ac:dyDescent="0.4">
      <c r="B118" s="269">
        <v>43426</v>
      </c>
      <c r="C118" s="328">
        <v>14079.469727</v>
      </c>
    </row>
    <row r="119" spans="2:3" ht="15" thickBot="1" x14ac:dyDescent="0.4">
      <c r="B119" s="269">
        <v>43430</v>
      </c>
      <c r="C119" s="328">
        <v>14178.530273</v>
      </c>
    </row>
    <row r="120" spans="2:3" ht="15" thickBot="1" x14ac:dyDescent="0.4">
      <c r="B120" s="269">
        <v>43431</v>
      </c>
      <c r="C120" s="328">
        <v>14237.429688</v>
      </c>
    </row>
    <row r="121" spans="2:3" ht="15" thickBot="1" x14ac:dyDescent="0.4">
      <c r="B121" s="269">
        <v>43432</v>
      </c>
      <c r="C121" s="328">
        <v>14250.620117</v>
      </c>
    </row>
    <row r="122" spans="2:3" ht="15" thickBot="1" x14ac:dyDescent="0.4">
      <c r="B122" s="269">
        <v>43433</v>
      </c>
      <c r="C122" s="328">
        <v>14396.330078000001</v>
      </c>
    </row>
    <row r="123" spans="2:3" ht="15" thickBot="1" x14ac:dyDescent="0.4">
      <c r="B123" s="269">
        <v>43434</v>
      </c>
      <c r="C123" s="328">
        <v>14429</v>
      </c>
    </row>
    <row r="124" spans="2:3" ht="15" thickBot="1" x14ac:dyDescent="0.4">
      <c r="B124" s="269">
        <v>43437</v>
      </c>
      <c r="C124" s="328">
        <v>14469.780273</v>
      </c>
    </row>
    <row r="125" spans="2:3" ht="15" thickBot="1" x14ac:dyDescent="0.4">
      <c r="B125" s="269">
        <v>43438</v>
      </c>
      <c r="C125" s="328">
        <v>14454.309569999999</v>
      </c>
    </row>
    <row r="126" spans="2:3" ht="15" thickBot="1" x14ac:dyDescent="0.4">
      <c r="B126" s="269">
        <v>43439</v>
      </c>
      <c r="C126" s="328">
        <v>14315.919921999999</v>
      </c>
    </row>
    <row r="127" spans="2:3" ht="15" thickBot="1" x14ac:dyDescent="0.4">
      <c r="B127" s="269">
        <v>43440</v>
      </c>
      <c r="C127" s="328">
        <v>14080.709961</v>
      </c>
    </row>
    <row r="128" spans="2:3" ht="15" thickBot="1" x14ac:dyDescent="0.4">
      <c r="B128" s="269">
        <v>43441</v>
      </c>
      <c r="C128" s="328">
        <v>14170.580078000001</v>
      </c>
    </row>
    <row r="129" spans="2:3" ht="15" thickBot="1" x14ac:dyDescent="0.4">
      <c r="B129" s="269">
        <v>43444</v>
      </c>
      <c r="C129" s="328">
        <v>13904.179688</v>
      </c>
    </row>
    <row r="130" spans="2:3" ht="15" thickBot="1" x14ac:dyDescent="0.4">
      <c r="B130" s="269">
        <v>43445</v>
      </c>
      <c r="C130" s="328">
        <v>14033.219727</v>
      </c>
    </row>
    <row r="131" spans="2:3" ht="15" thickBot="1" x14ac:dyDescent="0.4">
      <c r="B131" s="269">
        <v>43446</v>
      </c>
      <c r="C131" s="328">
        <v>14306.940430000001</v>
      </c>
    </row>
    <row r="132" spans="2:3" ht="15" thickBot="1" x14ac:dyDescent="0.4">
      <c r="B132" s="269">
        <v>43447</v>
      </c>
      <c r="C132" s="328">
        <v>14390.839844</v>
      </c>
    </row>
    <row r="133" spans="2:3" ht="15" thickBot="1" x14ac:dyDescent="0.4">
      <c r="B133" s="269">
        <v>43448</v>
      </c>
      <c r="C133" s="328">
        <v>14412.030273</v>
      </c>
    </row>
    <row r="134" spans="2:3" ht="15" thickBot="1" x14ac:dyDescent="0.4">
      <c r="B134" s="269">
        <v>43451</v>
      </c>
      <c r="C134" s="328">
        <v>14515.940430000001</v>
      </c>
    </row>
    <row r="135" spans="2:3" ht="15" thickBot="1" x14ac:dyDescent="0.4">
      <c r="B135" s="269">
        <v>43452</v>
      </c>
      <c r="C135" s="328">
        <v>14553.099609000001</v>
      </c>
    </row>
    <row r="136" spans="2:3" ht="15" thickBot="1" x14ac:dyDescent="0.4">
      <c r="B136" s="269">
        <v>43453</v>
      </c>
      <c r="C136" s="328">
        <v>14661.080078000001</v>
      </c>
    </row>
    <row r="137" spans="2:3" ht="15" thickBot="1" x14ac:dyDescent="0.4">
      <c r="B137" s="269">
        <v>43454</v>
      </c>
      <c r="C137" s="328">
        <v>14642.719727</v>
      </c>
    </row>
    <row r="138" spans="2:3" ht="15" thickBot="1" x14ac:dyDescent="0.4">
      <c r="B138" s="269">
        <v>43455</v>
      </c>
      <c r="C138" s="328">
        <v>14401.200194999999</v>
      </c>
    </row>
    <row r="139" spans="2:3" ht="15" thickBot="1" x14ac:dyDescent="0.4">
      <c r="B139" s="269">
        <v>43458</v>
      </c>
      <c r="C139" s="328">
        <v>14279.650390999999</v>
      </c>
    </row>
    <row r="140" spans="2:3" ht="15" thickBot="1" x14ac:dyDescent="0.4">
      <c r="B140" s="269">
        <v>43460</v>
      </c>
      <c r="C140" s="328">
        <v>14334.400390999999</v>
      </c>
    </row>
    <row r="141" spans="2:3" ht="15" thickBot="1" x14ac:dyDescent="0.4">
      <c r="B141" s="269">
        <v>43461</v>
      </c>
      <c r="C141" s="328">
        <v>14390.120117</v>
      </c>
    </row>
    <row r="142" spans="2:3" ht="15" thickBot="1" x14ac:dyDescent="0.4">
      <c r="B142" s="269">
        <v>43462</v>
      </c>
      <c r="C142" s="328">
        <v>14516.040039</v>
      </c>
    </row>
    <row r="143" spans="2:3" ht="15" thickBot="1" x14ac:dyDescent="0.4">
      <c r="B143" s="269">
        <v>43465</v>
      </c>
      <c r="C143" s="328">
        <v>14540.389648</v>
      </c>
    </row>
    <row r="144" spans="2:3" ht="15" thickBot="1" x14ac:dyDescent="0.4">
      <c r="B144" s="269">
        <v>43466</v>
      </c>
      <c r="C144" s="328" t="s">
        <v>795</v>
      </c>
    </row>
    <row r="145" spans="2:3" ht="15" thickBot="1" x14ac:dyDescent="0.4">
      <c r="B145" s="269">
        <v>43467</v>
      </c>
      <c r="C145" s="328">
        <v>14432.400390999999</v>
      </c>
    </row>
    <row r="146" spans="2:3" ht="15" thickBot="1" x14ac:dyDescent="0.4">
      <c r="B146" s="269">
        <v>43468</v>
      </c>
      <c r="C146" s="328">
        <v>14290.849609000001</v>
      </c>
    </row>
    <row r="147" spans="2:3" ht="15" thickBot="1" x14ac:dyDescent="0.4">
      <c r="B147" s="269">
        <v>43469</v>
      </c>
      <c r="C147" s="328">
        <v>14355.019531</v>
      </c>
    </row>
    <row r="148" spans="2:3" ht="15" thickBot="1" x14ac:dyDescent="0.4">
      <c r="B148" s="269">
        <v>43472</v>
      </c>
      <c r="C148" s="328">
        <v>14389.349609000001</v>
      </c>
    </row>
    <row r="149" spans="2:3" ht="15" thickBot="1" x14ac:dyDescent="0.4">
      <c r="B149" s="269">
        <v>43473</v>
      </c>
      <c r="C149" s="328">
        <v>14425.570313</v>
      </c>
    </row>
    <row r="150" spans="2:3" ht="15" thickBot="1" x14ac:dyDescent="0.4">
      <c r="B150" s="269">
        <v>43474</v>
      </c>
      <c r="C150" s="328">
        <v>14470.169921999999</v>
      </c>
    </row>
    <row r="151" spans="2:3" ht="15" thickBot="1" x14ac:dyDescent="0.4">
      <c r="B151" s="269">
        <v>43475</v>
      </c>
      <c r="C151" s="328">
        <v>14459.849609000001</v>
      </c>
    </row>
    <row r="152" spans="2:3" ht="15" thickBot="1" x14ac:dyDescent="0.4">
      <c r="B152" s="269">
        <v>43476</v>
      </c>
      <c r="C152" s="328">
        <v>14422.980469</v>
      </c>
    </row>
    <row r="153" spans="2:3" ht="15" thickBot="1" x14ac:dyDescent="0.4">
      <c r="B153" s="269">
        <v>43479</v>
      </c>
      <c r="C153" s="328">
        <v>14350.370117</v>
      </c>
    </row>
    <row r="154" spans="2:3" ht="15" thickBot="1" x14ac:dyDescent="0.4">
      <c r="B154" s="269">
        <v>43480</v>
      </c>
      <c r="C154" s="328">
        <v>14514.429688</v>
      </c>
    </row>
    <row r="155" spans="2:3" ht="15" thickBot="1" x14ac:dyDescent="0.4">
      <c r="B155" s="269">
        <v>43481</v>
      </c>
      <c r="C155" s="328">
        <v>14520.129883</v>
      </c>
    </row>
    <row r="156" spans="2:3" ht="15" thickBot="1" x14ac:dyDescent="0.4">
      <c r="B156" s="269">
        <v>43482</v>
      </c>
      <c r="C156" s="328">
        <v>14524.790039</v>
      </c>
    </row>
    <row r="157" spans="2:3" ht="15" thickBot="1" x14ac:dyDescent="0.4">
      <c r="B157" s="269">
        <v>43483</v>
      </c>
      <c r="C157" s="328">
        <v>14488.809569999999</v>
      </c>
    </row>
    <row r="158" spans="2:3" ht="15" thickBot="1" x14ac:dyDescent="0.4">
      <c r="B158" s="269">
        <v>43486</v>
      </c>
      <c r="C158" s="328">
        <v>14506.570313</v>
      </c>
    </row>
    <row r="159" spans="2:3" ht="15" thickBot="1" x14ac:dyDescent="0.4">
      <c r="B159" s="269">
        <v>43487</v>
      </c>
      <c r="C159" s="328">
        <v>14470.549805000001</v>
      </c>
    </row>
    <row r="160" spans="2:3" ht="15" thickBot="1" x14ac:dyDescent="0.4">
      <c r="B160" s="269">
        <v>43488</v>
      </c>
      <c r="C160" s="328">
        <v>14379.839844</v>
      </c>
    </row>
    <row r="161" spans="2:3" ht="15" thickBot="1" x14ac:dyDescent="0.4">
      <c r="B161" s="269">
        <v>43489</v>
      </c>
      <c r="C161" s="328">
        <v>14383.459961</v>
      </c>
    </row>
    <row r="162" spans="2:3" ht="15" thickBot="1" x14ac:dyDescent="0.4">
      <c r="B162" s="269">
        <v>43490</v>
      </c>
      <c r="C162" s="328">
        <v>14260.830078000001</v>
      </c>
    </row>
    <row r="163" spans="2:3" ht="15" thickBot="1" x14ac:dyDescent="0.4">
      <c r="B163" s="269">
        <v>43493</v>
      </c>
      <c r="C163" s="328">
        <v>14075.910156</v>
      </c>
    </row>
    <row r="164" spans="2:3" ht="15" thickBot="1" x14ac:dyDescent="0.4">
      <c r="B164" s="269">
        <v>43494</v>
      </c>
      <c r="C164" s="328">
        <v>14075.709961</v>
      </c>
    </row>
    <row r="165" spans="2:3" ht="15" thickBot="1" x14ac:dyDescent="0.4">
      <c r="B165" s="269">
        <v>43495</v>
      </c>
      <c r="C165" s="328">
        <v>14083.190430000001</v>
      </c>
    </row>
    <row r="166" spans="2:3" ht="15" thickBot="1" x14ac:dyDescent="0.4">
      <c r="B166" s="269">
        <v>43496</v>
      </c>
      <c r="C166" s="328">
        <v>14285.110352</v>
      </c>
    </row>
    <row r="167" spans="2:3" ht="15" thickBot="1" x14ac:dyDescent="0.4">
      <c r="B167" s="269">
        <v>43497</v>
      </c>
      <c r="C167" s="328">
        <v>14361.849609000001</v>
      </c>
    </row>
    <row r="168" spans="2:3" ht="15" thickBot="1" x14ac:dyDescent="0.4">
      <c r="B168" s="269">
        <v>43500</v>
      </c>
      <c r="C168" s="328">
        <v>14338.049805000001</v>
      </c>
    </row>
    <row r="169" spans="2:3" ht="15" thickBot="1" x14ac:dyDescent="0.4">
      <c r="B169" s="269">
        <v>43501</v>
      </c>
      <c r="C169" s="328">
        <v>14322.259765999999</v>
      </c>
    </row>
    <row r="170" spans="2:3" ht="15" thickBot="1" x14ac:dyDescent="0.4">
      <c r="B170" s="269">
        <v>43502</v>
      </c>
      <c r="C170" s="328">
        <v>14450.950194999999</v>
      </c>
    </row>
    <row r="171" spans="2:3" ht="15" thickBot="1" x14ac:dyDescent="0.4">
      <c r="B171" s="269">
        <v>43503</v>
      </c>
      <c r="C171" s="328">
        <v>14500.240234000001</v>
      </c>
    </row>
    <row r="172" spans="2:3" ht="15" thickBot="1" x14ac:dyDescent="0.4">
      <c r="B172" s="269">
        <v>43504</v>
      </c>
      <c r="C172" s="328">
        <v>14323.790039</v>
      </c>
    </row>
    <row r="173" spans="2:3" ht="15" thickBot="1" x14ac:dyDescent="0.4">
      <c r="B173" s="269">
        <v>43507</v>
      </c>
      <c r="C173" s="328">
        <v>14214.75</v>
      </c>
    </row>
    <row r="174" spans="2:3" ht="15" thickBot="1" x14ac:dyDescent="0.4">
      <c r="B174" s="269">
        <v>43508</v>
      </c>
      <c r="C174" s="328">
        <v>14148.339844</v>
      </c>
    </row>
    <row r="175" spans="2:3" ht="15" thickBot="1" x14ac:dyDescent="0.4">
      <c r="B175" s="269">
        <v>43510</v>
      </c>
      <c r="C175" s="328">
        <v>14064.799805000001</v>
      </c>
    </row>
    <row r="176" spans="2:3" ht="15" thickBot="1" x14ac:dyDescent="0.4">
      <c r="B176" s="269">
        <v>43511</v>
      </c>
      <c r="C176" s="328">
        <v>13994.200194999999</v>
      </c>
    </row>
    <row r="177" spans="2:3" ht="15" thickBot="1" x14ac:dyDescent="0.4">
      <c r="B177" s="269">
        <v>43514</v>
      </c>
      <c r="C177" s="328">
        <v>13874.990234000001</v>
      </c>
    </row>
    <row r="178" spans="2:3" ht="15" thickBot="1" x14ac:dyDescent="0.4">
      <c r="B178" s="269">
        <v>43515</v>
      </c>
      <c r="C178" s="328">
        <v>13858.929688</v>
      </c>
    </row>
    <row r="179" spans="2:3" ht="15" thickBot="1" x14ac:dyDescent="0.4">
      <c r="B179" s="269">
        <v>43516</v>
      </c>
      <c r="C179" s="328">
        <v>14019.129883</v>
      </c>
    </row>
    <row r="180" spans="2:3" ht="15" thickBot="1" x14ac:dyDescent="0.4">
      <c r="B180" s="269">
        <v>43517</v>
      </c>
      <c r="C180" s="328">
        <v>14105.870117</v>
      </c>
    </row>
    <row r="181" spans="2:3" ht="15" thickBot="1" x14ac:dyDescent="0.4">
      <c r="B181" s="269">
        <v>43518</v>
      </c>
      <c r="C181" s="328">
        <v>14136.759765999999</v>
      </c>
    </row>
    <row r="182" spans="2:3" ht="15" thickBot="1" x14ac:dyDescent="0.4">
      <c r="B182" s="269">
        <v>43521</v>
      </c>
      <c r="C182" s="328">
        <v>14245.599609000001</v>
      </c>
    </row>
    <row r="183" spans="2:3" ht="15" thickBot="1" x14ac:dyDescent="0.4">
      <c r="B183" s="269">
        <v>43522</v>
      </c>
      <c r="C183" s="328">
        <v>14186.179688</v>
      </c>
    </row>
    <row r="184" spans="2:3" ht="15" thickBot="1" x14ac:dyDescent="0.4">
      <c r="B184" s="269">
        <v>43523</v>
      </c>
      <c r="C184" s="328">
        <v>14173.299805000001</v>
      </c>
    </row>
    <row r="185" spans="2:3" ht="15" thickBot="1" x14ac:dyDescent="0.4">
      <c r="B185" s="269">
        <v>43524</v>
      </c>
      <c r="C185" s="328">
        <v>14196.799805000001</v>
      </c>
    </row>
    <row r="186" spans="2:3" ht="15" thickBot="1" x14ac:dyDescent="0.4">
      <c r="B186" s="269">
        <v>43525</v>
      </c>
      <c r="C186" s="328">
        <v>14319.030273</v>
      </c>
    </row>
    <row r="187" spans="2:3" ht="15" thickBot="1" x14ac:dyDescent="0.4">
      <c r="B187" s="269">
        <v>43529</v>
      </c>
      <c r="C187" s="328">
        <v>14532.990234000001</v>
      </c>
    </row>
    <row r="188" spans="2:3" ht="15" thickBot="1" x14ac:dyDescent="0.4">
      <c r="B188" s="269">
        <v>43530</v>
      </c>
      <c r="C188" s="328">
        <v>14618.309569999999</v>
      </c>
    </row>
    <row r="189" spans="2:3" ht="15" thickBot="1" x14ac:dyDescent="0.4">
      <c r="B189" s="269">
        <v>43531</v>
      </c>
      <c r="C189" s="328">
        <v>14612.150390999999</v>
      </c>
    </row>
    <row r="190" spans="2:3" ht="15" thickBot="1" x14ac:dyDescent="0.4">
      <c r="B190" s="269">
        <v>43532</v>
      </c>
      <c r="C190" s="328">
        <v>14591.910156</v>
      </c>
    </row>
    <row r="191" spans="2:3" ht="15" thickBot="1" x14ac:dyDescent="0.4">
      <c r="B191" s="269">
        <v>43535</v>
      </c>
      <c r="C191" s="328">
        <v>14797.780273</v>
      </c>
    </row>
    <row r="192" spans="2:3" ht="15" thickBot="1" x14ac:dyDescent="0.4">
      <c r="B192" s="269">
        <v>43536</v>
      </c>
      <c r="C192" s="328">
        <v>14949.370117</v>
      </c>
    </row>
    <row r="193" spans="2:3" ht="15" thickBot="1" x14ac:dyDescent="0.4">
      <c r="B193" s="269">
        <v>43537</v>
      </c>
      <c r="C193" s="328">
        <v>14973.719727</v>
      </c>
    </row>
    <row r="194" spans="2:3" ht="15" thickBot="1" x14ac:dyDescent="0.4">
      <c r="B194" s="269">
        <v>43538</v>
      </c>
      <c r="C194" s="328">
        <v>14970.589844</v>
      </c>
    </row>
    <row r="195" spans="2:3" ht="15" thickBot="1" x14ac:dyDescent="0.4">
      <c r="B195" s="269">
        <v>43539</v>
      </c>
      <c r="C195" s="328">
        <v>15045.280273</v>
      </c>
    </row>
    <row r="196" spans="2:3" ht="15" thickBot="1" x14ac:dyDescent="0.4">
      <c r="B196" s="269">
        <v>43542</v>
      </c>
      <c r="C196" s="328">
        <v>15069.490234000001</v>
      </c>
    </row>
    <row r="197" spans="2:3" ht="15" thickBot="1" x14ac:dyDescent="0.4">
      <c r="B197" s="269">
        <v>43543</v>
      </c>
      <c r="C197" s="328">
        <v>15160.679688</v>
      </c>
    </row>
    <row r="198" spans="2:3" ht="15" thickBot="1" x14ac:dyDescent="0.4">
      <c r="B198" s="269">
        <v>43544</v>
      </c>
      <c r="C198" s="328">
        <v>15136.599609000001</v>
      </c>
    </row>
    <row r="199" spans="2:3" ht="15" thickBot="1" x14ac:dyDescent="0.4">
      <c r="B199" s="269">
        <v>43546</v>
      </c>
      <c r="C199" s="328">
        <v>15051.349609000001</v>
      </c>
    </row>
    <row r="200" spans="2:3" ht="15" thickBot="1" x14ac:dyDescent="0.4">
      <c r="B200" s="269">
        <v>43549</v>
      </c>
      <c r="C200" s="328">
        <v>14916.849609000001</v>
      </c>
    </row>
    <row r="201" spans="2:3" ht="15" thickBot="1" x14ac:dyDescent="0.4">
      <c r="B201" s="269">
        <v>43550</v>
      </c>
      <c r="C201" s="328">
        <v>15066.839844</v>
      </c>
    </row>
    <row r="202" spans="2:3" ht="15" thickBot="1" x14ac:dyDescent="0.4">
      <c r="B202" s="269">
        <v>43551</v>
      </c>
      <c r="C202" s="328">
        <v>15057.530273</v>
      </c>
    </row>
    <row r="203" spans="2:3" ht="15" thickBot="1" x14ac:dyDescent="0.4">
      <c r="B203" s="269">
        <v>43552</v>
      </c>
      <c r="C203" s="328">
        <v>15215.860352</v>
      </c>
    </row>
    <row r="204" spans="2:3" ht="15" thickBot="1" x14ac:dyDescent="0.4">
      <c r="B204" s="269">
        <v>43556</v>
      </c>
      <c r="C204" s="328">
        <v>15373.980469</v>
      </c>
    </row>
    <row r="205" spans="2:3" ht="15" thickBot="1" x14ac:dyDescent="0.4">
      <c r="B205" s="269">
        <v>43557</v>
      </c>
      <c r="C205" s="328">
        <v>15399.719727</v>
      </c>
    </row>
    <row r="206" spans="2:3" ht="15" thickBot="1" x14ac:dyDescent="0.4">
      <c r="B206" s="269">
        <v>43558</v>
      </c>
      <c r="C206" s="328">
        <v>15312.730469</v>
      </c>
    </row>
    <row r="207" spans="2:3" ht="15" thickBot="1" x14ac:dyDescent="0.4">
      <c r="B207" s="269">
        <v>43559</v>
      </c>
      <c r="C207" s="328">
        <v>15260.889648</v>
      </c>
    </row>
    <row r="208" spans="2:3" ht="15" thickBot="1" x14ac:dyDescent="0.4">
      <c r="B208" s="269">
        <v>43560</v>
      </c>
      <c r="C208" s="328">
        <v>15347.230469</v>
      </c>
    </row>
    <row r="209" spans="2:3" ht="15" thickBot="1" x14ac:dyDescent="0.4">
      <c r="B209" s="269">
        <v>43563</v>
      </c>
      <c r="C209" s="328">
        <v>15268.150390999999</v>
      </c>
    </row>
    <row r="210" spans="2:3" ht="15" thickBot="1" x14ac:dyDescent="0.4">
      <c r="B210" s="269">
        <v>43564</v>
      </c>
      <c r="C210" s="328">
        <v>15337.230469</v>
      </c>
    </row>
    <row r="211" spans="2:3" ht="15" thickBot="1" x14ac:dyDescent="0.4">
      <c r="B211" s="269">
        <v>43565</v>
      </c>
      <c r="C211" s="328">
        <v>15245.469727</v>
      </c>
    </row>
    <row r="212" spans="2:3" ht="15" thickBot="1" x14ac:dyDescent="0.4">
      <c r="B212" s="269">
        <v>43566</v>
      </c>
      <c r="C212" s="328">
        <v>15261.379883</v>
      </c>
    </row>
    <row r="213" spans="2:3" ht="15" thickBot="1" x14ac:dyDescent="0.4">
      <c r="B213" s="269">
        <v>43567</v>
      </c>
      <c r="C213" s="328">
        <v>15324.530273</v>
      </c>
    </row>
    <row r="214" spans="2:3" ht="15" thickBot="1" x14ac:dyDescent="0.4">
      <c r="B214" s="269">
        <v>43570</v>
      </c>
      <c r="C214" s="328">
        <v>15388.870117</v>
      </c>
    </row>
    <row r="215" spans="2:3" ht="15" thickBot="1" x14ac:dyDescent="0.4">
      <c r="B215" s="269">
        <v>43571</v>
      </c>
      <c r="C215" s="328">
        <v>15501.389648</v>
      </c>
    </row>
    <row r="216" spans="2:3" ht="15" thickBot="1" x14ac:dyDescent="0.4">
      <c r="B216" s="269">
        <v>43573</v>
      </c>
      <c r="C216" s="328">
        <v>15421.870117</v>
      </c>
    </row>
    <row r="217" spans="2:3" ht="15" thickBot="1" x14ac:dyDescent="0.4">
      <c r="B217" s="269">
        <v>43577</v>
      </c>
      <c r="C217" s="328">
        <v>15207.330078000001</v>
      </c>
    </row>
    <row r="218" spans="2:3" ht="15" thickBot="1" x14ac:dyDescent="0.4">
      <c r="B218" s="269">
        <v>43578</v>
      </c>
      <c r="C218" s="328">
        <v>15188</v>
      </c>
    </row>
    <row r="219" spans="2:3" ht="15" thickBot="1" x14ac:dyDescent="0.4">
      <c r="B219" s="269">
        <v>43579</v>
      </c>
      <c r="C219" s="328">
        <v>15348.120117</v>
      </c>
    </row>
    <row r="220" spans="2:3" ht="15" thickBot="1" x14ac:dyDescent="0.4">
      <c r="B220" s="269">
        <v>43580</v>
      </c>
      <c r="C220" s="328">
        <v>15258.150390999999</v>
      </c>
    </row>
    <row r="221" spans="2:3" ht="15" thickBot="1" x14ac:dyDescent="0.4">
      <c r="B221" s="269">
        <v>43581</v>
      </c>
      <c r="C221" s="328">
        <v>15338.580078000001</v>
      </c>
    </row>
    <row r="222" spans="2:3" ht="15" thickBot="1" x14ac:dyDescent="0.4">
      <c r="B222" s="269">
        <v>43585</v>
      </c>
      <c r="C222" s="328">
        <v>15293.75</v>
      </c>
    </row>
    <row r="223" spans="2:3" ht="15" thickBot="1" x14ac:dyDescent="0.4">
      <c r="B223" s="269">
        <v>43587</v>
      </c>
      <c r="C223" s="328">
        <v>15252.009765999999</v>
      </c>
    </row>
    <row r="224" spans="2:3" ht="15" thickBot="1" x14ac:dyDescent="0.4">
      <c r="B224" s="269">
        <v>43588</v>
      </c>
      <c r="C224" s="328">
        <v>15231.5</v>
      </c>
    </row>
    <row r="225" spans="2:3" ht="15" thickBot="1" x14ac:dyDescent="0.4">
      <c r="B225" s="269">
        <v>43591</v>
      </c>
      <c r="C225" s="328">
        <v>15087.280273</v>
      </c>
    </row>
    <row r="226" spans="2:3" ht="15" thickBot="1" x14ac:dyDescent="0.4">
      <c r="B226" s="269">
        <v>43592</v>
      </c>
      <c r="C226" s="328">
        <v>14958.089844</v>
      </c>
    </row>
    <row r="227" spans="2:3" ht="15" thickBot="1" x14ac:dyDescent="0.4">
      <c r="B227" s="269">
        <v>43593</v>
      </c>
      <c r="C227" s="328">
        <v>14780.669921999999</v>
      </c>
    </row>
    <row r="228" spans="2:3" ht="15" thickBot="1" x14ac:dyDescent="0.4">
      <c r="B228" s="269">
        <v>43594</v>
      </c>
      <c r="C228" s="328">
        <v>14716.320313</v>
      </c>
    </row>
    <row r="229" spans="2:3" ht="15" thickBot="1" x14ac:dyDescent="0.4">
      <c r="B229" s="269">
        <v>43595</v>
      </c>
      <c r="C229" s="328">
        <v>14699.290039</v>
      </c>
    </row>
    <row r="230" spans="2:3" ht="15" thickBot="1" x14ac:dyDescent="0.4">
      <c r="B230" s="269">
        <v>43598</v>
      </c>
      <c r="C230" s="328">
        <v>14495.610352</v>
      </c>
    </row>
    <row r="231" spans="2:3" ht="15" thickBot="1" x14ac:dyDescent="0.4">
      <c r="B231" s="269">
        <v>43599</v>
      </c>
      <c r="C231" s="328">
        <v>14578.469727</v>
      </c>
    </row>
    <row r="232" spans="2:3" ht="15" thickBot="1" x14ac:dyDescent="0.4">
      <c r="B232" s="269">
        <v>43600</v>
      </c>
      <c r="C232" s="328">
        <v>14497.75</v>
      </c>
    </row>
    <row r="233" spans="2:3" ht="15" thickBot="1" x14ac:dyDescent="0.4">
      <c r="B233" s="269">
        <v>43601</v>
      </c>
      <c r="C233" s="328">
        <v>14596.240234000001</v>
      </c>
    </row>
    <row r="234" spans="2:3" ht="15" thickBot="1" x14ac:dyDescent="0.4">
      <c r="B234" s="269">
        <v>43602</v>
      </c>
      <c r="C234" s="328">
        <v>14767.169921999999</v>
      </c>
    </row>
    <row r="235" spans="2:3" ht="15" thickBot="1" x14ac:dyDescent="0.4">
      <c r="B235" s="269">
        <v>43605</v>
      </c>
      <c r="C235" s="328">
        <v>15304.650390999999</v>
      </c>
    </row>
    <row r="236" spans="2:3" ht="15" thickBot="1" x14ac:dyDescent="0.4">
      <c r="B236" s="269">
        <v>43606</v>
      </c>
      <c r="C236" s="328">
        <v>15156.709961</v>
      </c>
    </row>
    <row r="237" spans="2:3" ht="15" thickBot="1" x14ac:dyDescent="0.4">
      <c r="B237" s="269">
        <v>43607</v>
      </c>
      <c r="C237" s="328">
        <v>15193.669921999999</v>
      </c>
    </row>
    <row r="238" spans="2:3" ht="15" thickBot="1" x14ac:dyDescent="0.4">
      <c r="B238" s="269">
        <v>43608</v>
      </c>
      <c r="C238" s="328">
        <v>15123.200194999999</v>
      </c>
    </row>
    <row r="239" spans="2:3" ht="15" thickBot="1" x14ac:dyDescent="0.4">
      <c r="B239" s="269">
        <v>43609</v>
      </c>
      <c r="C239" s="328">
        <v>15392.190430000001</v>
      </c>
    </row>
    <row r="240" spans="2:3" ht="15" thickBot="1" x14ac:dyDescent="0.4">
      <c r="B240" s="269">
        <v>43612</v>
      </c>
      <c r="C240" s="328">
        <v>15523.599609000001</v>
      </c>
    </row>
    <row r="241" spans="2:3" ht="15" thickBot="1" x14ac:dyDescent="0.4">
      <c r="B241" s="269">
        <v>43613</v>
      </c>
      <c r="C241" s="328">
        <v>15551.660156</v>
      </c>
    </row>
    <row r="242" spans="2:3" ht="15" thickBot="1" x14ac:dyDescent="0.4">
      <c r="B242" s="269">
        <v>43614</v>
      </c>
      <c r="C242" s="328">
        <v>15447.889648</v>
      </c>
    </row>
    <row r="243" spans="2:3" ht="15" thickBot="1" x14ac:dyDescent="0.4">
      <c r="B243" s="269">
        <v>43615</v>
      </c>
      <c r="C243" s="328">
        <v>15543.650390999999</v>
      </c>
    </row>
    <row r="244" spans="2:3" ht="15" thickBot="1" x14ac:dyDescent="0.4">
      <c r="B244" s="269">
        <v>43616</v>
      </c>
      <c r="C244" s="328">
        <v>15517.900390999999</v>
      </c>
    </row>
    <row r="245" spans="2:3" ht="15" thickBot="1" x14ac:dyDescent="0.4">
      <c r="B245" s="269">
        <v>43619</v>
      </c>
      <c r="C245" s="328">
        <v>15705.299805000001</v>
      </c>
    </row>
    <row r="246" spans="2:3" ht="15" thickBot="1" x14ac:dyDescent="0.4">
      <c r="B246" s="269">
        <v>43620</v>
      </c>
      <c r="C246" s="328">
        <v>15636</v>
      </c>
    </row>
    <row r="247" spans="2:3" ht="15" thickBot="1" x14ac:dyDescent="0.4">
      <c r="B247" s="269">
        <v>43622</v>
      </c>
      <c r="C247" s="328">
        <v>15395.540039</v>
      </c>
    </row>
    <row r="248" spans="2:3" ht="15" thickBot="1" x14ac:dyDescent="0.4">
      <c r="B248" s="269">
        <v>43623</v>
      </c>
      <c r="C248" s="328">
        <v>15413.040039</v>
      </c>
    </row>
    <row r="249" spans="2:3" ht="15" thickBot="1" x14ac:dyDescent="0.4">
      <c r="B249" s="269">
        <v>43626</v>
      </c>
      <c r="C249" s="328">
        <v>15458.400390999999</v>
      </c>
    </row>
    <row r="250" spans="2:3" ht="15" thickBot="1" x14ac:dyDescent="0.4">
      <c r="B250" s="269">
        <v>43627</v>
      </c>
      <c r="C250" s="328">
        <v>15524.169921999999</v>
      </c>
    </row>
    <row r="251" spans="2:3" ht="15" thickBot="1" x14ac:dyDescent="0.4">
      <c r="B251" s="269">
        <v>43628</v>
      </c>
      <c r="C251" s="328">
        <v>15436.559569999999</v>
      </c>
    </row>
    <row r="252" spans="2:3" ht="15" thickBot="1" x14ac:dyDescent="0.4">
      <c r="B252" s="269">
        <v>43629</v>
      </c>
      <c r="C252" s="328">
        <v>15426.799805000001</v>
      </c>
    </row>
    <row r="253" spans="2:3" ht="15" thickBot="1" x14ac:dyDescent="0.4">
      <c r="B253" s="269">
        <v>43630</v>
      </c>
      <c r="C253" s="328">
        <v>15304.570313</v>
      </c>
    </row>
    <row r="254" spans="2:3" ht="15" thickBot="1" x14ac:dyDescent="0.4">
      <c r="B254" s="269">
        <v>43633</v>
      </c>
      <c r="C254" s="328">
        <v>15106.5</v>
      </c>
    </row>
    <row r="255" spans="2:3" ht="15" thickBot="1" x14ac:dyDescent="0.4">
      <c r="B255" s="269">
        <v>43634</v>
      </c>
      <c r="C255" s="328">
        <v>15128.25</v>
      </c>
    </row>
    <row r="256" spans="2:3" ht="15" thickBot="1" x14ac:dyDescent="0.4">
      <c r="B256" s="269">
        <v>43635</v>
      </c>
      <c r="C256" s="328">
        <v>15089.679688</v>
      </c>
    </row>
    <row r="257" spans="2:3" ht="15" thickBot="1" x14ac:dyDescent="0.4">
      <c r="B257" s="269">
        <v>43636</v>
      </c>
      <c r="C257" s="328">
        <v>15277.089844</v>
      </c>
    </row>
    <row r="258" spans="2:3" ht="15" thickBot="1" x14ac:dyDescent="0.4">
      <c r="B258" s="269">
        <v>43637</v>
      </c>
      <c r="C258" s="328">
        <v>15172.480469</v>
      </c>
    </row>
    <row r="259" spans="2:3" ht="15" thickBot="1" x14ac:dyDescent="0.4">
      <c r="B259" s="269">
        <v>43640</v>
      </c>
      <c r="C259" s="328">
        <v>15144.879883</v>
      </c>
    </row>
    <row r="260" spans="2:3" ht="15" thickBot="1" x14ac:dyDescent="0.4">
      <c r="B260" s="269">
        <v>43641</v>
      </c>
      <c r="C260" s="328">
        <v>15253.599609000001</v>
      </c>
    </row>
    <row r="261" spans="2:3" ht="15" thickBot="1" x14ac:dyDescent="0.4">
      <c r="B261" s="269">
        <v>43642</v>
      </c>
      <c r="C261" s="328">
        <v>15332.209961</v>
      </c>
    </row>
    <row r="262" spans="2:3" ht="15" thickBot="1" x14ac:dyDescent="0.4">
      <c r="B262" s="269">
        <v>43643</v>
      </c>
      <c r="C262" s="328">
        <v>15350.450194999999</v>
      </c>
    </row>
    <row r="263" spans="2:3" ht="15" thickBot="1" x14ac:dyDescent="0.4">
      <c r="B263" s="269">
        <v>43644</v>
      </c>
      <c r="C263" s="328">
        <v>15291.700194999999</v>
      </c>
    </row>
    <row r="264" spans="2:3" ht="15" thickBot="1" x14ac:dyDescent="0.4">
      <c r="B264" s="269">
        <v>43647</v>
      </c>
      <c r="C264" s="328">
        <v>15380.240234000001</v>
      </c>
    </row>
    <row r="265" spans="2:3" ht="15" thickBot="1" x14ac:dyDescent="0.4">
      <c r="B265" s="269">
        <v>43648</v>
      </c>
      <c r="C265" s="328">
        <v>15429.639648</v>
      </c>
    </row>
    <row r="266" spans="2:3" ht="15" thickBot="1" x14ac:dyDescent="0.4">
      <c r="B266" s="269">
        <v>43649</v>
      </c>
      <c r="C266" s="328">
        <v>15450.209961</v>
      </c>
    </row>
    <row r="267" spans="2:3" ht="15" thickBot="1" x14ac:dyDescent="0.4">
      <c r="B267" s="269">
        <v>43650</v>
      </c>
      <c r="C267" s="328">
        <v>15479.269531</v>
      </c>
    </row>
    <row r="268" spans="2:3" ht="15" thickBot="1" x14ac:dyDescent="0.4">
      <c r="B268" s="269">
        <v>43651</v>
      </c>
      <c r="C268" s="328">
        <v>15291.980469</v>
      </c>
    </row>
    <row r="269" spans="2:3" ht="15" thickBot="1" x14ac:dyDescent="0.4">
      <c r="B269" s="269">
        <v>43654</v>
      </c>
      <c r="C269" s="328">
        <v>14960.480469</v>
      </c>
    </row>
    <row r="270" spans="2:3" ht="15" thickBot="1" x14ac:dyDescent="0.4">
      <c r="B270" s="269">
        <v>43655</v>
      </c>
      <c r="C270" s="328">
        <v>14970.240234000001</v>
      </c>
    </row>
    <row r="271" spans="2:3" ht="15" thickBot="1" x14ac:dyDescent="0.4">
      <c r="B271" s="269">
        <v>43656</v>
      </c>
      <c r="C271" s="328">
        <v>14881.719727</v>
      </c>
    </row>
    <row r="272" spans="2:3" ht="15" thickBot="1" x14ac:dyDescent="0.4">
      <c r="B272" s="269">
        <v>43657</v>
      </c>
      <c r="C272" s="328">
        <v>14985.769531</v>
      </c>
    </row>
    <row r="273" spans="2:3" ht="15" thickBot="1" x14ac:dyDescent="0.4">
      <c r="B273" s="269">
        <v>43658</v>
      </c>
      <c r="C273" s="328">
        <v>14971.950194999999</v>
      </c>
    </row>
    <row r="274" spans="2:3" ht="15" thickBot="1" x14ac:dyDescent="0.4">
      <c r="B274" s="269">
        <v>43661</v>
      </c>
      <c r="C274" s="328">
        <v>14991.049805000001</v>
      </c>
    </row>
    <row r="275" spans="2:3" ht="15" thickBot="1" x14ac:dyDescent="0.4">
      <c r="B275" s="269">
        <v>43662</v>
      </c>
      <c r="C275" s="328">
        <v>15091.120117</v>
      </c>
    </row>
    <row r="276" spans="2:3" ht="15" thickBot="1" x14ac:dyDescent="0.4">
      <c r="B276" s="269">
        <v>43663</v>
      </c>
      <c r="C276" s="328">
        <v>15111.610352</v>
      </c>
    </row>
    <row r="277" spans="2:3" ht="15" thickBot="1" x14ac:dyDescent="0.4">
      <c r="B277" s="269">
        <v>43664</v>
      </c>
      <c r="C277" s="328">
        <v>14970.660156</v>
      </c>
    </row>
    <row r="278" spans="2:3" ht="15" thickBot="1" x14ac:dyDescent="0.4">
      <c r="B278" s="269">
        <v>43665</v>
      </c>
      <c r="C278" s="328">
        <v>14736.480469</v>
      </c>
    </row>
    <row r="279" spans="2:3" ht="15" thickBot="1" x14ac:dyDescent="0.4">
      <c r="B279" s="269">
        <v>43668</v>
      </c>
      <c r="C279" s="328">
        <v>14641.860352</v>
      </c>
    </row>
    <row r="280" spans="2:3" ht="15" thickBot="1" x14ac:dyDescent="0.4">
      <c r="B280" s="269">
        <v>43669</v>
      </c>
      <c r="C280" s="328">
        <v>14617.719727</v>
      </c>
    </row>
    <row r="281" spans="2:3" ht="15" thickBot="1" x14ac:dyDescent="0.4">
      <c r="B281" s="269">
        <v>43670</v>
      </c>
      <c r="C281" s="328">
        <v>14502.25</v>
      </c>
    </row>
    <row r="282" spans="2:3" ht="15" thickBot="1" x14ac:dyDescent="0.4">
      <c r="B282" s="269">
        <v>43671</v>
      </c>
      <c r="C282" s="328">
        <v>14503.370117</v>
      </c>
    </row>
    <row r="283" spans="2:3" ht="15" thickBot="1" x14ac:dyDescent="0.4">
      <c r="B283" s="269">
        <v>43672</v>
      </c>
      <c r="C283" s="328">
        <v>14553.919921999999</v>
      </c>
    </row>
    <row r="284" spans="2:3" ht="15" thickBot="1" x14ac:dyDescent="0.4">
      <c r="B284" s="269">
        <v>43675</v>
      </c>
      <c r="C284" s="328">
        <v>14424.070313</v>
      </c>
    </row>
    <row r="285" spans="2:3" ht="15" thickBot="1" x14ac:dyDescent="0.4">
      <c r="B285" s="269">
        <v>43676</v>
      </c>
      <c r="C285" s="328">
        <v>14260.400390999999</v>
      </c>
    </row>
    <row r="286" spans="2:3" ht="15" thickBot="1" x14ac:dyDescent="0.4">
      <c r="B286" s="269">
        <v>43677</v>
      </c>
      <c r="C286" s="328">
        <v>14324.120117</v>
      </c>
    </row>
    <row r="287" spans="2:3" ht="15" thickBot="1" x14ac:dyDescent="0.4">
      <c r="B287" s="269">
        <v>43678</v>
      </c>
      <c r="C287" s="328">
        <v>14152.740234000001</v>
      </c>
    </row>
    <row r="288" spans="2:3" ht="15" thickBot="1" x14ac:dyDescent="0.4">
      <c r="B288" s="269">
        <v>43679</v>
      </c>
      <c r="C288" s="328">
        <v>14165.400390999999</v>
      </c>
    </row>
    <row r="289" spans="2:3" ht="15" thickBot="1" x14ac:dyDescent="0.4">
      <c r="B289" s="269">
        <v>43682</v>
      </c>
      <c r="C289" s="328">
        <v>13993.110352</v>
      </c>
    </row>
    <row r="290" spans="2:3" ht="15" thickBot="1" x14ac:dyDescent="0.4">
      <c r="B290" s="269">
        <v>43683</v>
      </c>
      <c r="C290" s="328">
        <v>14128.200194999999</v>
      </c>
    </row>
    <row r="291" spans="2:3" ht="15" thickBot="1" x14ac:dyDescent="0.4">
      <c r="B291" s="269">
        <v>43684</v>
      </c>
      <c r="C291" s="328">
        <v>14028.889648</v>
      </c>
    </row>
    <row r="292" spans="2:3" ht="15" thickBot="1" x14ac:dyDescent="0.4">
      <c r="B292" s="269">
        <v>43685</v>
      </c>
      <c r="C292" s="328">
        <v>14230.480469</v>
      </c>
    </row>
    <row r="293" spans="2:3" ht="15" thickBot="1" x14ac:dyDescent="0.4">
      <c r="B293" s="269">
        <v>43686</v>
      </c>
      <c r="C293" s="328">
        <v>14334.419921999999</v>
      </c>
    </row>
    <row r="294" spans="2:3" ht="15" thickBot="1" x14ac:dyDescent="0.4">
      <c r="B294" s="269">
        <v>43690</v>
      </c>
      <c r="C294" s="328">
        <v>14083.349609000001</v>
      </c>
    </row>
    <row r="295" spans="2:3" ht="15" thickBot="1" x14ac:dyDescent="0.4">
      <c r="B295" s="269">
        <v>43691</v>
      </c>
      <c r="C295" s="328">
        <v>14211.790039</v>
      </c>
    </row>
    <row r="296" spans="2:3" ht="15" thickBot="1" x14ac:dyDescent="0.4">
      <c r="B296" s="269">
        <v>43693</v>
      </c>
      <c r="C296" s="328">
        <v>14235.179688</v>
      </c>
    </row>
    <row r="297" spans="2:3" ht="15" thickBot="1" x14ac:dyDescent="0.4">
      <c r="B297" s="269">
        <v>43696</v>
      </c>
      <c r="C297" s="328">
        <v>14252.700194999999</v>
      </c>
    </row>
    <row r="298" spans="2:3" ht="15" thickBot="1" x14ac:dyDescent="0.4">
      <c r="B298" s="269">
        <v>43697</v>
      </c>
      <c r="C298" s="328">
        <v>14193.910156</v>
      </c>
    </row>
    <row r="299" spans="2:3" ht="15" thickBot="1" x14ac:dyDescent="0.4">
      <c r="B299" s="269">
        <v>43698</v>
      </c>
      <c r="C299" s="328">
        <v>14052.309569999999</v>
      </c>
    </row>
    <row r="300" spans="2:3" ht="15" thickBot="1" x14ac:dyDescent="0.4">
      <c r="B300" s="269">
        <v>43699</v>
      </c>
      <c r="C300" s="328">
        <v>13821.179688</v>
      </c>
    </row>
    <row r="301" spans="2:3" ht="15" thickBot="1" x14ac:dyDescent="0.4">
      <c r="B301" s="269">
        <v>43700</v>
      </c>
      <c r="C301" s="328">
        <v>13932.860352</v>
      </c>
    </row>
    <row r="302" spans="2:3" ht="15" thickBot="1" x14ac:dyDescent="0.4">
      <c r="B302" s="269">
        <v>43703</v>
      </c>
      <c r="C302" s="328">
        <v>14209.070313</v>
      </c>
    </row>
    <row r="303" spans="2:3" ht="15" thickBot="1" x14ac:dyDescent="0.4">
      <c r="B303" s="269">
        <v>43704</v>
      </c>
      <c r="C303" s="328">
        <v>14302.540039</v>
      </c>
    </row>
    <row r="304" spans="2:3" ht="15" thickBot="1" x14ac:dyDescent="0.4">
      <c r="B304" s="269">
        <v>43705</v>
      </c>
      <c r="C304" s="328">
        <v>14219.709961</v>
      </c>
    </row>
    <row r="305" spans="2:3" ht="15" thickBot="1" x14ac:dyDescent="0.4">
      <c r="B305" s="269">
        <v>43706</v>
      </c>
      <c r="C305" s="328">
        <v>14122.099609000001</v>
      </c>
    </row>
    <row r="306" spans="2:3" ht="15" thickBot="1" x14ac:dyDescent="0.4">
      <c r="B306" s="269">
        <v>43707</v>
      </c>
      <c r="C306" s="328">
        <v>14234.070313</v>
      </c>
    </row>
    <row r="307" spans="2:3" ht="15" thickBot="1" x14ac:dyDescent="0.4">
      <c r="B307" s="269">
        <v>43711</v>
      </c>
      <c r="C307" s="328">
        <v>13955.839844</v>
      </c>
    </row>
    <row r="308" spans="2:3" ht="15" thickBot="1" x14ac:dyDescent="0.4">
      <c r="B308" s="269">
        <v>43712</v>
      </c>
      <c r="C308" s="328">
        <v>14002.769531</v>
      </c>
    </row>
    <row r="309" spans="2:3" ht="15" thickBot="1" x14ac:dyDescent="0.4">
      <c r="B309" s="269">
        <v>43713</v>
      </c>
      <c r="C309" s="328">
        <v>14022.669921999999</v>
      </c>
    </row>
    <row r="310" spans="2:3" ht="15" thickBot="1" x14ac:dyDescent="0.4">
      <c r="B310" s="269">
        <v>43714</v>
      </c>
      <c r="C310" s="328">
        <v>14137.040039</v>
      </c>
    </row>
    <row r="311" spans="2:3" ht="15" thickBot="1" x14ac:dyDescent="0.4">
      <c r="B311" s="269">
        <v>43717</v>
      </c>
      <c r="C311" s="328">
        <v>14220.339844</v>
      </c>
    </row>
    <row r="312" spans="2:3" ht="15" thickBot="1" x14ac:dyDescent="0.4">
      <c r="B312" s="269">
        <v>43719</v>
      </c>
      <c r="C312" s="328">
        <v>14288.490234000001</v>
      </c>
    </row>
    <row r="313" spans="2:3" ht="15" thickBot="1" x14ac:dyDescent="0.4">
      <c r="B313" s="269">
        <v>43720</v>
      </c>
      <c r="C313" s="328">
        <v>14240.320313</v>
      </c>
    </row>
    <row r="314" spans="2:3" ht="15" thickBot="1" x14ac:dyDescent="0.4">
      <c r="B314" s="269">
        <v>43721</v>
      </c>
      <c r="C314" s="328">
        <v>14351.450194999999</v>
      </c>
    </row>
    <row r="315" spans="2:3" ht="15" thickBot="1" x14ac:dyDescent="0.4">
      <c r="B315" s="269">
        <v>43724</v>
      </c>
      <c r="C315" s="328">
        <v>14283.540039</v>
      </c>
    </row>
    <row r="316" spans="2:3" ht="15" thickBot="1" x14ac:dyDescent="0.4">
      <c r="B316" s="269">
        <v>43725</v>
      </c>
      <c r="C316" s="328">
        <v>14038.129883</v>
      </c>
    </row>
    <row r="317" spans="2:3" ht="15" thickBot="1" x14ac:dyDescent="0.4">
      <c r="B317" s="269">
        <v>43726</v>
      </c>
      <c r="C317" s="328">
        <v>14078.059569999999</v>
      </c>
    </row>
    <row r="318" spans="2:3" ht="15" thickBot="1" x14ac:dyDescent="0.4">
      <c r="B318" s="269">
        <v>43727</v>
      </c>
      <c r="C318" s="328">
        <v>13900.709961</v>
      </c>
    </row>
    <row r="319" spans="2:3" ht="15" thickBot="1" x14ac:dyDescent="0.4">
      <c r="B319" s="269">
        <v>43728</v>
      </c>
      <c r="C319" s="328">
        <v>14643.080078000001</v>
      </c>
    </row>
    <row r="320" spans="2:3" ht="15" thickBot="1" x14ac:dyDescent="0.4">
      <c r="B320" s="269">
        <v>43731</v>
      </c>
      <c r="C320" s="328">
        <v>15044.910156</v>
      </c>
    </row>
    <row r="321" spans="2:3" ht="15" thickBot="1" x14ac:dyDescent="0.4">
      <c r="B321" s="269">
        <v>43732</v>
      </c>
      <c r="C321" s="328">
        <v>15024.639648</v>
      </c>
    </row>
    <row r="322" spans="2:3" ht="15" thickBot="1" x14ac:dyDescent="0.4">
      <c r="B322" s="269">
        <v>43733</v>
      </c>
      <c r="C322" s="328">
        <v>14819.330078000001</v>
      </c>
    </row>
    <row r="323" spans="2:3" ht="15" thickBot="1" x14ac:dyDescent="0.4">
      <c r="B323" s="269">
        <v>43734</v>
      </c>
      <c r="C323" s="328">
        <v>14981.240234000001</v>
      </c>
    </row>
    <row r="324" spans="2:3" ht="15" thickBot="1" x14ac:dyDescent="0.4">
      <c r="B324" s="269">
        <v>43735</v>
      </c>
      <c r="C324" s="328">
        <v>14899.790039</v>
      </c>
    </row>
    <row r="325" spans="2:3" ht="15" thickBot="1" x14ac:dyDescent="0.4">
      <c r="B325" s="269">
        <v>43738</v>
      </c>
      <c r="C325" s="328">
        <v>14810.019531</v>
      </c>
    </row>
    <row r="326" spans="2:3" ht="15" thickBot="1" x14ac:dyDescent="0.4">
      <c r="B326" s="269">
        <v>43739</v>
      </c>
      <c r="C326" s="328">
        <v>14645.339844</v>
      </c>
    </row>
    <row r="327" spans="2:3" ht="15" thickBot="1" x14ac:dyDescent="0.4">
      <c r="B327" s="269">
        <v>43741</v>
      </c>
      <c r="C327" s="328">
        <v>14586.040039</v>
      </c>
    </row>
    <row r="328" spans="2:3" ht="15" thickBot="1" x14ac:dyDescent="0.4">
      <c r="B328" s="269">
        <v>43742</v>
      </c>
      <c r="C328" s="328">
        <v>14415.629883</v>
      </c>
    </row>
    <row r="329" spans="2:3" ht="15" thickBot="1" x14ac:dyDescent="0.4">
      <c r="B329" s="269">
        <v>43745</v>
      </c>
      <c r="C329" s="328">
        <v>14338.910156</v>
      </c>
    </row>
    <row r="330" spans="2:3" ht="15" thickBot="1" x14ac:dyDescent="0.4">
      <c r="B330" s="269">
        <v>43747</v>
      </c>
      <c r="C330" s="328">
        <v>14555.959961</v>
      </c>
    </row>
    <row r="331" spans="2:3" ht="15" thickBot="1" x14ac:dyDescent="0.4">
      <c r="B331" s="269">
        <v>43748</v>
      </c>
      <c r="C331" s="328">
        <v>14450.799805000001</v>
      </c>
    </row>
    <row r="332" spans="2:3" ht="15" thickBot="1" x14ac:dyDescent="0.4">
      <c r="B332" s="269">
        <v>43749</v>
      </c>
      <c r="C332" s="328">
        <v>14535.990234000001</v>
      </c>
    </row>
    <row r="333" spans="2:3" ht="15" thickBot="1" x14ac:dyDescent="0.4">
      <c r="B333" s="269">
        <v>43752</v>
      </c>
      <c r="C333" s="328">
        <v>14580.110352</v>
      </c>
    </row>
    <row r="334" spans="2:3" ht="15" thickBot="1" x14ac:dyDescent="0.4">
      <c r="B334" s="269">
        <v>43753</v>
      </c>
      <c r="C334" s="328">
        <v>14681.490234000001</v>
      </c>
    </row>
    <row r="335" spans="2:3" ht="15" thickBot="1" x14ac:dyDescent="0.4">
      <c r="B335" s="269">
        <v>43754</v>
      </c>
      <c r="C335" s="328">
        <v>14731.769531</v>
      </c>
    </row>
    <row r="336" spans="2:3" ht="15" thickBot="1" x14ac:dyDescent="0.4">
      <c r="B336" s="269">
        <v>43755</v>
      </c>
      <c r="C336" s="328">
        <v>14910.830078000001</v>
      </c>
    </row>
    <row r="337" spans="2:3" ht="15" thickBot="1" x14ac:dyDescent="0.4">
      <c r="B337" s="269">
        <v>43756</v>
      </c>
      <c r="C337" s="328">
        <v>15051.549805000001</v>
      </c>
    </row>
    <row r="338" spans="2:3" ht="15" thickBot="1" x14ac:dyDescent="0.4">
      <c r="B338" s="269">
        <v>43760</v>
      </c>
      <c r="C338" s="328">
        <v>14996.400390999999</v>
      </c>
    </row>
    <row r="339" spans="2:3" ht="15" thickBot="1" x14ac:dyDescent="0.4">
      <c r="B339" s="269">
        <v>43761</v>
      </c>
      <c r="C339" s="328">
        <v>15016.610352</v>
      </c>
    </row>
    <row r="340" spans="2:3" ht="15" thickBot="1" x14ac:dyDescent="0.4">
      <c r="B340" s="269">
        <v>43762</v>
      </c>
      <c r="C340" s="328">
        <v>14978.5</v>
      </c>
    </row>
    <row r="341" spans="2:3" ht="15" thickBot="1" x14ac:dyDescent="0.4">
      <c r="B341" s="269">
        <v>43763</v>
      </c>
      <c r="C341" s="328">
        <v>14967.509765999999</v>
      </c>
    </row>
    <row r="342" spans="2:3" ht="15" thickBot="1" x14ac:dyDescent="0.4">
      <c r="B342" s="269">
        <v>43765</v>
      </c>
      <c r="C342" s="328" t="s">
        <v>795</v>
      </c>
    </row>
    <row r="343" spans="2:3" ht="15" thickBot="1" x14ac:dyDescent="0.4">
      <c r="B343" s="269">
        <v>43767</v>
      </c>
      <c r="C343" s="328">
        <v>15239.540039</v>
      </c>
    </row>
    <row r="344" spans="2:3" ht="15" thickBot="1" x14ac:dyDescent="0.4">
      <c r="B344" s="269">
        <v>43768</v>
      </c>
      <c r="C344" s="328">
        <v>15317.959961</v>
      </c>
    </row>
    <row r="345" spans="2:3" ht="15" thickBot="1" x14ac:dyDescent="0.4">
      <c r="B345" s="269">
        <v>43769</v>
      </c>
      <c r="C345" s="328">
        <v>15387.129883</v>
      </c>
    </row>
    <row r="346" spans="2:3" ht="15" thickBot="1" x14ac:dyDescent="0.4">
      <c r="B346" s="269">
        <v>43770</v>
      </c>
      <c r="C346" s="328">
        <v>15409.929688</v>
      </c>
    </row>
    <row r="347" spans="2:3" ht="15" thickBot="1" x14ac:dyDescent="0.4">
      <c r="B347" s="269">
        <v>43773</v>
      </c>
      <c r="C347" s="328">
        <v>15452.269531</v>
      </c>
    </row>
    <row r="348" spans="2:3" ht="15" thickBot="1" x14ac:dyDescent="0.4">
      <c r="B348" s="269">
        <v>43774</v>
      </c>
      <c r="C348" s="328">
        <v>15393.759765999999</v>
      </c>
    </row>
    <row r="349" spans="2:3" ht="15" thickBot="1" x14ac:dyDescent="0.4">
      <c r="B349" s="269">
        <v>43775</v>
      </c>
      <c r="C349" s="328">
        <v>15437.740234000001</v>
      </c>
    </row>
    <row r="350" spans="2:3" ht="15" thickBot="1" x14ac:dyDescent="0.4">
      <c r="B350" s="269">
        <v>43776</v>
      </c>
      <c r="C350" s="328">
        <v>15507.009765999999</v>
      </c>
    </row>
    <row r="351" spans="2:3" ht="15" thickBot="1" x14ac:dyDescent="0.4">
      <c r="B351" s="269">
        <v>43777</v>
      </c>
      <c r="C351" s="328">
        <v>15372.389648</v>
      </c>
    </row>
    <row r="352" spans="2:3" ht="15" thickBot="1" x14ac:dyDescent="0.4">
      <c r="B352" s="269">
        <v>43780</v>
      </c>
      <c r="C352" s="328">
        <v>15391.450194999999</v>
      </c>
    </row>
    <row r="353" spans="2:3" ht="15" thickBot="1" x14ac:dyDescent="0.4">
      <c r="B353" s="269">
        <v>43782</v>
      </c>
      <c r="C353" s="328">
        <v>15284.820313</v>
      </c>
    </row>
    <row r="354" spans="2:3" ht="15" thickBot="1" x14ac:dyDescent="0.4">
      <c r="B354" s="269">
        <v>43783</v>
      </c>
      <c r="C354" s="328">
        <v>15313.360352</v>
      </c>
    </row>
    <row r="355" spans="2:3" ht="15" thickBot="1" x14ac:dyDescent="0.4">
      <c r="B355" s="269">
        <v>43784</v>
      </c>
      <c r="C355" s="328">
        <v>15336.639648</v>
      </c>
    </row>
    <row r="356" spans="2:3" ht="15" thickBot="1" x14ac:dyDescent="0.4">
      <c r="B356" s="269">
        <v>43787</v>
      </c>
      <c r="C356" s="328">
        <v>15341.049805000001</v>
      </c>
    </row>
    <row r="357" spans="2:3" ht="15" thickBot="1" x14ac:dyDescent="0.4">
      <c r="B357" s="269">
        <v>43788</v>
      </c>
      <c r="C357" s="328">
        <v>15395.099609000001</v>
      </c>
    </row>
    <row r="358" spans="2:3" ht="15" thickBot="1" x14ac:dyDescent="0.4">
      <c r="B358" s="269">
        <v>43789</v>
      </c>
      <c r="C358" s="328">
        <v>15461.959961</v>
      </c>
    </row>
    <row r="359" spans="2:3" ht="15" thickBot="1" x14ac:dyDescent="0.4">
      <c r="B359" s="269">
        <v>43790</v>
      </c>
      <c r="C359" s="328">
        <v>15410.830078000001</v>
      </c>
    </row>
    <row r="360" spans="2:3" ht="15" thickBot="1" x14ac:dyDescent="0.4">
      <c r="B360" s="269">
        <v>43791</v>
      </c>
      <c r="C360" s="328">
        <v>15355.379883</v>
      </c>
    </row>
    <row r="361" spans="2:3" ht="15" thickBot="1" x14ac:dyDescent="0.4">
      <c r="B361" s="269">
        <v>43794</v>
      </c>
      <c r="C361" s="328">
        <v>15554.519531</v>
      </c>
    </row>
    <row r="362" spans="2:3" ht="15" thickBot="1" x14ac:dyDescent="0.4">
      <c r="B362" s="269">
        <v>43795</v>
      </c>
      <c r="C362" s="328">
        <v>15492.349609000001</v>
      </c>
    </row>
    <row r="363" spans="2:3" ht="15" thickBot="1" x14ac:dyDescent="0.4">
      <c r="B363" s="269">
        <v>43796</v>
      </c>
      <c r="C363" s="328">
        <v>15576.179688</v>
      </c>
    </row>
    <row r="364" spans="2:3" ht="15" thickBot="1" x14ac:dyDescent="0.4">
      <c r="B364" s="269">
        <v>43797</v>
      </c>
      <c r="C364" s="328">
        <v>15660.070313</v>
      </c>
    </row>
    <row r="365" spans="2:3" ht="15" thickBot="1" x14ac:dyDescent="0.4">
      <c r="B365" s="269">
        <v>43798</v>
      </c>
      <c r="C365" s="328">
        <v>15567.669921999999</v>
      </c>
    </row>
    <row r="366" spans="2:3" ht="15" thickBot="1" x14ac:dyDescent="0.4">
      <c r="B366" s="269">
        <v>43801</v>
      </c>
      <c r="C366" s="328">
        <v>15545.309569999999</v>
      </c>
    </row>
    <row r="367" spans="2:3" ht="15" thickBot="1" x14ac:dyDescent="0.4">
      <c r="B367" s="269">
        <v>43802</v>
      </c>
      <c r="C367" s="328">
        <v>15457.179688</v>
      </c>
    </row>
    <row r="368" spans="2:3" ht="15" thickBot="1" x14ac:dyDescent="0.4">
      <c r="B368" s="269">
        <v>43803</v>
      </c>
      <c r="C368" s="328">
        <v>15521.259765999999</v>
      </c>
    </row>
    <row r="369" spans="2:3" ht="15" thickBot="1" x14ac:dyDescent="0.4">
      <c r="B369" s="269">
        <v>43804</v>
      </c>
      <c r="C369" s="328">
        <v>15478.540039</v>
      </c>
    </row>
    <row r="370" spans="2:3" ht="15" thickBot="1" x14ac:dyDescent="0.4">
      <c r="B370" s="269">
        <v>43805</v>
      </c>
      <c r="C370" s="328">
        <v>15338.669921999999</v>
      </c>
    </row>
    <row r="371" spans="2:3" ht="15" thickBot="1" x14ac:dyDescent="0.4">
      <c r="B371" s="269">
        <v>43808</v>
      </c>
      <c r="C371" s="328">
        <v>15344.559569999999</v>
      </c>
    </row>
    <row r="372" spans="2:3" ht="15" thickBot="1" x14ac:dyDescent="0.4">
      <c r="B372" s="269">
        <v>43809</v>
      </c>
      <c r="C372" s="328">
        <v>15222.75</v>
      </c>
    </row>
    <row r="373" spans="2:3" ht="15" thickBot="1" x14ac:dyDescent="0.4">
      <c r="B373" s="269">
        <v>43810</v>
      </c>
      <c r="C373" s="328">
        <v>15286.769531</v>
      </c>
    </row>
    <row r="374" spans="2:3" ht="15" thickBot="1" x14ac:dyDescent="0.4">
      <c r="B374" s="269">
        <v>43811</v>
      </c>
      <c r="C374" s="328">
        <v>15371.370117</v>
      </c>
    </row>
    <row r="375" spans="2:3" ht="15" thickBot="1" x14ac:dyDescent="0.4">
      <c r="B375" s="269">
        <v>43812</v>
      </c>
      <c r="C375" s="328">
        <v>15521.950194999999</v>
      </c>
    </row>
    <row r="376" spans="2:3" ht="15" thickBot="1" x14ac:dyDescent="0.4">
      <c r="B376" s="269">
        <v>43815</v>
      </c>
      <c r="C376" s="328">
        <v>15472.950194999999</v>
      </c>
    </row>
    <row r="377" spans="2:3" ht="15" thickBot="1" x14ac:dyDescent="0.4">
      <c r="B377" s="269">
        <v>43816</v>
      </c>
      <c r="C377" s="328">
        <v>15602.700194999999</v>
      </c>
    </row>
    <row r="378" spans="2:3" ht="15" thickBot="1" x14ac:dyDescent="0.4">
      <c r="B378" s="269">
        <v>43817</v>
      </c>
      <c r="C378" s="328">
        <v>15653.349609000001</v>
      </c>
    </row>
    <row r="379" spans="2:3" ht="15" thickBot="1" x14ac:dyDescent="0.4">
      <c r="B379" s="269">
        <v>43818</v>
      </c>
      <c r="C379" s="328">
        <v>15689.860352</v>
      </c>
    </row>
    <row r="380" spans="2:3" ht="15" thickBot="1" x14ac:dyDescent="0.4">
      <c r="B380" s="269">
        <v>43819</v>
      </c>
      <c r="C380" s="328">
        <v>15716.530273</v>
      </c>
    </row>
    <row r="381" spans="2:3" ht="15" thickBot="1" x14ac:dyDescent="0.4">
      <c r="B381" s="269">
        <v>43822</v>
      </c>
      <c r="C381" s="328">
        <v>15705.980469</v>
      </c>
    </row>
    <row r="382" spans="2:3" ht="15" thickBot="1" x14ac:dyDescent="0.4">
      <c r="B382" s="269">
        <v>43823</v>
      </c>
      <c r="C382" s="328">
        <v>15659.030273</v>
      </c>
    </row>
    <row r="383" spans="2:3" ht="15" thickBot="1" x14ac:dyDescent="0.4">
      <c r="B383" s="269">
        <v>43825</v>
      </c>
      <c r="C383" s="328">
        <v>15581.540039</v>
      </c>
    </row>
    <row r="384" spans="2:3" ht="15" thickBot="1" x14ac:dyDescent="0.4">
      <c r="B384" s="269">
        <v>43826</v>
      </c>
      <c r="C384" s="328">
        <v>15726.459961</v>
      </c>
    </row>
    <row r="385" spans="2:3" ht="15" thickBot="1" x14ac:dyDescent="0.4">
      <c r="B385" s="269">
        <v>43829</v>
      </c>
      <c r="C385" s="328">
        <v>15748.179688</v>
      </c>
    </row>
    <row r="386" spans="2:3" ht="15" thickBot="1" x14ac:dyDescent="0.4">
      <c r="B386" s="269">
        <v>43830</v>
      </c>
      <c r="C386" s="328">
        <v>15667.440430000001</v>
      </c>
    </row>
    <row r="387" spans="2:3" ht="15" thickBot="1" x14ac:dyDescent="0.4">
      <c r="B387" s="269">
        <v>43831</v>
      </c>
      <c r="C387" s="328" t="s">
        <v>795</v>
      </c>
    </row>
    <row r="388" spans="2:3" ht="15" thickBot="1" x14ac:dyDescent="0.4">
      <c r="B388" s="269">
        <v>43832</v>
      </c>
      <c r="C388" s="328">
        <v>15838.690430000001</v>
      </c>
    </row>
    <row r="389" spans="2:3" ht="15" thickBot="1" x14ac:dyDescent="0.4">
      <c r="B389" s="269">
        <v>43833</v>
      </c>
      <c r="C389" s="328">
        <v>15777.509765999999</v>
      </c>
    </row>
    <row r="390" spans="2:3" ht="15" thickBot="1" x14ac:dyDescent="0.4">
      <c r="B390" s="269">
        <v>43836</v>
      </c>
      <c r="C390" s="328">
        <v>15466.469727</v>
      </c>
    </row>
    <row r="391" spans="2:3" ht="15" thickBot="1" x14ac:dyDescent="0.4">
      <c r="B391" s="269">
        <v>43837</v>
      </c>
      <c r="C391" s="328">
        <v>15554.839844</v>
      </c>
    </row>
    <row r="392" spans="2:3" ht="15" thickBot="1" x14ac:dyDescent="0.4">
      <c r="B392" s="269">
        <v>43838</v>
      </c>
      <c r="C392" s="328">
        <v>15539.299805000001</v>
      </c>
    </row>
    <row r="393" spans="2:3" ht="15" thickBot="1" x14ac:dyDescent="0.4">
      <c r="B393" s="269">
        <v>43839</v>
      </c>
      <c r="C393" s="328">
        <v>15779.589844</v>
      </c>
    </row>
    <row r="394" spans="2:3" ht="15" thickBot="1" x14ac:dyDescent="0.4">
      <c r="B394" s="269">
        <v>43840</v>
      </c>
      <c r="C394" s="328">
        <v>15835.349609000001</v>
      </c>
    </row>
    <row r="395" spans="2:3" ht="15" thickBot="1" x14ac:dyDescent="0.4">
      <c r="B395" s="269">
        <v>43843</v>
      </c>
      <c r="C395" s="328">
        <v>15942.110352</v>
      </c>
    </row>
    <row r="396" spans="2:3" ht="15" thickBot="1" x14ac:dyDescent="0.4">
      <c r="B396" s="269">
        <v>43844</v>
      </c>
      <c r="C396" s="328">
        <v>15996.719727</v>
      </c>
    </row>
    <row r="397" spans="2:3" ht="15" thickBot="1" x14ac:dyDescent="0.4">
      <c r="B397" s="269">
        <v>43845</v>
      </c>
      <c r="C397" s="328">
        <v>16014.799805000001</v>
      </c>
    </row>
    <row r="398" spans="2:3" ht="15" thickBot="1" x14ac:dyDescent="0.4">
      <c r="B398" s="269">
        <v>43846</v>
      </c>
      <c r="C398" s="328">
        <v>16048.769531</v>
      </c>
    </row>
    <row r="399" spans="2:3" ht="15" thickBot="1" x14ac:dyDescent="0.4">
      <c r="B399" s="269">
        <v>43847</v>
      </c>
      <c r="C399" s="328">
        <v>16062.950194999999</v>
      </c>
    </row>
    <row r="400" spans="2:3" ht="15" thickBot="1" x14ac:dyDescent="0.4">
      <c r="B400" s="269">
        <v>43850</v>
      </c>
      <c r="C400" s="328">
        <v>15921.290039</v>
      </c>
    </row>
    <row r="401" spans="2:3" ht="15" thickBot="1" x14ac:dyDescent="0.4">
      <c r="B401" s="269">
        <v>43851</v>
      </c>
      <c r="C401" s="328">
        <v>15860.719727</v>
      </c>
    </row>
    <row r="402" spans="2:3" ht="15" thickBot="1" x14ac:dyDescent="0.4">
      <c r="B402" s="269">
        <v>43852</v>
      </c>
      <c r="C402" s="328">
        <v>15796.540039</v>
      </c>
    </row>
    <row r="403" spans="2:3" ht="15" thickBot="1" x14ac:dyDescent="0.4">
      <c r="B403" s="269">
        <v>43853</v>
      </c>
      <c r="C403" s="328">
        <v>15917.629883</v>
      </c>
    </row>
    <row r="404" spans="2:3" ht="15" thickBot="1" x14ac:dyDescent="0.4">
      <c r="B404" s="269">
        <v>43854</v>
      </c>
      <c r="C404" s="328">
        <v>16013.339844</v>
      </c>
    </row>
    <row r="405" spans="2:3" ht="15" thickBot="1" x14ac:dyDescent="0.4">
      <c r="B405" s="269">
        <v>43857</v>
      </c>
      <c r="C405" s="328">
        <v>15879.530273</v>
      </c>
    </row>
    <row r="406" spans="2:3" ht="15" thickBot="1" x14ac:dyDescent="0.4">
      <c r="B406" s="269">
        <v>43858</v>
      </c>
      <c r="C406" s="328">
        <v>15806.639648</v>
      </c>
    </row>
    <row r="407" spans="2:3" ht="15" thickBot="1" x14ac:dyDescent="0.4">
      <c r="B407" s="269">
        <v>43859</v>
      </c>
      <c r="C407" s="328">
        <v>15891.900390999999</v>
      </c>
    </row>
    <row r="408" spans="2:3" ht="15" thickBot="1" x14ac:dyDescent="0.4">
      <c r="B408" s="269">
        <v>43860</v>
      </c>
      <c r="C408" s="328">
        <v>15747.030273</v>
      </c>
    </row>
    <row r="409" spans="2:3" ht="15" thickBot="1" x14ac:dyDescent="0.4">
      <c r="B409" s="269">
        <v>43861</v>
      </c>
      <c r="C409" s="328">
        <v>15649.809569999999</v>
      </c>
    </row>
    <row r="410" spans="2:3" ht="15" thickBot="1" x14ac:dyDescent="0.4">
      <c r="B410" s="269">
        <v>43864</v>
      </c>
      <c r="C410" s="328">
        <v>15319.690430000001</v>
      </c>
    </row>
    <row r="411" spans="2:3" ht="15" thickBot="1" x14ac:dyDescent="0.4">
      <c r="B411" s="269">
        <v>43865</v>
      </c>
      <c r="C411" s="328">
        <v>15635.879883</v>
      </c>
    </row>
    <row r="412" spans="2:3" ht="15" thickBot="1" x14ac:dyDescent="0.4">
      <c r="B412" s="269">
        <v>43866</v>
      </c>
      <c r="C412" s="328">
        <v>15792.950194999999</v>
      </c>
    </row>
    <row r="413" spans="2:3" ht="15" thickBot="1" x14ac:dyDescent="0.4">
      <c r="B413" s="269">
        <v>43867</v>
      </c>
      <c r="C413" s="328">
        <v>15875.089844</v>
      </c>
    </row>
    <row r="414" spans="2:3" ht="15" thickBot="1" x14ac:dyDescent="0.4">
      <c r="B414" s="269">
        <v>43868</v>
      </c>
      <c r="C414" s="328">
        <v>15866.559569999999</v>
      </c>
    </row>
    <row r="415" spans="2:3" ht="15" thickBot="1" x14ac:dyDescent="0.4">
      <c r="B415" s="269">
        <v>43871</v>
      </c>
      <c r="C415" s="328">
        <v>15779.839844</v>
      </c>
    </row>
    <row r="416" spans="2:3" ht="15" thickBot="1" x14ac:dyDescent="0.4">
      <c r="B416" s="269">
        <v>43872</v>
      </c>
      <c r="C416" s="328">
        <v>15841.410156</v>
      </c>
    </row>
    <row r="417" spans="2:3" ht="15" thickBot="1" x14ac:dyDescent="0.4">
      <c r="B417" s="269">
        <v>43873</v>
      </c>
      <c r="C417" s="328">
        <v>15921.169921999999</v>
      </c>
    </row>
    <row r="418" spans="2:3" ht="15" thickBot="1" x14ac:dyDescent="0.4">
      <c r="B418" s="269">
        <v>43874</v>
      </c>
      <c r="C418" s="328">
        <v>15890.910156</v>
      </c>
    </row>
    <row r="419" spans="2:3" ht="15" thickBot="1" x14ac:dyDescent="0.4">
      <c r="B419" s="269">
        <v>43875</v>
      </c>
      <c r="C419" s="328">
        <v>15797.629883</v>
      </c>
    </row>
    <row r="420" spans="2:3" ht="15" thickBot="1" x14ac:dyDescent="0.4">
      <c r="B420" s="269">
        <v>43878</v>
      </c>
      <c r="C420" s="328">
        <v>15684.419921999999</v>
      </c>
    </row>
    <row r="421" spans="2:3" ht="15" thickBot="1" x14ac:dyDescent="0.4">
      <c r="B421" s="269">
        <v>43879</v>
      </c>
      <c r="C421" s="328">
        <v>15614.259765999999</v>
      </c>
    </row>
    <row r="422" spans="2:3" ht="15" thickBot="1" x14ac:dyDescent="0.4">
      <c r="B422" s="269">
        <v>43880</v>
      </c>
      <c r="C422" s="328">
        <v>15808.75</v>
      </c>
    </row>
    <row r="423" spans="2:3" ht="15" thickBot="1" x14ac:dyDescent="0.4">
      <c r="B423" s="269">
        <v>43881</v>
      </c>
      <c r="C423" s="328">
        <v>15787.450194999999</v>
      </c>
    </row>
    <row r="424" spans="2:3" ht="15" thickBot="1" x14ac:dyDescent="0.4">
      <c r="B424" s="269">
        <v>43885</v>
      </c>
      <c r="C424" s="328">
        <v>15469.290039</v>
      </c>
    </row>
    <row r="425" spans="2:3" ht="15" thickBot="1" x14ac:dyDescent="0.4">
      <c r="B425" s="269">
        <v>43886</v>
      </c>
      <c r="C425" s="328">
        <v>15418.709961</v>
      </c>
    </row>
    <row r="426" spans="2:3" ht="15" thickBot="1" x14ac:dyDescent="0.4">
      <c r="B426" s="269">
        <v>43887</v>
      </c>
      <c r="C426" s="328">
        <v>15256.990234000001</v>
      </c>
    </row>
    <row r="427" spans="2:3" ht="15" thickBot="1" x14ac:dyDescent="0.4">
      <c r="B427" s="269">
        <v>43888</v>
      </c>
      <c r="C427" s="328">
        <v>15183.849609000001</v>
      </c>
    </row>
    <row r="428" spans="2:3" ht="15" thickBot="1" x14ac:dyDescent="0.4">
      <c r="B428" s="269">
        <v>43889</v>
      </c>
      <c r="C428" s="328">
        <v>14627.620117</v>
      </c>
    </row>
    <row r="429" spans="2:3" ht="15" thickBot="1" x14ac:dyDescent="0.4">
      <c r="B429" s="269">
        <v>43892</v>
      </c>
      <c r="C429" s="328">
        <v>14549.709961</v>
      </c>
    </row>
    <row r="430" spans="2:3" ht="15" thickBot="1" x14ac:dyDescent="0.4">
      <c r="B430" s="269">
        <v>43893</v>
      </c>
      <c r="C430" s="328">
        <v>14783.589844</v>
      </c>
    </row>
    <row r="431" spans="2:3" ht="15" thickBot="1" x14ac:dyDescent="0.4">
      <c r="B431" s="269">
        <v>43894</v>
      </c>
      <c r="C431" s="328">
        <v>14676.219727</v>
      </c>
    </row>
    <row r="432" spans="2:3" ht="15" thickBot="1" x14ac:dyDescent="0.4">
      <c r="B432" s="269">
        <v>43895</v>
      </c>
      <c r="C432" s="328">
        <v>14706.490234000001</v>
      </c>
    </row>
    <row r="433" spans="2:3" ht="15" thickBot="1" x14ac:dyDescent="0.4">
      <c r="B433" s="269">
        <v>43896</v>
      </c>
      <c r="C433" s="328">
        <v>14355.820313</v>
      </c>
    </row>
    <row r="434" spans="2:3" ht="15" thickBot="1" x14ac:dyDescent="0.4">
      <c r="B434" s="269">
        <v>43899</v>
      </c>
      <c r="C434" s="328">
        <v>13668.299805000001</v>
      </c>
    </row>
    <row r="435" spans="2:3" ht="15" thickBot="1" x14ac:dyDescent="0.4">
      <c r="B435" s="269">
        <v>43901</v>
      </c>
      <c r="C435" s="328">
        <v>13652.780273</v>
      </c>
    </row>
    <row r="436" spans="2:3" ht="15" thickBot="1" x14ac:dyDescent="0.4">
      <c r="B436" s="269">
        <v>43902</v>
      </c>
      <c r="C436" s="328">
        <v>12517.5</v>
      </c>
    </row>
    <row r="437" spans="2:3" ht="15" thickBot="1" x14ac:dyDescent="0.4">
      <c r="B437" s="269">
        <v>43903</v>
      </c>
      <c r="C437" s="328">
        <v>12941.75</v>
      </c>
    </row>
    <row r="438" spans="2:3" ht="15" thickBot="1" x14ac:dyDescent="0.4">
      <c r="B438" s="269">
        <v>43906</v>
      </c>
      <c r="C438" s="328">
        <v>12024.190430000001</v>
      </c>
    </row>
    <row r="439" spans="2:3" ht="15" thickBot="1" x14ac:dyDescent="0.4">
      <c r="B439" s="269">
        <v>43907</v>
      </c>
      <c r="C439" s="328">
        <v>11755.589844</v>
      </c>
    </row>
    <row r="440" spans="2:3" ht="15" thickBot="1" x14ac:dyDescent="0.4">
      <c r="B440" s="269">
        <v>43908</v>
      </c>
      <c r="C440" s="328">
        <v>11115.679688</v>
      </c>
    </row>
    <row r="441" spans="2:3" ht="15" thickBot="1" x14ac:dyDescent="0.4">
      <c r="B441" s="269">
        <v>43909</v>
      </c>
      <c r="C441" s="328">
        <v>10783.160156</v>
      </c>
    </row>
    <row r="442" spans="2:3" ht="15" thickBot="1" x14ac:dyDescent="0.4">
      <c r="B442" s="269">
        <v>43910</v>
      </c>
      <c r="C442" s="328">
        <v>11359.419921999999</v>
      </c>
    </row>
    <row r="443" spans="2:3" ht="15" thickBot="1" x14ac:dyDescent="0.4">
      <c r="B443" s="269">
        <v>43913</v>
      </c>
      <c r="C443" s="328">
        <v>9896.25</v>
      </c>
    </row>
    <row r="444" spans="2:3" ht="15" thickBot="1" x14ac:dyDescent="0.4">
      <c r="B444" s="269">
        <v>43914</v>
      </c>
      <c r="C444" s="328">
        <v>10100.099609000001</v>
      </c>
    </row>
    <row r="445" spans="2:3" ht="15" thickBot="1" x14ac:dyDescent="0.4">
      <c r="B445" s="269">
        <v>43915</v>
      </c>
      <c r="C445" s="328">
        <v>10666.929688</v>
      </c>
    </row>
    <row r="446" spans="2:3" ht="15" thickBot="1" x14ac:dyDescent="0.4">
      <c r="B446" s="269">
        <v>43916</v>
      </c>
      <c r="C446" s="328">
        <v>11148.360352</v>
      </c>
    </row>
    <row r="447" spans="2:3" ht="15" thickBot="1" x14ac:dyDescent="0.4">
      <c r="B447" s="269">
        <v>43917</v>
      </c>
      <c r="C447" s="328">
        <v>11106.469727</v>
      </c>
    </row>
    <row r="448" spans="2:3" ht="15" thickBot="1" x14ac:dyDescent="0.4">
      <c r="B448" s="269">
        <v>43920</v>
      </c>
      <c r="C448" s="328">
        <v>10714.780273</v>
      </c>
    </row>
    <row r="449" spans="2:3" ht="15" thickBot="1" x14ac:dyDescent="0.4">
      <c r="B449" s="269">
        <v>43921</v>
      </c>
      <c r="C449" s="328">
        <v>11098.230469</v>
      </c>
    </row>
    <row r="450" spans="2:3" ht="15" thickBot="1" x14ac:dyDescent="0.4">
      <c r="B450" s="269">
        <v>43922</v>
      </c>
      <c r="C450" s="328">
        <v>10728.879883</v>
      </c>
    </row>
    <row r="451" spans="2:3" ht="15" thickBot="1" x14ac:dyDescent="0.4">
      <c r="B451" s="269">
        <v>43924</v>
      </c>
      <c r="C451" s="328">
        <v>10527.290039</v>
      </c>
    </row>
    <row r="452" spans="2:3" ht="15" thickBot="1" x14ac:dyDescent="0.4">
      <c r="B452" s="269">
        <v>43928</v>
      </c>
      <c r="C452" s="328">
        <v>11346.440430000001</v>
      </c>
    </row>
    <row r="453" spans="2:3" ht="15" thickBot="1" x14ac:dyDescent="0.4">
      <c r="B453" s="269">
        <v>43929</v>
      </c>
      <c r="C453" s="328">
        <v>11364.040039</v>
      </c>
    </row>
    <row r="454" spans="2:3" ht="15" thickBot="1" x14ac:dyDescent="0.4">
      <c r="B454" s="269">
        <v>43930</v>
      </c>
      <c r="C454" s="328">
        <v>11805.030273</v>
      </c>
    </row>
    <row r="455" spans="2:3" ht="15" thickBot="1" x14ac:dyDescent="0.4">
      <c r="B455" s="269">
        <v>43934</v>
      </c>
      <c r="C455" s="328">
        <v>11674.410156</v>
      </c>
    </row>
    <row r="456" spans="2:3" ht="15" thickBot="1" x14ac:dyDescent="0.4">
      <c r="B456" s="269">
        <v>43936</v>
      </c>
      <c r="C456" s="328">
        <v>11652.150390999999</v>
      </c>
    </row>
    <row r="457" spans="2:3" ht="15" thickBot="1" x14ac:dyDescent="0.4">
      <c r="B457" s="269">
        <v>43937</v>
      </c>
      <c r="C457" s="328">
        <v>11767.700194999999</v>
      </c>
    </row>
    <row r="458" spans="2:3" ht="15" thickBot="1" x14ac:dyDescent="0.4">
      <c r="B458" s="269">
        <v>43938</v>
      </c>
      <c r="C458" s="328">
        <v>12086.459961</v>
      </c>
    </row>
    <row r="459" spans="2:3" ht="15" thickBot="1" x14ac:dyDescent="0.4">
      <c r="B459" s="269">
        <v>43941</v>
      </c>
      <c r="C459" s="328">
        <v>12087.059569999999</v>
      </c>
    </row>
    <row r="460" spans="2:3" ht="15" thickBot="1" x14ac:dyDescent="0.4">
      <c r="B460" s="269">
        <v>43942</v>
      </c>
      <c r="C460" s="328">
        <v>11732.559569999999</v>
      </c>
    </row>
    <row r="461" spans="2:3" ht="15" thickBot="1" x14ac:dyDescent="0.4">
      <c r="B461" s="269">
        <v>43943</v>
      </c>
      <c r="C461" s="328">
        <v>11957.120117</v>
      </c>
    </row>
    <row r="462" spans="2:3" ht="15" thickBot="1" x14ac:dyDescent="0.4">
      <c r="B462" s="269">
        <v>43944</v>
      </c>
      <c r="C462" s="328">
        <v>12103.169921999999</v>
      </c>
    </row>
    <row r="463" spans="2:3" ht="15" thickBot="1" x14ac:dyDescent="0.4">
      <c r="B463" s="269">
        <v>43945</v>
      </c>
      <c r="C463" s="328">
        <v>11895.450194999999</v>
      </c>
    </row>
    <row r="464" spans="2:3" ht="15" thickBot="1" x14ac:dyDescent="0.4">
      <c r="B464" s="269">
        <v>43948</v>
      </c>
      <c r="C464" s="328">
        <v>12070.360352</v>
      </c>
    </row>
    <row r="465" spans="2:3" ht="15" thickBot="1" x14ac:dyDescent="0.4">
      <c r="B465" s="269">
        <v>43949</v>
      </c>
      <c r="C465" s="328">
        <v>12179.219727</v>
      </c>
    </row>
    <row r="466" spans="2:3" ht="15" thickBot="1" x14ac:dyDescent="0.4">
      <c r="B466" s="269">
        <v>43950</v>
      </c>
      <c r="C466" s="328">
        <v>12374.799805000001</v>
      </c>
    </row>
    <row r="467" spans="2:3" ht="15" thickBot="1" x14ac:dyDescent="0.4">
      <c r="B467" s="269">
        <v>43951</v>
      </c>
      <c r="C467" s="328">
        <v>12721</v>
      </c>
    </row>
    <row r="468" spans="2:3" ht="15" thickBot="1" x14ac:dyDescent="0.4">
      <c r="B468" s="269">
        <v>43955</v>
      </c>
      <c r="C468" s="328">
        <v>12051.459961</v>
      </c>
    </row>
    <row r="469" spans="2:3" ht="15" thickBot="1" x14ac:dyDescent="0.4">
      <c r="B469" s="269">
        <v>43956</v>
      </c>
      <c r="C469" s="328">
        <v>11938.400390999999</v>
      </c>
    </row>
    <row r="470" spans="2:3" ht="15" thickBot="1" x14ac:dyDescent="0.4">
      <c r="B470" s="269">
        <v>43957</v>
      </c>
      <c r="C470" s="328">
        <v>12023.639648</v>
      </c>
    </row>
    <row r="471" spans="2:3" ht="15" thickBot="1" x14ac:dyDescent="0.4">
      <c r="B471" s="269">
        <v>43958</v>
      </c>
      <c r="C471" s="328">
        <v>11938.419921999999</v>
      </c>
    </row>
    <row r="472" spans="2:3" ht="15" thickBot="1" x14ac:dyDescent="0.4">
      <c r="B472" s="269">
        <v>43959</v>
      </c>
      <c r="C472" s="328">
        <v>11988.929688</v>
      </c>
    </row>
    <row r="473" spans="2:3" ht="15" thickBot="1" x14ac:dyDescent="0.4">
      <c r="B473" s="269">
        <v>43962</v>
      </c>
      <c r="C473" s="328">
        <v>11997.790039</v>
      </c>
    </row>
    <row r="474" spans="2:3" ht="15" thickBot="1" x14ac:dyDescent="0.4">
      <c r="B474" s="269">
        <v>43963</v>
      </c>
      <c r="C474" s="328">
        <v>11940.150390999999</v>
      </c>
    </row>
    <row r="475" spans="2:3" ht="15" thickBot="1" x14ac:dyDescent="0.4">
      <c r="B475" s="269">
        <v>43964</v>
      </c>
      <c r="C475" s="328">
        <v>12171.259765999999</v>
      </c>
    </row>
    <row r="476" spans="2:3" ht="15" thickBot="1" x14ac:dyDescent="0.4">
      <c r="B476" s="269">
        <v>43965</v>
      </c>
      <c r="C476" s="328">
        <v>11926.230469</v>
      </c>
    </row>
    <row r="477" spans="2:3" ht="15" thickBot="1" x14ac:dyDescent="0.4">
      <c r="B477" s="269">
        <v>43966</v>
      </c>
      <c r="C477" s="328">
        <v>11907.639648</v>
      </c>
    </row>
    <row r="478" spans="2:3" ht="15" thickBot="1" x14ac:dyDescent="0.4">
      <c r="B478" s="269">
        <v>43969</v>
      </c>
      <c r="C478" s="328">
        <v>11499.610352</v>
      </c>
    </row>
    <row r="479" spans="2:3" ht="15" thickBot="1" x14ac:dyDescent="0.4">
      <c r="B479" s="269">
        <v>43970</v>
      </c>
      <c r="C479" s="328">
        <v>11557.690430000001</v>
      </c>
    </row>
    <row r="480" spans="2:3" ht="15" thickBot="1" x14ac:dyDescent="0.4">
      <c r="B480" s="269">
        <v>43971</v>
      </c>
      <c r="C480" s="328">
        <v>11784.129883</v>
      </c>
    </row>
    <row r="481" spans="2:3" ht="15" thickBot="1" x14ac:dyDescent="0.4">
      <c r="B481" s="269">
        <v>43972</v>
      </c>
      <c r="C481" s="328">
        <v>11843.929688</v>
      </c>
    </row>
    <row r="482" spans="2:3" ht="15" thickBot="1" x14ac:dyDescent="0.4">
      <c r="B482" s="269">
        <v>43973</v>
      </c>
      <c r="C482" s="328">
        <v>11763.179688</v>
      </c>
    </row>
    <row r="483" spans="2:3" ht="15" thickBot="1" x14ac:dyDescent="0.4">
      <c r="B483" s="269">
        <v>43977</v>
      </c>
      <c r="C483" s="328">
        <v>11777.990234000001</v>
      </c>
    </row>
    <row r="484" spans="2:3" ht="15" thickBot="1" x14ac:dyDescent="0.4">
      <c r="B484" s="269">
        <v>43978</v>
      </c>
      <c r="C484" s="328">
        <v>12055.240234000001</v>
      </c>
    </row>
    <row r="485" spans="2:3" ht="15" thickBot="1" x14ac:dyDescent="0.4">
      <c r="B485" s="269">
        <v>43979</v>
      </c>
      <c r="C485" s="328">
        <v>12271.5</v>
      </c>
    </row>
    <row r="486" spans="2:3" ht="15" thickBot="1" x14ac:dyDescent="0.4">
      <c r="B486" s="269">
        <v>43980</v>
      </c>
      <c r="C486" s="328">
        <v>12414.849609000001</v>
      </c>
    </row>
    <row r="487" spans="2:3" ht="15" thickBot="1" x14ac:dyDescent="0.4">
      <c r="B487" s="269">
        <v>43983</v>
      </c>
      <c r="C487" s="328">
        <v>12726.269531</v>
      </c>
    </row>
    <row r="488" spans="2:3" ht="15" thickBot="1" x14ac:dyDescent="0.4">
      <c r="B488" s="269">
        <v>43984</v>
      </c>
      <c r="C488" s="328">
        <v>12913.910156</v>
      </c>
    </row>
    <row r="489" spans="2:3" ht="15" thickBot="1" x14ac:dyDescent="0.4">
      <c r="B489" s="269">
        <v>43985</v>
      </c>
      <c r="C489" s="328">
        <v>13016.469727</v>
      </c>
    </row>
    <row r="490" spans="2:3" ht="15" thickBot="1" x14ac:dyDescent="0.4">
      <c r="B490" s="269">
        <v>43986</v>
      </c>
      <c r="C490" s="328">
        <v>12994.860352</v>
      </c>
    </row>
    <row r="491" spans="2:3" ht="15" thickBot="1" x14ac:dyDescent="0.4">
      <c r="B491" s="269">
        <v>43987</v>
      </c>
      <c r="C491" s="328">
        <v>13168.969727</v>
      </c>
    </row>
    <row r="492" spans="2:3" ht="15" thickBot="1" x14ac:dyDescent="0.4">
      <c r="B492" s="269">
        <v>43990</v>
      </c>
      <c r="C492" s="328">
        <v>13208.570313</v>
      </c>
    </row>
    <row r="493" spans="2:3" ht="15" thickBot="1" x14ac:dyDescent="0.4">
      <c r="B493" s="269">
        <v>43991</v>
      </c>
      <c r="C493" s="328">
        <v>13071.459961</v>
      </c>
    </row>
    <row r="494" spans="2:3" ht="15" thickBot="1" x14ac:dyDescent="0.4">
      <c r="B494" s="269">
        <v>43992</v>
      </c>
      <c r="C494" s="328">
        <v>13161.339844</v>
      </c>
    </row>
    <row r="495" spans="2:3" ht="15" thickBot="1" x14ac:dyDescent="0.4">
      <c r="B495" s="269">
        <v>43993</v>
      </c>
      <c r="C495" s="328">
        <v>12910.009765999999</v>
      </c>
    </row>
    <row r="496" spans="2:3" ht="15" thickBot="1" x14ac:dyDescent="0.4">
      <c r="B496" s="269">
        <v>43994</v>
      </c>
      <c r="C496" s="328">
        <v>13002.129883</v>
      </c>
    </row>
    <row r="497" spans="2:3" ht="15" thickBot="1" x14ac:dyDescent="0.4">
      <c r="B497" s="269">
        <v>43997</v>
      </c>
      <c r="C497" s="328">
        <v>12828.379883</v>
      </c>
    </row>
    <row r="498" spans="2:3" ht="15" thickBot="1" x14ac:dyDescent="0.4">
      <c r="B498" s="269">
        <v>43998</v>
      </c>
      <c r="C498" s="328">
        <v>12927.070313</v>
      </c>
    </row>
    <row r="499" spans="2:3" ht="15" thickBot="1" x14ac:dyDescent="0.4">
      <c r="B499" s="269">
        <v>43999</v>
      </c>
      <c r="C499" s="328">
        <v>12916.410156</v>
      </c>
    </row>
    <row r="500" spans="2:3" ht="15" thickBot="1" x14ac:dyDescent="0.4">
      <c r="B500" s="269">
        <v>44000</v>
      </c>
      <c r="C500" s="328">
        <v>13139.679688</v>
      </c>
    </row>
    <row r="501" spans="2:3" ht="15" thickBot="1" x14ac:dyDescent="0.4">
      <c r="B501" s="269">
        <v>44001</v>
      </c>
      <c r="C501" s="328">
        <v>13330.719727</v>
      </c>
    </row>
    <row r="502" spans="2:3" ht="15" thickBot="1" x14ac:dyDescent="0.4">
      <c r="B502" s="269">
        <v>44004</v>
      </c>
      <c r="C502" s="328">
        <v>13457.040039</v>
      </c>
    </row>
    <row r="503" spans="2:3" ht="15" thickBot="1" x14ac:dyDescent="0.4">
      <c r="B503" s="269">
        <v>44005</v>
      </c>
      <c r="C503" s="328">
        <v>13668.200194999999</v>
      </c>
    </row>
    <row r="504" spans="2:3" ht="15" thickBot="1" x14ac:dyDescent="0.4">
      <c r="B504" s="269">
        <v>44006</v>
      </c>
      <c r="C504" s="328">
        <v>13469.620117</v>
      </c>
    </row>
    <row r="505" spans="2:3" ht="15" thickBot="1" x14ac:dyDescent="0.4">
      <c r="B505" s="269">
        <v>44007</v>
      </c>
      <c r="C505" s="328">
        <v>13479.589844</v>
      </c>
    </row>
    <row r="506" spans="2:3" ht="15" thickBot="1" x14ac:dyDescent="0.4">
      <c r="B506" s="269">
        <v>44008</v>
      </c>
      <c r="C506" s="328">
        <v>13577.099609000001</v>
      </c>
    </row>
    <row r="507" spans="2:3" ht="15" thickBot="1" x14ac:dyDescent="0.4">
      <c r="B507" s="269">
        <v>44011</v>
      </c>
      <c r="C507" s="328">
        <v>13466.129883</v>
      </c>
    </row>
    <row r="508" spans="2:3" ht="15" thickBot="1" x14ac:dyDescent="0.4">
      <c r="B508" s="269">
        <v>44012</v>
      </c>
      <c r="C508" s="328">
        <v>13438.139648</v>
      </c>
    </row>
    <row r="509" spans="2:3" ht="15" thickBot="1" x14ac:dyDescent="0.4">
      <c r="B509" s="269">
        <v>44013</v>
      </c>
      <c r="C509" s="328">
        <v>13569.419921999999</v>
      </c>
    </row>
    <row r="510" spans="2:3" ht="15" thickBot="1" x14ac:dyDescent="0.4">
      <c r="B510" s="269">
        <v>44014</v>
      </c>
      <c r="C510" s="328">
        <v>13721.360352</v>
      </c>
    </row>
    <row r="511" spans="2:3" ht="15" thickBot="1" x14ac:dyDescent="0.4">
      <c r="B511" s="269">
        <v>44015</v>
      </c>
      <c r="C511" s="328">
        <v>13798.559569999999</v>
      </c>
    </row>
    <row r="512" spans="2:3" ht="15" thickBot="1" x14ac:dyDescent="0.4">
      <c r="B512" s="269">
        <v>44018</v>
      </c>
      <c r="C512" s="328">
        <v>13967.839844</v>
      </c>
    </row>
    <row r="513" spans="2:3" ht="15" thickBot="1" x14ac:dyDescent="0.4">
      <c r="B513" s="269">
        <v>44019</v>
      </c>
      <c r="C513" s="328">
        <v>14023.839844</v>
      </c>
    </row>
    <row r="514" spans="2:3" ht="15" thickBot="1" x14ac:dyDescent="0.4">
      <c r="B514" s="269">
        <v>44020</v>
      </c>
      <c r="C514" s="328">
        <v>13916.809569999999</v>
      </c>
    </row>
    <row r="515" spans="2:3" ht="15" thickBot="1" x14ac:dyDescent="0.4">
      <c r="B515" s="269">
        <v>44021</v>
      </c>
      <c r="C515" s="328">
        <v>14027.410156</v>
      </c>
    </row>
    <row r="516" spans="2:3" ht="15" thickBot="1" x14ac:dyDescent="0.4">
      <c r="B516" s="269">
        <v>44022</v>
      </c>
      <c r="C516" s="328">
        <v>13968.639648</v>
      </c>
    </row>
    <row r="517" spans="2:3" ht="15" thickBot="1" x14ac:dyDescent="0.4">
      <c r="B517" s="269">
        <v>44025</v>
      </c>
      <c r="C517" s="328">
        <v>14002.650390999999</v>
      </c>
    </row>
    <row r="518" spans="2:3" ht="15" thickBot="1" x14ac:dyDescent="0.4">
      <c r="B518" s="269">
        <v>44026</v>
      </c>
      <c r="C518" s="328">
        <v>13780.459961</v>
      </c>
    </row>
    <row r="519" spans="2:3" ht="15" thickBot="1" x14ac:dyDescent="0.4">
      <c r="B519" s="269">
        <v>44027</v>
      </c>
      <c r="C519" s="328">
        <v>13780.209961</v>
      </c>
    </row>
    <row r="520" spans="2:3" ht="15" thickBot="1" x14ac:dyDescent="0.4">
      <c r="B520" s="269">
        <v>44028</v>
      </c>
      <c r="C520" s="328">
        <v>13905.490234000001</v>
      </c>
    </row>
    <row r="521" spans="2:3" ht="15" thickBot="1" x14ac:dyDescent="0.4">
      <c r="B521" s="269">
        <v>44029</v>
      </c>
      <c r="C521" s="328">
        <v>14114.280273</v>
      </c>
    </row>
    <row r="522" spans="2:3" ht="15" thickBot="1" x14ac:dyDescent="0.4">
      <c r="B522" s="269">
        <v>44032</v>
      </c>
      <c r="C522" s="328">
        <v>14255.129883</v>
      </c>
    </row>
    <row r="523" spans="2:3" ht="15" thickBot="1" x14ac:dyDescent="0.4">
      <c r="B523" s="269">
        <v>44033</v>
      </c>
      <c r="C523" s="328">
        <v>14392.440430000001</v>
      </c>
    </row>
    <row r="524" spans="2:3" ht="15" thickBot="1" x14ac:dyDescent="0.4">
      <c r="B524" s="269">
        <v>44034</v>
      </c>
      <c r="C524" s="328">
        <v>14357.179688</v>
      </c>
    </row>
    <row r="525" spans="2:3" ht="15" thickBot="1" x14ac:dyDescent="0.4">
      <c r="B525" s="269">
        <v>44035</v>
      </c>
      <c r="C525" s="328">
        <v>14460.660156</v>
      </c>
    </row>
    <row r="526" spans="2:3" ht="15" thickBot="1" x14ac:dyDescent="0.4">
      <c r="B526" s="269">
        <v>44036</v>
      </c>
      <c r="C526" s="328">
        <v>14415.849609000001</v>
      </c>
    </row>
    <row r="527" spans="2:3" ht="15" thickBot="1" x14ac:dyDescent="0.4">
      <c r="B527" s="269">
        <v>44039</v>
      </c>
      <c r="C527" s="328">
        <v>14320.589844</v>
      </c>
    </row>
    <row r="528" spans="2:3" ht="15" thickBot="1" x14ac:dyDescent="0.4">
      <c r="B528" s="269">
        <v>44040</v>
      </c>
      <c r="C528" s="328">
        <v>14507.459961</v>
      </c>
    </row>
    <row r="529" spans="2:3" ht="15" thickBot="1" x14ac:dyDescent="0.4">
      <c r="B529" s="269">
        <v>44041</v>
      </c>
      <c r="C529" s="328">
        <v>14437.309569999999</v>
      </c>
    </row>
    <row r="530" spans="2:3" ht="15" thickBot="1" x14ac:dyDescent="0.4">
      <c r="B530" s="269">
        <v>44042</v>
      </c>
      <c r="C530" s="328">
        <v>14337.809569999999</v>
      </c>
    </row>
    <row r="531" spans="2:3" ht="15" thickBot="1" x14ac:dyDescent="0.4">
      <c r="B531" s="269">
        <v>44043</v>
      </c>
      <c r="C531" s="328">
        <v>14346.179688</v>
      </c>
    </row>
    <row r="532" spans="2:3" ht="15" thickBot="1" x14ac:dyDescent="0.4">
      <c r="B532" s="269">
        <v>44046</v>
      </c>
      <c r="C532" s="328">
        <v>14182.519531</v>
      </c>
    </row>
    <row r="533" spans="2:3" ht="15" thickBot="1" x14ac:dyDescent="0.4">
      <c r="B533" s="269">
        <v>44047</v>
      </c>
      <c r="C533" s="328">
        <v>14412.790039</v>
      </c>
    </row>
    <row r="534" spans="2:3" ht="15" thickBot="1" x14ac:dyDescent="0.4">
      <c r="B534" s="269">
        <v>44048</v>
      </c>
      <c r="C534" s="328">
        <v>14435.259765999999</v>
      </c>
    </row>
    <row r="535" spans="2:3" ht="15" thickBot="1" x14ac:dyDescent="0.4">
      <c r="B535" s="269">
        <v>44049</v>
      </c>
      <c r="C535" s="328">
        <v>14563.830078000001</v>
      </c>
    </row>
    <row r="536" spans="2:3" ht="15" thickBot="1" x14ac:dyDescent="0.4">
      <c r="B536" s="269">
        <v>44050</v>
      </c>
      <c r="C536" s="328">
        <v>14608.940430000001</v>
      </c>
    </row>
    <row r="537" spans="2:3" ht="15" thickBot="1" x14ac:dyDescent="0.4">
      <c r="B537" s="269">
        <v>44053</v>
      </c>
      <c r="C537" s="328">
        <v>14717.740234000001</v>
      </c>
    </row>
    <row r="538" spans="2:3" ht="15" thickBot="1" x14ac:dyDescent="0.4">
      <c r="B538" s="269">
        <v>44054</v>
      </c>
      <c r="C538" s="328">
        <v>14757.559569999999</v>
      </c>
    </row>
    <row r="539" spans="2:3" ht="15" thickBot="1" x14ac:dyDescent="0.4">
      <c r="B539" s="269">
        <v>44055</v>
      </c>
      <c r="C539" s="328">
        <v>14746.400390999999</v>
      </c>
    </row>
    <row r="540" spans="2:3" ht="15" thickBot="1" x14ac:dyDescent="0.4">
      <c r="B540" s="269">
        <v>44056</v>
      </c>
      <c r="C540" s="328">
        <v>14783.160156</v>
      </c>
    </row>
    <row r="541" spans="2:3" ht="15" thickBot="1" x14ac:dyDescent="0.4">
      <c r="B541" s="269">
        <v>44057</v>
      </c>
      <c r="C541" s="328">
        <v>14634.870117</v>
      </c>
    </row>
    <row r="542" spans="2:3" ht="15" thickBot="1" x14ac:dyDescent="0.4">
      <c r="B542" s="269">
        <v>44060</v>
      </c>
      <c r="C542" s="328">
        <v>14721.969727</v>
      </c>
    </row>
    <row r="543" spans="2:3" ht="15" thickBot="1" x14ac:dyDescent="0.4">
      <c r="B543" s="269">
        <v>44061</v>
      </c>
      <c r="C543" s="328">
        <v>14898.980469</v>
      </c>
    </row>
    <row r="544" spans="2:3" ht="15" thickBot="1" x14ac:dyDescent="0.4">
      <c r="B544" s="269">
        <v>44062</v>
      </c>
      <c r="C544" s="328">
        <v>14952.690430000001</v>
      </c>
    </row>
    <row r="545" spans="2:3" ht="15" thickBot="1" x14ac:dyDescent="0.4">
      <c r="B545" s="269">
        <v>44063</v>
      </c>
      <c r="C545" s="328">
        <v>14878.769531</v>
      </c>
    </row>
    <row r="546" spans="2:3" ht="15" thickBot="1" x14ac:dyDescent="0.4">
      <c r="B546" s="269">
        <v>44064</v>
      </c>
      <c r="C546" s="328">
        <v>14965.719727</v>
      </c>
    </row>
    <row r="547" spans="2:3" ht="15" thickBot="1" x14ac:dyDescent="0.4">
      <c r="B547" s="269">
        <v>44067</v>
      </c>
      <c r="C547" s="328">
        <v>15081.940430000001</v>
      </c>
    </row>
    <row r="548" spans="2:3" ht="15" thickBot="1" x14ac:dyDescent="0.4">
      <c r="B548" s="269">
        <v>44068</v>
      </c>
      <c r="C548" s="328">
        <v>15103.030273</v>
      </c>
    </row>
    <row r="549" spans="2:3" ht="15" thickBot="1" x14ac:dyDescent="0.4">
      <c r="B549" s="269">
        <v>44069</v>
      </c>
      <c r="C549" s="328">
        <v>15191.469727</v>
      </c>
    </row>
    <row r="550" spans="2:3" ht="15" thickBot="1" x14ac:dyDescent="0.4">
      <c r="B550" s="269">
        <v>44070</v>
      </c>
      <c r="C550" s="328">
        <v>15217.070313</v>
      </c>
    </row>
    <row r="551" spans="2:3" ht="15" thickBot="1" x14ac:dyDescent="0.4">
      <c r="B551" s="269">
        <v>44071</v>
      </c>
      <c r="C551" s="328">
        <v>15309.580078000001</v>
      </c>
    </row>
    <row r="552" spans="2:3" ht="15" thickBot="1" x14ac:dyDescent="0.4">
      <c r="B552" s="269">
        <v>44074</v>
      </c>
      <c r="C552" s="328">
        <v>14890.059569999999</v>
      </c>
    </row>
    <row r="553" spans="2:3" ht="15" thickBot="1" x14ac:dyDescent="0.4">
      <c r="B553" s="269">
        <v>44075</v>
      </c>
      <c r="C553" s="328">
        <v>15006.089844</v>
      </c>
    </row>
    <row r="554" spans="2:3" ht="15" thickBot="1" x14ac:dyDescent="0.4">
      <c r="B554" s="269">
        <v>44076</v>
      </c>
      <c r="C554" s="328">
        <v>15122.349609000001</v>
      </c>
    </row>
    <row r="555" spans="2:3" ht="15" thickBot="1" x14ac:dyDescent="0.4">
      <c r="B555" s="269">
        <v>44077</v>
      </c>
      <c r="C555" s="328">
        <v>15145.299805000001</v>
      </c>
    </row>
    <row r="556" spans="2:3" ht="15" thickBot="1" x14ac:dyDescent="0.4">
      <c r="B556" s="269">
        <v>44078</v>
      </c>
      <c r="C556" s="328">
        <v>14897.099609000001</v>
      </c>
    </row>
    <row r="557" spans="2:3" ht="15" thickBot="1" x14ac:dyDescent="0.4">
      <c r="B557" s="269">
        <v>44081</v>
      </c>
      <c r="C557" s="328">
        <v>14899.349609000001</v>
      </c>
    </row>
    <row r="558" spans="2:3" ht="15" thickBot="1" x14ac:dyDescent="0.4">
      <c r="B558" s="269">
        <v>44082</v>
      </c>
      <c r="C558" s="328">
        <v>14820.990234000001</v>
      </c>
    </row>
    <row r="559" spans="2:3" ht="15" thickBot="1" x14ac:dyDescent="0.4">
      <c r="B559" s="269">
        <v>44083</v>
      </c>
      <c r="C559" s="328">
        <v>14764.139648</v>
      </c>
    </row>
    <row r="560" spans="2:3" ht="15" thickBot="1" x14ac:dyDescent="0.4">
      <c r="B560" s="269">
        <v>44084</v>
      </c>
      <c r="C560" s="328">
        <v>14973.230469</v>
      </c>
    </row>
    <row r="561" spans="2:3" ht="15" thickBot="1" x14ac:dyDescent="0.4">
      <c r="B561" s="269">
        <v>44085</v>
      </c>
      <c r="C561" s="328">
        <v>15012.160156</v>
      </c>
    </row>
    <row r="562" spans="2:3" ht="15" thickBot="1" x14ac:dyDescent="0.4">
      <c r="B562" s="269">
        <v>44088</v>
      </c>
      <c r="C562" s="328">
        <v>15088.370117</v>
      </c>
    </row>
    <row r="563" spans="2:3" ht="15" thickBot="1" x14ac:dyDescent="0.4">
      <c r="B563" s="269">
        <v>44089</v>
      </c>
      <c r="C563" s="328">
        <v>15217.339844</v>
      </c>
    </row>
    <row r="564" spans="2:3" ht="15" thickBot="1" x14ac:dyDescent="0.4">
      <c r="B564" s="269">
        <v>44090</v>
      </c>
      <c r="C564" s="328">
        <v>15313.209961</v>
      </c>
    </row>
    <row r="565" spans="2:3" ht="15" thickBot="1" x14ac:dyDescent="0.4">
      <c r="B565" s="269">
        <v>44091</v>
      </c>
      <c r="C565" s="328">
        <v>15211.610352</v>
      </c>
    </row>
    <row r="566" spans="2:3" ht="15" thickBot="1" x14ac:dyDescent="0.4">
      <c r="B566" s="269">
        <v>44092</v>
      </c>
      <c r="C566" s="328">
        <v>15202.639648</v>
      </c>
    </row>
    <row r="567" spans="2:3" ht="15" thickBot="1" x14ac:dyDescent="0.4">
      <c r="B567" s="269">
        <v>44095</v>
      </c>
      <c r="C567" s="328">
        <v>14804.200194999999</v>
      </c>
    </row>
    <row r="568" spans="2:3" ht="15" thickBot="1" x14ac:dyDescent="0.4">
      <c r="B568" s="269">
        <v>44096</v>
      </c>
      <c r="C568" s="328">
        <v>14652.219727</v>
      </c>
    </row>
    <row r="569" spans="2:3" ht="15" thickBot="1" x14ac:dyDescent="0.4">
      <c r="B569" s="269">
        <v>44097</v>
      </c>
      <c r="C569" s="328">
        <v>14617.610352</v>
      </c>
    </row>
    <row r="570" spans="2:3" ht="15" thickBot="1" x14ac:dyDescent="0.4">
      <c r="B570" s="269">
        <v>44098</v>
      </c>
      <c r="C570" s="328">
        <v>14221.190430000001</v>
      </c>
    </row>
    <row r="571" spans="2:3" ht="15" thickBot="1" x14ac:dyDescent="0.4">
      <c r="B571" s="269">
        <v>44099</v>
      </c>
      <c r="C571" s="328">
        <v>14557.669921999999</v>
      </c>
    </row>
    <row r="572" spans="2:3" ht="15" thickBot="1" x14ac:dyDescent="0.4">
      <c r="B572" s="269">
        <v>44102</v>
      </c>
      <c r="C572" s="328">
        <v>14834.259765999999</v>
      </c>
    </row>
    <row r="573" spans="2:3" ht="15" thickBot="1" x14ac:dyDescent="0.4">
      <c r="B573" s="269">
        <v>44103</v>
      </c>
      <c r="C573" s="328">
        <v>14819.570313</v>
      </c>
    </row>
    <row r="574" spans="2:3" ht="15" thickBot="1" x14ac:dyDescent="0.4">
      <c r="B574" s="269">
        <v>44104</v>
      </c>
      <c r="C574" s="328">
        <v>14851</v>
      </c>
    </row>
    <row r="575" spans="2:3" ht="15" thickBot="1" x14ac:dyDescent="0.4">
      <c r="B575" s="269">
        <v>44105</v>
      </c>
      <c r="C575" s="328">
        <v>15038.240234000001</v>
      </c>
    </row>
    <row r="576" spans="2:3" ht="15" thickBot="1" x14ac:dyDescent="0.4">
      <c r="B576" s="269">
        <v>44109</v>
      </c>
      <c r="C576" s="328">
        <v>15126.049805000001</v>
      </c>
    </row>
    <row r="577" spans="2:3" ht="15" thickBot="1" x14ac:dyDescent="0.4">
      <c r="B577" s="269">
        <v>44110</v>
      </c>
      <c r="C577" s="328">
        <v>15295.379883</v>
      </c>
    </row>
    <row r="578" spans="2:3" ht="15" thickBot="1" x14ac:dyDescent="0.4">
      <c r="B578" s="269">
        <v>44111</v>
      </c>
      <c r="C578" s="328">
        <v>15343.360352</v>
      </c>
    </row>
    <row r="579" spans="2:3" ht="15" thickBot="1" x14ac:dyDescent="0.4">
      <c r="B579" s="269">
        <v>44112</v>
      </c>
      <c r="C579" s="328">
        <v>15435.379883</v>
      </c>
    </row>
    <row r="580" spans="2:3" ht="15" thickBot="1" x14ac:dyDescent="0.4">
      <c r="B580" s="269">
        <v>44113</v>
      </c>
      <c r="C580" s="328">
        <v>15498.179688</v>
      </c>
    </row>
    <row r="581" spans="2:3" ht="15" thickBot="1" x14ac:dyDescent="0.4">
      <c r="B581" s="269">
        <v>44116</v>
      </c>
      <c r="C581" s="328">
        <v>15480.5</v>
      </c>
    </row>
    <row r="582" spans="2:3" ht="15" thickBot="1" x14ac:dyDescent="0.4">
      <c r="B582" s="269">
        <v>44117</v>
      </c>
      <c r="C582" s="328">
        <v>15468.469727</v>
      </c>
    </row>
    <row r="583" spans="2:3" ht="15" thickBot="1" x14ac:dyDescent="0.4">
      <c r="B583" s="269">
        <v>44118</v>
      </c>
      <c r="C583" s="328">
        <v>15508.650390999999</v>
      </c>
    </row>
    <row r="584" spans="2:3" ht="15" thickBot="1" x14ac:dyDescent="0.4">
      <c r="B584" s="269">
        <v>44119</v>
      </c>
      <c r="C584" s="328">
        <v>15167.700194999999</v>
      </c>
    </row>
    <row r="585" spans="2:3" ht="15" thickBot="1" x14ac:dyDescent="0.4">
      <c r="B585" s="269">
        <v>44120</v>
      </c>
      <c r="C585" s="328">
        <v>15288.929688</v>
      </c>
    </row>
    <row r="586" spans="2:3" ht="15" thickBot="1" x14ac:dyDescent="0.4">
      <c r="B586" s="269">
        <v>44123</v>
      </c>
      <c r="C586" s="328">
        <v>15424.929688</v>
      </c>
    </row>
    <row r="587" spans="2:3" ht="15" thickBot="1" x14ac:dyDescent="0.4">
      <c r="B587" s="269">
        <v>44124</v>
      </c>
      <c r="C587" s="328">
        <v>15463.330078000001</v>
      </c>
    </row>
    <row r="588" spans="2:3" ht="15" thickBot="1" x14ac:dyDescent="0.4">
      <c r="B588" s="269">
        <v>44125</v>
      </c>
      <c r="C588" s="328">
        <v>15499.839844</v>
      </c>
    </row>
    <row r="589" spans="2:3" ht="15" thickBot="1" x14ac:dyDescent="0.4">
      <c r="B589" s="269">
        <v>44126</v>
      </c>
      <c r="C589" s="328">
        <v>15487.759765999999</v>
      </c>
    </row>
    <row r="590" spans="2:3" ht="15" thickBot="1" x14ac:dyDescent="0.4">
      <c r="B590" s="269">
        <v>44127</v>
      </c>
      <c r="C590" s="328">
        <v>15539.299805000001</v>
      </c>
    </row>
    <row r="591" spans="2:3" ht="15" thickBot="1" x14ac:dyDescent="0.4">
      <c r="B591" s="269">
        <v>44130</v>
      </c>
      <c r="C591" s="328">
        <v>15330.080078000001</v>
      </c>
    </row>
    <row r="592" spans="2:3" ht="15" thickBot="1" x14ac:dyDescent="0.4">
      <c r="B592" s="269">
        <v>44131</v>
      </c>
      <c r="C592" s="328">
        <v>15484.290039</v>
      </c>
    </row>
    <row r="593" spans="2:3" ht="15" thickBot="1" x14ac:dyDescent="0.4">
      <c r="B593" s="269">
        <v>44132</v>
      </c>
      <c r="C593" s="328">
        <v>15291.290039</v>
      </c>
    </row>
    <row r="594" spans="2:3" ht="15" thickBot="1" x14ac:dyDescent="0.4">
      <c r="B594" s="269">
        <v>44133</v>
      </c>
      <c r="C594" s="328">
        <v>15235.820313</v>
      </c>
    </row>
    <row r="595" spans="2:3" ht="15" thickBot="1" x14ac:dyDescent="0.4">
      <c r="B595" s="269">
        <v>44134</v>
      </c>
      <c r="C595" s="328">
        <v>15215.009765999999</v>
      </c>
    </row>
    <row r="596" spans="2:3" ht="15" thickBot="1" x14ac:dyDescent="0.4">
      <c r="B596" s="269">
        <v>44137</v>
      </c>
      <c r="C596" s="328">
        <v>15236.959961</v>
      </c>
    </row>
    <row r="597" spans="2:3" ht="15" thickBot="1" x14ac:dyDescent="0.4">
      <c r="B597" s="269">
        <v>44138</v>
      </c>
      <c r="C597" s="328">
        <v>15394.889648</v>
      </c>
    </row>
    <row r="598" spans="2:3" ht="15" thickBot="1" x14ac:dyDescent="0.4">
      <c r="B598" s="269">
        <v>44139</v>
      </c>
      <c r="C598" s="328">
        <v>15508.25</v>
      </c>
    </row>
    <row r="599" spans="2:3" ht="15" thickBot="1" x14ac:dyDescent="0.4">
      <c r="B599" s="269">
        <v>44140</v>
      </c>
      <c r="C599" s="328">
        <v>15776.320313</v>
      </c>
    </row>
    <row r="600" spans="2:3" ht="15" thickBot="1" x14ac:dyDescent="0.4">
      <c r="B600" s="269">
        <v>44141</v>
      </c>
      <c r="C600" s="328">
        <v>15927.379883</v>
      </c>
    </row>
    <row r="601" spans="2:3" ht="15" thickBot="1" x14ac:dyDescent="0.4">
      <c r="B601" s="269">
        <v>44144</v>
      </c>
      <c r="C601" s="328">
        <v>16154.870117</v>
      </c>
    </row>
    <row r="602" spans="2:3" ht="15" thickBot="1" x14ac:dyDescent="0.4">
      <c r="B602" s="269">
        <v>44145</v>
      </c>
      <c r="C602" s="328">
        <v>16302.049805000001</v>
      </c>
    </row>
    <row r="603" spans="2:3" ht="15" thickBot="1" x14ac:dyDescent="0.4">
      <c r="B603" s="269">
        <v>44146</v>
      </c>
      <c r="C603" s="328">
        <v>16440.109375</v>
      </c>
    </row>
    <row r="604" spans="2:3" ht="15" thickBot="1" x14ac:dyDescent="0.4">
      <c r="B604" s="269">
        <v>44147</v>
      </c>
      <c r="C604" s="328">
        <v>16419.380859000001</v>
      </c>
    </row>
    <row r="605" spans="2:3" ht="15" thickBot="1" x14ac:dyDescent="0.4">
      <c r="B605" s="269">
        <v>44148</v>
      </c>
      <c r="C605" s="328">
        <v>16490.330077999999</v>
      </c>
    </row>
    <row r="606" spans="2:3" ht="15" thickBot="1" x14ac:dyDescent="0.4">
      <c r="B606" s="269">
        <v>44149</v>
      </c>
      <c r="C606" s="328" t="s">
        <v>795</v>
      </c>
    </row>
    <row r="607" spans="2:3" ht="15" thickBot="1" x14ac:dyDescent="0.4">
      <c r="B607" s="269">
        <v>44152</v>
      </c>
      <c r="C607" s="328">
        <v>16702.679688</v>
      </c>
    </row>
    <row r="608" spans="2:3" ht="15" thickBot="1" x14ac:dyDescent="0.4">
      <c r="B608" s="269">
        <v>44153</v>
      </c>
      <c r="C608" s="328">
        <v>16804.390625</v>
      </c>
    </row>
    <row r="609" spans="2:3" ht="15" thickBot="1" x14ac:dyDescent="0.4">
      <c r="B609" s="269">
        <v>44154</v>
      </c>
      <c r="C609" s="328">
        <v>16623.990234000001</v>
      </c>
    </row>
    <row r="610" spans="2:3" ht="15" thickBot="1" x14ac:dyDescent="0.4">
      <c r="B610" s="269">
        <v>44155</v>
      </c>
      <c r="C610" s="328">
        <v>16750.029297000001</v>
      </c>
    </row>
    <row r="611" spans="2:3" ht="15" thickBot="1" x14ac:dyDescent="0.4">
      <c r="B611" s="269">
        <v>44158</v>
      </c>
      <c r="C611" s="328">
        <v>16871.369140999999</v>
      </c>
    </row>
    <row r="612" spans="2:3" ht="15" thickBot="1" x14ac:dyDescent="0.4">
      <c r="B612" s="269">
        <v>44159</v>
      </c>
      <c r="C612" s="328">
        <v>17026.400390999999</v>
      </c>
    </row>
    <row r="613" spans="2:3" ht="15" thickBot="1" x14ac:dyDescent="0.4">
      <c r="B613" s="269">
        <v>44160</v>
      </c>
      <c r="C613" s="328">
        <v>16776.910156000002</v>
      </c>
    </row>
    <row r="614" spans="2:3" ht="15" thickBot="1" x14ac:dyDescent="0.4">
      <c r="B614" s="269">
        <v>44161</v>
      </c>
      <c r="C614" s="328">
        <v>16941.869140999999</v>
      </c>
    </row>
    <row r="615" spans="2:3" ht="15" thickBot="1" x14ac:dyDescent="0.4">
      <c r="B615" s="269">
        <v>44162</v>
      </c>
      <c r="C615" s="328">
        <v>16995.009765999999</v>
      </c>
    </row>
    <row r="616" spans="2:3" ht="15" thickBot="1" x14ac:dyDescent="0.4">
      <c r="B616" s="269">
        <v>44166</v>
      </c>
      <c r="C616" s="328">
        <v>17188.310547000001</v>
      </c>
    </row>
    <row r="617" spans="2:3" ht="15" thickBot="1" x14ac:dyDescent="0.4">
      <c r="B617" s="269">
        <v>44167</v>
      </c>
      <c r="C617" s="328">
        <v>17232.669922000001</v>
      </c>
    </row>
    <row r="618" spans="2:3" ht="15" thickBot="1" x14ac:dyDescent="0.4">
      <c r="B618" s="269">
        <v>44168</v>
      </c>
      <c r="C618" s="328">
        <v>17294.929688</v>
      </c>
    </row>
    <row r="619" spans="2:3" ht="15" thickBot="1" x14ac:dyDescent="0.4">
      <c r="B619" s="269">
        <v>44169</v>
      </c>
      <c r="C619" s="328">
        <v>17432.230468999998</v>
      </c>
    </row>
    <row r="620" spans="2:3" ht="15" thickBot="1" x14ac:dyDescent="0.4">
      <c r="B620" s="269">
        <v>44172</v>
      </c>
      <c r="C620" s="328">
        <v>17581.279297000001</v>
      </c>
    </row>
    <row r="621" spans="2:3" ht="15" thickBot="1" x14ac:dyDescent="0.4">
      <c r="B621" s="269">
        <v>44173</v>
      </c>
      <c r="C621" s="328">
        <v>17609.75</v>
      </c>
    </row>
    <row r="622" spans="2:3" ht="15" thickBot="1" x14ac:dyDescent="0.4">
      <c r="B622" s="269">
        <v>44174</v>
      </c>
      <c r="C622" s="328">
        <v>17748.980468999998</v>
      </c>
    </row>
    <row r="623" spans="2:3" ht="15" thickBot="1" x14ac:dyDescent="0.4">
      <c r="B623" s="269">
        <v>44175</v>
      </c>
      <c r="C623" s="328">
        <v>17685.289063</v>
      </c>
    </row>
    <row r="624" spans="2:3" ht="15" thickBot="1" x14ac:dyDescent="0.4">
      <c r="B624" s="269">
        <v>44176</v>
      </c>
      <c r="C624" s="328">
        <v>17733.830077999999</v>
      </c>
    </row>
    <row r="625" spans="2:3" ht="15" thickBot="1" x14ac:dyDescent="0.4">
      <c r="B625" s="269">
        <v>44179</v>
      </c>
      <c r="C625" s="328">
        <v>17804.390625</v>
      </c>
    </row>
    <row r="626" spans="2:3" ht="15" thickBot="1" x14ac:dyDescent="0.4">
      <c r="B626" s="269">
        <v>44180</v>
      </c>
      <c r="C626" s="328">
        <v>17818.640625</v>
      </c>
    </row>
    <row r="627" spans="2:3" ht="15" thickBot="1" x14ac:dyDescent="0.4">
      <c r="B627" s="269">
        <v>44181</v>
      </c>
      <c r="C627" s="328">
        <v>17971.759765999999</v>
      </c>
    </row>
    <row r="628" spans="2:3" ht="15" thickBot="1" x14ac:dyDescent="0.4">
      <c r="B628" s="269">
        <v>44182</v>
      </c>
      <c r="C628" s="328">
        <v>18008.779297000001</v>
      </c>
    </row>
    <row r="629" spans="2:3" ht="15" thickBot="1" x14ac:dyDescent="0.4">
      <c r="B629" s="269">
        <v>44183</v>
      </c>
      <c r="C629" s="328">
        <v>18027.230468999998</v>
      </c>
    </row>
    <row r="630" spans="2:3" ht="15" thickBot="1" x14ac:dyDescent="0.4">
      <c r="B630" s="269">
        <v>44186</v>
      </c>
      <c r="C630" s="328">
        <v>17396.689452999999</v>
      </c>
    </row>
    <row r="631" spans="2:3" ht="15" thickBot="1" x14ac:dyDescent="0.4">
      <c r="B631" s="269">
        <v>44187</v>
      </c>
      <c r="C631" s="328">
        <v>17588.570313</v>
      </c>
    </row>
    <row r="632" spans="2:3" ht="15" thickBot="1" x14ac:dyDescent="0.4">
      <c r="B632" s="269">
        <v>44188</v>
      </c>
      <c r="C632" s="328">
        <v>17829.789063</v>
      </c>
    </row>
    <row r="633" spans="2:3" ht="15" thickBot="1" x14ac:dyDescent="0.4">
      <c r="B633" s="269">
        <v>44189</v>
      </c>
      <c r="C633" s="328">
        <v>17992.009765999999</v>
      </c>
    </row>
    <row r="634" spans="2:3" ht="15" thickBot="1" x14ac:dyDescent="0.4">
      <c r="B634" s="269">
        <v>44193</v>
      </c>
      <c r="C634" s="328">
        <v>18164.869140999999</v>
      </c>
    </row>
    <row r="635" spans="2:3" ht="15" thickBot="1" x14ac:dyDescent="0.4">
      <c r="B635" s="269">
        <v>44194</v>
      </c>
      <c r="C635" s="328">
        <v>18218.910156000002</v>
      </c>
    </row>
    <row r="636" spans="2:3" ht="15" thickBot="1" x14ac:dyDescent="0.4">
      <c r="B636" s="269">
        <v>44195</v>
      </c>
      <c r="C636" s="328">
        <v>18284.310547000001</v>
      </c>
    </row>
    <row r="637" spans="2:3" ht="15" thickBot="1" x14ac:dyDescent="0.4">
      <c r="B637" s="269">
        <v>44196</v>
      </c>
      <c r="C637" s="328">
        <v>18300.099609000001</v>
      </c>
    </row>
    <row r="638" spans="2:3" ht="15" thickBot="1" x14ac:dyDescent="0.4">
      <c r="B638" s="269">
        <v>44197</v>
      </c>
      <c r="C638" s="328" t="s">
        <v>795</v>
      </c>
    </row>
    <row r="639" spans="2:3" ht="15" thickBot="1" x14ac:dyDescent="0.4">
      <c r="B639" s="269">
        <v>44200</v>
      </c>
      <c r="C639" s="328">
        <v>18582.910156000002</v>
      </c>
    </row>
    <row r="640" spans="2:3" ht="15" thickBot="1" x14ac:dyDescent="0.4">
      <c r="B640" s="269">
        <v>44201</v>
      </c>
      <c r="C640" s="328">
        <v>18701.75</v>
      </c>
    </row>
    <row r="641" spans="2:3" ht="15" thickBot="1" x14ac:dyDescent="0.4">
      <c r="B641" s="269">
        <v>44202</v>
      </c>
      <c r="C641" s="328">
        <v>18658.660156000002</v>
      </c>
    </row>
    <row r="642" spans="2:3" ht="15" thickBot="1" x14ac:dyDescent="0.4">
      <c r="B642" s="269">
        <v>44203</v>
      </c>
      <c r="C642" s="328">
        <v>18707.679688</v>
      </c>
    </row>
    <row r="643" spans="2:3" ht="15" thickBot="1" x14ac:dyDescent="0.4">
      <c r="B643" s="269">
        <v>44204</v>
      </c>
      <c r="C643" s="328">
        <v>18953.859375</v>
      </c>
    </row>
    <row r="644" spans="2:3" ht="15" thickBot="1" x14ac:dyDescent="0.4">
      <c r="B644" s="269">
        <v>44207</v>
      </c>
      <c r="C644" s="328">
        <v>19081.060547000001</v>
      </c>
    </row>
    <row r="645" spans="2:3" ht="15" thickBot="1" x14ac:dyDescent="0.4">
      <c r="B645" s="269">
        <v>44208</v>
      </c>
      <c r="C645" s="328">
        <v>19169.980468999998</v>
      </c>
    </row>
    <row r="646" spans="2:3" ht="15" thickBot="1" x14ac:dyDescent="0.4">
      <c r="B646" s="269">
        <v>44209</v>
      </c>
      <c r="C646" s="328">
        <v>19143.460938</v>
      </c>
    </row>
    <row r="647" spans="2:3" ht="15" thickBot="1" x14ac:dyDescent="0.4">
      <c r="B647" s="269">
        <v>44210</v>
      </c>
      <c r="C647" s="328">
        <v>19185.929688</v>
      </c>
    </row>
    <row r="648" spans="2:3" ht="15" thickBot="1" x14ac:dyDescent="0.4">
      <c r="B648" s="269">
        <v>44211</v>
      </c>
      <c r="C648" s="328">
        <v>18968.730468999998</v>
      </c>
    </row>
    <row r="649" spans="2:3" ht="15" thickBot="1" x14ac:dyDescent="0.4">
      <c r="B649" s="269">
        <v>44214</v>
      </c>
      <c r="C649" s="328">
        <v>18713.539063</v>
      </c>
    </row>
    <row r="650" spans="2:3" ht="15" thickBot="1" x14ac:dyDescent="0.4">
      <c r="B650" s="269">
        <v>44215</v>
      </c>
      <c r="C650" s="328">
        <v>19049.359375</v>
      </c>
    </row>
    <row r="651" spans="2:3" ht="15" thickBot="1" x14ac:dyDescent="0.4">
      <c r="B651" s="269">
        <v>44216</v>
      </c>
      <c r="C651" s="328">
        <v>19202.910156000002</v>
      </c>
    </row>
    <row r="652" spans="2:3" ht="15" thickBot="1" x14ac:dyDescent="0.4">
      <c r="B652" s="269">
        <v>44217</v>
      </c>
      <c r="C652" s="328">
        <v>19101.730468999998</v>
      </c>
    </row>
    <row r="653" spans="2:3" ht="15" thickBot="1" x14ac:dyDescent="0.4">
      <c r="B653" s="269">
        <v>44218</v>
      </c>
      <c r="C653" s="328">
        <v>18846.300781000002</v>
      </c>
    </row>
    <row r="654" spans="2:3" ht="15" thickBot="1" x14ac:dyDescent="0.4">
      <c r="B654" s="269">
        <v>44221</v>
      </c>
      <c r="C654" s="328">
        <v>18667.990234000001</v>
      </c>
    </row>
    <row r="655" spans="2:3" ht="15" thickBot="1" x14ac:dyDescent="0.4">
      <c r="B655" s="269">
        <v>44223</v>
      </c>
      <c r="C655" s="328">
        <v>18358.669922000001</v>
      </c>
    </row>
    <row r="656" spans="2:3" ht="15" thickBot="1" x14ac:dyDescent="0.4">
      <c r="B656" s="269">
        <v>44224</v>
      </c>
      <c r="C656" s="328">
        <v>18200.730468999998</v>
      </c>
    </row>
    <row r="657" spans="2:3" ht="15" thickBot="1" x14ac:dyDescent="0.4">
      <c r="B657" s="269">
        <v>44225</v>
      </c>
      <c r="C657" s="328">
        <v>17975.300781000002</v>
      </c>
    </row>
    <row r="658" spans="2:3" ht="15" thickBot="1" x14ac:dyDescent="0.4">
      <c r="B658" s="269">
        <v>44228</v>
      </c>
      <c r="C658" s="328">
        <v>18723</v>
      </c>
    </row>
    <row r="659" spans="2:3" ht="15" thickBot="1" x14ac:dyDescent="0.4">
      <c r="B659" s="269">
        <v>44229</v>
      </c>
      <c r="C659" s="328">
        <v>19166.669922000001</v>
      </c>
    </row>
    <row r="660" spans="2:3" ht="15" thickBot="1" x14ac:dyDescent="0.4">
      <c r="B660" s="269">
        <v>44230</v>
      </c>
      <c r="C660" s="328">
        <v>19365.199218999998</v>
      </c>
    </row>
    <row r="661" spans="2:3" ht="15" thickBot="1" x14ac:dyDescent="0.4">
      <c r="B661" s="269">
        <v>44231</v>
      </c>
      <c r="C661" s="328">
        <v>19538.259765999999</v>
      </c>
    </row>
    <row r="662" spans="2:3" ht="15" thickBot="1" x14ac:dyDescent="0.4">
      <c r="B662" s="269">
        <v>44232</v>
      </c>
      <c r="C662" s="328">
        <v>19522.689452999999</v>
      </c>
    </row>
    <row r="663" spans="2:3" ht="15" thickBot="1" x14ac:dyDescent="0.4">
      <c r="B663" s="269">
        <v>44235</v>
      </c>
      <c r="C663" s="328">
        <v>19783.929688</v>
      </c>
    </row>
    <row r="664" spans="2:3" ht="15" thickBot="1" x14ac:dyDescent="0.4">
      <c r="B664" s="269">
        <v>44236</v>
      </c>
      <c r="C664" s="328">
        <v>19764.789063</v>
      </c>
    </row>
    <row r="665" spans="2:3" ht="15" thickBot="1" x14ac:dyDescent="0.4">
      <c r="B665" s="269">
        <v>44237</v>
      </c>
      <c r="C665" s="328">
        <v>19800.490234000001</v>
      </c>
    </row>
    <row r="666" spans="2:3" ht="15" thickBot="1" x14ac:dyDescent="0.4">
      <c r="B666" s="269">
        <v>44238</v>
      </c>
      <c r="C666" s="328">
        <v>19895.039063</v>
      </c>
    </row>
    <row r="667" spans="2:3" ht="15" thickBot="1" x14ac:dyDescent="0.4">
      <c r="B667" s="269">
        <v>44239</v>
      </c>
      <c r="C667" s="328">
        <v>19888.330077999999</v>
      </c>
    </row>
    <row r="668" spans="2:3" ht="15" thickBot="1" x14ac:dyDescent="0.4">
      <c r="B668" s="269">
        <v>44242</v>
      </c>
      <c r="C668" s="328">
        <v>20085.140625</v>
      </c>
    </row>
    <row r="669" spans="2:3" ht="15" thickBot="1" x14ac:dyDescent="0.4">
      <c r="B669" s="269">
        <v>44243</v>
      </c>
      <c r="C669" s="328">
        <v>20107.640625</v>
      </c>
    </row>
    <row r="670" spans="2:3" ht="15" thickBot="1" x14ac:dyDescent="0.4">
      <c r="B670" s="269">
        <v>44244</v>
      </c>
      <c r="C670" s="328">
        <v>20032.960938</v>
      </c>
    </row>
    <row r="671" spans="2:3" ht="15" thickBot="1" x14ac:dyDescent="0.4">
      <c r="B671" s="269">
        <v>44245</v>
      </c>
      <c r="C671" s="328">
        <v>19985.410156000002</v>
      </c>
    </row>
    <row r="672" spans="2:3" ht="15" thickBot="1" x14ac:dyDescent="0.4">
      <c r="B672" s="269">
        <v>44246</v>
      </c>
      <c r="C672" s="328">
        <v>19777.470702999999</v>
      </c>
    </row>
    <row r="673" spans="2:3" ht="15" thickBot="1" x14ac:dyDescent="0.4">
      <c r="B673" s="269">
        <v>44249</v>
      </c>
      <c r="C673" s="328">
        <v>19418.890625</v>
      </c>
    </row>
    <row r="674" spans="2:3" ht="15" thickBot="1" x14ac:dyDescent="0.4">
      <c r="B674" s="269">
        <v>44250</v>
      </c>
      <c r="C674" s="328">
        <v>19504.839843999998</v>
      </c>
    </row>
    <row r="675" spans="2:3" ht="15" thickBot="1" x14ac:dyDescent="0.4">
      <c r="B675" s="269">
        <v>44251</v>
      </c>
      <c r="C675" s="328">
        <v>19812.740234000001</v>
      </c>
    </row>
    <row r="676" spans="2:3" ht="15" thickBot="1" x14ac:dyDescent="0.4">
      <c r="B676" s="269">
        <v>44252</v>
      </c>
      <c r="C676" s="328">
        <v>19990.650390999999</v>
      </c>
    </row>
    <row r="677" spans="2:3" ht="15" thickBot="1" x14ac:dyDescent="0.4">
      <c r="B677" s="269">
        <v>44253</v>
      </c>
      <c r="C677" s="328">
        <v>19371.25</v>
      </c>
    </row>
    <row r="678" spans="2:3" ht="15" thickBot="1" x14ac:dyDescent="0.4">
      <c r="B678" s="269">
        <v>44256</v>
      </c>
      <c r="C678" s="328">
        <v>19673.199218999998</v>
      </c>
    </row>
    <row r="679" spans="2:3" ht="15" thickBot="1" x14ac:dyDescent="0.4">
      <c r="B679" s="269">
        <v>44257</v>
      </c>
      <c r="C679" s="328">
        <v>19914.130859000001</v>
      </c>
    </row>
    <row r="680" spans="2:3" ht="15" thickBot="1" x14ac:dyDescent="0.4">
      <c r="B680" s="269">
        <v>44258</v>
      </c>
      <c r="C680" s="328">
        <v>20305.800781000002</v>
      </c>
    </row>
    <row r="681" spans="2:3" ht="15" thickBot="1" x14ac:dyDescent="0.4">
      <c r="B681" s="269">
        <v>44259</v>
      </c>
      <c r="C681" s="328">
        <v>20184.769531000002</v>
      </c>
    </row>
    <row r="682" spans="2:3" ht="15" thickBot="1" x14ac:dyDescent="0.4">
      <c r="B682" s="269">
        <v>44260</v>
      </c>
      <c r="C682" s="328">
        <v>19949.679688</v>
      </c>
    </row>
    <row r="683" spans="2:3" ht="15" thickBot="1" x14ac:dyDescent="0.4">
      <c r="B683" s="269">
        <v>44263</v>
      </c>
      <c r="C683" s="328">
        <v>19988.210938</v>
      </c>
    </row>
    <row r="684" spans="2:3" ht="15" thickBot="1" x14ac:dyDescent="0.4">
      <c r="B684" s="269">
        <v>44264</v>
      </c>
      <c r="C684" s="328">
        <v>20078.869140999999</v>
      </c>
    </row>
    <row r="685" spans="2:3" ht="15" thickBot="1" x14ac:dyDescent="0.4">
      <c r="B685" s="269">
        <v>44265</v>
      </c>
      <c r="C685" s="328">
        <v>20201.089843999998</v>
      </c>
    </row>
    <row r="686" spans="2:3" ht="15" thickBot="1" x14ac:dyDescent="0.4">
      <c r="B686" s="269">
        <v>44267</v>
      </c>
      <c r="C686" s="328">
        <v>20046.75</v>
      </c>
    </row>
    <row r="687" spans="2:3" ht="15" thickBot="1" x14ac:dyDescent="0.4">
      <c r="B687" s="269">
        <v>44270</v>
      </c>
      <c r="C687" s="328">
        <v>19915.330077999999</v>
      </c>
    </row>
    <row r="688" spans="2:3" ht="15" thickBot="1" x14ac:dyDescent="0.4">
      <c r="B688" s="269">
        <v>44271</v>
      </c>
      <c r="C688" s="328">
        <v>19921.400390999999</v>
      </c>
    </row>
    <row r="689" spans="2:3" ht="15" thickBot="1" x14ac:dyDescent="0.4">
      <c r="B689" s="269">
        <v>44272</v>
      </c>
      <c r="C689" s="328">
        <v>19616.070313</v>
      </c>
    </row>
    <row r="690" spans="2:3" ht="15" thickBot="1" x14ac:dyDescent="0.4">
      <c r="B690" s="269">
        <v>44273</v>
      </c>
      <c r="C690" s="328">
        <v>19383.550781000002</v>
      </c>
    </row>
    <row r="691" spans="2:3" ht="15" thickBot="1" x14ac:dyDescent="0.4">
      <c r="B691" s="269">
        <v>44274</v>
      </c>
      <c r="C691" s="328">
        <v>19612.300781000002</v>
      </c>
    </row>
    <row r="692" spans="2:3" ht="15" thickBot="1" x14ac:dyDescent="0.4">
      <c r="B692" s="269">
        <v>44277</v>
      </c>
      <c r="C692" s="328">
        <v>19647.189452999999</v>
      </c>
    </row>
    <row r="693" spans="2:3" ht="15" thickBot="1" x14ac:dyDescent="0.4">
      <c r="B693" s="269">
        <v>44278</v>
      </c>
      <c r="C693" s="328">
        <v>19769.050781000002</v>
      </c>
    </row>
    <row r="694" spans="2:3" ht="15" thickBot="1" x14ac:dyDescent="0.4">
      <c r="B694" s="269">
        <v>44279</v>
      </c>
      <c r="C694" s="328">
        <v>19423.199218999998</v>
      </c>
    </row>
    <row r="695" spans="2:3" ht="15" thickBot="1" x14ac:dyDescent="0.4">
      <c r="B695" s="269">
        <v>44280</v>
      </c>
      <c r="C695" s="328">
        <v>19101.080077999999</v>
      </c>
    </row>
    <row r="696" spans="2:3" ht="15" thickBot="1" x14ac:dyDescent="0.4">
      <c r="B696" s="269">
        <v>44281</v>
      </c>
      <c r="C696" s="328">
        <v>19344.990234000001</v>
      </c>
    </row>
    <row r="697" spans="2:3" ht="15" thickBot="1" x14ac:dyDescent="0.4">
      <c r="B697" s="269">
        <v>44285</v>
      </c>
      <c r="C697" s="328">
        <v>19720.550781000002</v>
      </c>
    </row>
    <row r="698" spans="2:3" ht="15" thickBot="1" x14ac:dyDescent="0.4">
      <c r="B698" s="269">
        <v>44286</v>
      </c>
      <c r="C698" s="328">
        <v>19601.949218999998</v>
      </c>
    </row>
    <row r="699" spans="2:3" ht="15" thickBot="1" x14ac:dyDescent="0.4">
      <c r="B699" s="269">
        <v>44287</v>
      </c>
      <c r="C699" s="328">
        <v>19866.859375</v>
      </c>
    </row>
    <row r="700" spans="2:3" ht="15" thickBot="1" x14ac:dyDescent="0.4">
      <c r="B700" s="269">
        <v>44291</v>
      </c>
      <c r="C700" s="328">
        <v>19580.089843999998</v>
      </c>
    </row>
    <row r="701" spans="2:3" ht="15" thickBot="1" x14ac:dyDescent="0.4">
      <c r="B701" s="269">
        <v>44292</v>
      </c>
      <c r="C701" s="328">
        <v>19672.730468999998</v>
      </c>
    </row>
    <row r="702" spans="2:3" ht="15" thickBot="1" x14ac:dyDescent="0.4">
      <c r="B702" s="269">
        <v>44293</v>
      </c>
      <c r="C702" s="328">
        <v>19868.990234000001</v>
      </c>
    </row>
    <row r="703" spans="2:3" ht="15" thickBot="1" x14ac:dyDescent="0.4">
      <c r="B703" s="269">
        <v>44294</v>
      </c>
      <c r="C703" s="328">
        <v>19965.560547000001</v>
      </c>
    </row>
    <row r="704" spans="2:3" ht="15" thickBot="1" x14ac:dyDescent="0.4">
      <c r="B704" s="269">
        <v>44295</v>
      </c>
      <c r="C704" s="328">
        <v>19944.060547000001</v>
      </c>
    </row>
    <row r="705" spans="2:3" ht="15" thickBot="1" x14ac:dyDescent="0.4">
      <c r="B705" s="269">
        <v>44298</v>
      </c>
      <c r="C705" s="328">
        <v>19139.910156000002</v>
      </c>
    </row>
    <row r="706" spans="2:3" ht="15" thickBot="1" x14ac:dyDescent="0.4">
      <c r="B706" s="269">
        <v>44299</v>
      </c>
      <c r="C706" s="328">
        <v>19402.960938</v>
      </c>
    </row>
    <row r="707" spans="2:3" ht="15" thickBot="1" x14ac:dyDescent="0.4">
      <c r="B707" s="269">
        <v>44301</v>
      </c>
      <c r="C707" s="328">
        <v>19483.679688</v>
      </c>
    </row>
    <row r="708" spans="2:3" ht="15" thickBot="1" x14ac:dyDescent="0.4">
      <c r="B708" s="269">
        <v>44302</v>
      </c>
      <c r="C708" s="328">
        <v>19580.050781000002</v>
      </c>
    </row>
    <row r="709" spans="2:3" ht="15" thickBot="1" x14ac:dyDescent="0.4">
      <c r="B709" s="269">
        <v>44305</v>
      </c>
      <c r="C709" s="328">
        <v>19225.720702999999</v>
      </c>
    </row>
    <row r="710" spans="2:3" ht="15" thickBot="1" x14ac:dyDescent="0.4">
      <c r="B710" s="269">
        <v>44306</v>
      </c>
      <c r="C710" s="328">
        <v>19189.470702999999</v>
      </c>
    </row>
    <row r="711" spans="2:3" ht="15" thickBot="1" x14ac:dyDescent="0.4">
      <c r="B711" s="269">
        <v>44308</v>
      </c>
      <c r="C711" s="328">
        <v>19311.539063</v>
      </c>
    </row>
    <row r="712" spans="2:3" ht="15" thickBot="1" x14ac:dyDescent="0.4">
      <c r="B712" s="269">
        <v>44309</v>
      </c>
      <c r="C712" s="328">
        <v>19270.890625</v>
      </c>
    </row>
    <row r="713" spans="2:3" ht="15" thickBot="1" x14ac:dyDescent="0.4">
      <c r="B713" s="269">
        <v>44312</v>
      </c>
      <c r="C713" s="328">
        <v>19447.060547000001</v>
      </c>
    </row>
    <row r="714" spans="2:3" ht="15" thickBot="1" x14ac:dyDescent="0.4">
      <c r="B714" s="269">
        <v>44313</v>
      </c>
      <c r="C714" s="328">
        <v>19678.419922000001</v>
      </c>
    </row>
    <row r="715" spans="2:3" ht="15" thickBot="1" x14ac:dyDescent="0.4">
      <c r="B715" s="269">
        <v>44314</v>
      </c>
      <c r="C715" s="328">
        <v>19921.25</v>
      </c>
    </row>
    <row r="716" spans="2:3" ht="15" thickBot="1" x14ac:dyDescent="0.4">
      <c r="B716" s="269">
        <v>44315</v>
      </c>
      <c r="C716" s="328">
        <v>19948.580077999999</v>
      </c>
    </row>
    <row r="717" spans="2:3" ht="15" thickBot="1" x14ac:dyDescent="0.4">
      <c r="B717" s="269">
        <v>44316</v>
      </c>
      <c r="C717" s="328">
        <v>19689.519531000002</v>
      </c>
    </row>
    <row r="718" spans="2:3" ht="15" thickBot="1" x14ac:dyDescent="0.4">
      <c r="B718" s="269">
        <v>44319</v>
      </c>
      <c r="C718" s="328">
        <v>19735.160156000002</v>
      </c>
    </row>
    <row r="719" spans="2:3" ht="15" thickBot="1" x14ac:dyDescent="0.4">
      <c r="B719" s="269">
        <v>44320</v>
      </c>
      <c r="C719" s="328">
        <v>19586.390625</v>
      </c>
    </row>
    <row r="720" spans="2:3" ht="15" thickBot="1" x14ac:dyDescent="0.4">
      <c r="B720" s="269">
        <v>44321</v>
      </c>
      <c r="C720" s="328">
        <v>19765.240234000001</v>
      </c>
    </row>
    <row r="721" spans="2:3" ht="15" thickBot="1" x14ac:dyDescent="0.4">
      <c r="B721" s="269">
        <v>44322</v>
      </c>
      <c r="C721" s="328">
        <v>19903.849609000001</v>
      </c>
    </row>
    <row r="722" spans="2:3" ht="15" thickBot="1" x14ac:dyDescent="0.4">
      <c r="B722" s="269">
        <v>44323</v>
      </c>
      <c r="C722" s="328" t="s">
        <v>795</v>
      </c>
    </row>
    <row r="723" spans="2:3" ht="15" thickBot="1" x14ac:dyDescent="0.4">
      <c r="B723" s="269">
        <v>44326</v>
      </c>
      <c r="C723" s="328">
        <v>20173.759765999999</v>
      </c>
    </row>
    <row r="724" spans="2:3" ht="15" thickBot="1" x14ac:dyDescent="0.4">
      <c r="B724" s="269">
        <v>44327</v>
      </c>
      <c r="C724" s="328">
        <v>20132.550781000002</v>
      </c>
    </row>
    <row r="725" spans="2:3" ht="15" thickBot="1" x14ac:dyDescent="0.4">
      <c r="B725" s="269">
        <v>44328</v>
      </c>
      <c r="C725" s="328">
        <v>19967.980468999998</v>
      </c>
    </row>
    <row r="726" spans="2:3" ht="15" thickBot="1" x14ac:dyDescent="0.4">
      <c r="B726" s="269">
        <v>44330</v>
      </c>
      <c r="C726" s="328">
        <v>19862.230468999998</v>
      </c>
    </row>
    <row r="727" spans="2:3" ht="15" thickBot="1" x14ac:dyDescent="0.4">
      <c r="B727" s="269">
        <v>44333</v>
      </c>
      <c r="C727" s="328">
        <v>20180.710938</v>
      </c>
    </row>
    <row r="728" spans="2:3" ht="15" thickBot="1" x14ac:dyDescent="0.4">
      <c r="B728" s="269">
        <v>44334</v>
      </c>
      <c r="C728" s="328">
        <v>20446.419922000001</v>
      </c>
    </row>
    <row r="729" spans="2:3" ht="15" thickBot="1" x14ac:dyDescent="0.4">
      <c r="B729" s="269">
        <v>44335</v>
      </c>
      <c r="C729" s="328">
        <v>20398.939452999999</v>
      </c>
    </row>
    <row r="730" spans="2:3" ht="15" thickBot="1" x14ac:dyDescent="0.4">
      <c r="B730" s="269">
        <v>44336</v>
      </c>
      <c r="C730" s="328">
        <v>20283.789063</v>
      </c>
    </row>
    <row r="731" spans="2:3" ht="15" thickBot="1" x14ac:dyDescent="0.4">
      <c r="B731" s="269">
        <v>44337</v>
      </c>
      <c r="C731" s="328">
        <v>20567.929688</v>
      </c>
    </row>
    <row r="732" spans="2:3" ht="15" thickBot="1" x14ac:dyDescent="0.4">
      <c r="B732" s="269">
        <v>44340</v>
      </c>
      <c r="C732" s="328">
        <v>20637.800781000002</v>
      </c>
    </row>
    <row r="733" spans="2:3" ht="15" thickBot="1" x14ac:dyDescent="0.4">
      <c r="B733" s="269">
        <v>44341</v>
      </c>
      <c r="C733" s="328">
        <v>20641.490234000001</v>
      </c>
    </row>
    <row r="734" spans="2:3" ht="15" thickBot="1" x14ac:dyDescent="0.4">
      <c r="B734" s="269">
        <v>44342</v>
      </c>
      <c r="C734" s="328">
        <v>20736.339843999998</v>
      </c>
    </row>
    <row r="735" spans="2:3" ht="15" thickBot="1" x14ac:dyDescent="0.4">
      <c r="B735" s="269">
        <v>44343</v>
      </c>
      <c r="C735" s="328">
        <v>20804.560547000001</v>
      </c>
    </row>
    <row r="736" spans="2:3" ht="15" thickBot="1" x14ac:dyDescent="0.4">
      <c r="B736" s="269">
        <v>44344</v>
      </c>
      <c r="C736" s="328">
        <v>20879.070313</v>
      </c>
    </row>
    <row r="737" spans="2:3" ht="15" thickBot="1" x14ac:dyDescent="0.4">
      <c r="B737" s="269">
        <v>44347</v>
      </c>
      <c r="C737" s="328">
        <v>21055.179688</v>
      </c>
    </row>
    <row r="738" spans="2:3" ht="15" thickBot="1" x14ac:dyDescent="0.4">
      <c r="B738" s="269">
        <v>44348</v>
      </c>
      <c r="C738" s="328">
        <v>21032.849609000001</v>
      </c>
    </row>
    <row r="739" spans="2:3" ht="15" thickBot="1" x14ac:dyDescent="0.4">
      <c r="B739" s="269">
        <v>44349</v>
      </c>
      <c r="C739" s="328">
        <v>21136.619140999999</v>
      </c>
    </row>
    <row r="740" spans="2:3" ht="15" thickBot="1" x14ac:dyDescent="0.4">
      <c r="B740" s="269">
        <v>44350</v>
      </c>
      <c r="C740" s="328">
        <v>21304.160156000002</v>
      </c>
    </row>
    <row r="741" spans="2:3" ht="15" thickBot="1" x14ac:dyDescent="0.4">
      <c r="B741" s="269">
        <v>44351</v>
      </c>
      <c r="C741" s="328">
        <v>21326.080077999999</v>
      </c>
    </row>
    <row r="742" spans="2:3" ht="15" thickBot="1" x14ac:dyDescent="0.4">
      <c r="B742" s="269">
        <v>44354</v>
      </c>
      <c r="C742" s="328">
        <v>21460.619140999999</v>
      </c>
    </row>
    <row r="743" spans="2:3" ht="15" thickBot="1" x14ac:dyDescent="0.4">
      <c r="B743" s="269">
        <v>44355</v>
      </c>
      <c r="C743" s="328">
        <v>21492.230468999998</v>
      </c>
    </row>
    <row r="744" spans="2:3" ht="15" thickBot="1" x14ac:dyDescent="0.4">
      <c r="B744" s="269">
        <v>44356</v>
      </c>
      <c r="C744" s="328">
        <v>21333.130859000001</v>
      </c>
    </row>
    <row r="745" spans="2:3" ht="15" thickBot="1" x14ac:dyDescent="0.4">
      <c r="B745" s="269">
        <v>44357</v>
      </c>
      <c r="C745" s="328">
        <v>21526.730468999998</v>
      </c>
    </row>
    <row r="746" spans="2:3" ht="15" thickBot="1" x14ac:dyDescent="0.4">
      <c r="B746" s="269">
        <v>44358</v>
      </c>
      <c r="C746" s="328">
        <v>21602.400390999999</v>
      </c>
    </row>
    <row r="747" spans="2:3" ht="15" thickBot="1" x14ac:dyDescent="0.4">
      <c r="B747" s="269">
        <v>44361</v>
      </c>
      <c r="C747" s="328">
        <v>21588.480468999998</v>
      </c>
    </row>
    <row r="748" spans="2:3" ht="15" thickBot="1" x14ac:dyDescent="0.4">
      <c r="B748" s="269">
        <v>44362</v>
      </c>
      <c r="C748" s="328">
        <v>21672.650390999999</v>
      </c>
    </row>
    <row r="749" spans="2:3" ht="15" thickBot="1" x14ac:dyDescent="0.4">
      <c r="B749" s="269">
        <v>44363</v>
      </c>
      <c r="C749" s="328">
        <v>21518.310547000001</v>
      </c>
    </row>
    <row r="750" spans="2:3" ht="15" thickBot="1" x14ac:dyDescent="0.4">
      <c r="B750" s="269">
        <v>44364</v>
      </c>
      <c r="C750" s="328">
        <v>21381.269531000002</v>
      </c>
    </row>
    <row r="751" spans="2:3" ht="15" thickBot="1" x14ac:dyDescent="0.4">
      <c r="B751" s="269">
        <v>44365</v>
      </c>
      <c r="C751" s="328">
        <v>21319.119140999999</v>
      </c>
    </row>
    <row r="752" spans="2:3" ht="15" thickBot="1" x14ac:dyDescent="0.4">
      <c r="B752" s="269">
        <v>44368</v>
      </c>
      <c r="C752" s="328">
        <v>21429.769531000002</v>
      </c>
    </row>
    <row r="753" spans="2:3" ht="15" thickBot="1" x14ac:dyDescent="0.4">
      <c r="B753" s="269">
        <v>44369</v>
      </c>
      <c r="C753" s="328">
        <v>21489.900390999999</v>
      </c>
    </row>
    <row r="754" spans="2:3" ht="15" thickBot="1" x14ac:dyDescent="0.4">
      <c r="B754" s="269">
        <v>44370</v>
      </c>
      <c r="C754" s="328">
        <v>21380.869140999999</v>
      </c>
    </row>
    <row r="755" spans="2:3" ht="15" thickBot="1" x14ac:dyDescent="0.4">
      <c r="B755" s="269">
        <v>44371</v>
      </c>
      <c r="C755" s="328">
        <v>21449.669922000001</v>
      </c>
    </row>
    <row r="756" spans="2:3" ht="15" thickBot="1" x14ac:dyDescent="0.4">
      <c r="B756" s="269">
        <v>44372</v>
      </c>
      <c r="C756" s="328">
        <v>21564.160156000002</v>
      </c>
    </row>
    <row r="757" spans="2:3" ht="15" thickBot="1" x14ac:dyDescent="0.4">
      <c r="B757" s="269">
        <v>44375</v>
      </c>
      <c r="C757" s="328">
        <v>21556.580077999999</v>
      </c>
    </row>
    <row r="758" spans="2:3" ht="15" thickBot="1" x14ac:dyDescent="0.4">
      <c r="B758" s="269">
        <v>44376</v>
      </c>
      <c r="C758" s="328">
        <v>21473.109375</v>
      </c>
    </row>
    <row r="759" spans="2:3" ht="15" thickBot="1" x14ac:dyDescent="0.4">
      <c r="B759" s="269">
        <v>44377</v>
      </c>
      <c r="C759" s="328">
        <v>21463.089843999998</v>
      </c>
    </row>
    <row r="760" spans="2:3" ht="15" thickBot="1" x14ac:dyDescent="0.4">
      <c r="B760" s="269">
        <v>44378</v>
      </c>
      <c r="C760" s="328">
        <v>21430.820313</v>
      </c>
    </row>
    <row r="761" spans="2:3" ht="15" thickBot="1" x14ac:dyDescent="0.4">
      <c r="B761" s="269">
        <v>44379</v>
      </c>
      <c r="C761" s="328">
        <v>21495.199218999998</v>
      </c>
    </row>
    <row r="762" spans="2:3" ht="15" thickBot="1" x14ac:dyDescent="0.4">
      <c r="B762" s="269">
        <v>44382</v>
      </c>
      <c r="C762" s="328">
        <v>21641.150390999999</v>
      </c>
    </row>
    <row r="763" spans="2:3" ht="15" thickBot="1" x14ac:dyDescent="0.4">
      <c r="B763" s="269">
        <v>44383</v>
      </c>
      <c r="C763" s="328">
        <v>21618.679688</v>
      </c>
    </row>
    <row r="764" spans="2:3" ht="15" thickBot="1" x14ac:dyDescent="0.4">
      <c r="B764" s="269">
        <v>44384</v>
      </c>
      <c r="C764" s="328">
        <v>21704.490234000001</v>
      </c>
    </row>
    <row r="765" spans="2:3" ht="15" thickBot="1" x14ac:dyDescent="0.4">
      <c r="B765" s="269">
        <v>44385</v>
      </c>
      <c r="C765" s="328">
        <v>21541.310547000001</v>
      </c>
    </row>
    <row r="766" spans="2:3" ht="15" thickBot="1" x14ac:dyDescent="0.4">
      <c r="B766" s="269">
        <v>44386</v>
      </c>
      <c r="C766" s="328">
        <v>21538.619140999999</v>
      </c>
    </row>
    <row r="767" spans="2:3" ht="15" thickBot="1" x14ac:dyDescent="0.4">
      <c r="B767" s="269">
        <v>44389</v>
      </c>
      <c r="C767" s="328">
        <v>21572.800781000002</v>
      </c>
    </row>
    <row r="768" spans="2:3" ht="15" thickBot="1" x14ac:dyDescent="0.4">
      <c r="B768" s="269">
        <v>44390</v>
      </c>
      <c r="C768" s="328">
        <v>21696.330077999999</v>
      </c>
    </row>
    <row r="769" spans="2:3" ht="15" thickBot="1" x14ac:dyDescent="0.4">
      <c r="B769" s="269">
        <v>44391</v>
      </c>
      <c r="C769" s="328">
        <v>21743.400390999999</v>
      </c>
    </row>
    <row r="770" spans="2:3" ht="15" thickBot="1" x14ac:dyDescent="0.4">
      <c r="B770" s="269">
        <v>44392</v>
      </c>
      <c r="C770" s="328">
        <v>21831.939452999999</v>
      </c>
    </row>
    <row r="771" spans="2:3" ht="15" thickBot="1" x14ac:dyDescent="0.4">
      <c r="B771" s="269">
        <v>44393</v>
      </c>
      <c r="C771" s="328">
        <v>21864.480468999998</v>
      </c>
    </row>
    <row r="772" spans="2:3" ht="15" thickBot="1" x14ac:dyDescent="0.4">
      <c r="B772" s="269">
        <v>44396</v>
      </c>
      <c r="C772" s="328">
        <v>21668.220702999999</v>
      </c>
    </row>
    <row r="773" spans="2:3" ht="15" thickBot="1" x14ac:dyDescent="0.4">
      <c r="B773" s="269">
        <v>44397</v>
      </c>
      <c r="C773" s="328">
        <v>21472.529297000001</v>
      </c>
    </row>
    <row r="774" spans="2:3" ht="15" thickBot="1" x14ac:dyDescent="0.4">
      <c r="B774" s="269">
        <v>44399</v>
      </c>
      <c r="C774" s="328">
        <v>21753.509765999999</v>
      </c>
    </row>
    <row r="775" spans="2:3" ht="15" thickBot="1" x14ac:dyDescent="0.4">
      <c r="B775" s="269">
        <v>44400</v>
      </c>
      <c r="C775" s="328">
        <v>21784.210938</v>
      </c>
    </row>
    <row r="776" spans="2:3" ht="15" thickBot="1" x14ac:dyDescent="0.4">
      <c r="B776" s="269">
        <v>44403</v>
      </c>
      <c r="C776" s="328">
        <v>21766.289063</v>
      </c>
    </row>
    <row r="777" spans="2:3" ht="15" thickBot="1" x14ac:dyDescent="0.4">
      <c r="B777" s="269">
        <v>44404</v>
      </c>
      <c r="C777" s="328">
        <v>21662.070313</v>
      </c>
    </row>
    <row r="778" spans="2:3" ht="15" thickBot="1" x14ac:dyDescent="0.4">
      <c r="B778" s="269">
        <v>44405</v>
      </c>
      <c r="C778" s="328">
        <v>21614.980468999998</v>
      </c>
    </row>
    <row r="779" spans="2:3" ht="15" thickBot="1" x14ac:dyDescent="0.4">
      <c r="B779" s="269">
        <v>44406</v>
      </c>
      <c r="C779" s="328">
        <v>21722.990234000001</v>
      </c>
    </row>
    <row r="780" spans="2:3" ht="15" thickBot="1" x14ac:dyDescent="0.4">
      <c r="B780" s="269">
        <v>44407</v>
      </c>
      <c r="C780" s="328">
        <v>21753.679688</v>
      </c>
    </row>
    <row r="781" spans="2:3" ht="15" thickBot="1" x14ac:dyDescent="0.4">
      <c r="B781" s="269">
        <v>44410</v>
      </c>
      <c r="C781" s="328">
        <v>21939.189452999999</v>
      </c>
    </row>
    <row r="782" spans="2:3" ht="15" thickBot="1" x14ac:dyDescent="0.4">
      <c r="B782" s="269">
        <v>44411</v>
      </c>
      <c r="C782" s="328">
        <v>22191.369140999999</v>
      </c>
    </row>
    <row r="783" spans="2:3" ht="15" thickBot="1" x14ac:dyDescent="0.4">
      <c r="B783" s="269">
        <v>44412</v>
      </c>
      <c r="C783" s="328">
        <v>22243.130859000001</v>
      </c>
    </row>
    <row r="784" spans="2:3" ht="15" thickBot="1" x14ac:dyDescent="0.4">
      <c r="B784" s="269">
        <v>44413</v>
      </c>
      <c r="C784" s="328">
        <v>22263.769531000002</v>
      </c>
    </row>
    <row r="785" spans="2:3" ht="15" thickBot="1" x14ac:dyDescent="0.4">
      <c r="B785" s="269">
        <v>44414</v>
      </c>
      <c r="C785" s="328">
        <v>22224.359375</v>
      </c>
    </row>
    <row r="786" spans="2:3" ht="15" thickBot="1" x14ac:dyDescent="0.4">
      <c r="B786" s="269">
        <v>44417</v>
      </c>
      <c r="C786" s="328">
        <v>22185.859375</v>
      </c>
    </row>
    <row r="787" spans="2:3" ht="15" thickBot="1" x14ac:dyDescent="0.4">
      <c r="B787" s="269">
        <v>44418</v>
      </c>
      <c r="C787" s="328">
        <v>22116.130859000001</v>
      </c>
    </row>
    <row r="788" spans="2:3" ht="15" thickBot="1" x14ac:dyDescent="0.4">
      <c r="B788" s="269">
        <v>44419</v>
      </c>
      <c r="C788" s="328">
        <v>22092.900390999999</v>
      </c>
    </row>
    <row r="789" spans="2:3" ht="15" thickBot="1" x14ac:dyDescent="0.4">
      <c r="B789" s="269">
        <v>44420</v>
      </c>
      <c r="C789" s="328">
        <v>22248.439452999999</v>
      </c>
    </row>
    <row r="790" spans="2:3" ht="15" thickBot="1" x14ac:dyDescent="0.4">
      <c r="B790" s="269">
        <v>44421</v>
      </c>
      <c r="C790" s="328">
        <v>22392.460938</v>
      </c>
    </row>
    <row r="791" spans="2:3" ht="15" thickBot="1" x14ac:dyDescent="0.4">
      <c r="B791" s="269">
        <v>44424</v>
      </c>
      <c r="C791" s="328">
        <v>22405.759765999999</v>
      </c>
    </row>
    <row r="792" spans="2:3" ht="15" thickBot="1" x14ac:dyDescent="0.4">
      <c r="B792" s="269">
        <v>44425</v>
      </c>
      <c r="C792" s="328">
        <v>22473.720702999999</v>
      </c>
    </row>
    <row r="793" spans="2:3" ht="15" thickBot="1" x14ac:dyDescent="0.4">
      <c r="B793" s="269">
        <v>44426</v>
      </c>
      <c r="C793" s="328">
        <v>22439.150390999999</v>
      </c>
    </row>
    <row r="794" spans="2:3" ht="15" thickBot="1" x14ac:dyDescent="0.4">
      <c r="B794" s="269">
        <v>44428</v>
      </c>
      <c r="C794" s="328">
        <v>22193.769531000002</v>
      </c>
    </row>
    <row r="795" spans="2:3" ht="15" thickBot="1" x14ac:dyDescent="0.4">
      <c r="B795" s="269">
        <v>44431</v>
      </c>
      <c r="C795" s="328">
        <v>22176.369140999999</v>
      </c>
    </row>
    <row r="796" spans="2:3" ht="15" thickBot="1" x14ac:dyDescent="0.4">
      <c r="B796" s="269">
        <v>44432</v>
      </c>
      <c r="C796" s="328">
        <v>22392.140625</v>
      </c>
    </row>
    <row r="797" spans="2:3" ht="15" thickBot="1" x14ac:dyDescent="0.4">
      <c r="B797" s="269">
        <v>44433</v>
      </c>
      <c r="C797" s="328">
        <v>22440.460938</v>
      </c>
    </row>
    <row r="798" spans="2:3" ht="15" thickBot="1" x14ac:dyDescent="0.4">
      <c r="B798" s="269">
        <v>44434</v>
      </c>
      <c r="C798" s="328">
        <v>22457.679688</v>
      </c>
    </row>
    <row r="799" spans="2:3" ht="15" thickBot="1" x14ac:dyDescent="0.4">
      <c r="B799" s="269">
        <v>44435</v>
      </c>
      <c r="C799" s="328">
        <v>22594.759765999999</v>
      </c>
    </row>
    <row r="800" spans="2:3" ht="15" thickBot="1" x14ac:dyDescent="0.4">
      <c r="B800" s="269">
        <v>44438</v>
      </c>
      <c r="C800" s="328">
        <v>22921.449218999998</v>
      </c>
    </row>
    <row r="801" spans="2:3" ht="15" thickBot="1" x14ac:dyDescent="0.4">
      <c r="B801" s="269">
        <v>44439</v>
      </c>
      <c r="C801" s="328">
        <v>23174.230468999998</v>
      </c>
    </row>
    <row r="802" spans="2:3" ht="15" thickBot="1" x14ac:dyDescent="0.4">
      <c r="B802" s="269">
        <v>44440</v>
      </c>
      <c r="C802" s="328">
        <v>23167.460938</v>
      </c>
    </row>
    <row r="803" spans="2:3" ht="15" thickBot="1" x14ac:dyDescent="0.4">
      <c r="B803" s="269">
        <v>44441</v>
      </c>
      <c r="C803" s="328">
        <v>23378.189452999999</v>
      </c>
    </row>
    <row r="804" spans="2:3" ht="15" thickBot="1" x14ac:dyDescent="0.4">
      <c r="B804" s="269">
        <v>44442</v>
      </c>
      <c r="C804" s="328">
        <v>23494.550781000002</v>
      </c>
    </row>
    <row r="805" spans="2:3" ht="15" thickBot="1" x14ac:dyDescent="0.4">
      <c r="B805" s="269">
        <v>44445</v>
      </c>
      <c r="C805" s="328">
        <v>23566.75</v>
      </c>
    </row>
    <row r="806" spans="2:3" ht="15" thickBot="1" x14ac:dyDescent="0.4">
      <c r="B806" s="269">
        <v>44446</v>
      </c>
      <c r="C806" s="328">
        <v>23530.800781000002</v>
      </c>
    </row>
    <row r="807" spans="2:3" ht="15" thickBot="1" x14ac:dyDescent="0.4">
      <c r="B807" s="269">
        <v>44447</v>
      </c>
      <c r="C807" s="328">
        <v>23555.900390999999</v>
      </c>
    </row>
    <row r="808" spans="2:3" ht="15" thickBot="1" x14ac:dyDescent="0.4">
      <c r="B808" s="269">
        <v>44448</v>
      </c>
      <c r="C808" s="328">
        <v>23606.900390999999</v>
      </c>
    </row>
    <row r="809" spans="2:3" ht="15" thickBot="1" x14ac:dyDescent="0.4">
      <c r="B809" s="269">
        <v>44452</v>
      </c>
      <c r="C809" s="328">
        <v>23627.619140999999</v>
      </c>
    </row>
    <row r="810" spans="2:3" ht="15" thickBot="1" x14ac:dyDescent="0.4">
      <c r="B810" s="269">
        <v>44453</v>
      </c>
      <c r="C810" s="328">
        <v>23711.050781000002</v>
      </c>
    </row>
    <row r="811" spans="2:3" ht="15" thickBot="1" x14ac:dyDescent="0.4">
      <c r="B811" s="269">
        <v>44454</v>
      </c>
      <c r="C811" s="328">
        <v>23901.289063</v>
      </c>
    </row>
    <row r="812" spans="2:3" ht="15" thickBot="1" x14ac:dyDescent="0.4">
      <c r="B812" s="269">
        <v>44455</v>
      </c>
      <c r="C812" s="328">
        <v>24024.509765999999</v>
      </c>
    </row>
    <row r="813" spans="2:3" ht="15" thickBot="1" x14ac:dyDescent="0.4">
      <c r="B813" s="269">
        <v>44456</v>
      </c>
      <c r="C813" s="328">
        <v>23902.169922000001</v>
      </c>
    </row>
    <row r="814" spans="2:3" ht="15" thickBot="1" x14ac:dyDescent="0.4">
      <c r="B814" s="269">
        <v>44459</v>
      </c>
      <c r="C814" s="328">
        <v>23581.890625</v>
      </c>
    </row>
    <row r="815" spans="2:3" ht="15" thickBot="1" x14ac:dyDescent="0.4">
      <c r="B815" s="269">
        <v>44460</v>
      </c>
      <c r="C815" s="328">
        <v>23770.019531000002</v>
      </c>
    </row>
    <row r="816" spans="2:3" ht="15" thickBot="1" x14ac:dyDescent="0.4">
      <c r="B816" s="269">
        <v>44461</v>
      </c>
      <c r="C816" s="328">
        <v>23846.710938</v>
      </c>
    </row>
    <row r="817" spans="2:3" ht="15" thickBot="1" x14ac:dyDescent="0.4">
      <c r="B817" s="269">
        <v>44462</v>
      </c>
      <c r="C817" s="328">
        <v>24185.339843999998</v>
      </c>
    </row>
    <row r="818" spans="2:3" ht="15" thickBot="1" x14ac:dyDescent="0.4">
      <c r="B818" s="269">
        <v>44463</v>
      </c>
      <c r="C818" s="328">
        <v>24160.859375</v>
      </c>
    </row>
    <row r="819" spans="2:3" ht="15" thickBot="1" x14ac:dyDescent="0.4">
      <c r="B819" s="269">
        <v>44466</v>
      </c>
      <c r="C819" s="328">
        <v>24162.75</v>
      </c>
    </row>
    <row r="820" spans="2:3" ht="15" thickBot="1" x14ac:dyDescent="0.4">
      <c r="B820" s="269">
        <v>44467</v>
      </c>
      <c r="C820" s="328">
        <v>24010.470702999999</v>
      </c>
    </row>
    <row r="821" spans="2:3" ht="15" thickBot="1" x14ac:dyDescent="0.4">
      <c r="B821" s="269">
        <v>44468</v>
      </c>
      <c r="C821" s="328">
        <v>23997.880859000001</v>
      </c>
    </row>
    <row r="822" spans="2:3" ht="15" thickBot="1" x14ac:dyDescent="0.4">
      <c r="B822" s="269">
        <v>44469</v>
      </c>
      <c r="C822" s="328">
        <v>23937.539063</v>
      </c>
    </row>
    <row r="823" spans="2:3" ht="15" thickBot="1" x14ac:dyDescent="0.4">
      <c r="B823" s="269">
        <v>44470</v>
      </c>
      <c r="C823" s="328">
        <v>23873.269531000002</v>
      </c>
    </row>
    <row r="824" spans="2:3" ht="15" thickBot="1" x14ac:dyDescent="0.4">
      <c r="B824" s="269">
        <v>44473</v>
      </c>
      <c r="C824" s="328">
        <v>24140.880859000001</v>
      </c>
    </row>
    <row r="825" spans="2:3" ht="15" thickBot="1" x14ac:dyDescent="0.4">
      <c r="B825" s="269">
        <v>44474</v>
      </c>
      <c r="C825" s="328">
        <v>24303.199218999998</v>
      </c>
    </row>
    <row r="826" spans="2:3" ht="15" thickBot="1" x14ac:dyDescent="0.4">
      <c r="B826" s="269">
        <v>44475</v>
      </c>
      <c r="C826" s="328">
        <v>24073.669922000001</v>
      </c>
    </row>
    <row r="827" spans="2:3" ht="15" thickBot="1" x14ac:dyDescent="0.4">
      <c r="B827" s="269">
        <v>44476</v>
      </c>
      <c r="C827" s="328">
        <v>24321.310547000001</v>
      </c>
    </row>
    <row r="828" spans="2:3" ht="15" thickBot="1" x14ac:dyDescent="0.4">
      <c r="B828" s="269">
        <v>44477</v>
      </c>
      <c r="C828" s="328">
        <v>24435.390625</v>
      </c>
    </row>
    <row r="829" spans="2:3" ht="15" thickBot="1" x14ac:dyDescent="0.4">
      <c r="B829" s="269">
        <v>44480</v>
      </c>
      <c r="C829" s="328">
        <v>24534.939452999999</v>
      </c>
    </row>
    <row r="830" spans="2:3" ht="15" thickBot="1" x14ac:dyDescent="0.4">
      <c r="B830" s="269">
        <v>44481</v>
      </c>
      <c r="C830" s="328">
        <v>24622.919922000001</v>
      </c>
    </row>
    <row r="831" spans="2:3" ht="15" thickBot="1" x14ac:dyDescent="0.4">
      <c r="B831" s="269">
        <v>44482</v>
      </c>
      <c r="C831" s="328">
        <v>24864.650390999999</v>
      </c>
    </row>
    <row r="832" spans="2:3" ht="15" thickBot="1" x14ac:dyDescent="0.4">
      <c r="B832" s="269">
        <v>44483</v>
      </c>
      <c r="C832" s="328">
        <v>25082.490234000001</v>
      </c>
    </row>
    <row r="833" spans="2:3" ht="15" thickBot="1" x14ac:dyDescent="0.4">
      <c r="B833" s="269">
        <v>44487</v>
      </c>
      <c r="C833" s="328">
        <v>25266.769531000002</v>
      </c>
    </row>
    <row r="834" spans="2:3" ht="15" thickBot="1" x14ac:dyDescent="0.4">
      <c r="B834" s="269">
        <v>44488</v>
      </c>
      <c r="C834" s="328">
        <v>25062.339843999998</v>
      </c>
    </row>
    <row r="835" spans="2:3" ht="15" thickBot="1" x14ac:dyDescent="0.4">
      <c r="B835" s="269">
        <v>44489</v>
      </c>
      <c r="C835" s="328">
        <v>24765.289063</v>
      </c>
    </row>
    <row r="836" spans="2:3" ht="15" thickBot="1" x14ac:dyDescent="0.4">
      <c r="B836" s="269">
        <v>44490</v>
      </c>
      <c r="C836" s="328">
        <v>24639.029297000001</v>
      </c>
    </row>
    <row r="837" spans="2:3" ht="15" thickBot="1" x14ac:dyDescent="0.4">
      <c r="B837" s="269">
        <v>44491</v>
      </c>
      <c r="C837" s="328">
        <v>24495.839843999998</v>
      </c>
    </row>
    <row r="838" spans="2:3" ht="15" thickBot="1" x14ac:dyDescent="0.4">
      <c r="B838" s="269">
        <v>44494</v>
      </c>
      <c r="C838" s="328">
        <v>24394.140625</v>
      </c>
    </row>
    <row r="839" spans="2:3" ht="15" thickBot="1" x14ac:dyDescent="0.4">
      <c r="B839" s="269">
        <v>44495</v>
      </c>
      <c r="C839" s="328">
        <v>24654.919922000001</v>
      </c>
    </row>
    <row r="840" spans="2:3" ht="15" thickBot="1" x14ac:dyDescent="0.4">
      <c r="B840" s="269">
        <v>44496</v>
      </c>
      <c r="C840" s="328">
        <v>24623.630859000001</v>
      </c>
    </row>
    <row r="841" spans="2:3" ht="15" thickBot="1" x14ac:dyDescent="0.4">
      <c r="B841" s="269">
        <v>44497</v>
      </c>
      <c r="C841" s="328">
        <v>24157.150390999999</v>
      </c>
    </row>
    <row r="842" spans="2:3" ht="15" thickBot="1" x14ac:dyDescent="0.4">
      <c r="B842" s="269">
        <v>44498</v>
      </c>
      <c r="C842" s="328">
        <v>23990.089843999998</v>
      </c>
    </row>
    <row r="843" spans="2:3" ht="15" thickBot="1" x14ac:dyDescent="0.4">
      <c r="B843" s="269">
        <v>44501</v>
      </c>
      <c r="C843" s="328">
        <v>24329.039063</v>
      </c>
    </row>
    <row r="844" spans="2:3" ht="15" thickBot="1" x14ac:dyDescent="0.4">
      <c r="B844" s="269">
        <v>44502</v>
      </c>
      <c r="C844" s="328">
        <v>24347.039063</v>
      </c>
    </row>
    <row r="845" spans="2:3" ht="15" thickBot="1" x14ac:dyDescent="0.4">
      <c r="B845" s="269">
        <v>44503</v>
      </c>
      <c r="C845" s="328">
        <v>24295.570313</v>
      </c>
    </row>
    <row r="846" spans="2:3" ht="15" thickBot="1" x14ac:dyDescent="0.4">
      <c r="B846" s="269">
        <v>44504</v>
      </c>
      <c r="C846" s="328">
        <v>24447.150390999999</v>
      </c>
    </row>
    <row r="847" spans="2:3" ht="15" thickBot="1" x14ac:dyDescent="0.4">
      <c r="B847" s="269">
        <v>44508</v>
      </c>
      <c r="C847" s="328">
        <v>24671.009765999999</v>
      </c>
    </row>
    <row r="848" spans="2:3" ht="15" thickBot="1" x14ac:dyDescent="0.4">
      <c r="B848" s="269">
        <v>44509</v>
      </c>
      <c r="C848" s="328">
        <v>24705.580077999999</v>
      </c>
    </row>
    <row r="849" spans="2:3" ht="15" thickBot="1" x14ac:dyDescent="0.4">
      <c r="B849" s="269">
        <v>44510</v>
      </c>
      <c r="C849" s="328">
        <v>24675.949218999998</v>
      </c>
    </row>
    <row r="850" spans="2:3" ht="15" thickBot="1" x14ac:dyDescent="0.4">
      <c r="B850" s="269">
        <v>44511</v>
      </c>
      <c r="C850" s="328">
        <v>24504.509765999999</v>
      </c>
    </row>
    <row r="851" spans="2:3" ht="15" thickBot="1" x14ac:dyDescent="0.4">
      <c r="B851" s="269">
        <v>44512</v>
      </c>
      <c r="C851" s="328">
        <v>24772.080077999999</v>
      </c>
    </row>
    <row r="852" spans="2:3" ht="15" thickBot="1" x14ac:dyDescent="0.4">
      <c r="B852" s="269">
        <v>44515</v>
      </c>
      <c r="C852" s="328">
        <v>24781.529297000001</v>
      </c>
    </row>
    <row r="853" spans="2:3" ht="15" thickBot="1" x14ac:dyDescent="0.4">
      <c r="B853" s="269">
        <v>44516</v>
      </c>
      <c r="C853" s="328">
        <v>24673.380859000001</v>
      </c>
    </row>
    <row r="854" spans="2:3" ht="15" thickBot="1" x14ac:dyDescent="0.4">
      <c r="B854" s="269">
        <v>44517</v>
      </c>
      <c r="C854" s="328">
        <v>24565.689452999999</v>
      </c>
    </row>
    <row r="855" spans="2:3" ht="15" thickBot="1" x14ac:dyDescent="0.4">
      <c r="B855" s="269">
        <v>44518</v>
      </c>
      <c r="C855" s="328">
        <v>24322.720702999999</v>
      </c>
    </row>
    <row r="856" spans="2:3" ht="15" thickBot="1" x14ac:dyDescent="0.4">
      <c r="B856" s="269">
        <v>44522</v>
      </c>
      <c r="C856" s="328">
        <v>23804.330077999999</v>
      </c>
    </row>
    <row r="857" spans="2:3" ht="15" thickBot="1" x14ac:dyDescent="0.4">
      <c r="B857" s="269">
        <v>44523</v>
      </c>
      <c r="C857" s="328">
        <v>24007.679688</v>
      </c>
    </row>
    <row r="858" spans="2:3" ht="15" thickBot="1" x14ac:dyDescent="0.4">
      <c r="B858" s="269">
        <v>44524</v>
      </c>
      <c r="C858" s="328">
        <v>23907.839843999998</v>
      </c>
    </row>
    <row r="859" spans="2:3" ht="15" thickBot="1" x14ac:dyDescent="0.4">
      <c r="B859" s="269">
        <v>44525</v>
      </c>
      <c r="C859" s="328">
        <v>24072.410156000002</v>
      </c>
    </row>
    <row r="860" spans="2:3" ht="15" thickBot="1" x14ac:dyDescent="0.4">
      <c r="B860" s="269">
        <v>44526</v>
      </c>
      <c r="C860" s="328">
        <v>23359.669922000001</v>
      </c>
    </row>
    <row r="861" spans="2:3" ht="15" thickBot="1" x14ac:dyDescent="0.4">
      <c r="B861" s="269">
        <v>44529</v>
      </c>
      <c r="C861" s="328">
        <v>23284.199218999998</v>
      </c>
    </row>
    <row r="862" spans="2:3" ht="15" thickBot="1" x14ac:dyDescent="0.4">
      <c r="B862" s="269">
        <v>44530</v>
      </c>
      <c r="C862" s="328">
        <v>23276.880859000001</v>
      </c>
    </row>
    <row r="863" spans="2:3" ht="15" thickBot="1" x14ac:dyDescent="0.4">
      <c r="B863" s="269">
        <v>44531</v>
      </c>
      <c r="C863" s="328">
        <v>23488.720702999999</v>
      </c>
    </row>
    <row r="864" spans="2:3" ht="15" thickBot="1" x14ac:dyDescent="0.4">
      <c r="B864" s="269">
        <v>44532</v>
      </c>
      <c r="C864" s="328">
        <v>23786</v>
      </c>
    </row>
    <row r="865" spans="2:3" ht="15" thickBot="1" x14ac:dyDescent="0.4">
      <c r="B865" s="269">
        <v>44533</v>
      </c>
      <c r="C865" s="328">
        <v>23595.310547000001</v>
      </c>
    </row>
    <row r="866" spans="2:3" ht="15" thickBot="1" x14ac:dyDescent="0.4">
      <c r="B866" s="269">
        <v>44536</v>
      </c>
      <c r="C866" s="328">
        <v>23212.630859000001</v>
      </c>
    </row>
    <row r="867" spans="2:3" ht="15" thickBot="1" x14ac:dyDescent="0.4">
      <c r="B867" s="269">
        <v>44537</v>
      </c>
      <c r="C867" s="328">
        <v>23556.160156000002</v>
      </c>
    </row>
    <row r="868" spans="2:3" ht="15" thickBot="1" x14ac:dyDescent="0.4">
      <c r="B868" s="269">
        <v>44538</v>
      </c>
      <c r="C868" s="328">
        <v>23934.890625</v>
      </c>
    </row>
    <row r="869" spans="2:3" ht="15" thickBot="1" x14ac:dyDescent="0.4">
      <c r="B869" s="269">
        <v>44539</v>
      </c>
      <c r="C869" s="328">
        <v>24017.429688</v>
      </c>
    </row>
    <row r="870" spans="2:3" ht="15" thickBot="1" x14ac:dyDescent="0.4">
      <c r="B870" s="269">
        <v>44540</v>
      </c>
      <c r="C870" s="328">
        <v>24061.349609000001</v>
      </c>
    </row>
    <row r="871" spans="2:3" ht="15" thickBot="1" x14ac:dyDescent="0.4">
      <c r="B871" s="269">
        <v>44543</v>
      </c>
      <c r="C871" s="328">
        <v>23918.75</v>
      </c>
    </row>
    <row r="872" spans="2:3" ht="15" thickBot="1" x14ac:dyDescent="0.4">
      <c r="B872" s="269">
        <v>44544</v>
      </c>
      <c r="C872" s="328">
        <v>23875.890625</v>
      </c>
    </row>
    <row r="873" spans="2:3" ht="15" thickBot="1" x14ac:dyDescent="0.4">
      <c r="B873" s="269">
        <v>44545</v>
      </c>
      <c r="C873" s="328">
        <v>23732.189452999999</v>
      </c>
    </row>
    <row r="874" spans="2:3" ht="15" thickBot="1" x14ac:dyDescent="0.4">
      <c r="B874" s="269">
        <v>44546</v>
      </c>
      <c r="C874" s="328">
        <v>23712.240234000001</v>
      </c>
    </row>
    <row r="875" spans="2:3" ht="15" thickBot="1" x14ac:dyDescent="0.4">
      <c r="B875" s="269">
        <v>44547</v>
      </c>
      <c r="C875" s="328">
        <v>23295.519531000002</v>
      </c>
    </row>
    <row r="876" spans="2:3" ht="15" thickBot="1" x14ac:dyDescent="0.4">
      <c r="B876" s="269">
        <v>44550</v>
      </c>
      <c r="C876" s="328">
        <v>22704.349609000001</v>
      </c>
    </row>
    <row r="877" spans="2:3" ht="15" thickBot="1" x14ac:dyDescent="0.4">
      <c r="B877" s="269">
        <v>44551</v>
      </c>
      <c r="C877" s="328">
        <v>22955.339843999998</v>
      </c>
    </row>
    <row r="878" spans="2:3" ht="15" thickBot="1" x14ac:dyDescent="0.4">
      <c r="B878" s="269">
        <v>44552</v>
      </c>
      <c r="C878" s="328">
        <v>23244.269531000002</v>
      </c>
    </row>
    <row r="879" spans="2:3" ht="15" thickBot="1" x14ac:dyDescent="0.4">
      <c r="B879" s="269">
        <v>44553</v>
      </c>
      <c r="C879" s="328">
        <v>23415.859375</v>
      </c>
    </row>
    <row r="880" spans="2:3" ht="15" thickBot="1" x14ac:dyDescent="0.4">
      <c r="B880" s="269">
        <v>44554</v>
      </c>
      <c r="C880" s="328">
        <v>23285.089843999998</v>
      </c>
    </row>
    <row r="881" spans="2:3" ht="15" thickBot="1" x14ac:dyDescent="0.4">
      <c r="B881" s="269">
        <v>44557</v>
      </c>
      <c r="C881" s="328">
        <v>23386.669922000001</v>
      </c>
    </row>
    <row r="882" spans="2:3" ht="15" thickBot="1" x14ac:dyDescent="0.4">
      <c r="B882" s="269">
        <v>44558</v>
      </c>
      <c r="C882" s="328">
        <v>23607.189452999999</v>
      </c>
    </row>
    <row r="883" spans="2:3" ht="15" thickBot="1" x14ac:dyDescent="0.4">
      <c r="B883" s="269">
        <v>44559</v>
      </c>
      <c r="C883" s="328">
        <v>23598.810547000001</v>
      </c>
    </row>
    <row r="884" spans="2:3" ht="15" thickBot="1" x14ac:dyDescent="0.4">
      <c r="B884" s="269">
        <v>44560</v>
      </c>
      <c r="C884" s="328">
        <v>23565.310547000001</v>
      </c>
    </row>
    <row r="885" spans="2:3" ht="15" thickBot="1" x14ac:dyDescent="0.4">
      <c r="B885" s="269">
        <v>44561</v>
      </c>
      <c r="C885" s="328">
        <v>23811</v>
      </c>
    </row>
    <row r="886" spans="2:3" ht="15" thickBot="1" x14ac:dyDescent="0.4">
      <c r="B886" s="269">
        <v>44564</v>
      </c>
      <c r="C886" s="328">
        <v>24140.230468999998</v>
      </c>
    </row>
    <row r="887" spans="2:3" ht="15" thickBot="1" x14ac:dyDescent="0.4">
      <c r="B887" s="269">
        <v>44565</v>
      </c>
      <c r="C887" s="328">
        <v>24315.789063</v>
      </c>
    </row>
    <row r="888" spans="2:3" ht="15" thickBot="1" x14ac:dyDescent="0.4">
      <c r="B888" s="269">
        <v>44566</v>
      </c>
      <c r="C888" s="328">
        <v>24441.210938</v>
      </c>
    </row>
    <row r="889" spans="2:3" ht="15" thickBot="1" x14ac:dyDescent="0.4">
      <c r="B889" s="269">
        <v>44567</v>
      </c>
      <c r="C889" s="328">
        <v>24281.929688</v>
      </c>
    </row>
    <row r="890" spans="2:3" ht="15" thickBot="1" x14ac:dyDescent="0.4">
      <c r="B890" s="269">
        <v>44568</v>
      </c>
      <c r="C890" s="328">
        <v>24374.890625</v>
      </c>
    </row>
    <row r="891" spans="2:3" ht="15" thickBot="1" x14ac:dyDescent="0.4">
      <c r="B891" s="269">
        <v>44571</v>
      </c>
      <c r="C891" s="328">
        <v>24613.740234000001</v>
      </c>
    </row>
    <row r="892" spans="2:3" ht="15" thickBot="1" x14ac:dyDescent="0.4">
      <c r="B892" s="269">
        <v>44572</v>
      </c>
      <c r="C892" s="328">
        <v>24674.810547000001</v>
      </c>
    </row>
    <row r="893" spans="2:3" ht="15" thickBot="1" x14ac:dyDescent="0.4">
      <c r="B893" s="269">
        <v>44573</v>
      </c>
      <c r="C893" s="328">
        <v>24890.259765999999</v>
      </c>
    </row>
    <row r="894" spans="2:3" ht="15" thickBot="1" x14ac:dyDescent="0.4">
      <c r="B894" s="269">
        <v>44574</v>
      </c>
      <c r="C894" s="328">
        <v>24971.320313</v>
      </c>
    </row>
    <row r="895" spans="2:3" ht="15" thickBot="1" x14ac:dyDescent="0.4">
      <c r="B895" s="269">
        <v>44575</v>
      </c>
      <c r="C895" s="328">
        <v>24984.660156000002</v>
      </c>
    </row>
    <row r="896" spans="2:3" ht="15" thickBot="1" x14ac:dyDescent="0.4">
      <c r="B896" s="269">
        <v>44578</v>
      </c>
      <c r="C896" s="328">
        <v>25063.830077999999</v>
      </c>
    </row>
    <row r="897" spans="2:3" ht="15" thickBot="1" x14ac:dyDescent="0.4">
      <c r="B897" s="269">
        <v>44579</v>
      </c>
      <c r="C897" s="328">
        <v>24741.119140999999</v>
      </c>
    </row>
    <row r="898" spans="2:3" ht="15" thickBot="1" x14ac:dyDescent="0.4">
      <c r="B898" s="269">
        <v>44580</v>
      </c>
      <c r="C898" s="328">
        <v>24577.970702999999</v>
      </c>
    </row>
    <row r="899" spans="2:3" ht="15" thickBot="1" x14ac:dyDescent="0.4">
      <c r="B899" s="269">
        <v>44581</v>
      </c>
      <c r="C899" s="328">
        <v>24403.070313</v>
      </c>
    </row>
    <row r="900" spans="2:3" ht="15" thickBot="1" x14ac:dyDescent="0.4">
      <c r="B900" s="269">
        <v>44582</v>
      </c>
      <c r="C900" s="328">
        <v>24115.310547000001</v>
      </c>
    </row>
    <row r="901" spans="2:3" ht="15" thickBot="1" x14ac:dyDescent="0.4">
      <c r="B901" s="269">
        <v>44585</v>
      </c>
      <c r="C901" s="328">
        <v>23373.130859000001</v>
      </c>
    </row>
    <row r="902" spans="2:3" ht="15" thickBot="1" x14ac:dyDescent="0.4">
      <c r="B902" s="269">
        <v>44586</v>
      </c>
      <c r="C902" s="328">
        <v>23568.150390999999</v>
      </c>
    </row>
    <row r="903" spans="2:3" ht="15" thickBot="1" x14ac:dyDescent="0.4">
      <c r="B903" s="269">
        <v>44588</v>
      </c>
      <c r="C903" s="328">
        <v>23326.650390999999</v>
      </c>
    </row>
    <row r="904" spans="2:3" ht="15" thickBot="1" x14ac:dyDescent="0.4">
      <c r="B904" s="269">
        <v>44589</v>
      </c>
      <c r="C904" s="328">
        <v>23393.900390999999</v>
      </c>
    </row>
    <row r="905" spans="2:3" ht="15" thickBot="1" x14ac:dyDescent="0.4">
      <c r="B905" s="269">
        <v>44592</v>
      </c>
      <c r="C905" s="328">
        <v>23715.289063</v>
      </c>
    </row>
    <row r="906" spans="2:3" ht="15" thickBot="1" x14ac:dyDescent="0.4">
      <c r="B906" s="269">
        <v>44593</v>
      </c>
      <c r="C906" s="328">
        <v>24023.949218999998</v>
      </c>
    </row>
    <row r="907" spans="2:3" ht="15" thickBot="1" x14ac:dyDescent="0.4">
      <c r="B907" s="269">
        <v>44594</v>
      </c>
      <c r="C907" s="328">
        <v>24297.75</v>
      </c>
    </row>
    <row r="908" spans="2:3" ht="15" thickBot="1" x14ac:dyDescent="0.4">
      <c r="B908" s="269">
        <v>44595</v>
      </c>
      <c r="C908" s="328">
        <v>24045.740234000001</v>
      </c>
    </row>
    <row r="909" spans="2:3" ht="15" thickBot="1" x14ac:dyDescent="0.4">
      <c r="B909" s="269">
        <v>44596</v>
      </c>
      <c r="C909" s="328">
        <v>23966.560547000001</v>
      </c>
    </row>
    <row r="910" spans="2:3" ht="15" thickBot="1" x14ac:dyDescent="0.4">
      <c r="B910" s="269">
        <v>44599</v>
      </c>
      <c r="C910" s="328">
        <v>23630.029297000001</v>
      </c>
    </row>
    <row r="911" spans="2:3" ht="15" thickBot="1" x14ac:dyDescent="0.4">
      <c r="B911" s="269">
        <v>44600</v>
      </c>
      <c r="C911" s="328">
        <v>23605.060547000001</v>
      </c>
    </row>
    <row r="912" spans="2:3" ht="15" thickBot="1" x14ac:dyDescent="0.4">
      <c r="B912" s="269">
        <v>44601</v>
      </c>
      <c r="C912" s="328">
        <v>23861.289063</v>
      </c>
    </row>
    <row r="913" spans="2:3" ht="15" thickBot="1" x14ac:dyDescent="0.4">
      <c r="B913" s="269">
        <v>44602</v>
      </c>
      <c r="C913" s="328">
        <v>24009.279297000001</v>
      </c>
    </row>
    <row r="914" spans="2:3" ht="15" thickBot="1" x14ac:dyDescent="0.4">
      <c r="B914" s="269">
        <v>44603</v>
      </c>
      <c r="C914" s="328">
        <v>23662.949218999998</v>
      </c>
    </row>
    <row r="915" spans="2:3" ht="15" thickBot="1" x14ac:dyDescent="0.4">
      <c r="B915" s="269">
        <v>44606</v>
      </c>
      <c r="C915" s="328">
        <v>22889.320313</v>
      </c>
    </row>
    <row r="916" spans="2:3" ht="15" thickBot="1" x14ac:dyDescent="0.4">
      <c r="B916" s="269">
        <v>44607</v>
      </c>
      <c r="C916" s="328">
        <v>23531.369140999999</v>
      </c>
    </row>
    <row r="917" spans="2:3" ht="15" thickBot="1" x14ac:dyDescent="0.4">
      <c r="B917" s="269">
        <v>44608</v>
      </c>
      <c r="C917" s="328">
        <v>23510.589843999998</v>
      </c>
    </row>
    <row r="918" spans="2:3" ht="15" thickBot="1" x14ac:dyDescent="0.4">
      <c r="B918" s="269">
        <v>44609</v>
      </c>
      <c r="C918" s="328">
        <v>23477.589843999998</v>
      </c>
    </row>
    <row r="919" spans="2:3" ht="15" thickBot="1" x14ac:dyDescent="0.4">
      <c r="B919" s="269">
        <v>44610</v>
      </c>
      <c r="C919" s="328">
        <v>23386.330077999999</v>
      </c>
    </row>
    <row r="920" spans="2:3" ht="15" thickBot="1" x14ac:dyDescent="0.4">
      <c r="B920" s="269">
        <v>44613</v>
      </c>
      <c r="C920" s="328">
        <v>23204.189452999999</v>
      </c>
    </row>
    <row r="921" spans="2:3" ht="15" thickBot="1" x14ac:dyDescent="0.4">
      <c r="B921" s="269">
        <v>44614</v>
      </c>
      <c r="C921" s="328">
        <v>23036.009765999999</v>
      </c>
    </row>
    <row r="922" spans="2:3" ht="15" thickBot="1" x14ac:dyDescent="0.4">
      <c r="B922" s="269">
        <v>44615</v>
      </c>
      <c r="C922" s="328">
        <v>23064.730468999998</v>
      </c>
    </row>
    <row r="923" spans="2:3" ht="15" thickBot="1" x14ac:dyDescent="0.4">
      <c r="B923" s="269">
        <v>44616</v>
      </c>
      <c r="C923" s="328">
        <v>21896.830077999999</v>
      </c>
    </row>
    <row r="924" spans="2:3" ht="15" thickBot="1" x14ac:dyDescent="0.4">
      <c r="B924" s="269">
        <v>44617</v>
      </c>
      <c r="C924" s="328">
        <v>22551.929688</v>
      </c>
    </row>
    <row r="925" spans="2:3" ht="15" thickBot="1" x14ac:dyDescent="0.4">
      <c r="B925" s="269">
        <v>44620</v>
      </c>
      <c r="C925" s="328">
        <v>22741.640625</v>
      </c>
    </row>
    <row r="926" spans="2:3" ht="15" thickBot="1" x14ac:dyDescent="0.4">
      <c r="B926" s="269">
        <v>44622</v>
      </c>
      <c r="C926" s="328">
        <v>22566.75</v>
      </c>
    </row>
    <row r="927" spans="2:3" ht="15" thickBot="1" x14ac:dyDescent="0.4">
      <c r="B927" s="269">
        <v>44623</v>
      </c>
      <c r="C927" s="328">
        <v>22465.910156000002</v>
      </c>
    </row>
    <row r="928" spans="2:3" ht="15" thickBot="1" x14ac:dyDescent="0.4">
      <c r="B928" s="269">
        <v>44624</v>
      </c>
      <c r="C928" s="328">
        <v>22087.929688</v>
      </c>
    </row>
    <row r="929" spans="2:3" ht="15" thickBot="1" x14ac:dyDescent="0.4">
      <c r="B929" s="269">
        <v>44627</v>
      </c>
      <c r="C929" s="328">
        <v>21557.460938</v>
      </c>
    </row>
    <row r="930" spans="2:3" ht="15" thickBot="1" x14ac:dyDescent="0.4">
      <c r="B930" s="269">
        <v>44628</v>
      </c>
      <c r="C930" s="328">
        <v>21782.619140999999</v>
      </c>
    </row>
    <row r="931" spans="2:3" ht="15" thickBot="1" x14ac:dyDescent="0.4">
      <c r="B931" s="269">
        <v>44629</v>
      </c>
      <c r="C931" s="328">
        <v>22222.240234000001</v>
      </c>
    </row>
    <row r="932" spans="2:3" ht="15" thickBot="1" x14ac:dyDescent="0.4">
      <c r="B932" s="269">
        <v>44630</v>
      </c>
      <c r="C932" s="328">
        <v>22547.080077999999</v>
      </c>
    </row>
    <row r="933" spans="2:3" ht="15" thickBot="1" x14ac:dyDescent="0.4">
      <c r="B933" s="269">
        <v>44631</v>
      </c>
      <c r="C933" s="328">
        <v>22624.449218999998</v>
      </c>
    </row>
    <row r="934" spans="2:3" ht="15" thickBot="1" x14ac:dyDescent="0.4">
      <c r="B934" s="269">
        <v>44634</v>
      </c>
      <c r="C934" s="328">
        <v>22839.210938</v>
      </c>
    </row>
    <row r="935" spans="2:3" ht="15" thickBot="1" x14ac:dyDescent="0.4">
      <c r="B935" s="269">
        <v>44635</v>
      </c>
      <c r="C935" s="328">
        <v>22588.070313</v>
      </c>
    </row>
    <row r="936" spans="2:3" ht="15" thickBot="1" x14ac:dyDescent="0.4">
      <c r="B936" s="269">
        <v>44636</v>
      </c>
      <c r="C936" s="328">
        <v>23009.720702999999</v>
      </c>
    </row>
    <row r="937" spans="2:3" ht="15" thickBot="1" x14ac:dyDescent="0.4">
      <c r="B937" s="269">
        <v>44637</v>
      </c>
      <c r="C937" s="328">
        <v>23394.960938</v>
      </c>
    </row>
    <row r="938" spans="2:3" ht="15" thickBot="1" x14ac:dyDescent="0.4">
      <c r="B938" s="269">
        <v>44641</v>
      </c>
      <c r="C938" s="328">
        <v>23206.199218999998</v>
      </c>
    </row>
    <row r="939" spans="2:3" ht="15" thickBot="1" x14ac:dyDescent="0.4">
      <c r="B939" s="269">
        <v>44642</v>
      </c>
      <c r="C939" s="328">
        <v>23402.099609000001</v>
      </c>
    </row>
    <row r="940" spans="2:3" ht="15" thickBot="1" x14ac:dyDescent="0.4">
      <c r="B940" s="269">
        <v>44643</v>
      </c>
      <c r="C940" s="328">
        <v>23351.650390999999</v>
      </c>
    </row>
    <row r="941" spans="2:3" ht="15" thickBot="1" x14ac:dyDescent="0.4">
      <c r="B941" s="269">
        <v>44644</v>
      </c>
      <c r="C941" s="328">
        <v>23365.230468999998</v>
      </c>
    </row>
    <row r="942" spans="2:3" ht="15" thickBot="1" x14ac:dyDescent="0.4">
      <c r="B942" s="269">
        <v>44645</v>
      </c>
      <c r="C942" s="328">
        <v>23296.050781000002</v>
      </c>
    </row>
    <row r="943" spans="2:3" ht="15" thickBot="1" x14ac:dyDescent="0.4">
      <c r="B943" s="269">
        <v>44648</v>
      </c>
      <c r="C943" s="328">
        <v>23338.410156000002</v>
      </c>
    </row>
    <row r="944" spans="2:3" ht="15" thickBot="1" x14ac:dyDescent="0.4">
      <c r="B944" s="269">
        <v>44649</v>
      </c>
      <c r="C944" s="328">
        <v>23483.279297000001</v>
      </c>
    </row>
    <row r="945" spans="2:3" ht="15" thickBot="1" x14ac:dyDescent="0.4">
      <c r="B945" s="269">
        <v>44650</v>
      </c>
      <c r="C945" s="328">
        <v>23701.75</v>
      </c>
    </row>
    <row r="946" spans="2:3" ht="15" thickBot="1" x14ac:dyDescent="0.4">
      <c r="B946" s="269">
        <v>44651</v>
      </c>
      <c r="C946" s="328">
        <v>23695.009765999999</v>
      </c>
    </row>
    <row r="947" spans="2:3" ht="15" thickBot="1" x14ac:dyDescent="0.4">
      <c r="B947" s="269">
        <v>44652</v>
      </c>
      <c r="C947" s="328">
        <v>24003.839843999998</v>
      </c>
    </row>
    <row r="948" spans="2:3" ht="15" thickBot="1" x14ac:dyDescent="0.4">
      <c r="B948" s="269">
        <v>44655</v>
      </c>
      <c r="C948" s="328">
        <v>24476.570313</v>
      </c>
    </row>
    <row r="949" spans="2:3" ht="15" thickBot="1" x14ac:dyDescent="0.4">
      <c r="B949" s="269">
        <v>44656</v>
      </c>
      <c r="C949" s="328">
        <v>24490.810547000001</v>
      </c>
    </row>
    <row r="950" spans="2:3" ht="15" thickBot="1" x14ac:dyDescent="0.4">
      <c r="B950" s="269">
        <v>44657</v>
      </c>
      <c r="C950" s="328">
        <v>24389.259765999999</v>
      </c>
    </row>
    <row r="951" spans="2:3" ht="15" thickBot="1" x14ac:dyDescent="0.4">
      <c r="B951" s="269">
        <v>44658</v>
      </c>
      <c r="C951" s="328">
        <v>24185.859375</v>
      </c>
    </row>
    <row r="952" spans="2:3" ht="15" thickBot="1" x14ac:dyDescent="0.4">
      <c r="B952" s="269">
        <v>44659</v>
      </c>
      <c r="C952" s="328">
        <v>24412.789063</v>
      </c>
    </row>
    <row r="953" spans="2:3" ht="15" thickBot="1" x14ac:dyDescent="0.4">
      <c r="B953" s="269">
        <v>44662</v>
      </c>
      <c r="C953" s="328">
        <v>24387.619140999999</v>
      </c>
    </row>
    <row r="954" spans="2:3" ht="15" thickBot="1" x14ac:dyDescent="0.4">
      <c r="B954" s="269">
        <v>44663</v>
      </c>
      <c r="C954" s="328">
        <v>24134.5</v>
      </c>
    </row>
    <row r="955" spans="2:3" ht="15" thickBot="1" x14ac:dyDescent="0.4">
      <c r="B955" s="269">
        <v>44664</v>
      </c>
      <c r="C955" s="328">
        <v>24092.759765999999</v>
      </c>
    </row>
    <row r="956" spans="2:3" ht="15" thickBot="1" x14ac:dyDescent="0.4">
      <c r="B956" s="269">
        <v>44669</v>
      </c>
      <c r="C956" s="328">
        <v>23757.849609000001</v>
      </c>
    </row>
    <row r="957" spans="2:3" ht="15" thickBot="1" x14ac:dyDescent="0.4">
      <c r="B957" s="269">
        <v>44670</v>
      </c>
      <c r="C957" s="328">
        <v>23443.900390999999</v>
      </c>
    </row>
    <row r="958" spans="2:3" ht="15" thickBot="1" x14ac:dyDescent="0.4">
      <c r="B958" s="269">
        <v>44671</v>
      </c>
      <c r="C958" s="328">
        <v>23644.320313</v>
      </c>
    </row>
    <row r="959" spans="2:3" ht="15" thickBot="1" x14ac:dyDescent="0.4">
      <c r="B959" s="269">
        <v>44672</v>
      </c>
      <c r="C959" s="328">
        <v>23966.480468999998</v>
      </c>
    </row>
    <row r="960" spans="2:3" ht="15" thickBot="1" x14ac:dyDescent="0.4">
      <c r="B960" s="269">
        <v>44673</v>
      </c>
      <c r="C960" s="328">
        <v>23715.179688</v>
      </c>
    </row>
    <row r="961" spans="2:3" ht="15" thickBot="1" x14ac:dyDescent="0.4">
      <c r="B961" s="269">
        <v>44676</v>
      </c>
      <c r="C961" s="328">
        <v>23370.5</v>
      </c>
    </row>
    <row r="962" spans="2:3" ht="15" thickBot="1" x14ac:dyDescent="0.4">
      <c r="B962" s="269">
        <v>44677</v>
      </c>
      <c r="C962" s="328">
        <v>23729</v>
      </c>
    </row>
    <row r="963" spans="2:3" ht="15" thickBot="1" x14ac:dyDescent="0.4">
      <c r="B963" s="269">
        <v>44678</v>
      </c>
      <c r="C963" s="328">
        <v>23509.359375</v>
      </c>
    </row>
    <row r="964" spans="2:3" ht="15" thickBot="1" x14ac:dyDescent="0.4">
      <c r="B964" s="269">
        <v>44679</v>
      </c>
      <c r="C964" s="328">
        <v>23759.490234000001</v>
      </c>
    </row>
    <row r="965" spans="2:3" ht="15" thickBot="1" x14ac:dyDescent="0.4">
      <c r="B965" s="269">
        <v>44680</v>
      </c>
      <c r="C965" s="328">
        <v>23551.650390999999</v>
      </c>
    </row>
    <row r="966" spans="2:3" ht="15" thickBot="1" x14ac:dyDescent="0.4">
      <c r="B966" s="269">
        <v>44683</v>
      </c>
      <c r="C966" s="328">
        <v>23475.810547000001</v>
      </c>
    </row>
    <row r="967" spans="2:3" ht="15" thickBot="1" x14ac:dyDescent="0.4">
      <c r="B967" s="269">
        <v>44685</v>
      </c>
      <c r="C967" s="328">
        <v>22928.960938</v>
      </c>
    </row>
    <row r="968" spans="2:3" ht="15" thickBot="1" x14ac:dyDescent="0.4">
      <c r="B968" s="269">
        <v>44686</v>
      </c>
      <c r="C968" s="328">
        <v>22942.070313</v>
      </c>
    </row>
    <row r="969" spans="2:3" ht="15" thickBot="1" x14ac:dyDescent="0.4">
      <c r="B969" s="269">
        <v>44687</v>
      </c>
      <c r="C969" s="328">
        <v>22542.220702999999</v>
      </c>
    </row>
    <row r="970" spans="2:3" ht="15" thickBot="1" x14ac:dyDescent="0.4">
      <c r="B970" s="269">
        <v>44690</v>
      </c>
      <c r="C970" s="328">
        <v>22299.339843999998</v>
      </c>
    </row>
    <row r="971" spans="2:3" ht="15" thickBot="1" x14ac:dyDescent="0.4">
      <c r="B971" s="269">
        <v>44691</v>
      </c>
      <c r="C971" s="328">
        <v>22081.75</v>
      </c>
    </row>
    <row r="972" spans="2:3" ht="15" thickBot="1" x14ac:dyDescent="0.4">
      <c r="B972" s="269">
        <v>44692</v>
      </c>
      <c r="C972" s="328">
        <v>21950.019531000002</v>
      </c>
    </row>
    <row r="973" spans="2:3" ht="15" thickBot="1" x14ac:dyDescent="0.4">
      <c r="B973" s="269">
        <v>44693</v>
      </c>
      <c r="C973" s="328">
        <v>21457.699218999998</v>
      </c>
    </row>
    <row r="974" spans="2:3" ht="15" thickBot="1" x14ac:dyDescent="0.4">
      <c r="B974" s="269">
        <v>44694</v>
      </c>
      <c r="C974" s="328">
        <v>21458.890625</v>
      </c>
    </row>
    <row r="975" spans="2:3" ht="15" thickBot="1" x14ac:dyDescent="0.4">
      <c r="B975" s="269">
        <v>44697</v>
      </c>
      <c r="C975" s="328">
        <v>21614.970702999999</v>
      </c>
    </row>
    <row r="976" spans="2:3" ht="15" thickBot="1" x14ac:dyDescent="0.4">
      <c r="B976" s="269">
        <v>44698</v>
      </c>
      <c r="C976" s="328">
        <v>22181.669922000001</v>
      </c>
    </row>
    <row r="977" spans="2:3" ht="15" thickBot="1" x14ac:dyDescent="0.4">
      <c r="B977" s="269">
        <v>44699</v>
      </c>
      <c r="C977" s="328">
        <v>22168.089843999998</v>
      </c>
    </row>
    <row r="978" spans="2:3" ht="15" thickBot="1" x14ac:dyDescent="0.4">
      <c r="B978" s="269">
        <v>44700</v>
      </c>
      <c r="C978" s="328">
        <v>21589.009765999999</v>
      </c>
    </row>
    <row r="979" spans="2:3" ht="15" thickBot="1" x14ac:dyDescent="0.4">
      <c r="B979" s="269">
        <v>44701</v>
      </c>
      <c r="C979" s="328">
        <v>22137.189452999999</v>
      </c>
    </row>
    <row r="980" spans="2:3" ht="15" thickBot="1" x14ac:dyDescent="0.4">
      <c r="B980" s="269">
        <v>44704</v>
      </c>
      <c r="C980" s="328">
        <v>22043.779297000001</v>
      </c>
    </row>
    <row r="981" spans="2:3" ht="15" thickBot="1" x14ac:dyDescent="0.4">
      <c r="B981" s="269">
        <v>44705</v>
      </c>
      <c r="C981" s="328">
        <v>21902.529297000001</v>
      </c>
    </row>
    <row r="982" spans="2:3" ht="15" thickBot="1" x14ac:dyDescent="0.4">
      <c r="B982" s="269">
        <v>44706</v>
      </c>
      <c r="C982" s="328">
        <v>21653.369140999999</v>
      </c>
    </row>
    <row r="983" spans="2:3" ht="15" thickBot="1" x14ac:dyDescent="0.4">
      <c r="B983" s="269">
        <v>44707</v>
      </c>
      <c r="C983" s="328">
        <v>21873.560547000001</v>
      </c>
    </row>
    <row r="984" spans="2:3" ht="15" thickBot="1" x14ac:dyDescent="0.4">
      <c r="B984" s="269">
        <v>44708</v>
      </c>
      <c r="C984" s="328">
        <v>22112.990234000001</v>
      </c>
    </row>
    <row r="985" spans="2:3" ht="15" thickBot="1" x14ac:dyDescent="0.4">
      <c r="B985" s="269">
        <v>44711</v>
      </c>
      <c r="C985" s="328">
        <v>22559.210938</v>
      </c>
    </row>
    <row r="986" spans="2:3" ht="15" thickBot="1" x14ac:dyDescent="0.4">
      <c r="B986" s="269">
        <v>44712</v>
      </c>
      <c r="C986" s="328">
        <v>22497.640625</v>
      </c>
    </row>
    <row r="987" spans="2:3" ht="15" thickBot="1" x14ac:dyDescent="0.4">
      <c r="B987" s="269">
        <v>44713</v>
      </c>
      <c r="C987" s="328">
        <v>22429.560547000001</v>
      </c>
    </row>
    <row r="988" spans="2:3" ht="15" thickBot="1" x14ac:dyDescent="0.4">
      <c r="B988" s="269">
        <v>44714</v>
      </c>
      <c r="C988" s="328">
        <v>22563.519531000002</v>
      </c>
    </row>
    <row r="989" spans="2:3" ht="15" thickBot="1" x14ac:dyDescent="0.4">
      <c r="B989" s="269">
        <v>44715</v>
      </c>
      <c r="C989" s="328">
        <v>22416.380859000001</v>
      </c>
    </row>
    <row r="990" spans="2:3" ht="15" thickBot="1" x14ac:dyDescent="0.4">
      <c r="B990" s="269">
        <v>44718</v>
      </c>
      <c r="C990" s="328">
        <v>22380.339843999998</v>
      </c>
    </row>
    <row r="991" spans="2:3" ht="15" thickBot="1" x14ac:dyDescent="0.4">
      <c r="B991" s="269">
        <v>44719</v>
      </c>
      <c r="C991" s="328">
        <v>22196.839843999998</v>
      </c>
    </row>
    <row r="992" spans="2:3" ht="15" thickBot="1" x14ac:dyDescent="0.4">
      <c r="B992" s="269">
        <v>44720</v>
      </c>
      <c r="C992" s="328">
        <v>22121.609375</v>
      </c>
    </row>
    <row r="993" spans="2:3" ht="15" thickBot="1" x14ac:dyDescent="0.4">
      <c r="B993" s="269">
        <v>44721</v>
      </c>
      <c r="C993" s="328">
        <v>22266.060547000001</v>
      </c>
    </row>
    <row r="994" spans="2:3" ht="15" thickBot="1" x14ac:dyDescent="0.4">
      <c r="B994" s="269">
        <v>44722</v>
      </c>
      <c r="C994" s="328">
        <v>21953.509765999999</v>
      </c>
    </row>
    <row r="995" spans="2:3" ht="15" thickBot="1" x14ac:dyDescent="0.4">
      <c r="B995" s="269">
        <v>44725</v>
      </c>
      <c r="C995" s="328">
        <v>21373.990234000001</v>
      </c>
    </row>
    <row r="996" spans="2:3" ht="15" thickBot="1" x14ac:dyDescent="0.4">
      <c r="B996" s="269">
        <v>44726</v>
      </c>
      <c r="C996" s="328">
        <v>21321.369140999999</v>
      </c>
    </row>
    <row r="997" spans="2:3" ht="15" thickBot="1" x14ac:dyDescent="0.4">
      <c r="B997" s="269">
        <v>44727</v>
      </c>
      <c r="C997" s="328">
        <v>21314.779297000001</v>
      </c>
    </row>
    <row r="998" spans="2:3" ht="15" thickBot="1" x14ac:dyDescent="0.4">
      <c r="B998" s="269">
        <v>44728</v>
      </c>
      <c r="C998" s="328">
        <v>20851.330077999999</v>
      </c>
    </row>
    <row r="999" spans="2:3" ht="15" thickBot="1" x14ac:dyDescent="0.4">
      <c r="B999" s="269">
        <v>44729</v>
      </c>
      <c r="C999" s="328">
        <v>20710.009765999999</v>
      </c>
    </row>
    <row r="1000" spans="2:3" ht="15" thickBot="1" x14ac:dyDescent="0.4">
      <c r="B1000" s="269">
        <v>44732</v>
      </c>
      <c r="C1000" s="328">
        <v>20630.519531000002</v>
      </c>
    </row>
    <row r="1001" spans="2:3" ht="15" thickBot="1" x14ac:dyDescent="0.4">
      <c r="B1001" s="269">
        <v>44733</v>
      </c>
      <c r="C1001" s="328">
        <v>21097.669922000001</v>
      </c>
    </row>
    <row r="1002" spans="2:3" ht="15" thickBot="1" x14ac:dyDescent="0.4">
      <c r="B1002" s="269">
        <v>44734</v>
      </c>
      <c r="C1002" s="328">
        <v>20785.240234000001</v>
      </c>
    </row>
    <row r="1003" spans="2:3" ht="15" thickBot="1" x14ac:dyDescent="0.4">
      <c r="B1003" s="269">
        <v>44735</v>
      </c>
      <c r="C1003" s="328">
        <v>20998.550781000002</v>
      </c>
    </row>
    <row r="1004" spans="2:3" ht="15" thickBot="1" x14ac:dyDescent="0.4">
      <c r="B1004" s="269">
        <v>44736</v>
      </c>
      <c r="C1004" s="328">
        <v>21223.980468999998</v>
      </c>
    </row>
    <row r="1005" spans="2:3" ht="15" thickBot="1" x14ac:dyDescent="0.4">
      <c r="B1005" s="269">
        <v>44739</v>
      </c>
      <c r="C1005" s="328">
        <v>21415.970702999999</v>
      </c>
    </row>
    <row r="1006" spans="2:3" ht="15" thickBot="1" x14ac:dyDescent="0.4">
      <c r="B1006" s="269">
        <v>44740</v>
      </c>
      <c r="C1006" s="328">
        <v>21453.259765999999</v>
      </c>
    </row>
    <row r="1007" spans="2:3" ht="15" thickBot="1" x14ac:dyDescent="0.4">
      <c r="B1007" s="269">
        <v>44741</v>
      </c>
      <c r="C1007" s="328">
        <v>21380.990234000001</v>
      </c>
    </row>
    <row r="1008" spans="2:3" ht="15" thickBot="1" x14ac:dyDescent="0.4">
      <c r="B1008" s="269">
        <v>44742</v>
      </c>
      <c r="C1008" s="328">
        <v>21324.539063</v>
      </c>
    </row>
    <row r="1009" spans="2:3" ht="15" thickBot="1" x14ac:dyDescent="0.4">
      <c r="B1009" s="269">
        <v>44743</v>
      </c>
      <c r="C1009" s="328">
        <v>21340.25</v>
      </c>
    </row>
    <row r="1010" spans="2:3" ht="15" thickBot="1" x14ac:dyDescent="0.4">
      <c r="B1010" s="269">
        <v>44746</v>
      </c>
      <c r="C1010" s="328">
        <v>21464.119140999999</v>
      </c>
    </row>
    <row r="1011" spans="2:3" ht="15" thickBot="1" x14ac:dyDescent="0.4">
      <c r="B1011" s="269">
        <v>44747</v>
      </c>
      <c r="C1011" s="328">
        <v>21445.919922000001</v>
      </c>
    </row>
    <row r="1012" spans="2:3" ht="15" thickBot="1" x14ac:dyDescent="0.4">
      <c r="B1012" s="269">
        <v>44748</v>
      </c>
      <c r="C1012" s="328">
        <v>21719.589843999998</v>
      </c>
    </row>
    <row r="1013" spans="2:3" ht="15" thickBot="1" x14ac:dyDescent="0.4">
      <c r="B1013" s="269">
        <v>44749</v>
      </c>
      <c r="C1013" s="328">
        <v>21929.419922000001</v>
      </c>
    </row>
    <row r="1014" spans="2:3" ht="15" thickBot="1" x14ac:dyDescent="0.4">
      <c r="B1014" s="269">
        <v>44750</v>
      </c>
      <c r="C1014" s="328">
        <v>22028.140625</v>
      </c>
    </row>
    <row r="1015" spans="2:3" ht="15" thickBot="1" x14ac:dyDescent="0.4">
      <c r="B1015" s="269">
        <v>44753</v>
      </c>
      <c r="C1015" s="328">
        <v>22123.359375</v>
      </c>
    </row>
    <row r="1016" spans="2:3" ht="15" thickBot="1" x14ac:dyDescent="0.4">
      <c r="B1016" s="269">
        <v>44754</v>
      </c>
      <c r="C1016" s="328">
        <v>21955.570313</v>
      </c>
    </row>
    <row r="1017" spans="2:3" ht="15" thickBot="1" x14ac:dyDescent="0.4">
      <c r="B1017" s="269">
        <v>44755</v>
      </c>
      <c r="C1017" s="328">
        <v>21869.740234000001</v>
      </c>
    </row>
    <row r="1018" spans="2:3" ht="15" thickBot="1" x14ac:dyDescent="0.4">
      <c r="B1018" s="269">
        <v>44756</v>
      </c>
      <c r="C1018" s="328">
        <v>21830.490234000001</v>
      </c>
    </row>
    <row r="1019" spans="2:3" ht="15" thickBot="1" x14ac:dyDescent="0.4">
      <c r="B1019" s="269">
        <v>44757</v>
      </c>
      <c r="C1019" s="328">
        <v>21971.449218999998</v>
      </c>
    </row>
    <row r="1020" spans="2:3" ht="15" thickBot="1" x14ac:dyDescent="0.4">
      <c r="B1020" s="269">
        <v>44760</v>
      </c>
      <c r="C1020" s="328">
        <v>22277.589843999998</v>
      </c>
    </row>
    <row r="1021" spans="2:3" ht="15" thickBot="1" x14ac:dyDescent="0.4">
      <c r="B1021" s="269">
        <v>44761</v>
      </c>
      <c r="C1021" s="328">
        <v>22383.949218999998</v>
      </c>
    </row>
    <row r="1022" spans="2:3" ht="15" thickBot="1" x14ac:dyDescent="0.4">
      <c r="B1022" s="269">
        <v>44762</v>
      </c>
      <c r="C1022" s="328">
        <v>22558.199218999998</v>
      </c>
    </row>
    <row r="1023" spans="2:3" ht="15" thickBot="1" x14ac:dyDescent="0.4">
      <c r="B1023" s="269">
        <v>44763</v>
      </c>
      <c r="C1023" s="328">
        <v>22734.070313</v>
      </c>
    </row>
    <row r="1024" spans="2:3" ht="15" thickBot="1" x14ac:dyDescent="0.4">
      <c r="B1024" s="269">
        <v>44764</v>
      </c>
      <c r="C1024" s="328">
        <v>22828.470702999999</v>
      </c>
    </row>
    <row r="1025" spans="2:3" ht="15" thickBot="1" x14ac:dyDescent="0.4">
      <c r="B1025" s="269">
        <v>44767</v>
      </c>
      <c r="C1025" s="328">
        <v>22739.169922000001</v>
      </c>
    </row>
    <row r="1026" spans="2:3" ht="15" thickBot="1" x14ac:dyDescent="0.4">
      <c r="B1026" s="269">
        <v>44768</v>
      </c>
      <c r="C1026" s="328">
        <v>22514.589843999998</v>
      </c>
    </row>
    <row r="1027" spans="2:3" ht="15" thickBot="1" x14ac:dyDescent="0.4">
      <c r="B1027" s="269">
        <v>44769</v>
      </c>
      <c r="C1027" s="328">
        <v>22718.330077999999</v>
      </c>
    </row>
    <row r="1028" spans="2:3" ht="15" thickBot="1" x14ac:dyDescent="0.4">
      <c r="B1028" s="269">
        <v>44770</v>
      </c>
      <c r="C1028" s="328">
        <v>23047.5</v>
      </c>
    </row>
    <row r="1029" spans="2:3" ht="15" thickBot="1" x14ac:dyDescent="0.4">
      <c r="B1029" s="269">
        <v>44771</v>
      </c>
      <c r="C1029" s="328">
        <v>23359.640625</v>
      </c>
    </row>
    <row r="1030" spans="2:3" ht="15" thickBot="1" x14ac:dyDescent="0.4">
      <c r="B1030" s="269">
        <v>44774</v>
      </c>
      <c r="C1030" s="328">
        <v>23649.800781000002</v>
      </c>
    </row>
    <row r="1031" spans="2:3" ht="15" thickBot="1" x14ac:dyDescent="0.4">
      <c r="B1031" s="269">
        <v>44775</v>
      </c>
      <c r="C1031" s="328">
        <v>23685.509765999999</v>
      </c>
    </row>
    <row r="1032" spans="2:3" ht="15" thickBot="1" x14ac:dyDescent="0.4">
      <c r="B1032" s="269">
        <v>44776</v>
      </c>
      <c r="C1032" s="328">
        <v>23696.300781000002</v>
      </c>
    </row>
    <row r="1033" spans="2:3" ht="15" thickBot="1" x14ac:dyDescent="0.4">
      <c r="B1033" s="269">
        <v>44777</v>
      </c>
      <c r="C1033" s="328">
        <v>23721.330077999999</v>
      </c>
    </row>
    <row r="1034" spans="2:3" ht="15" thickBot="1" x14ac:dyDescent="0.4">
      <c r="B1034" s="269">
        <v>44778</v>
      </c>
      <c r="C1034" s="328">
        <v>23731.669922000001</v>
      </c>
    </row>
    <row r="1035" spans="2:3" ht="15" thickBot="1" x14ac:dyDescent="0.4">
      <c r="B1035" s="269">
        <v>44781</v>
      </c>
      <c r="C1035" s="328">
        <v>23888.769531000002</v>
      </c>
    </row>
    <row r="1036" spans="2:3" ht="15" thickBot="1" x14ac:dyDescent="0.4">
      <c r="B1036" s="269">
        <v>44783</v>
      </c>
      <c r="C1036" s="328">
        <v>23885.710938</v>
      </c>
    </row>
    <row r="1037" spans="2:3" ht="15" thickBot="1" x14ac:dyDescent="0.4">
      <c r="B1037" s="269">
        <v>44784</v>
      </c>
      <c r="C1037" s="328">
        <v>24063.880859000001</v>
      </c>
    </row>
    <row r="1038" spans="2:3" ht="15" thickBot="1" x14ac:dyDescent="0.4">
      <c r="B1038" s="269">
        <v>44785</v>
      </c>
      <c r="C1038" s="328">
        <v>24136.400390999999</v>
      </c>
    </row>
    <row r="1039" spans="2:3" ht="15" thickBot="1" x14ac:dyDescent="0.4">
      <c r="B1039" s="269">
        <v>44789</v>
      </c>
      <c r="C1039" s="328">
        <v>24357.789063</v>
      </c>
    </row>
    <row r="1040" spans="2:3" ht="15" thickBot="1" x14ac:dyDescent="0.4">
      <c r="B1040" s="269">
        <v>44790</v>
      </c>
      <c r="C1040" s="328">
        <v>24520.679688</v>
      </c>
    </row>
    <row r="1041" spans="2:3" ht="15" thickBot="1" x14ac:dyDescent="0.4">
      <c r="B1041" s="269">
        <v>44791</v>
      </c>
      <c r="C1041" s="328">
        <v>24560.740234000001</v>
      </c>
    </row>
    <row r="1042" spans="2:3" ht="15" thickBot="1" x14ac:dyDescent="0.4">
      <c r="B1042" s="269">
        <v>44792</v>
      </c>
      <c r="C1042" s="328">
        <v>24299.199218999998</v>
      </c>
    </row>
    <row r="1043" spans="2:3" ht="15" thickBot="1" x14ac:dyDescent="0.4">
      <c r="B1043" s="269">
        <v>44795</v>
      </c>
      <c r="C1043" s="328">
        <v>23925.669922000001</v>
      </c>
    </row>
    <row r="1044" spans="2:3" ht="15" thickBot="1" x14ac:dyDescent="0.4">
      <c r="B1044" s="269">
        <v>44796</v>
      </c>
      <c r="C1044" s="328">
        <v>24065.789063</v>
      </c>
    </row>
    <row r="1045" spans="2:3" ht="15" thickBot="1" x14ac:dyDescent="0.4">
      <c r="B1045" s="269">
        <v>44797</v>
      </c>
      <c r="C1045" s="328">
        <v>24135.990234000001</v>
      </c>
    </row>
    <row r="1046" spans="2:3" ht="15" thickBot="1" x14ac:dyDescent="0.4">
      <c r="B1046" s="269">
        <v>44798</v>
      </c>
      <c r="C1046" s="328">
        <v>24074.380859000001</v>
      </c>
    </row>
    <row r="1047" spans="2:3" ht="15" thickBot="1" x14ac:dyDescent="0.4">
      <c r="B1047" s="269">
        <v>44799</v>
      </c>
      <c r="C1047" s="328">
        <v>24141.169922000001</v>
      </c>
    </row>
    <row r="1048" spans="2:3" ht="15" thickBot="1" x14ac:dyDescent="0.4">
      <c r="B1048" s="269">
        <v>44802</v>
      </c>
      <c r="C1048" s="328">
        <v>23872.060547000001</v>
      </c>
    </row>
    <row r="1049" spans="2:3" ht="15" thickBot="1" x14ac:dyDescent="0.4">
      <c r="B1049" s="269">
        <v>44803</v>
      </c>
      <c r="C1049" s="328">
        <v>24437.220702999999</v>
      </c>
    </row>
    <row r="1050" spans="2:3" ht="15" thickBot="1" x14ac:dyDescent="0.4">
      <c r="B1050" s="269">
        <v>44805</v>
      </c>
      <c r="C1050" s="328">
        <v>24249.539063</v>
      </c>
    </row>
    <row r="1051" spans="2:3" ht="15" thickBot="1" x14ac:dyDescent="0.4">
      <c r="B1051" s="269">
        <v>44806</v>
      </c>
      <c r="C1051" s="328">
        <v>24232.240234000001</v>
      </c>
    </row>
    <row r="1052" spans="2:3" ht="15" thickBot="1" x14ac:dyDescent="0.4">
      <c r="B1052" s="269">
        <v>44809</v>
      </c>
      <c r="C1052" s="328">
        <v>24376.099609000001</v>
      </c>
    </row>
    <row r="1053" spans="2:3" ht="15" thickBot="1" x14ac:dyDescent="0.4">
      <c r="B1053" s="269">
        <v>44810</v>
      </c>
      <c r="C1053" s="328">
        <v>24411.210938</v>
      </c>
    </row>
    <row r="1054" spans="2:3" ht="15" thickBot="1" x14ac:dyDescent="0.4">
      <c r="B1054" s="269">
        <v>44811</v>
      </c>
      <c r="C1054" s="328">
        <v>24418.890625</v>
      </c>
    </row>
    <row r="1055" spans="2:3" ht="15" thickBot="1" x14ac:dyDescent="0.4">
      <c r="B1055" s="269">
        <v>44812</v>
      </c>
      <c r="C1055" s="328">
        <v>24608.470702999999</v>
      </c>
    </row>
    <row r="1056" spans="2:3" ht="15" thickBot="1" x14ac:dyDescent="0.4">
      <c r="B1056" s="269">
        <v>44813</v>
      </c>
      <c r="C1056" s="328">
        <v>24652.609375</v>
      </c>
    </row>
    <row r="1057" spans="2:3" ht="15" thickBot="1" x14ac:dyDescent="0.4">
      <c r="B1057" s="269">
        <v>44816</v>
      </c>
      <c r="C1057" s="328">
        <v>24829.359375</v>
      </c>
    </row>
    <row r="1058" spans="2:3" ht="15" thickBot="1" x14ac:dyDescent="0.4">
      <c r="B1058" s="269">
        <v>44817</v>
      </c>
      <c r="C1058" s="328">
        <v>24977.960938</v>
      </c>
    </row>
    <row r="1059" spans="2:3" ht="15" thickBot="1" x14ac:dyDescent="0.4">
      <c r="B1059" s="269">
        <v>44818</v>
      </c>
      <c r="C1059" s="328">
        <v>24914.380859000001</v>
      </c>
    </row>
    <row r="1060" spans="2:3" ht="15" thickBot="1" x14ac:dyDescent="0.4">
      <c r="B1060" s="269">
        <v>44819</v>
      </c>
      <c r="C1060" s="328">
        <v>24837.169922000001</v>
      </c>
    </row>
    <row r="1061" spans="2:3" ht="15" thickBot="1" x14ac:dyDescent="0.4">
      <c r="B1061" s="269">
        <v>44820</v>
      </c>
      <c r="C1061" s="328">
        <v>24304.609375</v>
      </c>
    </row>
    <row r="1062" spans="2:3" ht="15" thickBot="1" x14ac:dyDescent="0.4">
      <c r="B1062" s="269">
        <v>44823</v>
      </c>
      <c r="C1062" s="328">
        <v>24375.519531000002</v>
      </c>
    </row>
    <row r="1063" spans="2:3" ht="15" thickBot="1" x14ac:dyDescent="0.4">
      <c r="B1063" s="269">
        <v>44824</v>
      </c>
      <c r="C1063" s="328">
        <v>24653.699218999998</v>
      </c>
    </row>
    <row r="1064" spans="2:3" ht="15" thickBot="1" x14ac:dyDescent="0.4">
      <c r="B1064" s="269">
        <v>44825</v>
      </c>
      <c r="C1064" s="328">
        <v>24485.289063</v>
      </c>
    </row>
    <row r="1065" spans="2:3" ht="15" thickBot="1" x14ac:dyDescent="0.4">
      <c r="B1065" s="269">
        <v>44826</v>
      </c>
      <c r="C1065" s="328">
        <v>24448.880859000001</v>
      </c>
    </row>
    <row r="1066" spans="2:3" ht="15" thickBot="1" x14ac:dyDescent="0.4">
      <c r="B1066" s="269">
        <v>44827</v>
      </c>
      <c r="C1066" s="328">
        <v>24005.320313</v>
      </c>
    </row>
    <row r="1067" spans="2:3" ht="15" thickBot="1" x14ac:dyDescent="0.4">
      <c r="B1067" s="269">
        <v>44830</v>
      </c>
      <c r="C1067" s="328">
        <v>23472.279297000001</v>
      </c>
    </row>
    <row r="1068" spans="2:3" ht="15" thickBot="1" x14ac:dyDescent="0.4">
      <c r="B1068" s="269">
        <v>44831</v>
      </c>
      <c r="C1068" s="328">
        <v>23475.470702999999</v>
      </c>
    </row>
    <row r="1069" spans="2:3" ht="15" thickBot="1" x14ac:dyDescent="0.4">
      <c r="B1069" s="269">
        <v>44832</v>
      </c>
      <c r="C1069" s="328">
        <v>23303.449218999998</v>
      </c>
    </row>
    <row r="1070" spans="2:3" ht="15" thickBot="1" x14ac:dyDescent="0.4">
      <c r="B1070" s="269">
        <v>44833</v>
      </c>
      <c r="C1070" s="328">
        <v>23278.089843999998</v>
      </c>
    </row>
    <row r="1071" spans="2:3" ht="15" thickBot="1" x14ac:dyDescent="0.4">
      <c r="B1071" s="269">
        <v>44834</v>
      </c>
      <c r="C1071" s="328">
        <v>23642.460938</v>
      </c>
    </row>
    <row r="1072" spans="2:3" ht="15" thickBot="1" x14ac:dyDescent="0.4">
      <c r="B1072" s="269">
        <v>44837</v>
      </c>
      <c r="C1072" s="328">
        <v>23337.179688</v>
      </c>
    </row>
    <row r="1073" spans="2:3" ht="15" thickBot="1" x14ac:dyDescent="0.4">
      <c r="B1073" s="269">
        <v>44838</v>
      </c>
      <c r="C1073" s="328">
        <v>23857.669922000001</v>
      </c>
    </row>
    <row r="1074" spans="2:3" ht="15" thickBot="1" x14ac:dyDescent="0.4">
      <c r="B1074" s="269">
        <v>44840</v>
      </c>
      <c r="C1074" s="328">
        <v>23996.949218999998</v>
      </c>
    </row>
    <row r="1075" spans="2:3" ht="15" thickBot="1" x14ac:dyDescent="0.4">
      <c r="B1075" s="269">
        <v>44841</v>
      </c>
      <c r="C1075" s="328">
        <v>23966.560547000001</v>
      </c>
    </row>
    <row r="1076" spans="2:3" ht="15" thickBot="1" x14ac:dyDescent="0.4">
      <c r="B1076" s="269">
        <v>44844</v>
      </c>
      <c r="C1076" s="328">
        <v>23833.570313</v>
      </c>
    </row>
    <row r="1077" spans="2:3" ht="15" thickBot="1" x14ac:dyDescent="0.4">
      <c r="B1077" s="269">
        <v>44845</v>
      </c>
      <c r="C1077" s="328">
        <v>23465.25</v>
      </c>
    </row>
    <row r="1078" spans="2:3" ht="15" thickBot="1" x14ac:dyDescent="0.4">
      <c r="B1078" s="269">
        <v>44846</v>
      </c>
      <c r="C1078" s="328">
        <v>23638.839843999998</v>
      </c>
    </row>
    <row r="1079" spans="2:3" ht="15" thickBot="1" x14ac:dyDescent="0.4">
      <c r="B1079" s="269">
        <v>44847</v>
      </c>
      <c r="C1079" s="328">
        <v>23481.480468999998</v>
      </c>
    </row>
    <row r="1080" spans="2:3" ht="15" thickBot="1" x14ac:dyDescent="0.4">
      <c r="B1080" s="269">
        <v>44848</v>
      </c>
      <c r="C1080" s="328">
        <v>23619.490234000001</v>
      </c>
    </row>
    <row r="1081" spans="2:3" ht="15" thickBot="1" x14ac:dyDescent="0.4">
      <c r="B1081" s="269">
        <v>44851</v>
      </c>
      <c r="C1081" s="328">
        <v>23767.060547000001</v>
      </c>
    </row>
    <row r="1082" spans="2:3" ht="15" thickBot="1" x14ac:dyDescent="0.4">
      <c r="B1082" s="269">
        <v>44852</v>
      </c>
      <c r="C1082" s="328">
        <v>24001.199218999998</v>
      </c>
    </row>
    <row r="1083" spans="2:3" ht="15" thickBot="1" x14ac:dyDescent="0.4">
      <c r="B1083" s="269">
        <v>44853</v>
      </c>
      <c r="C1083" s="328">
        <v>24018.560547000001</v>
      </c>
    </row>
    <row r="1084" spans="2:3" ht="15" thickBot="1" x14ac:dyDescent="0.4">
      <c r="B1084" s="269">
        <v>44854</v>
      </c>
      <c r="C1084" s="328">
        <v>24088.669922000001</v>
      </c>
    </row>
    <row r="1085" spans="2:3" ht="15" thickBot="1" x14ac:dyDescent="0.4">
      <c r="B1085" s="269">
        <v>44855</v>
      </c>
      <c r="C1085" s="328">
        <v>24048.580077999999</v>
      </c>
    </row>
    <row r="1086" spans="2:3" ht="15" thickBot="1" x14ac:dyDescent="0.4">
      <c r="B1086" s="269">
        <v>44858</v>
      </c>
      <c r="C1086" s="328">
        <v>24233.630859000001</v>
      </c>
    </row>
    <row r="1087" spans="2:3" ht="15" thickBot="1" x14ac:dyDescent="0.4">
      <c r="B1087" s="269">
        <v>44859</v>
      </c>
      <c r="C1087" s="328">
        <v>24169.679688</v>
      </c>
    </row>
    <row r="1088" spans="2:3" ht="15" thickBot="1" x14ac:dyDescent="0.4">
      <c r="B1088" s="269">
        <v>44861</v>
      </c>
      <c r="C1088" s="328">
        <v>24302.800781000002</v>
      </c>
    </row>
    <row r="1089" spans="2:3" ht="15" thickBot="1" x14ac:dyDescent="0.4">
      <c r="B1089" s="269">
        <v>44862</v>
      </c>
      <c r="C1089" s="328">
        <v>24300.480468999998</v>
      </c>
    </row>
    <row r="1090" spans="2:3" ht="15" thickBot="1" x14ac:dyDescent="0.4">
      <c r="B1090" s="269">
        <v>44865</v>
      </c>
      <c r="C1090" s="328">
        <v>24589.550781000002</v>
      </c>
    </row>
    <row r="1091" spans="2:3" ht="15" thickBot="1" x14ac:dyDescent="0.4">
      <c r="B1091" s="269">
        <v>44866</v>
      </c>
      <c r="C1091" s="328">
        <v>24778.230468999998</v>
      </c>
    </row>
    <row r="1092" spans="2:3" ht="15" thickBot="1" x14ac:dyDescent="0.4">
      <c r="B1092" s="269">
        <v>44867</v>
      </c>
      <c r="C1092" s="328">
        <v>24713.330077999999</v>
      </c>
    </row>
    <row r="1093" spans="2:3" ht="15" thickBot="1" x14ac:dyDescent="0.4">
      <c r="B1093" s="269">
        <v>44868</v>
      </c>
      <c r="C1093" s="328">
        <v>24699.029297000001</v>
      </c>
    </row>
    <row r="1094" spans="2:3" ht="15" thickBot="1" x14ac:dyDescent="0.4">
      <c r="B1094" s="269">
        <v>44869</v>
      </c>
      <c r="C1094" s="328">
        <v>24768.890625</v>
      </c>
    </row>
    <row r="1095" spans="2:3" ht="15" thickBot="1" x14ac:dyDescent="0.4">
      <c r="B1095" s="269">
        <v>44872</v>
      </c>
      <c r="C1095" s="328">
        <v>24902.619140999999</v>
      </c>
    </row>
    <row r="1096" spans="2:3" ht="15" thickBot="1" x14ac:dyDescent="0.4">
      <c r="B1096" s="269">
        <v>44874</v>
      </c>
      <c r="C1096" s="328">
        <v>24830.419922000001</v>
      </c>
    </row>
    <row r="1097" spans="2:3" ht="15" thickBot="1" x14ac:dyDescent="0.4">
      <c r="B1097" s="269">
        <v>44875</v>
      </c>
      <c r="C1097" s="328">
        <v>24630.730468999998</v>
      </c>
    </row>
    <row r="1098" spans="2:3" ht="15" thickBot="1" x14ac:dyDescent="0.4">
      <c r="B1098" s="269">
        <v>44876</v>
      </c>
      <c r="C1098" s="328">
        <v>24959.570313</v>
      </c>
    </row>
    <row r="1099" spans="2:3" ht="15" thickBot="1" x14ac:dyDescent="0.4">
      <c r="B1099" s="269">
        <v>44879</v>
      </c>
      <c r="C1099" s="328">
        <v>24956.890625</v>
      </c>
    </row>
    <row r="1100" spans="2:3" ht="15" thickBot="1" x14ac:dyDescent="0.4">
      <c r="B1100" s="269">
        <v>44880</v>
      </c>
      <c r="C1100" s="328">
        <v>25021.619140999999</v>
      </c>
    </row>
    <row r="1101" spans="2:3" ht="15" thickBot="1" x14ac:dyDescent="0.4">
      <c r="B1101" s="269">
        <v>44881</v>
      </c>
      <c r="C1101" s="328">
        <v>24966.660156000002</v>
      </c>
    </row>
    <row r="1102" spans="2:3" ht="15" thickBot="1" x14ac:dyDescent="0.4">
      <c r="B1102" s="269">
        <v>44882</v>
      </c>
      <c r="C1102" s="328">
        <v>24860.839843999998</v>
      </c>
    </row>
    <row r="1103" spans="2:3" ht="15" thickBot="1" x14ac:dyDescent="0.4">
      <c r="B1103" s="269">
        <v>44883</v>
      </c>
      <c r="C1103" s="328">
        <v>24788.609375</v>
      </c>
    </row>
    <row r="1104" spans="2:3" ht="15" thickBot="1" x14ac:dyDescent="0.4">
      <c r="B1104" s="269">
        <v>44886</v>
      </c>
      <c r="C1104" s="328">
        <v>24627.769531000002</v>
      </c>
    </row>
    <row r="1105" spans="2:3" ht="15" thickBot="1" x14ac:dyDescent="0.4">
      <c r="B1105" s="269">
        <v>44887</v>
      </c>
      <c r="C1105" s="328">
        <v>24715.509765999999</v>
      </c>
    </row>
    <row r="1106" spans="2:3" ht="15" thickBot="1" x14ac:dyDescent="0.4">
      <c r="B1106" s="269">
        <v>44888</v>
      </c>
      <c r="C1106" s="328">
        <v>24760.119140999999</v>
      </c>
    </row>
    <row r="1107" spans="2:3" ht="15" thickBot="1" x14ac:dyDescent="0.4">
      <c r="B1107" s="269">
        <v>44889</v>
      </c>
      <c r="C1107" s="328">
        <v>24990.949218999998</v>
      </c>
    </row>
    <row r="1108" spans="2:3" ht="15" thickBot="1" x14ac:dyDescent="0.4">
      <c r="B1108" s="269">
        <v>44890</v>
      </c>
      <c r="C1108" s="328">
        <v>25054.439452999999</v>
      </c>
    </row>
    <row r="1109" spans="2:3" ht="15" thickBot="1" x14ac:dyDescent="0.4">
      <c r="B1109" s="269">
        <v>44893</v>
      </c>
      <c r="C1109" s="328">
        <v>25150.519531000002</v>
      </c>
    </row>
    <row r="1110" spans="2:3" ht="15" thickBot="1" x14ac:dyDescent="0.4">
      <c r="B1110" s="269">
        <v>44894</v>
      </c>
      <c r="C1110" s="328">
        <v>25191.269531000002</v>
      </c>
    </row>
    <row r="1111" spans="2:3" ht="15" thickBot="1" x14ac:dyDescent="0.4">
      <c r="B1111" s="269">
        <v>44895</v>
      </c>
      <c r="C1111" s="328">
        <v>25406.759765999999</v>
      </c>
    </row>
    <row r="1112" spans="2:3" ht="15" thickBot="1" x14ac:dyDescent="0.4">
      <c r="B1112" s="269">
        <v>44896</v>
      </c>
      <c r="C1112" s="328">
        <v>25497.089843999998</v>
      </c>
    </row>
    <row r="1113" spans="2:3" ht="15" thickBot="1" x14ac:dyDescent="0.4">
      <c r="B1113" s="269">
        <v>44897</v>
      </c>
      <c r="C1113" s="328">
        <v>25429.029297000001</v>
      </c>
    </row>
    <row r="1114" spans="2:3" ht="15" thickBot="1" x14ac:dyDescent="0.4">
      <c r="B1114" s="269">
        <v>44900</v>
      </c>
      <c r="C1114" s="328">
        <v>25433.609375</v>
      </c>
    </row>
    <row r="1115" spans="2:3" ht="15" thickBot="1" x14ac:dyDescent="0.4">
      <c r="B1115" s="269">
        <v>44901</v>
      </c>
      <c r="C1115" s="328">
        <v>25362.519531000002</v>
      </c>
    </row>
    <row r="1116" spans="2:3" ht="15" thickBot="1" x14ac:dyDescent="0.4">
      <c r="B1116" s="269">
        <v>44902</v>
      </c>
      <c r="C1116" s="328">
        <v>25268.599609000001</v>
      </c>
    </row>
    <row r="1117" spans="2:3" ht="15" thickBot="1" x14ac:dyDescent="0.4">
      <c r="B1117" s="269">
        <v>44903</v>
      </c>
      <c r="C1117" s="328">
        <v>25343.580077999999</v>
      </c>
    </row>
    <row r="1118" spans="2:3" ht="15" thickBot="1" x14ac:dyDescent="0.4">
      <c r="B1118" s="269">
        <v>44904</v>
      </c>
      <c r="C1118" s="328">
        <v>25184.099609000001</v>
      </c>
    </row>
    <row r="1119" spans="2:3" ht="15" thickBot="1" x14ac:dyDescent="0.4">
      <c r="B1119" s="269">
        <v>44907</v>
      </c>
      <c r="C1119" s="328">
        <v>25201.070313</v>
      </c>
    </row>
    <row r="1120" spans="2:3" ht="15" thickBot="1" x14ac:dyDescent="0.4">
      <c r="B1120" s="269">
        <v>44908</v>
      </c>
      <c r="C1120" s="328">
        <v>25318.960938</v>
      </c>
    </row>
    <row r="1121" spans="2:3" ht="15" thickBot="1" x14ac:dyDescent="0.4">
      <c r="B1121" s="269">
        <v>44909</v>
      </c>
      <c r="C1121" s="328">
        <v>25416.429688</v>
      </c>
    </row>
    <row r="1122" spans="2:3" ht="15" thickBot="1" x14ac:dyDescent="0.4">
      <c r="B1122" s="269">
        <v>44910</v>
      </c>
      <c r="C1122" s="328">
        <v>25127.880859000001</v>
      </c>
    </row>
    <row r="1123" spans="2:3" ht="15" thickBot="1" x14ac:dyDescent="0.4">
      <c r="B1123" s="269">
        <v>44911</v>
      </c>
      <c r="C1123" s="328">
        <v>24894.880859000001</v>
      </c>
    </row>
    <row r="1124" spans="2:3" ht="15" thickBot="1" x14ac:dyDescent="0.4">
      <c r="B1124" s="269">
        <v>44914</v>
      </c>
      <c r="C1124" s="328">
        <v>25084.560547000001</v>
      </c>
    </row>
    <row r="1125" spans="2:3" ht="15" thickBot="1" x14ac:dyDescent="0.4">
      <c r="B1125" s="269">
        <v>44915</v>
      </c>
      <c r="C1125" s="328">
        <v>25036.009765999999</v>
      </c>
    </row>
    <row r="1126" spans="2:3" ht="15" thickBot="1" x14ac:dyDescent="0.4">
      <c r="B1126" s="269">
        <v>44916</v>
      </c>
      <c r="C1126" s="328">
        <v>24723.710938</v>
      </c>
    </row>
    <row r="1127" spans="2:3" ht="15" thickBot="1" x14ac:dyDescent="0.4">
      <c r="B1127" s="269">
        <v>44917</v>
      </c>
      <c r="C1127" s="328">
        <v>24566.740234000001</v>
      </c>
    </row>
    <row r="1128" spans="2:3" ht="15" thickBot="1" x14ac:dyDescent="0.4">
      <c r="B1128" s="269">
        <v>44918</v>
      </c>
      <c r="C1128" s="328">
        <v>23955.550781000002</v>
      </c>
    </row>
    <row r="1129" spans="2:3" ht="15" thickBot="1" x14ac:dyDescent="0.4">
      <c r="B1129" s="269">
        <v>44921</v>
      </c>
      <c r="C1129" s="328">
        <v>24353.570313</v>
      </c>
    </row>
    <row r="1130" spans="2:3" ht="15" thickBot="1" x14ac:dyDescent="0.4">
      <c r="B1130" s="269">
        <v>44922</v>
      </c>
      <c r="C1130" s="328">
        <v>24547.300781000002</v>
      </c>
    </row>
    <row r="1131" spans="2:3" ht="15" thickBot="1" x14ac:dyDescent="0.4">
      <c r="B1131" s="269">
        <v>44923</v>
      </c>
      <c r="C1131" s="328">
        <v>24576.490234000001</v>
      </c>
    </row>
    <row r="1132" spans="2:3" ht="15" thickBot="1" x14ac:dyDescent="0.4">
      <c r="B1132" s="269">
        <v>44924</v>
      </c>
      <c r="C1132" s="328">
        <v>24660.880859000001</v>
      </c>
    </row>
    <row r="1133" spans="2:3" ht="15" thickBot="1" x14ac:dyDescent="0.4">
      <c r="B1133" s="269">
        <v>44925</v>
      </c>
      <c r="C1133" s="328">
        <v>24605.779297000001</v>
      </c>
    </row>
    <row r="1134" spans="2:3" ht="15" thickBot="1" x14ac:dyDescent="0.4">
      <c r="B1134" s="269">
        <v>44928</v>
      </c>
      <c r="C1134" s="328">
        <v>24722.039063</v>
      </c>
    </row>
    <row r="1135" spans="2:3" ht="15" thickBot="1" x14ac:dyDescent="0.4">
      <c r="B1135" s="269">
        <v>44929</v>
      </c>
      <c r="C1135" s="328">
        <v>24775.919922000001</v>
      </c>
    </row>
    <row r="1136" spans="2:3" ht="15" thickBot="1" x14ac:dyDescent="0.4">
      <c r="B1136" s="269">
        <v>44930</v>
      </c>
      <c r="C1136" s="328">
        <v>24511.439452999999</v>
      </c>
    </row>
    <row r="1137" spans="2:3" ht="15" thickBot="1" x14ac:dyDescent="0.4">
      <c r="B1137" s="269">
        <v>44931</v>
      </c>
      <c r="C1137" s="328">
        <v>24496.75</v>
      </c>
    </row>
    <row r="1138" spans="2:3" ht="15" thickBot="1" x14ac:dyDescent="0.4">
      <c r="B1138" s="269">
        <v>44932</v>
      </c>
      <c r="C1138" s="328">
        <v>24317.560547000001</v>
      </c>
    </row>
    <row r="1139" spans="2:3" ht="15" thickBot="1" x14ac:dyDescent="0.4">
      <c r="B1139" s="269">
        <v>44935</v>
      </c>
      <c r="C1139" s="328">
        <v>24602.369140999999</v>
      </c>
    </row>
    <row r="1140" spans="2:3" ht="15" thickBot="1" x14ac:dyDescent="0.4">
      <c r="B1140" s="269">
        <v>44936</v>
      </c>
      <c r="C1140" s="328">
        <v>24401.130859000001</v>
      </c>
    </row>
    <row r="1141" spans="2:3" ht="15" thickBot="1" x14ac:dyDescent="0.4">
      <c r="B1141" s="269">
        <v>44937</v>
      </c>
      <c r="C1141" s="328">
        <v>24368.160156000002</v>
      </c>
    </row>
    <row r="1142" spans="2:3" ht="15" thickBot="1" x14ac:dyDescent="0.4">
      <c r="B1142" s="269">
        <v>44938</v>
      </c>
      <c r="C1142" s="328">
        <v>24331.330077999999</v>
      </c>
    </row>
    <row r="1143" spans="2:3" ht="15" thickBot="1" x14ac:dyDescent="0.4">
      <c r="B1143" s="269">
        <v>44939</v>
      </c>
      <c r="C1143" s="328">
        <v>24436.730468999998</v>
      </c>
    </row>
    <row r="1144" spans="2:3" ht="15" thickBot="1" x14ac:dyDescent="0.4">
      <c r="B1144" s="269">
        <v>44942</v>
      </c>
      <c r="C1144" s="328">
        <v>24373.279297000001</v>
      </c>
    </row>
    <row r="1145" spans="2:3" ht="15" thickBot="1" x14ac:dyDescent="0.4">
      <c r="B1145" s="269">
        <v>44943</v>
      </c>
      <c r="C1145" s="328">
        <v>24518.730468999998</v>
      </c>
    </row>
    <row r="1146" spans="2:3" ht="15" thickBot="1" x14ac:dyDescent="0.4">
      <c r="B1146" s="269">
        <v>44944</v>
      </c>
      <c r="C1146" s="328">
        <v>24631.789063</v>
      </c>
    </row>
    <row r="1147" spans="2:3" ht="15" thickBot="1" x14ac:dyDescent="0.4">
      <c r="B1147" s="269">
        <v>44945</v>
      </c>
      <c r="C1147" s="328">
        <v>24560.650390999999</v>
      </c>
    </row>
    <row r="1148" spans="2:3" ht="15" thickBot="1" x14ac:dyDescent="0.4">
      <c r="B1148" s="269">
        <v>44946</v>
      </c>
      <c r="C1148" s="328">
        <v>24444.810547000001</v>
      </c>
    </row>
    <row r="1149" spans="2:3" ht="15" thickBot="1" x14ac:dyDescent="0.4">
      <c r="B1149" s="269">
        <v>44949</v>
      </c>
      <c r="C1149" s="328">
        <v>24532.980468999998</v>
      </c>
    </row>
    <row r="1150" spans="2:3" ht="15" thickBot="1" x14ac:dyDescent="0.4">
      <c r="B1150" s="269">
        <v>44950</v>
      </c>
      <c r="C1150" s="328">
        <v>24505.220702999999</v>
      </c>
    </row>
    <row r="1151" spans="2:3" ht="15" thickBot="1" x14ac:dyDescent="0.4">
      <c r="B1151" s="269">
        <v>44951</v>
      </c>
      <c r="C1151" s="328">
        <v>24164.160156000002</v>
      </c>
    </row>
    <row r="1152" spans="2:3" ht="15" thickBot="1" x14ac:dyDescent="0.4">
      <c r="B1152" s="269">
        <v>44953</v>
      </c>
      <c r="C1152" s="328">
        <v>23688.980468999998</v>
      </c>
    </row>
    <row r="1153" spans="2:3" ht="15" thickBot="1" x14ac:dyDescent="0.4">
      <c r="B1153" s="269">
        <v>44956</v>
      </c>
      <c r="C1153" s="328">
        <v>23647.140625</v>
      </c>
    </row>
    <row r="1154" spans="2:3" ht="15" thickBot="1" x14ac:dyDescent="0.4">
      <c r="B1154" s="269">
        <v>44957</v>
      </c>
      <c r="C1154" s="328">
        <v>23778.460938</v>
      </c>
    </row>
    <row r="1155" spans="2:3" ht="15" thickBot="1" x14ac:dyDescent="0.4">
      <c r="B1155" s="269">
        <v>44958</v>
      </c>
      <c r="C1155" s="328">
        <v>23629.769531000002</v>
      </c>
    </row>
    <row r="1156" spans="2:3" ht="15" thickBot="1" x14ac:dyDescent="0.4">
      <c r="B1156" s="269">
        <v>44959</v>
      </c>
      <c r="C1156" s="328">
        <v>23620.089843999998</v>
      </c>
    </row>
    <row r="1157" spans="2:3" ht="15" thickBot="1" x14ac:dyDescent="0.4">
      <c r="B1157" s="269">
        <v>44960</v>
      </c>
      <c r="C1157" s="328">
        <v>23812.75</v>
      </c>
    </row>
    <row r="1158" spans="2:3" ht="15" thickBot="1" x14ac:dyDescent="0.4">
      <c r="B1158" s="269">
        <v>44963</v>
      </c>
      <c r="C1158" s="328">
        <v>23765.519531000002</v>
      </c>
    </row>
    <row r="1159" spans="2:3" ht="15" thickBot="1" x14ac:dyDescent="0.4">
      <c r="B1159" s="269">
        <v>44964</v>
      </c>
      <c r="C1159" s="328">
        <v>23710.990234000001</v>
      </c>
    </row>
    <row r="1160" spans="2:3" ht="15" thickBot="1" x14ac:dyDescent="0.4">
      <c r="B1160" s="269">
        <v>44965</v>
      </c>
      <c r="C1160" s="328">
        <v>23908.580077999999</v>
      </c>
    </row>
    <row r="1161" spans="2:3" ht="15" thickBot="1" x14ac:dyDescent="0.4">
      <c r="B1161" s="269">
        <v>44966</v>
      </c>
      <c r="C1161" s="328">
        <v>23908.859375</v>
      </c>
    </row>
    <row r="1162" spans="2:3" ht="15" thickBot="1" x14ac:dyDescent="0.4">
      <c r="B1162" s="269">
        <v>44967</v>
      </c>
      <c r="C1162" s="328">
        <v>23880</v>
      </c>
    </row>
    <row r="1163" spans="2:3" ht="15" thickBot="1" x14ac:dyDescent="0.4">
      <c r="B1163" s="269">
        <v>44970</v>
      </c>
      <c r="C1163" s="328">
        <v>23700</v>
      </c>
    </row>
    <row r="1164" spans="2:3" ht="15" thickBot="1" x14ac:dyDescent="0.4">
      <c r="B1164" s="269">
        <v>44971</v>
      </c>
      <c r="C1164" s="328">
        <v>23807.949218999998</v>
      </c>
    </row>
    <row r="1165" spans="2:3" ht="15" thickBot="1" x14ac:dyDescent="0.4">
      <c r="B1165" s="269">
        <v>44972</v>
      </c>
      <c r="C1165" s="328">
        <v>23916.380859000001</v>
      </c>
    </row>
    <row r="1166" spans="2:3" ht="15" thickBot="1" x14ac:dyDescent="0.4">
      <c r="B1166" s="269">
        <v>44973</v>
      </c>
      <c r="C1166" s="328">
        <v>23991.919922000001</v>
      </c>
    </row>
    <row r="1167" spans="2:3" ht="15" thickBot="1" x14ac:dyDescent="0.4">
      <c r="B1167" s="269">
        <v>44974</v>
      </c>
      <c r="C1167" s="328">
        <v>23863.439452999999</v>
      </c>
    </row>
    <row r="1168" spans="2:3" ht="15" thickBot="1" x14ac:dyDescent="0.4">
      <c r="B1168" s="269">
        <v>44977</v>
      </c>
      <c r="C1168" s="328">
        <v>23761.289063</v>
      </c>
    </row>
    <row r="1169" spans="2:3" ht="15" thickBot="1" x14ac:dyDescent="0.4">
      <c r="B1169" s="269">
        <v>44978</v>
      </c>
      <c r="C1169" s="328">
        <v>23724.189452999999</v>
      </c>
    </row>
    <row r="1170" spans="2:3" ht="15" thickBot="1" x14ac:dyDescent="0.4">
      <c r="B1170" s="269">
        <v>44979</v>
      </c>
      <c r="C1170" s="328">
        <v>23382.960938</v>
      </c>
    </row>
    <row r="1171" spans="2:3" ht="15" thickBot="1" x14ac:dyDescent="0.4">
      <c r="B1171" s="269">
        <v>44980</v>
      </c>
      <c r="C1171" s="328">
        <v>23333.039063</v>
      </c>
    </row>
    <row r="1172" spans="2:3" ht="15" thickBot="1" x14ac:dyDescent="0.4">
      <c r="B1172" s="269">
        <v>44981</v>
      </c>
      <c r="C1172" s="328">
        <v>23268.449218999998</v>
      </c>
    </row>
    <row r="1173" spans="2:3" ht="15" thickBot="1" x14ac:dyDescent="0.4">
      <c r="B1173" s="269">
        <v>44984</v>
      </c>
      <c r="C1173" s="328">
        <v>23135.150390999999</v>
      </c>
    </row>
    <row r="1174" spans="2:3" ht="15" thickBot="1" x14ac:dyDescent="0.4">
      <c r="B1174" s="269">
        <v>44985</v>
      </c>
      <c r="C1174" s="328">
        <v>23084.789063</v>
      </c>
    </row>
    <row r="1175" spans="2:3" ht="15" thickBot="1" x14ac:dyDescent="0.4">
      <c r="B1175" s="269">
        <v>44986</v>
      </c>
      <c r="C1175" s="328">
        <v>23316.039063</v>
      </c>
    </row>
    <row r="1176" spans="2:3" ht="15" thickBot="1" x14ac:dyDescent="0.4">
      <c r="B1176" s="269">
        <v>44987</v>
      </c>
      <c r="C1176" s="328">
        <v>23196.449218999998</v>
      </c>
    </row>
    <row r="1177" spans="2:3" ht="15" thickBot="1" x14ac:dyDescent="0.4">
      <c r="B1177" s="269">
        <v>44988</v>
      </c>
      <c r="C1177" s="328">
        <v>23496.199218999998</v>
      </c>
    </row>
    <row r="1178" spans="2:3" ht="15" thickBot="1" x14ac:dyDescent="0.4">
      <c r="B1178" s="269">
        <v>44991</v>
      </c>
      <c r="C1178" s="328">
        <v>23665.320313</v>
      </c>
    </row>
    <row r="1179" spans="2:3" ht="15" thickBot="1" x14ac:dyDescent="0.4">
      <c r="B1179" s="269">
        <v>44993</v>
      </c>
      <c r="C1179" s="328">
        <v>23734.539063</v>
      </c>
    </row>
    <row r="1180" spans="2:3" ht="15" thickBot="1" x14ac:dyDescent="0.4">
      <c r="B1180" s="269">
        <v>44994</v>
      </c>
      <c r="C1180" s="328">
        <v>23554.349609000001</v>
      </c>
    </row>
    <row r="1181" spans="2:3" ht="15" thickBot="1" x14ac:dyDescent="0.4">
      <c r="B1181" s="269">
        <v>44995</v>
      </c>
      <c r="C1181" s="328">
        <v>23353.349609000001</v>
      </c>
    </row>
    <row r="1182" spans="2:3" ht="15" thickBot="1" x14ac:dyDescent="0.4">
      <c r="B1182" s="269">
        <v>44998</v>
      </c>
      <c r="C1182" s="328">
        <v>22998.150390999999</v>
      </c>
    </row>
    <row r="1183" spans="2:3" ht="15" thickBot="1" x14ac:dyDescent="0.4">
      <c r="B1183" s="269">
        <v>44999</v>
      </c>
      <c r="C1183" s="328">
        <v>22848.210938</v>
      </c>
    </row>
    <row r="1184" spans="2:3" ht="15" thickBot="1" x14ac:dyDescent="0.4">
      <c r="B1184" s="269">
        <v>45000</v>
      </c>
      <c r="C1184" s="328">
        <v>22781.169922000001</v>
      </c>
    </row>
    <row r="1185" spans="2:3" ht="15" thickBot="1" x14ac:dyDescent="0.4">
      <c r="B1185" s="269">
        <v>45001</v>
      </c>
      <c r="C1185" s="328">
        <v>22805.759765999999</v>
      </c>
    </row>
    <row r="1186" spans="2:3" ht="15" thickBot="1" x14ac:dyDescent="0.4">
      <c r="B1186" s="269">
        <v>45002</v>
      </c>
      <c r="C1186" s="328">
        <v>22944.859375</v>
      </c>
    </row>
    <row r="1187" spans="2:3" ht="15" thickBot="1" x14ac:dyDescent="0.4">
      <c r="B1187" s="269">
        <v>45005</v>
      </c>
      <c r="C1187" s="328">
        <v>22778.789063</v>
      </c>
    </row>
    <row r="1188" spans="2:3" ht="15" thickBot="1" x14ac:dyDescent="0.4">
      <c r="B1188" s="269">
        <v>45006</v>
      </c>
      <c r="C1188" s="328">
        <v>22928.880859000001</v>
      </c>
    </row>
    <row r="1189" spans="2:3" ht="15" thickBot="1" x14ac:dyDescent="0.4">
      <c r="B1189" s="269">
        <v>45007</v>
      </c>
      <c r="C1189" s="328">
        <v>23003.849609000001</v>
      </c>
    </row>
    <row r="1190" spans="2:3" ht="15" thickBot="1" x14ac:dyDescent="0.4">
      <c r="B1190" s="269">
        <v>45008</v>
      </c>
      <c r="C1190" s="328">
        <v>22913.800781000002</v>
      </c>
    </row>
    <row r="1191" spans="2:3" ht="15" thickBot="1" x14ac:dyDescent="0.4">
      <c r="B1191" s="269">
        <v>45009</v>
      </c>
      <c r="C1191" s="328">
        <v>22716.650390999999</v>
      </c>
    </row>
    <row r="1192" spans="2:3" ht="15" thickBot="1" x14ac:dyDescent="0.4">
      <c r="B1192" s="269">
        <v>45012</v>
      </c>
      <c r="C1192" s="328">
        <v>22686.980468999998</v>
      </c>
    </row>
    <row r="1193" spans="2:3" ht="15" thickBot="1" x14ac:dyDescent="0.4">
      <c r="B1193" s="269">
        <v>45013</v>
      </c>
      <c r="C1193" s="328">
        <v>22608.390625</v>
      </c>
    </row>
    <row r="1194" spans="2:3" ht="15" thickBot="1" x14ac:dyDescent="0.4">
      <c r="B1194" s="269">
        <v>45014</v>
      </c>
      <c r="C1194" s="328">
        <v>22822.890625</v>
      </c>
    </row>
    <row r="1195" spans="2:3" ht="15" thickBot="1" x14ac:dyDescent="0.4">
      <c r="B1195" s="269">
        <v>45016</v>
      </c>
      <c r="C1195" s="328">
        <v>23160.009765999999</v>
      </c>
    </row>
    <row r="1196" spans="2:3" ht="15" thickBot="1" x14ac:dyDescent="0.4">
      <c r="B1196" s="269">
        <v>45019</v>
      </c>
      <c r="C1196" s="328">
        <v>23226.810547000001</v>
      </c>
    </row>
    <row r="1197" spans="2:3" ht="15" thickBot="1" x14ac:dyDescent="0.4">
      <c r="B1197" s="269">
        <v>45021</v>
      </c>
      <c r="C1197" s="328">
        <v>23397.109375</v>
      </c>
    </row>
    <row r="1198" spans="2:3" ht="15" thickBot="1" x14ac:dyDescent="0.4">
      <c r="B1198" s="269">
        <v>45022</v>
      </c>
      <c r="C1198" s="328">
        <v>23475.050781000002</v>
      </c>
    </row>
    <row r="1199" spans="2:3" ht="15" thickBot="1" x14ac:dyDescent="0.4">
      <c r="B1199" s="269">
        <v>45026</v>
      </c>
      <c r="C1199" s="328">
        <v>23526.359375</v>
      </c>
    </row>
    <row r="1200" spans="2:3" ht="15" thickBot="1" x14ac:dyDescent="0.4">
      <c r="B1200" s="269">
        <v>45027</v>
      </c>
      <c r="C1200" s="328">
        <v>23652.449218999998</v>
      </c>
    </row>
    <row r="1201" spans="2:3" ht="15" thickBot="1" x14ac:dyDescent="0.4">
      <c r="B1201" s="269">
        <v>45028</v>
      </c>
      <c r="C1201" s="328">
        <v>23768.470702999999</v>
      </c>
    </row>
    <row r="1202" spans="2:3" ht="15" thickBot="1" x14ac:dyDescent="0.4">
      <c r="B1202" s="269">
        <v>45029</v>
      </c>
      <c r="C1202" s="328">
        <v>23789.460938</v>
      </c>
    </row>
    <row r="1203" spans="2:3" ht="15" thickBot="1" x14ac:dyDescent="0.4">
      <c r="B1203" s="269">
        <v>45033</v>
      </c>
      <c r="C1203" s="328">
        <v>23706</v>
      </c>
    </row>
    <row r="1204" spans="2:3" ht="15" thickBot="1" x14ac:dyDescent="0.4">
      <c r="B1204" s="269">
        <v>45034</v>
      </c>
      <c r="C1204" s="328">
        <v>23693.710938</v>
      </c>
    </row>
    <row r="1205" spans="2:3" ht="15" thickBot="1" x14ac:dyDescent="0.4">
      <c r="B1205" s="269">
        <v>45035</v>
      </c>
      <c r="C1205" s="328">
        <v>23629.609375</v>
      </c>
    </row>
    <row r="1206" spans="2:3" ht="15" thickBot="1" x14ac:dyDescent="0.4">
      <c r="B1206" s="269">
        <v>45036</v>
      </c>
      <c r="C1206" s="328">
        <v>23638.119140999999</v>
      </c>
    </row>
    <row r="1207" spans="2:3" ht="15" thickBot="1" x14ac:dyDescent="0.4">
      <c r="B1207" s="269">
        <v>45037</v>
      </c>
      <c r="C1207" s="328">
        <v>23611.550781000002</v>
      </c>
    </row>
    <row r="1208" spans="2:3" ht="15" thickBot="1" x14ac:dyDescent="0.4">
      <c r="B1208" s="269">
        <v>45040</v>
      </c>
      <c r="C1208" s="328">
        <v>23745.869140999999</v>
      </c>
    </row>
    <row r="1209" spans="2:3" ht="15" thickBot="1" x14ac:dyDescent="0.4">
      <c r="B1209" s="269">
        <v>45041</v>
      </c>
      <c r="C1209" s="328">
        <v>23787.080077999999</v>
      </c>
    </row>
    <row r="1210" spans="2:3" ht="15" thickBot="1" x14ac:dyDescent="0.4">
      <c r="B1210" s="269">
        <v>45042</v>
      </c>
      <c r="C1210" s="328">
        <v>23851.410156000002</v>
      </c>
    </row>
    <row r="1211" spans="2:3" ht="15" thickBot="1" x14ac:dyDescent="0.4">
      <c r="B1211" s="269">
        <v>45043</v>
      </c>
      <c r="C1211" s="328">
        <v>23983.880859000001</v>
      </c>
    </row>
    <row r="1212" spans="2:3" ht="15" thickBot="1" x14ac:dyDescent="0.4">
      <c r="B1212" s="269">
        <v>45044</v>
      </c>
      <c r="C1212" s="328">
        <v>24209.369140999999</v>
      </c>
    </row>
    <row r="1213" spans="2:3" ht="15" thickBot="1" x14ac:dyDescent="0.4">
      <c r="B1213" s="269">
        <v>45048</v>
      </c>
      <c r="C1213" s="328">
        <v>24344.140625</v>
      </c>
    </row>
    <row r="1214" spans="2:3" ht="15" thickBot="1" x14ac:dyDescent="0.4">
      <c r="B1214" s="269">
        <v>45049</v>
      </c>
      <c r="C1214" s="328">
        <v>24304.650390999999</v>
      </c>
    </row>
    <row r="1215" spans="2:3" ht="15" thickBot="1" x14ac:dyDescent="0.4">
      <c r="B1215" s="269">
        <v>45050</v>
      </c>
      <c r="C1215" s="328">
        <v>24506.330077999999</v>
      </c>
    </row>
    <row r="1216" spans="2:3" ht="15" thickBot="1" x14ac:dyDescent="0.4">
      <c r="B1216" s="269">
        <v>45051</v>
      </c>
      <c r="C1216" s="328">
        <v>24306.419922000001</v>
      </c>
    </row>
    <row r="1217" spans="2:3" ht="15" thickBot="1" x14ac:dyDescent="0.4">
      <c r="B1217" s="269">
        <v>45054</v>
      </c>
      <c r="C1217" s="328">
        <v>24543.580077999999</v>
      </c>
    </row>
    <row r="1218" spans="2:3" ht="15" thickBot="1" x14ac:dyDescent="0.4">
      <c r="B1218" s="269">
        <v>45055</v>
      </c>
      <c r="C1218" s="328">
        <v>24528.820313</v>
      </c>
    </row>
    <row r="1219" spans="2:3" ht="15" thickBot="1" x14ac:dyDescent="0.4">
      <c r="B1219" s="269">
        <v>45056</v>
      </c>
      <c r="C1219" s="328">
        <v>24603.759765999999</v>
      </c>
    </row>
    <row r="1220" spans="2:3" ht="15" thickBot="1" x14ac:dyDescent="0.4">
      <c r="B1220" s="269">
        <v>45057</v>
      </c>
      <c r="C1220" s="328">
        <v>24631.349609000001</v>
      </c>
    </row>
    <row r="1221" spans="2:3" ht="15" thickBot="1" x14ac:dyDescent="0.4">
      <c r="B1221" s="269">
        <v>45058</v>
      </c>
      <c r="C1221" s="328">
        <v>24622.460938</v>
      </c>
    </row>
    <row r="1222" spans="2:3" ht="15" thickBot="1" x14ac:dyDescent="0.4">
      <c r="B1222" s="269">
        <v>45061</v>
      </c>
      <c r="C1222" s="328">
        <v>24733.550781000002</v>
      </c>
    </row>
    <row r="1223" spans="2:3" ht="15" thickBot="1" x14ac:dyDescent="0.4">
      <c r="B1223" s="269">
        <v>45062</v>
      </c>
      <c r="C1223" s="328">
        <v>24639.779297000001</v>
      </c>
    </row>
    <row r="1224" spans="2:3" ht="15" thickBot="1" x14ac:dyDescent="0.4">
      <c r="B1224" s="269">
        <v>45063</v>
      </c>
      <c r="C1224" s="328">
        <v>24536.519531000002</v>
      </c>
    </row>
    <row r="1225" spans="2:3" ht="15" thickBot="1" x14ac:dyDescent="0.4">
      <c r="B1225" s="269">
        <v>45064</v>
      </c>
      <c r="C1225" s="328">
        <v>24429.349609000001</v>
      </c>
    </row>
    <row r="1226" spans="2:3" ht="15" thickBot="1" x14ac:dyDescent="0.4">
      <c r="B1226" s="269">
        <v>45065</v>
      </c>
      <c r="C1226" s="328">
        <v>24504.070313</v>
      </c>
    </row>
    <row r="1227" spans="2:3" ht="15" thickBot="1" x14ac:dyDescent="0.4">
      <c r="B1227" s="269">
        <v>45068</v>
      </c>
      <c r="C1227" s="328">
        <v>24655.580077999999</v>
      </c>
    </row>
    <row r="1228" spans="2:3" ht="15" thickBot="1" x14ac:dyDescent="0.4">
      <c r="B1228" s="269">
        <v>45069</v>
      </c>
      <c r="C1228" s="328">
        <v>24716.449218999998</v>
      </c>
    </row>
    <row r="1229" spans="2:3" ht="15" thickBot="1" x14ac:dyDescent="0.4">
      <c r="B1229" s="269">
        <v>45070</v>
      </c>
      <c r="C1229" s="328">
        <v>24673.289063</v>
      </c>
    </row>
    <row r="1230" spans="2:3" ht="15" thickBot="1" x14ac:dyDescent="0.4">
      <c r="B1230" s="269">
        <v>45071</v>
      </c>
      <c r="C1230" s="328">
        <v>24739.669922000001</v>
      </c>
    </row>
    <row r="1231" spans="2:3" ht="15" thickBot="1" x14ac:dyDescent="0.4">
      <c r="B1231" s="269">
        <v>45072</v>
      </c>
      <c r="C1231" s="328">
        <v>24962.810547000001</v>
      </c>
    </row>
    <row r="1232" spans="2:3" ht="15" thickBot="1" x14ac:dyDescent="0.4">
      <c r="B1232" s="269">
        <v>45075</v>
      </c>
      <c r="C1232" s="328">
        <v>25080.820313</v>
      </c>
    </row>
    <row r="1233" spans="2:3" ht="15" thickBot="1" x14ac:dyDescent="0.4">
      <c r="B1233" s="269">
        <v>45076</v>
      </c>
      <c r="C1233" s="328">
        <v>25109.519531000002</v>
      </c>
    </row>
    <row r="1234" spans="2:3" ht="15" thickBot="1" x14ac:dyDescent="0.4">
      <c r="B1234" s="269">
        <v>45077</v>
      </c>
      <c r="C1234" s="328">
        <v>25059.669922000001</v>
      </c>
    </row>
    <row r="1235" spans="2:3" ht="15" thickBot="1" x14ac:dyDescent="0.4">
      <c r="B1235" s="269">
        <v>45078</v>
      </c>
      <c r="C1235" s="328">
        <v>25042.419922000001</v>
      </c>
    </row>
    <row r="1236" spans="2:3" ht="15" thickBot="1" x14ac:dyDescent="0.4">
      <c r="B1236" s="269">
        <v>45079</v>
      </c>
      <c r="C1236" s="328">
        <v>25122.990234000001</v>
      </c>
    </row>
  </sheetData>
  <hyperlinks>
    <hyperlink ref="H1" location="Contents!A1" display="Back to contents" xr:uid="{48FAC79E-0D9F-0D48-B213-0FA06EBB7CB2}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5D63-9727-0F44-9E43-737BBEB82FA5}">
  <sheetPr>
    <tabColor theme="4" tint="0.39997558519241921"/>
  </sheetPr>
  <dimension ref="A2:L251"/>
  <sheetViews>
    <sheetView zoomScale="138" workbookViewId="0">
      <selection activeCell="J11" sqref="J11"/>
    </sheetView>
  </sheetViews>
  <sheetFormatPr defaultColWidth="10.90625" defaultRowHeight="14.5" x14ac:dyDescent="0.35"/>
  <cols>
    <col min="11" max="11" width="18.36328125" customWidth="1"/>
    <col min="12" max="12" width="19" customWidth="1"/>
  </cols>
  <sheetData>
    <row r="2" spans="1:12" ht="15" thickBot="1" x14ac:dyDescent="0.4">
      <c r="A2" s="264" t="s">
        <v>796</v>
      </c>
      <c r="F2" s="264" t="s">
        <v>799</v>
      </c>
    </row>
    <row r="3" spans="1:12" ht="15" thickBot="1" x14ac:dyDescent="0.4">
      <c r="A3" s="268" t="s">
        <v>793</v>
      </c>
      <c r="B3" s="268" t="s">
        <v>794</v>
      </c>
      <c r="C3" s="268" t="s">
        <v>798</v>
      </c>
      <c r="F3" s="268" t="s">
        <v>793</v>
      </c>
      <c r="G3" s="268" t="s">
        <v>794</v>
      </c>
      <c r="H3" s="268" t="s">
        <v>798</v>
      </c>
      <c r="K3" s="265" t="s">
        <v>800</v>
      </c>
      <c r="L3" s="271">
        <f>SLOPE(H5:H250,C5:C250)</f>
        <v>1.0487964675580008</v>
      </c>
    </row>
    <row r="4" spans="1:12" ht="15" thickBot="1" x14ac:dyDescent="0.4">
      <c r="A4" s="269">
        <v>44718</v>
      </c>
      <c r="B4" s="418">
        <v>22380.339843999998</v>
      </c>
      <c r="C4" s="263"/>
      <c r="F4" s="269">
        <v>44718</v>
      </c>
      <c r="G4" s="418">
        <v>436.88439899999997</v>
      </c>
      <c r="H4" s="263"/>
    </row>
    <row r="5" spans="1:12" ht="15" thickBot="1" x14ac:dyDescent="0.4">
      <c r="A5" s="269">
        <v>44719</v>
      </c>
      <c r="B5" s="418">
        <v>22196.839843999998</v>
      </c>
      <c r="C5" s="270">
        <f>B5/B4-1</f>
        <v>-8.19916057035186E-3</v>
      </c>
      <c r="F5" s="269">
        <v>44719</v>
      </c>
      <c r="G5" s="418">
        <v>435.78320300000001</v>
      </c>
      <c r="H5" s="270">
        <f>G5/G4-1</f>
        <v>-2.5205660868653501E-3</v>
      </c>
      <c r="K5" s="272" t="s">
        <v>801</v>
      </c>
      <c r="L5" s="272" t="s">
        <v>802</v>
      </c>
    </row>
    <row r="6" spans="1:12" ht="15" thickBot="1" x14ac:dyDescent="0.4">
      <c r="A6" s="269">
        <v>44720</v>
      </c>
      <c r="B6" s="418">
        <v>22121.609375</v>
      </c>
      <c r="C6" s="270">
        <f t="shared" ref="C6:C69" si="0">B6/B5-1</f>
        <v>-3.3892423213718326E-3</v>
      </c>
      <c r="F6" s="269">
        <v>44720</v>
      </c>
      <c r="G6" s="418">
        <v>443.01272599999999</v>
      </c>
      <c r="H6" s="270">
        <f t="shared" ref="H6:H69" si="1">G6/G5-1</f>
        <v>1.6589723858631444E-2</v>
      </c>
      <c r="K6" s="273">
        <v>1</v>
      </c>
      <c r="L6" s="274">
        <v>0.2</v>
      </c>
    </row>
    <row r="7" spans="1:12" ht="15" thickBot="1" x14ac:dyDescent="0.4">
      <c r="A7" s="269">
        <v>44721</v>
      </c>
      <c r="B7" s="418">
        <v>22266.060547000001</v>
      </c>
      <c r="C7" s="270">
        <f t="shared" si="0"/>
        <v>6.5298672240026168E-3</v>
      </c>
      <c r="F7" s="269">
        <v>44721</v>
      </c>
      <c r="G7" s="418">
        <v>443.25213600000001</v>
      </c>
      <c r="H7" s="270">
        <f t="shared" si="1"/>
        <v>5.40413369524817E-4</v>
      </c>
      <c r="K7" s="273">
        <v>2</v>
      </c>
      <c r="L7" s="274">
        <v>0.1</v>
      </c>
    </row>
    <row r="8" spans="1:12" ht="15" thickBot="1" x14ac:dyDescent="0.4">
      <c r="A8" s="269">
        <v>44722</v>
      </c>
      <c r="B8" s="418">
        <v>21953.509765999999</v>
      </c>
      <c r="C8" s="270">
        <f t="shared" si="0"/>
        <v>-1.4037093824489477E-2</v>
      </c>
      <c r="F8" s="269">
        <v>44722</v>
      </c>
      <c r="G8" s="418">
        <v>439.99646000000001</v>
      </c>
      <c r="H8" s="270">
        <f t="shared" si="1"/>
        <v>-7.3449753212243563E-3</v>
      </c>
      <c r="K8" s="273">
        <v>3</v>
      </c>
      <c r="L8" s="273">
        <v>0</v>
      </c>
    </row>
    <row r="9" spans="1:12" ht="15" thickBot="1" x14ac:dyDescent="0.4">
      <c r="A9" s="269">
        <v>44725</v>
      </c>
      <c r="B9" s="418">
        <v>21373.990234000001</v>
      </c>
      <c r="C9" s="270">
        <f t="shared" si="0"/>
        <v>-2.6397580076125915E-2</v>
      </c>
      <c r="F9" s="269">
        <v>44725</v>
      </c>
      <c r="G9" s="418">
        <v>422.95196499999997</v>
      </c>
      <c r="H9" s="270">
        <f t="shared" si="1"/>
        <v>-3.8737800299575187E-2</v>
      </c>
      <c r="K9" s="273">
        <v>4</v>
      </c>
      <c r="L9" s="274">
        <v>-0.1</v>
      </c>
    </row>
    <row r="10" spans="1:12" ht="15" thickBot="1" x14ac:dyDescent="0.4">
      <c r="A10" s="269">
        <v>44726</v>
      </c>
      <c r="B10" s="418">
        <v>21321.369140999999</v>
      </c>
      <c r="C10" s="270">
        <f t="shared" si="0"/>
        <v>-2.4619218229218198E-3</v>
      </c>
      <c r="F10" s="269">
        <v>44726</v>
      </c>
      <c r="G10" s="418">
        <v>427.02157599999998</v>
      </c>
      <c r="H10" s="270">
        <f t="shared" si="1"/>
        <v>9.6219224327283026E-3</v>
      </c>
      <c r="K10" s="273">
        <v>5</v>
      </c>
      <c r="L10" s="274">
        <v>-0.2</v>
      </c>
    </row>
    <row r="11" spans="1:12" ht="15" thickBot="1" x14ac:dyDescent="0.4">
      <c r="A11" s="269">
        <v>44727</v>
      </c>
      <c r="B11" s="418">
        <v>21314.779297000001</v>
      </c>
      <c r="C11" s="270">
        <f t="shared" si="0"/>
        <v>-3.0907227187981778E-4</v>
      </c>
      <c r="F11" s="269">
        <v>44727</v>
      </c>
      <c r="G11" s="418">
        <v>435.49591099999998</v>
      </c>
      <c r="H11" s="270">
        <f t="shared" si="1"/>
        <v>1.9845215034286712E-2</v>
      </c>
    </row>
    <row r="12" spans="1:12" ht="15" thickBot="1" x14ac:dyDescent="0.4">
      <c r="A12" s="269">
        <v>44728</v>
      </c>
      <c r="B12" s="418">
        <v>20851.330077999999</v>
      </c>
      <c r="C12" s="270">
        <f t="shared" si="0"/>
        <v>-2.1743092552932608E-2</v>
      </c>
      <c r="F12" s="269">
        <v>44728</v>
      </c>
      <c r="G12" s="418">
        <v>419.121735</v>
      </c>
      <c r="H12" s="270">
        <f t="shared" si="1"/>
        <v>-3.7598920188254059E-2</v>
      </c>
      <c r="K12" s="275" t="s">
        <v>803</v>
      </c>
      <c r="L12" s="276">
        <f>'ESG Score'!F25</f>
        <v>3.78</v>
      </c>
    </row>
    <row r="13" spans="1:12" ht="15" thickBot="1" x14ac:dyDescent="0.4">
      <c r="A13" s="269">
        <v>44729</v>
      </c>
      <c r="B13" s="418">
        <v>20710.009765999999</v>
      </c>
      <c r="C13" s="270">
        <f t="shared" si="0"/>
        <v>-6.7775202575256488E-3</v>
      </c>
      <c r="F13" s="269">
        <v>44729</v>
      </c>
      <c r="G13" s="418">
        <v>421.37197900000001</v>
      </c>
      <c r="H13" s="270">
        <f t="shared" si="1"/>
        <v>5.3689508610188508E-3</v>
      </c>
      <c r="K13" s="275" t="s">
        <v>804</v>
      </c>
      <c r="L13" s="277">
        <v>7.8E-2</v>
      </c>
    </row>
    <row r="14" spans="1:12" ht="15" thickBot="1" x14ac:dyDescent="0.4">
      <c r="A14" s="269">
        <v>44732</v>
      </c>
      <c r="B14" s="418">
        <v>20630.519531000002</v>
      </c>
      <c r="C14" s="270">
        <f t="shared" si="0"/>
        <v>-3.8382519321887854E-3</v>
      </c>
      <c r="F14" s="269">
        <v>44732</v>
      </c>
      <c r="G14" s="418">
        <v>410.55163599999997</v>
      </c>
      <c r="H14" s="270">
        <f t="shared" si="1"/>
        <v>-2.567883850672481E-2</v>
      </c>
      <c r="K14" s="265" t="s">
        <v>805</v>
      </c>
      <c r="L14" s="278">
        <f>L3-L13*L3</f>
        <v>0.96699034308847676</v>
      </c>
    </row>
    <row r="15" spans="1:12" ht="15" thickBot="1" x14ac:dyDescent="0.4">
      <c r="A15" s="269">
        <v>44733</v>
      </c>
      <c r="B15" s="418">
        <v>21097.669922000001</v>
      </c>
      <c r="C15" s="270">
        <f t="shared" si="0"/>
        <v>2.2643656176377203E-2</v>
      </c>
      <c r="F15" s="269">
        <v>44733</v>
      </c>
      <c r="G15" s="418">
        <v>418.547211</v>
      </c>
      <c r="H15" s="270">
        <f t="shared" si="1"/>
        <v>1.9475199460659454E-2</v>
      </c>
    </row>
    <row r="16" spans="1:12" ht="15" thickBot="1" x14ac:dyDescent="0.4">
      <c r="A16" s="269">
        <v>44734</v>
      </c>
      <c r="B16" s="418">
        <v>20785.240234000001</v>
      </c>
      <c r="C16" s="270">
        <f t="shared" si="0"/>
        <v>-1.4808729549522837E-2</v>
      </c>
      <c r="F16" s="269">
        <v>44734</v>
      </c>
      <c r="G16" s="418">
        <v>405.57232699999997</v>
      </c>
      <c r="H16" s="270">
        <f t="shared" si="1"/>
        <v>-3.0999809959311952E-2</v>
      </c>
    </row>
    <row r="17" spans="1:8" ht="15" thickBot="1" x14ac:dyDescent="0.4">
      <c r="A17" s="269">
        <v>44735</v>
      </c>
      <c r="B17" s="418">
        <v>20998.550781000002</v>
      </c>
      <c r="C17" s="270">
        <f t="shared" si="0"/>
        <v>1.0262597140978658E-2</v>
      </c>
      <c r="F17" s="269">
        <v>44735</v>
      </c>
      <c r="G17" s="418">
        <v>416.10540800000001</v>
      </c>
      <c r="H17" s="270">
        <f t="shared" si="1"/>
        <v>2.5970906540672356E-2</v>
      </c>
    </row>
    <row r="18" spans="1:8" ht="15" thickBot="1" x14ac:dyDescent="0.4">
      <c r="A18" s="269">
        <v>44736</v>
      </c>
      <c r="B18" s="418">
        <v>21223.980468999998</v>
      </c>
      <c r="C18" s="270">
        <f t="shared" si="0"/>
        <v>1.0735487908240415E-2</v>
      </c>
      <c r="F18" s="269">
        <v>44736</v>
      </c>
      <c r="G18" s="418">
        <v>417.54177900000002</v>
      </c>
      <c r="H18" s="270">
        <f t="shared" si="1"/>
        <v>3.4519402352972683E-3</v>
      </c>
    </row>
    <row r="19" spans="1:8" ht="15" thickBot="1" x14ac:dyDescent="0.4">
      <c r="A19" s="269">
        <v>44739</v>
      </c>
      <c r="B19" s="418">
        <v>21415.970702999999</v>
      </c>
      <c r="C19" s="270">
        <f t="shared" si="0"/>
        <v>9.0459107932381322E-3</v>
      </c>
      <c r="F19" s="269">
        <v>44739</v>
      </c>
      <c r="G19" s="418">
        <v>416.39269999999999</v>
      </c>
      <c r="H19" s="270">
        <f t="shared" si="1"/>
        <v>-2.752009637818853E-3</v>
      </c>
    </row>
    <row r="20" spans="1:8" ht="15" thickBot="1" x14ac:dyDescent="0.4">
      <c r="A20" s="269">
        <v>44740</v>
      </c>
      <c r="B20" s="418">
        <v>21453.259765999999</v>
      </c>
      <c r="C20" s="270">
        <f t="shared" si="0"/>
        <v>1.741180146215715E-3</v>
      </c>
      <c r="F20" s="269">
        <v>44740</v>
      </c>
      <c r="G20" s="418">
        <v>410.55163599999997</v>
      </c>
      <c r="H20" s="270">
        <f t="shared" si="1"/>
        <v>-1.4027777144027809E-2</v>
      </c>
    </row>
    <row r="21" spans="1:8" ht="15" thickBot="1" x14ac:dyDescent="0.4">
      <c r="A21" s="269">
        <v>44741</v>
      </c>
      <c r="B21" s="418">
        <v>21380.990234000001</v>
      </c>
      <c r="C21" s="270">
        <f t="shared" si="0"/>
        <v>-3.3686970086724832E-3</v>
      </c>
      <c r="F21" s="269">
        <v>44741</v>
      </c>
      <c r="G21" s="418">
        <v>417.97268700000001</v>
      </c>
      <c r="H21" s="270">
        <f t="shared" si="1"/>
        <v>1.8075804233307347E-2</v>
      </c>
    </row>
    <row r="22" spans="1:8" ht="15" thickBot="1" x14ac:dyDescent="0.4">
      <c r="A22" s="269">
        <v>44742</v>
      </c>
      <c r="B22" s="418">
        <v>21324.539063</v>
      </c>
      <c r="C22" s="270">
        <f t="shared" si="0"/>
        <v>-2.6402505394830245E-3</v>
      </c>
      <c r="F22" s="269">
        <v>44742</v>
      </c>
      <c r="G22" s="418">
        <v>410.69525099999998</v>
      </c>
      <c r="H22" s="270">
        <f t="shared" si="1"/>
        <v>-1.7411271660437544E-2</v>
      </c>
    </row>
    <row r="23" spans="1:8" ht="15" thickBot="1" x14ac:dyDescent="0.4">
      <c r="A23" s="269">
        <v>44743</v>
      </c>
      <c r="B23" s="418">
        <v>21340.25</v>
      </c>
      <c r="C23" s="270">
        <f t="shared" si="0"/>
        <v>7.3675388497651539E-4</v>
      </c>
      <c r="F23" s="269">
        <v>44743</v>
      </c>
      <c r="G23" s="418">
        <v>395.99676499999998</v>
      </c>
      <c r="H23" s="270">
        <f t="shared" si="1"/>
        <v>-3.5789276754992216E-2</v>
      </c>
    </row>
    <row r="24" spans="1:8" ht="15" thickBot="1" x14ac:dyDescent="0.4">
      <c r="A24" s="269">
        <v>44746</v>
      </c>
      <c r="B24" s="418">
        <v>21464.119140999999</v>
      </c>
      <c r="C24" s="270">
        <f t="shared" si="0"/>
        <v>5.8044840618081128E-3</v>
      </c>
      <c r="F24" s="269">
        <v>44746</v>
      </c>
      <c r="G24" s="418">
        <v>416.44058200000001</v>
      </c>
      <c r="H24" s="270">
        <f t="shared" si="1"/>
        <v>5.1626222249568254E-2</v>
      </c>
    </row>
    <row r="25" spans="1:8" ht="15" thickBot="1" x14ac:dyDescent="0.4">
      <c r="A25" s="269">
        <v>44747</v>
      </c>
      <c r="B25" s="418">
        <v>21445.919922000001</v>
      </c>
      <c r="C25" s="270">
        <f t="shared" si="0"/>
        <v>-8.4789032712895285E-4</v>
      </c>
      <c r="F25" s="269">
        <v>44747</v>
      </c>
      <c r="G25" s="418">
        <v>405.62020899999999</v>
      </c>
      <c r="H25" s="270">
        <f t="shared" si="1"/>
        <v>-2.5982993655503051E-2</v>
      </c>
    </row>
    <row r="26" spans="1:8" ht="15" thickBot="1" x14ac:dyDescent="0.4">
      <c r="A26" s="269">
        <v>44748</v>
      </c>
      <c r="B26" s="418">
        <v>21719.589843999998</v>
      </c>
      <c r="C26" s="270">
        <f t="shared" si="0"/>
        <v>1.2760931822712651E-2</v>
      </c>
      <c r="F26" s="269">
        <v>44748</v>
      </c>
      <c r="G26" s="418">
        <v>400.449432</v>
      </c>
      <c r="H26" s="270">
        <f t="shared" si="1"/>
        <v>-1.2747828844001163E-2</v>
      </c>
    </row>
    <row r="27" spans="1:8" ht="15" thickBot="1" x14ac:dyDescent="0.4">
      <c r="A27" s="269">
        <v>44749</v>
      </c>
      <c r="B27" s="418">
        <v>21929.419922000001</v>
      </c>
      <c r="C27" s="270">
        <f t="shared" si="0"/>
        <v>9.6608674246199122E-3</v>
      </c>
      <c r="F27" s="269">
        <v>44749</v>
      </c>
      <c r="G27" s="418">
        <v>408.39712500000002</v>
      </c>
      <c r="H27" s="270">
        <f t="shared" si="1"/>
        <v>1.9846932883151203E-2</v>
      </c>
    </row>
    <row r="28" spans="1:8" ht="15" thickBot="1" x14ac:dyDescent="0.4">
      <c r="A28" s="269">
        <v>44750</v>
      </c>
      <c r="B28" s="418">
        <v>22028.140625</v>
      </c>
      <c r="C28" s="270">
        <f t="shared" si="0"/>
        <v>4.5017471210426763E-3</v>
      </c>
      <c r="F28" s="269">
        <v>44750</v>
      </c>
      <c r="G28" s="418">
        <v>413.85519399999998</v>
      </c>
      <c r="H28" s="270">
        <f t="shared" si="1"/>
        <v>1.3364611712190611E-2</v>
      </c>
    </row>
    <row r="29" spans="1:8" ht="15" thickBot="1" x14ac:dyDescent="0.4">
      <c r="A29" s="269">
        <v>44753</v>
      </c>
      <c r="B29" s="418">
        <v>22123.359375</v>
      </c>
      <c r="C29" s="270">
        <f t="shared" si="0"/>
        <v>4.3225958841000001E-3</v>
      </c>
      <c r="F29" s="269">
        <v>44753</v>
      </c>
      <c r="G29" s="418">
        <v>414.28607199999999</v>
      </c>
      <c r="H29" s="270">
        <f t="shared" si="1"/>
        <v>1.0411322758463459E-3</v>
      </c>
    </row>
    <row r="30" spans="1:8" ht="15" thickBot="1" x14ac:dyDescent="0.4">
      <c r="A30" s="269">
        <v>44754</v>
      </c>
      <c r="B30" s="418">
        <v>21955.570313</v>
      </c>
      <c r="C30" s="270">
        <f t="shared" si="0"/>
        <v>-7.5842488094103322E-3</v>
      </c>
      <c r="F30" s="269">
        <v>44754</v>
      </c>
      <c r="G30" s="418">
        <v>422.61682100000002</v>
      </c>
      <c r="H30" s="270">
        <f t="shared" si="1"/>
        <v>2.0108687119947399E-2</v>
      </c>
    </row>
    <row r="31" spans="1:8" ht="15" thickBot="1" x14ac:dyDescent="0.4">
      <c r="A31" s="269">
        <v>44755</v>
      </c>
      <c r="B31" s="418">
        <v>21869.740234000001</v>
      </c>
      <c r="C31" s="270">
        <f t="shared" si="0"/>
        <v>-3.9092621041676434E-3</v>
      </c>
      <c r="F31" s="269">
        <v>44755</v>
      </c>
      <c r="G31" s="418">
        <v>431.95297199999999</v>
      </c>
      <c r="H31" s="270">
        <f t="shared" si="1"/>
        <v>2.2091290587792134E-2</v>
      </c>
    </row>
    <row r="32" spans="1:8" ht="15" thickBot="1" x14ac:dyDescent="0.4">
      <c r="A32" s="269">
        <v>44756</v>
      </c>
      <c r="B32" s="418">
        <v>21830.490234000001</v>
      </c>
      <c r="C32" s="270">
        <f t="shared" si="0"/>
        <v>-1.7947172476689977E-3</v>
      </c>
      <c r="F32" s="269">
        <v>44756</v>
      </c>
      <c r="G32" s="418">
        <v>425.48947099999998</v>
      </c>
      <c r="H32" s="270">
        <f t="shared" si="1"/>
        <v>-1.4963436806727182E-2</v>
      </c>
    </row>
    <row r="33" spans="1:8" ht="15" thickBot="1" x14ac:dyDescent="0.4">
      <c r="A33" s="269">
        <v>44757</v>
      </c>
      <c r="B33" s="418">
        <v>21971.449218999998</v>
      </c>
      <c r="C33" s="270">
        <f t="shared" si="0"/>
        <v>6.45697753413077E-3</v>
      </c>
      <c r="F33" s="269">
        <v>44757</v>
      </c>
      <c r="G33" s="418">
        <v>427.069458</v>
      </c>
      <c r="H33" s="270">
        <f t="shared" si="1"/>
        <v>3.7133398302118259E-3</v>
      </c>
    </row>
    <row r="34" spans="1:8" ht="15" thickBot="1" x14ac:dyDescent="0.4">
      <c r="A34" s="269">
        <v>44760</v>
      </c>
      <c r="B34" s="418">
        <v>22277.589843999998</v>
      </c>
      <c r="C34" s="270">
        <f t="shared" si="0"/>
        <v>1.3933565417034943E-2</v>
      </c>
      <c r="F34" s="269">
        <v>44760</v>
      </c>
      <c r="G34" s="418">
        <v>435.256531</v>
      </c>
      <c r="H34" s="270">
        <f t="shared" si="1"/>
        <v>1.9170354720144944E-2</v>
      </c>
    </row>
    <row r="35" spans="1:8" ht="15" thickBot="1" x14ac:dyDescent="0.4">
      <c r="A35" s="269">
        <v>44761</v>
      </c>
      <c r="B35" s="418">
        <v>22383.949218999998</v>
      </c>
      <c r="C35" s="270">
        <f t="shared" si="0"/>
        <v>4.7742765597529324E-3</v>
      </c>
      <c r="F35" s="269">
        <v>44761</v>
      </c>
      <c r="G35" s="418">
        <v>437.26739500000002</v>
      </c>
      <c r="H35" s="270">
        <f t="shared" si="1"/>
        <v>4.6199513546185678E-3</v>
      </c>
    </row>
    <row r="36" spans="1:8" ht="15" thickBot="1" x14ac:dyDescent="0.4">
      <c r="A36" s="269">
        <v>44762</v>
      </c>
      <c r="B36" s="418">
        <v>22558.199218999998</v>
      </c>
      <c r="C36" s="270">
        <f t="shared" si="0"/>
        <v>7.7845959305560264E-3</v>
      </c>
      <c r="F36" s="269">
        <v>44762</v>
      </c>
      <c r="G36" s="418">
        <v>443.25213600000001</v>
      </c>
      <c r="H36" s="270">
        <f t="shared" si="1"/>
        <v>1.3686684780144676E-2</v>
      </c>
    </row>
    <row r="37" spans="1:8" ht="15" thickBot="1" x14ac:dyDescent="0.4">
      <c r="A37" s="269">
        <v>44763</v>
      </c>
      <c r="B37" s="418">
        <v>22734.070313</v>
      </c>
      <c r="C37" s="270">
        <f t="shared" si="0"/>
        <v>7.7963268385301543E-3</v>
      </c>
      <c r="F37" s="269">
        <v>44763</v>
      </c>
      <c r="G37" s="418">
        <v>446.84295700000001</v>
      </c>
      <c r="H37" s="270">
        <f t="shared" si="1"/>
        <v>8.1010799686254131E-3</v>
      </c>
    </row>
    <row r="38" spans="1:8" ht="15" thickBot="1" x14ac:dyDescent="0.4">
      <c r="A38" s="269">
        <v>44764</v>
      </c>
      <c r="B38" s="418">
        <v>22828.470702999999</v>
      </c>
      <c r="C38" s="270">
        <f t="shared" si="0"/>
        <v>4.1523752104355438E-3</v>
      </c>
      <c r="F38" s="269">
        <v>44764</v>
      </c>
      <c r="G38" s="418">
        <v>454.407623</v>
      </c>
      <c r="H38" s="270">
        <f t="shared" si="1"/>
        <v>1.6929137813399553E-2</v>
      </c>
    </row>
    <row r="39" spans="1:8" ht="15" thickBot="1" x14ac:dyDescent="0.4">
      <c r="A39" s="269">
        <v>44767</v>
      </c>
      <c r="B39" s="418">
        <v>22739.169922000001</v>
      </c>
      <c r="C39" s="270">
        <f t="shared" si="0"/>
        <v>-3.9118161773430415E-3</v>
      </c>
      <c r="F39" s="269">
        <v>44767</v>
      </c>
      <c r="G39" s="418">
        <v>445.933289</v>
      </c>
      <c r="H39" s="270">
        <f t="shared" si="1"/>
        <v>-1.8649189782628306E-2</v>
      </c>
    </row>
    <row r="40" spans="1:8" ht="15" thickBot="1" x14ac:dyDescent="0.4">
      <c r="A40" s="269">
        <v>44768</v>
      </c>
      <c r="B40" s="418">
        <v>22514.589843999998</v>
      </c>
      <c r="C40" s="270">
        <f t="shared" si="0"/>
        <v>-9.8763533924218772E-3</v>
      </c>
      <c r="F40" s="269">
        <v>44768</v>
      </c>
      <c r="G40" s="418">
        <v>441.76791400000002</v>
      </c>
      <c r="H40" s="270">
        <f t="shared" si="1"/>
        <v>-9.3408029917227964E-3</v>
      </c>
    </row>
    <row r="41" spans="1:8" ht="15" thickBot="1" x14ac:dyDescent="0.4">
      <c r="A41" s="269">
        <v>44769</v>
      </c>
      <c r="B41" s="418">
        <v>22718.330077999999</v>
      </c>
      <c r="C41" s="270">
        <f t="shared" si="0"/>
        <v>9.0492536356061581E-3</v>
      </c>
      <c r="F41" s="269">
        <v>44769</v>
      </c>
      <c r="G41" s="418">
        <v>446.84295700000001</v>
      </c>
      <c r="H41" s="270">
        <f t="shared" si="1"/>
        <v>1.1488029888924833E-2</v>
      </c>
    </row>
    <row r="42" spans="1:8" ht="15" thickBot="1" x14ac:dyDescent="0.4">
      <c r="A42" s="269">
        <v>44770</v>
      </c>
      <c r="B42" s="418">
        <v>23047.5</v>
      </c>
      <c r="C42" s="270">
        <f t="shared" si="0"/>
        <v>1.448917771992253E-2</v>
      </c>
      <c r="F42" s="269">
        <v>44770</v>
      </c>
      <c r="G42" s="418">
        <v>453.01916499999999</v>
      </c>
      <c r="H42" s="270">
        <f t="shared" si="1"/>
        <v>1.3821876127276589E-2</v>
      </c>
    </row>
    <row r="43" spans="1:8" ht="15" thickBot="1" x14ac:dyDescent="0.4">
      <c r="A43" s="269">
        <v>44771</v>
      </c>
      <c r="B43" s="418">
        <v>23359.640625</v>
      </c>
      <c r="C43" s="270">
        <f t="shared" si="0"/>
        <v>1.3543361535958365E-2</v>
      </c>
      <c r="F43" s="269">
        <v>44771</v>
      </c>
      <c r="G43" s="418">
        <v>460.15295400000002</v>
      </c>
      <c r="H43" s="270">
        <f t="shared" si="1"/>
        <v>1.5747212372350772E-2</v>
      </c>
    </row>
    <row r="44" spans="1:8" ht="15" thickBot="1" x14ac:dyDescent="0.4">
      <c r="A44" s="269">
        <v>44774</v>
      </c>
      <c r="B44" s="418">
        <v>23649.800781000002</v>
      </c>
      <c r="C44" s="270">
        <f t="shared" si="0"/>
        <v>1.2421430648614784E-2</v>
      </c>
      <c r="F44" s="269">
        <v>44774</v>
      </c>
      <c r="G44" s="418">
        <v>471.212738</v>
      </c>
      <c r="H44" s="270">
        <f t="shared" si="1"/>
        <v>2.4035016843551471E-2</v>
      </c>
    </row>
    <row r="45" spans="1:8" ht="15" thickBot="1" x14ac:dyDescent="0.4">
      <c r="A45" s="269">
        <v>44775</v>
      </c>
      <c r="B45" s="418">
        <v>23685.509765999999</v>
      </c>
      <c r="C45" s="270">
        <f t="shared" si="0"/>
        <v>1.5099063764074661E-3</v>
      </c>
      <c r="F45" s="269">
        <v>44775</v>
      </c>
      <c r="G45" s="418">
        <v>466.47283900000002</v>
      </c>
      <c r="H45" s="270">
        <f t="shared" si="1"/>
        <v>-1.0058936479768854E-2</v>
      </c>
    </row>
    <row r="46" spans="1:8" ht="15" thickBot="1" x14ac:dyDescent="0.4">
      <c r="A46" s="269">
        <v>44776</v>
      </c>
      <c r="B46" s="418">
        <v>23696.300781000002</v>
      </c>
      <c r="C46" s="270">
        <f t="shared" si="0"/>
        <v>4.5559564082053861E-4</v>
      </c>
      <c r="F46" s="269">
        <v>44776</v>
      </c>
      <c r="G46" s="418">
        <v>457.23242199999999</v>
      </c>
      <c r="H46" s="270">
        <f t="shared" si="1"/>
        <v>-1.9809121190869639E-2</v>
      </c>
    </row>
    <row r="47" spans="1:8" ht="15" thickBot="1" x14ac:dyDescent="0.4">
      <c r="A47" s="269">
        <v>44777</v>
      </c>
      <c r="B47" s="418">
        <v>23721.330077999999</v>
      </c>
      <c r="C47" s="270">
        <f t="shared" si="0"/>
        <v>1.0562533465166002E-3</v>
      </c>
      <c r="F47" s="269">
        <v>44777</v>
      </c>
      <c r="G47" s="418">
        <v>476.57504299999999</v>
      </c>
      <c r="H47" s="270">
        <f t="shared" si="1"/>
        <v>4.2303695165344157E-2</v>
      </c>
    </row>
    <row r="48" spans="1:8" ht="15" thickBot="1" x14ac:dyDescent="0.4">
      <c r="A48" s="269">
        <v>44778</v>
      </c>
      <c r="B48" s="418">
        <v>23731.669922000001</v>
      </c>
      <c r="C48" s="270">
        <f t="shared" si="0"/>
        <v>4.3588803688510147E-4</v>
      </c>
      <c r="F48" s="269">
        <v>44778</v>
      </c>
      <c r="G48" s="418">
        <v>468.05276500000002</v>
      </c>
      <c r="H48" s="270">
        <f t="shared" si="1"/>
        <v>-1.7882342193902834E-2</v>
      </c>
    </row>
    <row r="49" spans="1:8" ht="15" thickBot="1" x14ac:dyDescent="0.4">
      <c r="A49" s="269">
        <v>44781</v>
      </c>
      <c r="B49" s="418">
        <v>23888.769531000002</v>
      </c>
      <c r="C49" s="270">
        <f t="shared" si="0"/>
        <v>6.6198295154258346E-3</v>
      </c>
      <c r="F49" s="269">
        <v>44781</v>
      </c>
      <c r="G49" s="418">
        <v>464.65347300000002</v>
      </c>
      <c r="H49" s="270">
        <f t="shared" si="1"/>
        <v>-7.2626256144432411E-3</v>
      </c>
    </row>
    <row r="50" spans="1:8" ht="15" thickBot="1" x14ac:dyDescent="0.4">
      <c r="A50" s="269">
        <v>44783</v>
      </c>
      <c r="B50" s="418">
        <v>23885.710938</v>
      </c>
      <c r="C50" s="270">
        <f t="shared" si="0"/>
        <v>-1.280347652913294E-4</v>
      </c>
      <c r="F50" s="269">
        <v>44783</v>
      </c>
      <c r="G50" s="418">
        <v>468.24429300000003</v>
      </c>
      <c r="H50" s="270">
        <f t="shared" si="1"/>
        <v>7.7279525682141248E-3</v>
      </c>
    </row>
    <row r="51" spans="1:8" ht="15" thickBot="1" x14ac:dyDescent="0.4">
      <c r="A51" s="269">
        <v>44784</v>
      </c>
      <c r="B51" s="418">
        <v>24063.880859000001</v>
      </c>
      <c r="C51" s="270">
        <f t="shared" si="0"/>
        <v>7.4592680729694827E-3</v>
      </c>
      <c r="F51" s="269">
        <v>44784</v>
      </c>
      <c r="G51" s="418">
        <v>452.30102499999998</v>
      </c>
      <c r="H51" s="270">
        <f t="shared" si="1"/>
        <v>-3.4049038585933222E-2</v>
      </c>
    </row>
    <row r="52" spans="1:8" ht="15" thickBot="1" x14ac:dyDescent="0.4">
      <c r="A52" s="269">
        <v>44785</v>
      </c>
      <c r="B52" s="418">
        <v>24136.400390999999</v>
      </c>
      <c r="C52" s="270">
        <f t="shared" si="0"/>
        <v>3.0136257914890052E-3</v>
      </c>
      <c r="F52" s="269">
        <v>44785</v>
      </c>
      <c r="G52" s="418">
        <v>457.04092400000002</v>
      </c>
      <c r="H52" s="270">
        <f t="shared" si="1"/>
        <v>1.0479523012356662E-2</v>
      </c>
    </row>
    <row r="53" spans="1:8" ht="15" thickBot="1" x14ac:dyDescent="0.4">
      <c r="A53" s="269">
        <v>44789</v>
      </c>
      <c r="B53" s="418">
        <v>24357.789063</v>
      </c>
      <c r="C53" s="270">
        <f t="shared" si="0"/>
        <v>9.1723980549540673E-3</v>
      </c>
      <c r="F53" s="269">
        <v>44789</v>
      </c>
      <c r="G53" s="418">
        <v>470.159424</v>
      </c>
      <c r="H53" s="270">
        <f t="shared" si="1"/>
        <v>2.8703118935581307E-2</v>
      </c>
    </row>
    <row r="54" spans="1:8" ht="15" thickBot="1" x14ac:dyDescent="0.4">
      <c r="A54" s="269">
        <v>44790</v>
      </c>
      <c r="B54" s="418">
        <v>24520.679688</v>
      </c>
      <c r="C54" s="270">
        <f t="shared" si="0"/>
        <v>6.6874142221484689E-3</v>
      </c>
      <c r="F54" s="269">
        <v>44790</v>
      </c>
      <c r="G54" s="418">
        <v>509.75430299999999</v>
      </c>
      <c r="H54" s="270">
        <f t="shared" si="1"/>
        <v>8.4215857385430137E-2</v>
      </c>
    </row>
    <row r="55" spans="1:8" ht="15" thickBot="1" x14ac:dyDescent="0.4">
      <c r="A55" s="269">
        <v>44791</v>
      </c>
      <c r="B55" s="418">
        <v>24560.740234000001</v>
      </c>
      <c r="C55" s="270">
        <f t="shared" si="0"/>
        <v>1.6337453329080542E-3</v>
      </c>
      <c r="F55" s="269">
        <v>44791</v>
      </c>
      <c r="G55" s="418">
        <v>519.95721400000002</v>
      </c>
      <c r="H55" s="270">
        <f t="shared" si="1"/>
        <v>2.0015350414805733E-2</v>
      </c>
    </row>
    <row r="56" spans="1:8" ht="15" thickBot="1" x14ac:dyDescent="0.4">
      <c r="A56" s="269">
        <v>44792</v>
      </c>
      <c r="B56" s="418">
        <v>24299.199218999998</v>
      </c>
      <c r="C56" s="270">
        <f t="shared" si="0"/>
        <v>-1.0648743177453013E-2</v>
      </c>
      <c r="F56" s="269">
        <v>44792</v>
      </c>
      <c r="G56" s="418">
        <v>509.36187699999999</v>
      </c>
      <c r="H56" s="270">
        <f t="shared" si="1"/>
        <v>-2.0377324738877545E-2</v>
      </c>
    </row>
    <row r="57" spans="1:8" ht="15" thickBot="1" x14ac:dyDescent="0.4">
      <c r="A57" s="269">
        <v>44795</v>
      </c>
      <c r="B57" s="418">
        <v>23925.669922000001</v>
      </c>
      <c r="C57" s="270">
        <f t="shared" si="0"/>
        <v>-1.5372082579080515E-2</v>
      </c>
      <c r="F57" s="269">
        <v>44795</v>
      </c>
      <c r="G57" s="418">
        <v>491.40863000000002</v>
      </c>
      <c r="H57" s="270">
        <f t="shared" si="1"/>
        <v>-3.5246546337035722E-2</v>
      </c>
    </row>
    <row r="58" spans="1:8" ht="15" thickBot="1" x14ac:dyDescent="0.4">
      <c r="A58" s="269">
        <v>44796</v>
      </c>
      <c r="B58" s="418">
        <v>24065.789063</v>
      </c>
      <c r="C58" s="270">
        <f t="shared" si="0"/>
        <v>5.8564354292607312E-3</v>
      </c>
      <c r="F58" s="269">
        <v>44796</v>
      </c>
      <c r="G58" s="418">
        <v>493.12545799999998</v>
      </c>
      <c r="H58" s="270">
        <f t="shared" si="1"/>
        <v>3.493687117379185E-3</v>
      </c>
    </row>
    <row r="59" spans="1:8" ht="15" thickBot="1" x14ac:dyDescent="0.4">
      <c r="A59" s="269">
        <v>44797</v>
      </c>
      <c r="B59" s="418">
        <v>24135.990234000001</v>
      </c>
      <c r="C59" s="270">
        <f t="shared" si="0"/>
        <v>2.9170525352908427E-3</v>
      </c>
      <c r="F59" s="269">
        <v>44797</v>
      </c>
      <c r="G59" s="418">
        <v>497.39306599999998</v>
      </c>
      <c r="H59" s="270">
        <f t="shared" si="1"/>
        <v>8.6542033690744091E-3</v>
      </c>
    </row>
    <row r="60" spans="1:8" ht="15" thickBot="1" x14ac:dyDescent="0.4">
      <c r="A60" s="269">
        <v>44798</v>
      </c>
      <c r="B60" s="418">
        <v>24074.380859000001</v>
      </c>
      <c r="C60" s="270">
        <f t="shared" si="0"/>
        <v>-2.5525936331053378E-3</v>
      </c>
      <c r="F60" s="269">
        <v>44798</v>
      </c>
      <c r="G60" s="418">
        <v>493.81222500000001</v>
      </c>
      <c r="H60" s="270">
        <f t="shared" si="1"/>
        <v>-7.1992177711620586E-3</v>
      </c>
    </row>
    <row r="61" spans="1:8" ht="15" thickBot="1" x14ac:dyDescent="0.4">
      <c r="A61" s="269">
        <v>44799</v>
      </c>
      <c r="B61" s="418">
        <v>24141.169922000001</v>
      </c>
      <c r="C61" s="270">
        <f t="shared" si="0"/>
        <v>2.7742795709335688E-3</v>
      </c>
      <c r="F61" s="269">
        <v>44799</v>
      </c>
      <c r="G61" s="418">
        <v>491.45770299999998</v>
      </c>
      <c r="H61" s="270">
        <f t="shared" si="1"/>
        <v>-4.7680512567302991E-3</v>
      </c>
    </row>
    <row r="62" spans="1:8" ht="15" thickBot="1" x14ac:dyDescent="0.4">
      <c r="A62" s="269">
        <v>44802</v>
      </c>
      <c r="B62" s="418">
        <v>23872.060547000001</v>
      </c>
      <c r="C62" s="270">
        <f t="shared" si="0"/>
        <v>-1.1147321189051373E-2</v>
      </c>
      <c r="F62" s="269">
        <v>44802</v>
      </c>
      <c r="G62" s="418">
        <v>479.39074699999998</v>
      </c>
      <c r="H62" s="270">
        <f t="shared" si="1"/>
        <v>-2.4553396815920947E-2</v>
      </c>
    </row>
    <row r="63" spans="1:8" ht="15" thickBot="1" x14ac:dyDescent="0.4">
      <c r="A63" s="269">
        <v>44803</v>
      </c>
      <c r="B63" s="418">
        <v>24437.220702999999</v>
      </c>
      <c r="C63" s="270">
        <f t="shared" si="0"/>
        <v>2.3674544343890824E-2</v>
      </c>
      <c r="F63" s="269">
        <v>44803</v>
      </c>
      <c r="G63" s="418">
        <v>492.04629499999999</v>
      </c>
      <c r="H63" s="270">
        <f t="shared" si="1"/>
        <v>2.6399232941390016E-2</v>
      </c>
    </row>
    <row r="64" spans="1:8" ht="15" thickBot="1" x14ac:dyDescent="0.4">
      <c r="A64" s="269">
        <v>44805</v>
      </c>
      <c r="B64" s="418">
        <v>24249.539063</v>
      </c>
      <c r="C64" s="270">
        <f t="shared" si="0"/>
        <v>-7.6801548867199143E-3</v>
      </c>
      <c r="F64" s="269">
        <v>44805</v>
      </c>
      <c r="G64" s="418">
        <v>490.86908</v>
      </c>
      <c r="H64" s="270">
        <f t="shared" si="1"/>
        <v>-2.3924882921839696E-3</v>
      </c>
    </row>
    <row r="65" spans="1:8" ht="15" thickBot="1" x14ac:dyDescent="0.4">
      <c r="A65" s="269">
        <v>44806</v>
      </c>
      <c r="B65" s="418">
        <v>24232.240234000001</v>
      </c>
      <c r="C65" s="270">
        <f t="shared" si="0"/>
        <v>-7.133673326762402E-4</v>
      </c>
      <c r="F65" s="269">
        <v>44806</v>
      </c>
      <c r="G65" s="418">
        <v>489.98611499999998</v>
      </c>
      <c r="H65" s="270">
        <f t="shared" si="1"/>
        <v>-1.7987790145592708E-3</v>
      </c>
    </row>
    <row r="66" spans="1:8" ht="15" thickBot="1" x14ac:dyDescent="0.4">
      <c r="A66" s="269">
        <v>44809</v>
      </c>
      <c r="B66" s="418">
        <v>24376.099609000001</v>
      </c>
      <c r="C66" s="270">
        <f t="shared" si="0"/>
        <v>5.9366931662452327E-3</v>
      </c>
      <c r="F66" s="269">
        <v>44809</v>
      </c>
      <c r="G66" s="418">
        <v>489.83895899999999</v>
      </c>
      <c r="H66" s="270">
        <f t="shared" si="1"/>
        <v>-3.003268776299306E-4</v>
      </c>
    </row>
    <row r="67" spans="1:8" ht="15" thickBot="1" x14ac:dyDescent="0.4">
      <c r="A67" s="269">
        <v>44810</v>
      </c>
      <c r="B67" s="418">
        <v>24411.210938</v>
      </c>
      <c r="C67" s="270">
        <f t="shared" si="0"/>
        <v>1.4403997999350437E-3</v>
      </c>
      <c r="F67" s="269">
        <v>44810</v>
      </c>
      <c r="G67" s="418">
        <v>489.69180299999999</v>
      </c>
      <c r="H67" s="270">
        <f t="shared" si="1"/>
        <v>-3.0041710095984886E-4</v>
      </c>
    </row>
    <row r="68" spans="1:8" ht="15" thickBot="1" x14ac:dyDescent="0.4">
      <c r="A68" s="269">
        <v>44811</v>
      </c>
      <c r="B68" s="418">
        <v>24418.890625</v>
      </c>
      <c r="C68" s="270">
        <f t="shared" si="0"/>
        <v>3.1459672441092046E-4</v>
      </c>
      <c r="F68" s="269">
        <v>44811</v>
      </c>
      <c r="G68" s="418">
        <v>487.63159200000001</v>
      </c>
      <c r="H68" s="270">
        <f t="shared" si="1"/>
        <v>-4.2071584359356651E-3</v>
      </c>
    </row>
    <row r="69" spans="1:8" ht="15" thickBot="1" x14ac:dyDescent="0.4">
      <c r="A69" s="269">
        <v>44812</v>
      </c>
      <c r="B69" s="418">
        <v>24608.470702999999</v>
      </c>
      <c r="C69" s="270">
        <f t="shared" si="0"/>
        <v>7.7636646525582886E-3</v>
      </c>
      <c r="F69" s="269">
        <v>44812</v>
      </c>
      <c r="G69" s="418">
        <v>504.50567599999999</v>
      </c>
      <c r="H69" s="270">
        <f t="shared" si="1"/>
        <v>3.460416485894946E-2</v>
      </c>
    </row>
    <row r="70" spans="1:8" ht="15" thickBot="1" x14ac:dyDescent="0.4">
      <c r="A70" s="269">
        <v>44813</v>
      </c>
      <c r="B70" s="418">
        <v>24652.609375</v>
      </c>
      <c r="C70" s="270">
        <f t="shared" ref="C70:C133" si="2">B70/B69-1</f>
        <v>1.7936373427147601E-3</v>
      </c>
      <c r="F70" s="269">
        <v>44813</v>
      </c>
      <c r="G70" s="418">
        <v>509.26376299999998</v>
      </c>
      <c r="H70" s="270">
        <f t="shared" ref="H70:H133" si="3">G70/G69-1</f>
        <v>9.4311862608260633E-3</v>
      </c>
    </row>
    <row r="71" spans="1:8" ht="15" thickBot="1" x14ac:dyDescent="0.4">
      <c r="A71" s="269">
        <v>44816</v>
      </c>
      <c r="B71" s="418">
        <v>24829.359375</v>
      </c>
      <c r="C71" s="270">
        <f t="shared" si="2"/>
        <v>7.169626440405974E-3</v>
      </c>
      <c r="F71" s="269">
        <v>44816</v>
      </c>
      <c r="G71" s="418">
        <v>514.65954599999998</v>
      </c>
      <c r="H71" s="270">
        <f t="shared" si="3"/>
        <v>1.059526200767591E-2</v>
      </c>
    </row>
    <row r="72" spans="1:8" ht="15" thickBot="1" x14ac:dyDescent="0.4">
      <c r="A72" s="269">
        <v>44817</v>
      </c>
      <c r="B72" s="418">
        <v>24977.960938</v>
      </c>
      <c r="C72" s="270">
        <f t="shared" si="2"/>
        <v>5.9849132938010197E-3</v>
      </c>
      <c r="F72" s="269">
        <v>44817</v>
      </c>
      <c r="G72" s="418">
        <v>515.39532499999996</v>
      </c>
      <c r="H72" s="270">
        <f t="shared" si="3"/>
        <v>1.4296421891297761E-3</v>
      </c>
    </row>
    <row r="73" spans="1:8" ht="15" thickBot="1" x14ac:dyDescent="0.4">
      <c r="A73" s="269">
        <v>44818</v>
      </c>
      <c r="B73" s="418">
        <v>24914.380859000001</v>
      </c>
      <c r="C73" s="270">
        <f t="shared" si="2"/>
        <v>-2.5454471306851634E-3</v>
      </c>
      <c r="F73" s="269">
        <v>44818</v>
      </c>
      <c r="G73" s="418">
        <v>512.01074200000005</v>
      </c>
      <c r="H73" s="270">
        <f t="shared" si="3"/>
        <v>-6.5669648827332283E-3</v>
      </c>
    </row>
    <row r="74" spans="1:8" ht="15" thickBot="1" x14ac:dyDescent="0.4">
      <c r="A74" s="269">
        <v>44819</v>
      </c>
      <c r="B74" s="418">
        <v>24837.169922000001</v>
      </c>
      <c r="C74" s="270">
        <f t="shared" si="2"/>
        <v>-3.0990510033930274E-3</v>
      </c>
      <c r="F74" s="269">
        <v>44819</v>
      </c>
      <c r="G74" s="418">
        <v>521.13452099999995</v>
      </c>
      <c r="H74" s="270">
        <f t="shared" si="3"/>
        <v>1.7819506997765133E-2</v>
      </c>
    </row>
    <row r="75" spans="1:8" ht="15" thickBot="1" x14ac:dyDescent="0.4">
      <c r="A75" s="269">
        <v>44820</v>
      </c>
      <c r="B75" s="418">
        <v>24304.609375</v>
      </c>
      <c r="C75" s="270">
        <f t="shared" si="2"/>
        <v>-2.1442078492536876E-2</v>
      </c>
      <c r="F75" s="269">
        <v>44820</v>
      </c>
      <c r="G75" s="418">
        <v>518.58374000000003</v>
      </c>
      <c r="H75" s="270">
        <f t="shared" si="3"/>
        <v>-4.8946690292273054E-3</v>
      </c>
    </row>
    <row r="76" spans="1:8" ht="15" thickBot="1" x14ac:dyDescent="0.4">
      <c r="A76" s="269">
        <v>44823</v>
      </c>
      <c r="B76" s="418">
        <v>24375.519531000002</v>
      </c>
      <c r="C76" s="270">
        <f t="shared" si="2"/>
        <v>2.9175599947284248E-3</v>
      </c>
      <c r="F76" s="269">
        <v>44823</v>
      </c>
      <c r="G76" s="418">
        <v>538.25384499999996</v>
      </c>
      <c r="H76" s="270">
        <f t="shared" si="3"/>
        <v>3.7930431447773305E-2</v>
      </c>
    </row>
    <row r="77" spans="1:8" ht="15" thickBot="1" x14ac:dyDescent="0.4">
      <c r="A77" s="269">
        <v>44824</v>
      </c>
      <c r="B77" s="418">
        <v>24653.699218999998</v>
      </c>
      <c r="C77" s="270">
        <f t="shared" si="2"/>
        <v>1.1412256778618346E-2</v>
      </c>
      <c r="F77" s="269">
        <v>44824</v>
      </c>
      <c r="G77" s="418">
        <v>540.11779799999999</v>
      </c>
      <c r="H77" s="270">
        <f t="shared" si="3"/>
        <v>3.462962721613394E-3</v>
      </c>
    </row>
    <row r="78" spans="1:8" ht="15" thickBot="1" x14ac:dyDescent="0.4">
      <c r="A78" s="269">
        <v>44825</v>
      </c>
      <c r="B78" s="418">
        <v>24485.289063</v>
      </c>
      <c r="C78" s="270">
        <f t="shared" si="2"/>
        <v>-6.8310298792891855E-3</v>
      </c>
      <c r="F78" s="269">
        <v>44825</v>
      </c>
      <c r="G78" s="418">
        <v>528.73767099999998</v>
      </c>
      <c r="H78" s="270">
        <f t="shared" si="3"/>
        <v>-2.1069713018418312E-2</v>
      </c>
    </row>
    <row r="79" spans="1:8" ht="15" thickBot="1" x14ac:dyDescent="0.4">
      <c r="A79" s="269">
        <v>44826</v>
      </c>
      <c r="B79" s="418">
        <v>24448.880859000001</v>
      </c>
      <c r="C79" s="270">
        <f t="shared" si="2"/>
        <v>-1.4869419718231969E-3</v>
      </c>
      <c r="F79" s="269">
        <v>44826</v>
      </c>
      <c r="G79" s="418">
        <v>523.341858</v>
      </c>
      <c r="H79" s="270">
        <f t="shared" si="3"/>
        <v>-1.0205085235926004E-2</v>
      </c>
    </row>
    <row r="80" spans="1:8" ht="15" thickBot="1" x14ac:dyDescent="0.4">
      <c r="A80" s="269">
        <v>44827</v>
      </c>
      <c r="B80" s="418">
        <v>24005.320313</v>
      </c>
      <c r="C80" s="270">
        <f t="shared" si="2"/>
        <v>-1.8142366047676162E-2</v>
      </c>
      <c r="F80" s="269">
        <v>44827</v>
      </c>
      <c r="G80" s="418">
        <v>520.79107699999997</v>
      </c>
      <c r="H80" s="270">
        <f t="shared" si="3"/>
        <v>-4.8740244278340228E-3</v>
      </c>
    </row>
    <row r="81" spans="1:8" ht="15" thickBot="1" x14ac:dyDescent="0.4">
      <c r="A81" s="269">
        <v>44830</v>
      </c>
      <c r="B81" s="418">
        <v>23472.279297000001</v>
      </c>
      <c r="C81" s="270">
        <f t="shared" si="2"/>
        <v>-2.2205119908828452E-2</v>
      </c>
      <c r="F81" s="269">
        <v>44830</v>
      </c>
      <c r="G81" s="418">
        <v>505.73199499999998</v>
      </c>
      <c r="H81" s="270">
        <f t="shared" si="3"/>
        <v>-2.891578343996859E-2</v>
      </c>
    </row>
    <row r="82" spans="1:8" ht="15" thickBot="1" x14ac:dyDescent="0.4">
      <c r="A82" s="269">
        <v>44831</v>
      </c>
      <c r="B82" s="418">
        <v>23475.470702999999</v>
      </c>
      <c r="C82" s="270">
        <f t="shared" si="2"/>
        <v>1.3596489542488932E-4</v>
      </c>
      <c r="F82" s="269">
        <v>44831</v>
      </c>
      <c r="G82" s="418">
        <v>503.32839999999999</v>
      </c>
      <c r="H82" s="270">
        <f t="shared" si="3"/>
        <v>-4.752705036983107E-3</v>
      </c>
    </row>
    <row r="83" spans="1:8" ht="15" thickBot="1" x14ac:dyDescent="0.4">
      <c r="A83" s="269">
        <v>44832</v>
      </c>
      <c r="B83" s="418">
        <v>23303.449218999998</v>
      </c>
      <c r="C83" s="270">
        <f t="shared" si="2"/>
        <v>-7.3277118135918196E-3</v>
      </c>
      <c r="F83" s="269">
        <v>44832</v>
      </c>
      <c r="G83" s="418">
        <v>502.20019500000001</v>
      </c>
      <c r="H83" s="270">
        <f t="shared" si="3"/>
        <v>-2.2414888569768365E-3</v>
      </c>
    </row>
    <row r="84" spans="1:8" ht="15" thickBot="1" x14ac:dyDescent="0.4">
      <c r="A84" s="269">
        <v>44833</v>
      </c>
      <c r="B84" s="418">
        <v>23278.089843999998</v>
      </c>
      <c r="C84" s="270">
        <f t="shared" si="2"/>
        <v>-1.0882240977152513E-3</v>
      </c>
      <c r="F84" s="269">
        <v>44833</v>
      </c>
      <c r="G84" s="418">
        <v>496.60821499999997</v>
      </c>
      <c r="H84" s="270">
        <f t="shared" si="3"/>
        <v>-1.1134961825333467E-2</v>
      </c>
    </row>
    <row r="85" spans="1:8" ht="15" thickBot="1" x14ac:dyDescent="0.4">
      <c r="A85" s="269">
        <v>44834</v>
      </c>
      <c r="B85" s="418">
        <v>23642.460938</v>
      </c>
      <c r="C85" s="270">
        <f t="shared" si="2"/>
        <v>1.5652963642715623E-2</v>
      </c>
      <c r="F85" s="269">
        <v>44834</v>
      </c>
      <c r="G85" s="418">
        <v>513.23706100000004</v>
      </c>
      <c r="H85" s="270">
        <f t="shared" si="3"/>
        <v>3.3484838747583012E-2</v>
      </c>
    </row>
    <row r="86" spans="1:8" ht="15" thickBot="1" x14ac:dyDescent="0.4">
      <c r="A86" s="269">
        <v>44837</v>
      </c>
      <c r="B86" s="418">
        <v>23337.179688</v>
      </c>
      <c r="C86" s="270">
        <f t="shared" si="2"/>
        <v>-1.2912414270264461E-2</v>
      </c>
      <c r="F86" s="269">
        <v>44837</v>
      </c>
      <c r="G86" s="418">
        <v>502.05304000000001</v>
      </c>
      <c r="H86" s="270">
        <f t="shared" si="3"/>
        <v>-2.1791140683038113E-2</v>
      </c>
    </row>
    <row r="87" spans="1:8" ht="15" thickBot="1" x14ac:dyDescent="0.4">
      <c r="A87" s="269">
        <v>44838</v>
      </c>
      <c r="B87" s="418">
        <v>23857.669922000001</v>
      </c>
      <c r="C87" s="270">
        <f t="shared" si="2"/>
        <v>2.2303047795772635E-2</v>
      </c>
      <c r="F87" s="269">
        <v>44838</v>
      </c>
      <c r="G87" s="418">
        <v>506.46777300000002</v>
      </c>
      <c r="H87" s="270">
        <f t="shared" si="3"/>
        <v>8.7933597613512049E-3</v>
      </c>
    </row>
    <row r="88" spans="1:8" ht="15" thickBot="1" x14ac:dyDescent="0.4">
      <c r="A88" s="269">
        <v>44840</v>
      </c>
      <c r="B88" s="418">
        <v>23996.949218999998</v>
      </c>
      <c r="C88" s="270">
        <f t="shared" si="2"/>
        <v>5.8379253906755135E-3</v>
      </c>
      <c r="F88" s="269">
        <v>44840</v>
      </c>
      <c r="G88" s="418">
        <v>507.39978000000002</v>
      </c>
      <c r="H88" s="270">
        <f t="shared" si="3"/>
        <v>1.8402098804419786E-3</v>
      </c>
    </row>
    <row r="89" spans="1:8" ht="15" thickBot="1" x14ac:dyDescent="0.4">
      <c r="A89" s="269">
        <v>44841</v>
      </c>
      <c r="B89" s="418">
        <v>23966.560547000001</v>
      </c>
      <c r="C89" s="270">
        <f t="shared" si="2"/>
        <v>-1.2663556405718701E-3</v>
      </c>
      <c r="F89" s="269">
        <v>44841</v>
      </c>
      <c r="G89" s="418">
        <v>508.33178700000002</v>
      </c>
      <c r="H89" s="270">
        <f t="shared" si="3"/>
        <v>1.8368297282274071E-3</v>
      </c>
    </row>
    <row r="90" spans="1:8" ht="15" thickBot="1" x14ac:dyDescent="0.4">
      <c r="A90" s="269">
        <v>44844</v>
      </c>
      <c r="B90" s="418">
        <v>23833.570313</v>
      </c>
      <c r="C90" s="270">
        <f t="shared" si="2"/>
        <v>-5.5489912179595979E-3</v>
      </c>
      <c r="F90" s="269">
        <v>44844</v>
      </c>
      <c r="G90" s="418">
        <v>501.17010499999998</v>
      </c>
      <c r="H90" s="270">
        <f t="shared" si="3"/>
        <v>-1.4088597611150444E-2</v>
      </c>
    </row>
    <row r="91" spans="1:8" ht="15" thickBot="1" x14ac:dyDescent="0.4">
      <c r="A91" s="269">
        <v>44845</v>
      </c>
      <c r="B91" s="418">
        <v>23465.25</v>
      </c>
      <c r="C91" s="270">
        <f t="shared" si="2"/>
        <v>-1.5453845486133488E-2</v>
      </c>
      <c r="F91" s="269">
        <v>44845</v>
      </c>
      <c r="G91" s="418">
        <v>493.41980000000001</v>
      </c>
      <c r="H91" s="270">
        <f t="shared" si="3"/>
        <v>-1.5464420009649205E-2</v>
      </c>
    </row>
    <row r="92" spans="1:8" ht="15" thickBot="1" x14ac:dyDescent="0.4">
      <c r="A92" s="269">
        <v>44846</v>
      </c>
      <c r="B92" s="418">
        <v>23638.839843999998</v>
      </c>
      <c r="C92" s="270">
        <f t="shared" si="2"/>
        <v>7.3977410852217318E-3</v>
      </c>
      <c r="F92" s="269">
        <v>44846</v>
      </c>
      <c r="G92" s="418">
        <v>488.220215</v>
      </c>
      <c r="H92" s="270">
        <f t="shared" si="3"/>
        <v>-1.0537852352094479E-2</v>
      </c>
    </row>
    <row r="93" spans="1:8" ht="15" thickBot="1" x14ac:dyDescent="0.4">
      <c r="A93" s="269">
        <v>44847</v>
      </c>
      <c r="B93" s="418">
        <v>23481.480468999998</v>
      </c>
      <c r="C93" s="270">
        <f t="shared" si="2"/>
        <v>-6.6568146338171763E-3</v>
      </c>
      <c r="F93" s="269">
        <v>44847</v>
      </c>
      <c r="G93" s="418">
        <v>494.49893200000002</v>
      </c>
      <c r="H93" s="270">
        <f t="shared" si="3"/>
        <v>1.2860419964380254E-2</v>
      </c>
    </row>
    <row r="94" spans="1:8" ht="15" thickBot="1" x14ac:dyDescent="0.4">
      <c r="A94" s="269">
        <v>44848</v>
      </c>
      <c r="B94" s="418">
        <v>23619.490234000001</v>
      </c>
      <c r="C94" s="270">
        <f t="shared" si="2"/>
        <v>5.8773877218774029E-3</v>
      </c>
      <c r="F94" s="269">
        <v>44848</v>
      </c>
      <c r="G94" s="418">
        <v>498.32507299999997</v>
      </c>
      <c r="H94" s="270">
        <f t="shared" si="3"/>
        <v>7.7374100375204868E-3</v>
      </c>
    </row>
    <row r="95" spans="1:8" ht="15" thickBot="1" x14ac:dyDescent="0.4">
      <c r="A95" s="269">
        <v>44851</v>
      </c>
      <c r="B95" s="418">
        <v>23767.060547000001</v>
      </c>
      <c r="C95" s="270">
        <f t="shared" si="2"/>
        <v>6.2478195565616179E-3</v>
      </c>
      <c r="F95" s="269">
        <v>44851</v>
      </c>
      <c r="G95" s="418">
        <v>510.735321</v>
      </c>
      <c r="H95" s="270">
        <f t="shared" si="3"/>
        <v>2.4903920497694854E-2</v>
      </c>
    </row>
    <row r="96" spans="1:8" ht="15" thickBot="1" x14ac:dyDescent="0.4">
      <c r="A96" s="269">
        <v>44852</v>
      </c>
      <c r="B96" s="418">
        <v>24001.199218999998</v>
      </c>
      <c r="C96" s="270">
        <f t="shared" si="2"/>
        <v>9.8513937614195246E-3</v>
      </c>
      <c r="F96" s="269">
        <v>44852</v>
      </c>
      <c r="G96" s="418">
        <v>512.45214799999997</v>
      </c>
      <c r="H96" s="270">
        <f t="shared" si="3"/>
        <v>3.3614808481201575E-3</v>
      </c>
    </row>
    <row r="97" spans="1:8" ht="15" thickBot="1" x14ac:dyDescent="0.4">
      <c r="A97" s="269">
        <v>44853</v>
      </c>
      <c r="B97" s="418">
        <v>24018.560547000001</v>
      </c>
      <c r="C97" s="270">
        <f t="shared" si="2"/>
        <v>7.2335252257982319E-4</v>
      </c>
      <c r="F97" s="269">
        <v>44853</v>
      </c>
      <c r="G97" s="418">
        <v>501.56253099999998</v>
      </c>
      <c r="H97" s="270">
        <f t="shared" si="3"/>
        <v>-2.1250017279662137E-2</v>
      </c>
    </row>
    <row r="98" spans="1:8" ht="15" thickBot="1" x14ac:dyDescent="0.4">
      <c r="A98" s="269">
        <v>44854</v>
      </c>
      <c r="B98" s="418">
        <v>24088.669922000001</v>
      </c>
      <c r="C98" s="270">
        <f t="shared" si="2"/>
        <v>2.918966557667213E-3</v>
      </c>
      <c r="F98" s="269">
        <v>44854</v>
      </c>
      <c r="G98" s="418">
        <v>497.09875499999998</v>
      </c>
      <c r="H98" s="270">
        <f t="shared" si="3"/>
        <v>-8.8997397614615226E-3</v>
      </c>
    </row>
    <row r="99" spans="1:8" ht="15" thickBot="1" x14ac:dyDescent="0.4">
      <c r="A99" s="269">
        <v>44855</v>
      </c>
      <c r="B99" s="418">
        <v>24048.580077999999</v>
      </c>
      <c r="C99" s="270">
        <f t="shared" si="2"/>
        <v>-1.6642614195725436E-3</v>
      </c>
      <c r="F99" s="269">
        <v>44855</v>
      </c>
      <c r="G99" s="418">
        <v>492.58590700000002</v>
      </c>
      <c r="H99" s="270">
        <f t="shared" si="3"/>
        <v>-9.0783731695324166E-3</v>
      </c>
    </row>
    <row r="100" spans="1:8" ht="15" thickBot="1" x14ac:dyDescent="0.4">
      <c r="A100" s="269">
        <v>44858</v>
      </c>
      <c r="B100" s="418">
        <v>24233.630859000001</v>
      </c>
      <c r="C100" s="270">
        <f t="shared" si="2"/>
        <v>7.6948734769288762E-3</v>
      </c>
      <c r="F100" s="269">
        <v>44858</v>
      </c>
      <c r="G100" s="418">
        <v>500.28717</v>
      </c>
      <c r="H100" s="270">
        <f t="shared" si="3"/>
        <v>1.5634355125795363E-2</v>
      </c>
    </row>
    <row r="101" spans="1:8" ht="15" thickBot="1" x14ac:dyDescent="0.4">
      <c r="A101" s="269">
        <v>44859</v>
      </c>
      <c r="B101" s="418">
        <v>24169.679688</v>
      </c>
      <c r="C101" s="270">
        <f t="shared" si="2"/>
        <v>-2.6389430198096031E-3</v>
      </c>
      <c r="F101" s="269">
        <v>44859</v>
      </c>
      <c r="G101" s="418">
        <v>499.94378699999999</v>
      </c>
      <c r="H101" s="270">
        <f t="shared" si="3"/>
        <v>-6.8637178922659192E-4</v>
      </c>
    </row>
    <row r="102" spans="1:8" ht="15" thickBot="1" x14ac:dyDescent="0.4">
      <c r="A102" s="269">
        <v>44861</v>
      </c>
      <c r="B102" s="418">
        <v>24302.800781000002</v>
      </c>
      <c r="C102" s="270">
        <f t="shared" si="2"/>
        <v>5.5077723295644532E-3</v>
      </c>
      <c r="F102" s="269">
        <v>44861</v>
      </c>
      <c r="G102" s="418">
        <v>507.30163599999997</v>
      </c>
      <c r="H102" s="270">
        <f t="shared" si="3"/>
        <v>1.4717352613084822E-2</v>
      </c>
    </row>
    <row r="103" spans="1:8" ht="15" thickBot="1" x14ac:dyDescent="0.4">
      <c r="A103" s="269">
        <v>44862</v>
      </c>
      <c r="B103" s="418">
        <v>24300.480468999998</v>
      </c>
      <c r="C103" s="270">
        <f t="shared" si="2"/>
        <v>-9.547508622209655E-5</v>
      </c>
      <c r="F103" s="269">
        <v>44862</v>
      </c>
      <c r="G103" s="418">
        <v>504.79998799999998</v>
      </c>
      <c r="H103" s="270">
        <f t="shared" si="3"/>
        <v>-4.9312831311271177E-3</v>
      </c>
    </row>
    <row r="104" spans="1:8" ht="15" thickBot="1" x14ac:dyDescent="0.4">
      <c r="A104" s="269">
        <v>44865</v>
      </c>
      <c r="B104" s="418">
        <v>24589.550781000002</v>
      </c>
      <c r="C104" s="270">
        <f t="shared" si="2"/>
        <v>1.189566240753015E-2</v>
      </c>
      <c r="F104" s="269">
        <v>44865</v>
      </c>
      <c r="G104" s="418">
        <v>516.34997599999997</v>
      </c>
      <c r="H104" s="270">
        <f t="shared" si="3"/>
        <v>2.2880325425047365E-2</v>
      </c>
    </row>
    <row r="105" spans="1:8" ht="15" thickBot="1" x14ac:dyDescent="0.4">
      <c r="A105" s="269">
        <v>44866</v>
      </c>
      <c r="B105" s="418">
        <v>24778.230468999998</v>
      </c>
      <c r="C105" s="270">
        <f t="shared" si="2"/>
        <v>7.6731653083221829E-3</v>
      </c>
      <c r="F105" s="269">
        <v>44866</v>
      </c>
      <c r="G105" s="418">
        <v>514.15002400000003</v>
      </c>
      <c r="H105" s="270">
        <f t="shared" si="3"/>
        <v>-4.2605831359618929E-3</v>
      </c>
    </row>
    <row r="106" spans="1:8" ht="15" thickBot="1" x14ac:dyDescent="0.4">
      <c r="A106" s="269">
        <v>44867</v>
      </c>
      <c r="B106" s="418">
        <v>24713.330077999999</v>
      </c>
      <c r="C106" s="270">
        <f t="shared" si="2"/>
        <v>-2.6192504376451042E-3</v>
      </c>
      <c r="F106" s="269">
        <v>44867</v>
      </c>
      <c r="G106" s="418">
        <v>515.09997599999997</v>
      </c>
      <c r="H106" s="270">
        <f t="shared" si="3"/>
        <v>1.8476163680971602E-3</v>
      </c>
    </row>
    <row r="107" spans="1:8" ht="15" thickBot="1" x14ac:dyDescent="0.4">
      <c r="A107" s="269">
        <v>44868</v>
      </c>
      <c r="B107" s="418">
        <v>24699.029297000001</v>
      </c>
      <c r="C107" s="270">
        <f t="shared" si="2"/>
        <v>-5.7866669343475952E-4</v>
      </c>
      <c r="F107" s="269">
        <v>44868</v>
      </c>
      <c r="G107" s="418">
        <v>521.84997599999997</v>
      </c>
      <c r="H107" s="270">
        <f t="shared" si="3"/>
        <v>1.3104252212195799E-2</v>
      </c>
    </row>
    <row r="108" spans="1:8" ht="15" thickBot="1" x14ac:dyDescent="0.4">
      <c r="A108" s="269">
        <v>44869</v>
      </c>
      <c r="B108" s="418">
        <v>24768.890625</v>
      </c>
      <c r="C108" s="270">
        <f t="shared" si="2"/>
        <v>2.8285050055989469E-3</v>
      </c>
      <c r="F108" s="269">
        <v>44869</v>
      </c>
      <c r="G108" s="418">
        <v>534.59997599999997</v>
      </c>
      <c r="H108" s="270">
        <f t="shared" si="3"/>
        <v>2.4432309258168861E-2</v>
      </c>
    </row>
    <row r="109" spans="1:8" ht="15" thickBot="1" x14ac:dyDescent="0.4">
      <c r="A109" s="269">
        <v>44872</v>
      </c>
      <c r="B109" s="418">
        <v>24902.619140999999</v>
      </c>
      <c r="C109" s="270">
        <f t="shared" si="2"/>
        <v>5.3990514966795189E-3</v>
      </c>
      <c r="F109" s="269">
        <v>44872</v>
      </c>
      <c r="G109" s="418">
        <v>548.54998799999998</v>
      </c>
      <c r="H109" s="270">
        <f t="shared" si="3"/>
        <v>2.6094299712426494E-2</v>
      </c>
    </row>
    <row r="110" spans="1:8" ht="15" thickBot="1" x14ac:dyDescent="0.4">
      <c r="A110" s="269">
        <v>44874</v>
      </c>
      <c r="B110" s="418">
        <v>24830.419922000001</v>
      </c>
      <c r="C110" s="270">
        <f t="shared" si="2"/>
        <v>-2.8992620652149581E-3</v>
      </c>
      <c r="F110" s="269">
        <v>44874</v>
      </c>
      <c r="G110" s="418">
        <v>541.25</v>
      </c>
      <c r="H110" s="270">
        <f t="shared" si="3"/>
        <v>-1.3307789918318269E-2</v>
      </c>
    </row>
    <row r="111" spans="1:8" ht="15" thickBot="1" x14ac:dyDescent="0.4">
      <c r="A111" s="269">
        <v>44875</v>
      </c>
      <c r="B111" s="418">
        <v>24630.730468999998</v>
      </c>
      <c r="C111" s="270">
        <f t="shared" si="2"/>
        <v>-8.0421295180382879E-3</v>
      </c>
      <c r="F111" s="269">
        <v>44875</v>
      </c>
      <c r="G111" s="418">
        <v>540.75</v>
      </c>
      <c r="H111" s="270">
        <f t="shared" si="3"/>
        <v>-9.2378752886834725E-4</v>
      </c>
    </row>
    <row r="112" spans="1:8" ht="15" thickBot="1" x14ac:dyDescent="0.4">
      <c r="A112" s="269">
        <v>44876</v>
      </c>
      <c r="B112" s="418">
        <v>24959.570313</v>
      </c>
      <c r="C112" s="270">
        <f t="shared" si="2"/>
        <v>1.3350795438806573E-2</v>
      </c>
      <c r="F112" s="269">
        <v>44876</v>
      </c>
      <c r="G112" s="418">
        <v>562.75</v>
      </c>
      <c r="H112" s="270">
        <f t="shared" si="3"/>
        <v>4.0684234858992196E-2</v>
      </c>
    </row>
    <row r="113" spans="1:8" ht="15" thickBot="1" x14ac:dyDescent="0.4">
      <c r="A113" s="269">
        <v>44879</v>
      </c>
      <c r="B113" s="418">
        <v>24956.890625</v>
      </c>
      <c r="C113" s="270">
        <f t="shared" si="2"/>
        <v>-1.0736114309650713E-4</v>
      </c>
      <c r="F113" s="269">
        <v>44879</v>
      </c>
      <c r="G113" s="418">
        <v>567.40002400000003</v>
      </c>
      <c r="H113" s="270">
        <f t="shared" si="3"/>
        <v>8.2630368725011838E-3</v>
      </c>
    </row>
    <row r="114" spans="1:8" ht="15" thickBot="1" x14ac:dyDescent="0.4">
      <c r="A114" s="269">
        <v>44880</v>
      </c>
      <c r="B114" s="418">
        <v>25021.619140999999</v>
      </c>
      <c r="C114" s="270">
        <f t="shared" si="2"/>
        <v>2.5936130014192482E-3</v>
      </c>
      <c r="F114" s="269">
        <v>44880</v>
      </c>
      <c r="G114" s="418">
        <v>557.5</v>
      </c>
      <c r="H114" s="270">
        <f t="shared" si="3"/>
        <v>-1.7448050019821748E-2</v>
      </c>
    </row>
    <row r="115" spans="1:8" ht="15" thickBot="1" x14ac:dyDescent="0.4">
      <c r="A115" s="269">
        <v>44881</v>
      </c>
      <c r="B115" s="418">
        <v>24966.660156000002</v>
      </c>
      <c r="C115" s="270">
        <f t="shared" si="2"/>
        <v>-2.1964599768822257E-3</v>
      </c>
      <c r="F115" s="269">
        <v>44881</v>
      </c>
      <c r="G115" s="418">
        <v>550.15002400000003</v>
      </c>
      <c r="H115" s="270">
        <f t="shared" si="3"/>
        <v>-1.318381345291475E-2</v>
      </c>
    </row>
    <row r="116" spans="1:8" ht="15" thickBot="1" x14ac:dyDescent="0.4">
      <c r="A116" s="269">
        <v>44882</v>
      </c>
      <c r="B116" s="418">
        <v>24860.839843999998</v>
      </c>
      <c r="C116" s="270">
        <f t="shared" si="2"/>
        <v>-4.2384648703031047E-3</v>
      </c>
      <c r="F116" s="269">
        <v>44882</v>
      </c>
      <c r="G116" s="418">
        <v>545.04998799999998</v>
      </c>
      <c r="H116" s="270">
        <f t="shared" si="3"/>
        <v>-9.2702640689151794E-3</v>
      </c>
    </row>
    <row r="117" spans="1:8" ht="15" thickBot="1" x14ac:dyDescent="0.4">
      <c r="A117" s="269">
        <v>44883</v>
      </c>
      <c r="B117" s="418">
        <v>24788.609375</v>
      </c>
      <c r="C117" s="270">
        <f t="shared" si="2"/>
        <v>-2.9053913485320715E-3</v>
      </c>
      <c r="F117" s="269">
        <v>44883</v>
      </c>
      <c r="G117" s="418">
        <v>540.70001200000002</v>
      </c>
      <c r="H117" s="270">
        <f t="shared" si="3"/>
        <v>-7.9808753247784248E-3</v>
      </c>
    </row>
    <row r="118" spans="1:8" ht="15" thickBot="1" x14ac:dyDescent="0.4">
      <c r="A118" s="269">
        <v>44886</v>
      </c>
      <c r="B118" s="418">
        <v>24627.769531000002</v>
      </c>
      <c r="C118" s="270">
        <f t="shared" si="2"/>
        <v>-6.4884577253538911E-3</v>
      </c>
      <c r="F118" s="269">
        <v>44886</v>
      </c>
      <c r="G118" s="418">
        <v>530.79998799999998</v>
      </c>
      <c r="H118" s="270">
        <f t="shared" si="3"/>
        <v>-1.8309642648944524E-2</v>
      </c>
    </row>
    <row r="119" spans="1:8" ht="15" thickBot="1" x14ac:dyDescent="0.4">
      <c r="A119" s="269">
        <v>44887</v>
      </c>
      <c r="B119" s="418">
        <v>24715.509765999999</v>
      </c>
      <c r="C119" s="270">
        <f t="shared" si="2"/>
        <v>3.5626545428548706E-3</v>
      </c>
      <c r="F119" s="269">
        <v>44887</v>
      </c>
      <c r="G119" s="418">
        <v>525.75</v>
      </c>
      <c r="H119" s="270">
        <f t="shared" si="3"/>
        <v>-9.5139188284985021E-3</v>
      </c>
    </row>
    <row r="120" spans="1:8" ht="15" thickBot="1" x14ac:dyDescent="0.4">
      <c r="A120" s="269">
        <v>44888</v>
      </c>
      <c r="B120" s="418">
        <v>24760.119140999999</v>
      </c>
      <c r="C120" s="270">
        <f t="shared" si="2"/>
        <v>1.8049142187375189E-3</v>
      </c>
      <c r="F120" s="269">
        <v>44888</v>
      </c>
      <c r="G120" s="418">
        <v>524</v>
      </c>
      <c r="H120" s="270">
        <f t="shared" si="3"/>
        <v>-3.3285782215881632E-3</v>
      </c>
    </row>
    <row r="121" spans="1:8" ht="15" thickBot="1" x14ac:dyDescent="0.4">
      <c r="A121" s="269">
        <v>44889</v>
      </c>
      <c r="B121" s="418">
        <v>24990.949218999998</v>
      </c>
      <c r="C121" s="270">
        <f t="shared" si="2"/>
        <v>9.3226561910104699E-3</v>
      </c>
      <c r="F121" s="269">
        <v>44889</v>
      </c>
      <c r="G121" s="418">
        <v>519.20001200000002</v>
      </c>
      <c r="H121" s="270">
        <f t="shared" si="3"/>
        <v>-9.1602824427480245E-3</v>
      </c>
    </row>
    <row r="122" spans="1:8" ht="15" thickBot="1" x14ac:dyDescent="0.4">
      <c r="A122" s="269">
        <v>44890</v>
      </c>
      <c r="B122" s="418">
        <v>25054.439452999999</v>
      </c>
      <c r="C122" s="270">
        <f t="shared" si="2"/>
        <v>2.5405291109044104E-3</v>
      </c>
      <c r="F122" s="269">
        <v>44890</v>
      </c>
      <c r="G122" s="418">
        <v>523.34997599999997</v>
      </c>
      <c r="H122" s="270">
        <f t="shared" si="3"/>
        <v>7.9929967335978791E-3</v>
      </c>
    </row>
    <row r="123" spans="1:8" ht="15" thickBot="1" x14ac:dyDescent="0.4">
      <c r="A123" s="269">
        <v>44893</v>
      </c>
      <c r="B123" s="418">
        <v>25150.519531000002</v>
      </c>
      <c r="C123" s="270">
        <f t="shared" si="2"/>
        <v>3.8348524292566299E-3</v>
      </c>
      <c r="F123" s="269">
        <v>44893</v>
      </c>
      <c r="G123" s="418">
        <v>528.15002400000003</v>
      </c>
      <c r="H123" s="270">
        <f t="shared" si="3"/>
        <v>9.1717745679231744E-3</v>
      </c>
    </row>
    <row r="124" spans="1:8" ht="15" thickBot="1" x14ac:dyDescent="0.4">
      <c r="A124" s="269">
        <v>44894</v>
      </c>
      <c r="B124" s="418">
        <v>25191.269531000002</v>
      </c>
      <c r="C124" s="270">
        <f t="shared" si="2"/>
        <v>1.6202448601418951E-3</v>
      </c>
      <c r="F124" s="269">
        <v>44894</v>
      </c>
      <c r="G124" s="418">
        <v>523.40002400000003</v>
      </c>
      <c r="H124" s="270">
        <f t="shared" si="3"/>
        <v>-8.9936566963025877E-3</v>
      </c>
    </row>
    <row r="125" spans="1:8" ht="15" thickBot="1" x14ac:dyDescent="0.4">
      <c r="A125" s="269">
        <v>44895</v>
      </c>
      <c r="B125" s="418">
        <v>25406.759765999999</v>
      </c>
      <c r="C125" s="270">
        <f t="shared" si="2"/>
        <v>8.5541633673849038E-3</v>
      </c>
      <c r="F125" s="269">
        <v>44895</v>
      </c>
      <c r="G125" s="418">
        <v>527.45001200000002</v>
      </c>
      <c r="H125" s="270">
        <f t="shared" si="3"/>
        <v>7.7378445057159073E-3</v>
      </c>
    </row>
    <row r="126" spans="1:8" ht="15" thickBot="1" x14ac:dyDescent="0.4">
      <c r="A126" s="269">
        <v>44896</v>
      </c>
      <c r="B126" s="418">
        <v>25497.089843999998</v>
      </c>
      <c r="C126" s="270">
        <f t="shared" si="2"/>
        <v>3.5553560875904999E-3</v>
      </c>
      <c r="F126" s="269">
        <v>44896</v>
      </c>
      <c r="G126" s="418">
        <v>524.75</v>
      </c>
      <c r="H126" s="270">
        <f t="shared" si="3"/>
        <v>-5.1189912571278917E-3</v>
      </c>
    </row>
    <row r="127" spans="1:8" ht="15" thickBot="1" x14ac:dyDescent="0.4">
      <c r="A127" s="269">
        <v>44897</v>
      </c>
      <c r="B127" s="418">
        <v>25429.029297000001</v>
      </c>
      <c r="C127" s="270">
        <f t="shared" si="2"/>
        <v>-2.66934569460342E-3</v>
      </c>
      <c r="F127" s="269">
        <v>44897</v>
      </c>
      <c r="G127" s="418">
        <v>536.34997599999997</v>
      </c>
      <c r="H127" s="270">
        <f t="shared" si="3"/>
        <v>2.2105718913768335E-2</v>
      </c>
    </row>
    <row r="128" spans="1:8" ht="15" thickBot="1" x14ac:dyDescent="0.4">
      <c r="A128" s="269">
        <v>44900</v>
      </c>
      <c r="B128" s="418">
        <v>25433.609375</v>
      </c>
      <c r="C128" s="270">
        <f t="shared" si="2"/>
        <v>1.8011218385516337E-4</v>
      </c>
      <c r="F128" s="269">
        <v>44900</v>
      </c>
      <c r="G128" s="418">
        <v>530.54998799999998</v>
      </c>
      <c r="H128" s="270">
        <f t="shared" si="3"/>
        <v>-1.0813812360457642E-2</v>
      </c>
    </row>
    <row r="129" spans="1:8" ht="15" thickBot="1" x14ac:dyDescent="0.4">
      <c r="A129" s="269">
        <v>44901</v>
      </c>
      <c r="B129" s="418">
        <v>25362.519531000002</v>
      </c>
      <c r="C129" s="270">
        <f t="shared" si="2"/>
        <v>-2.7951142502753434E-3</v>
      </c>
      <c r="F129" s="269">
        <v>44901</v>
      </c>
      <c r="G129" s="418">
        <v>532.04998799999998</v>
      </c>
      <c r="H129" s="270">
        <f t="shared" si="3"/>
        <v>2.8272547995986663E-3</v>
      </c>
    </row>
    <row r="130" spans="1:8" ht="15" thickBot="1" x14ac:dyDescent="0.4">
      <c r="A130" s="269">
        <v>44902</v>
      </c>
      <c r="B130" s="418">
        <v>25268.599609000001</v>
      </c>
      <c r="C130" s="270">
        <f t="shared" si="2"/>
        <v>-3.7030990507549433E-3</v>
      </c>
      <c r="F130" s="269">
        <v>44902</v>
      </c>
      <c r="G130" s="418">
        <v>524.75</v>
      </c>
      <c r="H130" s="270">
        <f t="shared" si="3"/>
        <v>-1.3720492744377255E-2</v>
      </c>
    </row>
    <row r="131" spans="1:8" ht="15" thickBot="1" x14ac:dyDescent="0.4">
      <c r="A131" s="269">
        <v>44903</v>
      </c>
      <c r="B131" s="418">
        <v>25343.580077999999</v>
      </c>
      <c r="C131" s="270">
        <f t="shared" si="2"/>
        <v>2.967337729839592E-3</v>
      </c>
      <c r="F131" s="269">
        <v>44903</v>
      </c>
      <c r="G131" s="418">
        <v>528.20001200000002</v>
      </c>
      <c r="H131" s="270">
        <f t="shared" si="3"/>
        <v>6.5745821819913619E-3</v>
      </c>
    </row>
    <row r="132" spans="1:8" ht="15" thickBot="1" x14ac:dyDescent="0.4">
      <c r="A132" s="269">
        <v>44904</v>
      </c>
      <c r="B132" s="418">
        <v>25184.099609000001</v>
      </c>
      <c r="C132" s="270">
        <f t="shared" si="2"/>
        <v>-6.2927364053999568E-3</v>
      </c>
      <c r="F132" s="269">
        <v>44904</v>
      </c>
      <c r="G132" s="418">
        <v>521.65002400000003</v>
      </c>
      <c r="H132" s="270">
        <f t="shared" si="3"/>
        <v>-1.2400582830732643E-2</v>
      </c>
    </row>
    <row r="133" spans="1:8" ht="15" thickBot="1" x14ac:dyDescent="0.4">
      <c r="A133" s="269">
        <v>44907</v>
      </c>
      <c r="B133" s="418">
        <v>25201.070313</v>
      </c>
      <c r="C133" s="270">
        <f t="shared" si="2"/>
        <v>6.7386582262152217E-4</v>
      </c>
      <c r="F133" s="269">
        <v>44907</v>
      </c>
      <c r="G133" s="418">
        <v>516.40002400000003</v>
      </c>
      <c r="H133" s="270">
        <f t="shared" si="3"/>
        <v>-1.0064218841097983E-2</v>
      </c>
    </row>
    <row r="134" spans="1:8" ht="15" thickBot="1" x14ac:dyDescent="0.4">
      <c r="A134" s="269">
        <v>44908</v>
      </c>
      <c r="B134" s="418">
        <v>25318.960938</v>
      </c>
      <c r="C134" s="270">
        <f t="shared" ref="C134:C197" si="4">B134/B133-1</f>
        <v>4.6780007172626537E-3</v>
      </c>
      <c r="F134" s="269">
        <v>44908</v>
      </c>
      <c r="G134" s="418">
        <v>513.70001200000002</v>
      </c>
      <c r="H134" s="270">
        <f t="shared" ref="H134:H197" si="5">G134/G133-1</f>
        <v>-5.2285280296578973E-3</v>
      </c>
    </row>
    <row r="135" spans="1:8" ht="15" thickBot="1" x14ac:dyDescent="0.4">
      <c r="A135" s="269">
        <v>44909</v>
      </c>
      <c r="B135" s="418">
        <v>25416.429688</v>
      </c>
      <c r="C135" s="270">
        <f t="shared" si="4"/>
        <v>3.8496346765048983E-3</v>
      </c>
      <c r="F135" s="269">
        <v>44909</v>
      </c>
      <c r="G135" s="418">
        <v>511.70001200000002</v>
      </c>
      <c r="H135" s="270">
        <f t="shared" si="5"/>
        <v>-3.8933228601910619E-3</v>
      </c>
    </row>
    <row r="136" spans="1:8" ht="15" thickBot="1" x14ac:dyDescent="0.4">
      <c r="A136" s="269">
        <v>44910</v>
      </c>
      <c r="B136" s="418">
        <v>25127.880859000001</v>
      </c>
      <c r="C136" s="270">
        <f t="shared" si="4"/>
        <v>-1.1352846664228089E-2</v>
      </c>
      <c r="F136" s="269">
        <v>44910</v>
      </c>
      <c r="G136" s="418">
        <v>508.89999399999999</v>
      </c>
      <c r="H136" s="270">
        <f t="shared" si="5"/>
        <v>-5.4719912728866671E-3</v>
      </c>
    </row>
    <row r="137" spans="1:8" ht="15" thickBot="1" x14ac:dyDescent="0.4">
      <c r="A137" s="269">
        <v>44911</v>
      </c>
      <c r="B137" s="418">
        <v>24894.880859000001</v>
      </c>
      <c r="C137" s="270">
        <f t="shared" si="4"/>
        <v>-9.2725686382959527E-3</v>
      </c>
      <c r="F137" s="269">
        <v>44911</v>
      </c>
      <c r="G137" s="418">
        <v>511.85000600000001</v>
      </c>
      <c r="H137" s="270">
        <f t="shared" si="5"/>
        <v>5.7968403120083334E-3</v>
      </c>
    </row>
    <row r="138" spans="1:8" ht="15" thickBot="1" x14ac:dyDescent="0.4">
      <c r="A138" s="269">
        <v>44914</v>
      </c>
      <c r="B138" s="418">
        <v>25084.560547000001</v>
      </c>
      <c r="C138" s="270">
        <f t="shared" si="4"/>
        <v>7.6192245736907971E-3</v>
      </c>
      <c r="F138" s="269">
        <v>44914</v>
      </c>
      <c r="G138" s="418">
        <v>519.79998799999998</v>
      </c>
      <c r="H138" s="270">
        <f t="shared" si="5"/>
        <v>1.5531858760982287E-2</v>
      </c>
    </row>
    <row r="139" spans="1:8" ht="15" thickBot="1" x14ac:dyDescent="0.4">
      <c r="A139" s="269">
        <v>44915</v>
      </c>
      <c r="B139" s="418">
        <v>25036.009765999999</v>
      </c>
      <c r="C139" s="270">
        <f t="shared" si="4"/>
        <v>-1.9354846144915561E-3</v>
      </c>
      <c r="F139" s="269">
        <v>44915</v>
      </c>
      <c r="G139" s="418">
        <v>514.25</v>
      </c>
      <c r="H139" s="270">
        <f t="shared" si="5"/>
        <v>-1.0677160692816323E-2</v>
      </c>
    </row>
    <row r="140" spans="1:8" ht="15" thickBot="1" x14ac:dyDescent="0.4">
      <c r="A140" s="269">
        <v>44916</v>
      </c>
      <c r="B140" s="418">
        <v>24723.710938</v>
      </c>
      <c r="C140" s="270">
        <f t="shared" si="4"/>
        <v>-1.2473985707743052E-2</v>
      </c>
      <c r="F140" s="269">
        <v>44916</v>
      </c>
      <c r="G140" s="418">
        <v>500.75</v>
      </c>
      <c r="H140" s="270">
        <f t="shared" si="5"/>
        <v>-2.6251823043266898E-2</v>
      </c>
    </row>
    <row r="141" spans="1:8" ht="15" thickBot="1" x14ac:dyDescent="0.4">
      <c r="A141" s="269">
        <v>44917</v>
      </c>
      <c r="B141" s="418">
        <v>24566.740234000001</v>
      </c>
      <c r="C141" s="270">
        <f t="shared" si="4"/>
        <v>-6.3489944690600097E-3</v>
      </c>
      <c r="F141" s="269">
        <v>44917</v>
      </c>
      <c r="G141" s="418">
        <v>498</v>
      </c>
      <c r="H141" s="270">
        <f t="shared" si="5"/>
        <v>-5.4917623564653129E-3</v>
      </c>
    </row>
    <row r="142" spans="1:8" ht="15" thickBot="1" x14ac:dyDescent="0.4">
      <c r="A142" s="269">
        <v>44918</v>
      </c>
      <c r="B142" s="418">
        <v>23955.550781000002</v>
      </c>
      <c r="C142" s="270">
        <f t="shared" si="4"/>
        <v>-2.4878736339391194E-2</v>
      </c>
      <c r="F142" s="269">
        <v>44918</v>
      </c>
      <c r="G142" s="418">
        <v>492.25</v>
      </c>
      <c r="H142" s="270">
        <f t="shared" si="5"/>
        <v>-1.1546184738955856E-2</v>
      </c>
    </row>
    <row r="143" spans="1:8" ht="15" thickBot="1" x14ac:dyDescent="0.4">
      <c r="A143" s="269">
        <v>44921</v>
      </c>
      <c r="B143" s="418">
        <v>24353.570313</v>
      </c>
      <c r="C143" s="270">
        <f t="shared" si="4"/>
        <v>1.661491884025823E-2</v>
      </c>
      <c r="F143" s="269">
        <v>44921</v>
      </c>
      <c r="G143" s="418">
        <v>499.25</v>
      </c>
      <c r="H143" s="270">
        <f t="shared" si="5"/>
        <v>1.4220416455053231E-2</v>
      </c>
    </row>
    <row r="144" spans="1:8" ht="15" thickBot="1" x14ac:dyDescent="0.4">
      <c r="A144" s="269">
        <v>44922</v>
      </c>
      <c r="B144" s="418">
        <v>24547.300781000002</v>
      </c>
      <c r="C144" s="270">
        <f t="shared" si="4"/>
        <v>7.9549103277307687E-3</v>
      </c>
      <c r="F144" s="269">
        <v>44922</v>
      </c>
      <c r="G144" s="418">
        <v>498.64999399999999</v>
      </c>
      <c r="H144" s="270">
        <f t="shared" si="5"/>
        <v>-1.2018147220831388E-3</v>
      </c>
    </row>
    <row r="145" spans="1:8" ht="15" thickBot="1" x14ac:dyDescent="0.4">
      <c r="A145" s="269">
        <v>44923</v>
      </c>
      <c r="B145" s="418">
        <v>24576.490234000001</v>
      </c>
      <c r="C145" s="270">
        <f t="shared" si="4"/>
        <v>1.1891104957084675E-3</v>
      </c>
      <c r="F145" s="269">
        <v>44923</v>
      </c>
      <c r="G145" s="418">
        <v>494.14999399999999</v>
      </c>
      <c r="H145" s="270">
        <f t="shared" si="5"/>
        <v>-9.0243658962121387E-3</v>
      </c>
    </row>
    <row r="146" spans="1:8" ht="15" thickBot="1" x14ac:dyDescent="0.4">
      <c r="A146" s="269">
        <v>44924</v>
      </c>
      <c r="B146" s="418">
        <v>24660.880859000001</v>
      </c>
      <c r="C146" s="270">
        <f t="shared" si="4"/>
        <v>3.433794825725478E-3</v>
      </c>
      <c r="F146" s="269">
        <v>44924</v>
      </c>
      <c r="G146" s="418">
        <v>490.79998799999998</v>
      </c>
      <c r="H146" s="270">
        <f t="shared" si="5"/>
        <v>-6.779330245221038E-3</v>
      </c>
    </row>
    <row r="147" spans="1:8" ht="15" thickBot="1" x14ac:dyDescent="0.4">
      <c r="A147" s="269">
        <v>44925</v>
      </c>
      <c r="B147" s="418">
        <v>24605.779297000001</v>
      </c>
      <c r="C147" s="270">
        <f t="shared" si="4"/>
        <v>-2.2343712017038886E-3</v>
      </c>
      <c r="F147" s="269">
        <v>44925</v>
      </c>
      <c r="G147" s="418">
        <v>497.35000600000001</v>
      </c>
      <c r="H147" s="270">
        <f t="shared" si="5"/>
        <v>1.3345595273323463E-2</v>
      </c>
    </row>
    <row r="148" spans="1:8" ht="15" thickBot="1" x14ac:dyDescent="0.4">
      <c r="A148" s="269">
        <v>44928</v>
      </c>
      <c r="B148" s="418">
        <v>24722.039063</v>
      </c>
      <c r="C148" s="270">
        <f t="shared" si="4"/>
        <v>4.7248967243307405E-3</v>
      </c>
      <c r="F148" s="269">
        <v>44928</v>
      </c>
      <c r="G148" s="418">
        <v>494.75</v>
      </c>
      <c r="H148" s="270">
        <f t="shared" si="5"/>
        <v>-5.2277188471573366E-3</v>
      </c>
    </row>
    <row r="149" spans="1:8" ht="15" thickBot="1" x14ac:dyDescent="0.4">
      <c r="A149" s="269">
        <v>44929</v>
      </c>
      <c r="B149" s="418">
        <v>24775.919922000001</v>
      </c>
      <c r="C149" s="270">
        <f t="shared" si="4"/>
        <v>2.1794666233918569E-3</v>
      </c>
      <c r="F149" s="269">
        <v>44929</v>
      </c>
      <c r="G149" s="418">
        <v>502.10000600000001</v>
      </c>
      <c r="H149" s="270">
        <f t="shared" si="5"/>
        <v>1.485599999999998E-2</v>
      </c>
    </row>
    <row r="150" spans="1:8" ht="15" thickBot="1" x14ac:dyDescent="0.4">
      <c r="A150" s="269">
        <v>44930</v>
      </c>
      <c r="B150" s="418">
        <v>24511.439452999999</v>
      </c>
      <c r="C150" s="270">
        <f t="shared" si="4"/>
        <v>-1.0674900057501158E-2</v>
      </c>
      <c r="F150" s="269">
        <v>44930</v>
      </c>
      <c r="G150" s="418">
        <v>493.39999399999999</v>
      </c>
      <c r="H150" s="270">
        <f t="shared" si="5"/>
        <v>-1.7327249344824769E-2</v>
      </c>
    </row>
    <row r="151" spans="1:8" ht="15" thickBot="1" x14ac:dyDescent="0.4">
      <c r="A151" s="269">
        <v>44931</v>
      </c>
      <c r="B151" s="418">
        <v>24496.75</v>
      </c>
      <c r="C151" s="270">
        <f t="shared" si="4"/>
        <v>-5.9928969198919102E-4</v>
      </c>
      <c r="F151" s="269">
        <v>44931</v>
      </c>
      <c r="G151" s="418">
        <v>500.04998799999998</v>
      </c>
      <c r="H151" s="270">
        <f t="shared" si="5"/>
        <v>1.3477896394137323E-2</v>
      </c>
    </row>
    <row r="152" spans="1:8" ht="15" thickBot="1" x14ac:dyDescent="0.4">
      <c r="A152" s="269">
        <v>44932</v>
      </c>
      <c r="B152" s="418">
        <v>24317.560547000001</v>
      </c>
      <c r="C152" s="270">
        <f t="shared" si="4"/>
        <v>-7.3148255584923882E-3</v>
      </c>
      <c r="F152" s="269">
        <v>44932</v>
      </c>
      <c r="G152" s="418">
        <v>496.29998799999998</v>
      </c>
      <c r="H152" s="270">
        <f t="shared" si="5"/>
        <v>-7.4992502549564577E-3</v>
      </c>
    </row>
    <row r="153" spans="1:8" ht="15" thickBot="1" x14ac:dyDescent="0.4">
      <c r="A153" s="269">
        <v>44935</v>
      </c>
      <c r="B153" s="418">
        <v>24602.369140999999</v>
      </c>
      <c r="C153" s="270">
        <f t="shared" si="4"/>
        <v>1.1712054482172718E-2</v>
      </c>
      <c r="F153" s="269">
        <v>44935</v>
      </c>
      <c r="G153" s="418">
        <v>499.54998799999998</v>
      </c>
      <c r="H153" s="270">
        <f t="shared" si="5"/>
        <v>6.548458751927333E-3</v>
      </c>
    </row>
    <row r="154" spans="1:8" ht="15" thickBot="1" x14ac:dyDescent="0.4">
      <c r="A154" s="269">
        <v>44936</v>
      </c>
      <c r="B154" s="418">
        <v>24401.130859000001</v>
      </c>
      <c r="C154" s="270">
        <f t="shared" si="4"/>
        <v>-8.1796302155564549E-3</v>
      </c>
      <c r="F154" s="269">
        <v>44936</v>
      </c>
      <c r="G154" s="418">
        <v>503.64999399999999</v>
      </c>
      <c r="H154" s="270">
        <f t="shared" si="5"/>
        <v>8.2073988559479005E-3</v>
      </c>
    </row>
    <row r="155" spans="1:8" ht="15" thickBot="1" x14ac:dyDescent="0.4">
      <c r="A155" s="269">
        <v>44937</v>
      </c>
      <c r="B155" s="418">
        <v>24368.160156000002</v>
      </c>
      <c r="C155" s="270">
        <f t="shared" si="4"/>
        <v>-1.3511956962370952E-3</v>
      </c>
      <c r="F155" s="269">
        <v>44937</v>
      </c>
      <c r="G155" s="418">
        <v>499.79998799999998</v>
      </c>
      <c r="H155" s="270">
        <f t="shared" si="5"/>
        <v>-7.6442093633778407E-3</v>
      </c>
    </row>
    <row r="156" spans="1:8" ht="15" thickBot="1" x14ac:dyDescent="0.4">
      <c r="A156" s="269">
        <v>44938</v>
      </c>
      <c r="B156" s="418">
        <v>24331.330077999999</v>
      </c>
      <c r="C156" s="270">
        <f t="shared" si="4"/>
        <v>-1.511401671862922E-3</v>
      </c>
      <c r="F156" s="269">
        <v>44938</v>
      </c>
      <c r="G156" s="418">
        <v>498.20001200000002</v>
      </c>
      <c r="H156" s="270">
        <f t="shared" si="5"/>
        <v>-3.2012325698574928E-3</v>
      </c>
    </row>
    <row r="157" spans="1:8" ht="15" thickBot="1" x14ac:dyDescent="0.4">
      <c r="A157" s="269">
        <v>44939</v>
      </c>
      <c r="B157" s="418">
        <v>24436.730468999998</v>
      </c>
      <c r="C157" s="270">
        <f t="shared" si="4"/>
        <v>4.3318795422244705E-3</v>
      </c>
      <c r="F157" s="269">
        <v>44939</v>
      </c>
      <c r="G157" s="418">
        <v>501.60000600000001</v>
      </c>
      <c r="H157" s="270">
        <f t="shared" si="5"/>
        <v>6.8245562386699543E-3</v>
      </c>
    </row>
    <row r="158" spans="1:8" ht="15" thickBot="1" x14ac:dyDescent="0.4">
      <c r="A158" s="269">
        <v>44942</v>
      </c>
      <c r="B158" s="418">
        <v>24373.279297000001</v>
      </c>
      <c r="C158" s="270">
        <f t="shared" si="4"/>
        <v>-2.5965491611281699E-3</v>
      </c>
      <c r="F158" s="269">
        <v>44942</v>
      </c>
      <c r="G158" s="418">
        <v>504.64999399999999</v>
      </c>
      <c r="H158" s="270">
        <f t="shared" si="5"/>
        <v>6.0805182685743642E-3</v>
      </c>
    </row>
    <row r="159" spans="1:8" ht="15" thickBot="1" x14ac:dyDescent="0.4">
      <c r="A159" s="269">
        <v>44943</v>
      </c>
      <c r="B159" s="418">
        <v>24518.730468999998</v>
      </c>
      <c r="C159" s="270">
        <f t="shared" si="4"/>
        <v>5.9676488431288366E-3</v>
      </c>
      <c r="F159" s="269">
        <v>44943</v>
      </c>
      <c r="G159" s="418">
        <v>510.70001200000002</v>
      </c>
      <c r="H159" s="270">
        <f t="shared" si="5"/>
        <v>1.1988542696782511E-2</v>
      </c>
    </row>
    <row r="160" spans="1:8" ht="15" thickBot="1" x14ac:dyDescent="0.4">
      <c r="A160" s="269">
        <v>44944</v>
      </c>
      <c r="B160" s="418">
        <v>24631.789063</v>
      </c>
      <c r="C160" s="270">
        <f t="shared" si="4"/>
        <v>4.6111112540245802E-3</v>
      </c>
      <c r="F160" s="269">
        <v>44944</v>
      </c>
      <c r="G160" s="418">
        <v>512.09997599999997</v>
      </c>
      <c r="H160" s="270">
        <f t="shared" si="5"/>
        <v>2.7412648660756211E-3</v>
      </c>
    </row>
    <row r="161" spans="1:8" ht="15" thickBot="1" x14ac:dyDescent="0.4">
      <c r="A161" s="269">
        <v>44945</v>
      </c>
      <c r="B161" s="418">
        <v>24560.650390999999</v>
      </c>
      <c r="C161" s="270">
        <f t="shared" si="4"/>
        <v>-2.888083842308431E-3</v>
      </c>
      <c r="F161" s="269">
        <v>44945</v>
      </c>
      <c r="G161" s="418">
        <v>512.34997599999997</v>
      </c>
      <c r="H161" s="270">
        <f t="shared" si="5"/>
        <v>4.8818592407040562E-4</v>
      </c>
    </row>
    <row r="162" spans="1:8" ht="15" thickBot="1" x14ac:dyDescent="0.4">
      <c r="A162" s="269">
        <v>44946</v>
      </c>
      <c r="B162" s="418">
        <v>24444.810547000001</v>
      </c>
      <c r="C162" s="270">
        <f t="shared" si="4"/>
        <v>-4.7164811255343553E-3</v>
      </c>
      <c r="F162" s="269">
        <v>44946</v>
      </c>
      <c r="G162" s="418">
        <v>500.10000600000001</v>
      </c>
      <c r="H162" s="270">
        <f t="shared" si="5"/>
        <v>-2.3909379474626902E-2</v>
      </c>
    </row>
    <row r="163" spans="1:8" ht="15" thickBot="1" x14ac:dyDescent="0.4">
      <c r="A163" s="269">
        <v>44949</v>
      </c>
      <c r="B163" s="418">
        <v>24532.980468999998</v>
      </c>
      <c r="C163" s="270">
        <f t="shared" si="4"/>
        <v>3.6068973343226229E-3</v>
      </c>
      <c r="F163" s="269">
        <v>44949</v>
      </c>
      <c r="G163" s="418">
        <v>502.60000600000001</v>
      </c>
      <c r="H163" s="270">
        <f t="shared" si="5"/>
        <v>4.9990001399840001E-3</v>
      </c>
    </row>
    <row r="164" spans="1:8" ht="15" thickBot="1" x14ac:dyDescent="0.4">
      <c r="A164" s="269">
        <v>44950</v>
      </c>
      <c r="B164" s="418">
        <v>24505.220702999999</v>
      </c>
      <c r="C164" s="270">
        <f t="shared" si="4"/>
        <v>-1.1315284759255695E-3</v>
      </c>
      <c r="F164" s="269">
        <v>44950</v>
      </c>
      <c r="G164" s="418">
        <v>497.39999399999999</v>
      </c>
      <c r="H164" s="270">
        <f t="shared" si="5"/>
        <v>-1.0346223513574726E-2</v>
      </c>
    </row>
    <row r="165" spans="1:8" ht="15" thickBot="1" x14ac:dyDescent="0.4">
      <c r="A165" s="269">
        <v>44951</v>
      </c>
      <c r="B165" s="418">
        <v>24164.160156000002</v>
      </c>
      <c r="C165" s="270">
        <f t="shared" si="4"/>
        <v>-1.3917872894662175E-2</v>
      </c>
      <c r="F165" s="269">
        <v>44951</v>
      </c>
      <c r="G165" s="418">
        <v>495.14999399999999</v>
      </c>
      <c r="H165" s="270">
        <f t="shared" si="5"/>
        <v>-4.5235223706094896E-3</v>
      </c>
    </row>
    <row r="166" spans="1:8" ht="15" thickBot="1" x14ac:dyDescent="0.4">
      <c r="A166" s="269">
        <v>44953</v>
      </c>
      <c r="B166" s="418">
        <v>23688.980468999998</v>
      </c>
      <c r="C166" s="270">
        <f t="shared" si="4"/>
        <v>-1.9664647309582395E-2</v>
      </c>
      <c r="F166" s="269">
        <v>44953</v>
      </c>
      <c r="G166" s="418">
        <v>490.70001200000002</v>
      </c>
      <c r="H166" s="270">
        <f t="shared" si="5"/>
        <v>-8.9871393596340221E-3</v>
      </c>
    </row>
    <row r="167" spans="1:8" ht="15" thickBot="1" x14ac:dyDescent="0.4">
      <c r="A167" s="269">
        <v>44956</v>
      </c>
      <c r="B167" s="418">
        <v>23647.140625</v>
      </c>
      <c r="C167" s="270">
        <f t="shared" si="4"/>
        <v>-1.7662154795876628E-3</v>
      </c>
      <c r="F167" s="269">
        <v>44956</v>
      </c>
      <c r="G167" s="418">
        <v>488.04998799999998</v>
      </c>
      <c r="H167" s="270">
        <f t="shared" si="5"/>
        <v>-5.4004971167598281E-3</v>
      </c>
    </row>
    <row r="168" spans="1:8" ht="15" thickBot="1" x14ac:dyDescent="0.4">
      <c r="A168" s="269">
        <v>44957</v>
      </c>
      <c r="B168" s="418">
        <v>23778.460938</v>
      </c>
      <c r="C168" s="270">
        <f t="shared" si="4"/>
        <v>5.5533273592143217E-3</v>
      </c>
      <c r="F168" s="269">
        <v>44957</v>
      </c>
      <c r="G168" s="418">
        <v>492.75</v>
      </c>
      <c r="H168" s="270">
        <f t="shared" si="5"/>
        <v>9.6301856686040743E-3</v>
      </c>
    </row>
    <row r="169" spans="1:8" ht="15" thickBot="1" x14ac:dyDescent="0.4">
      <c r="A169" s="269">
        <v>44958</v>
      </c>
      <c r="B169" s="418">
        <v>23629.769531000002</v>
      </c>
      <c r="C169" s="270">
        <f t="shared" si="4"/>
        <v>-6.2531972690619275E-3</v>
      </c>
      <c r="F169" s="269">
        <v>44958</v>
      </c>
      <c r="G169" s="418">
        <v>483.35000600000001</v>
      </c>
      <c r="H169" s="270">
        <f t="shared" si="5"/>
        <v>-1.9076598680872636E-2</v>
      </c>
    </row>
    <row r="170" spans="1:8" ht="15" thickBot="1" x14ac:dyDescent="0.4">
      <c r="A170" s="269">
        <v>44959</v>
      </c>
      <c r="B170" s="418">
        <v>23620.089843999998</v>
      </c>
      <c r="C170" s="270">
        <f t="shared" si="4"/>
        <v>-4.0963950102457236E-4</v>
      </c>
      <c r="F170" s="269">
        <v>44959</v>
      </c>
      <c r="G170" s="418">
        <v>489.5</v>
      </c>
      <c r="H170" s="270">
        <f t="shared" si="5"/>
        <v>1.2723686611477936E-2</v>
      </c>
    </row>
    <row r="171" spans="1:8" ht="15" thickBot="1" x14ac:dyDescent="0.4">
      <c r="A171" s="269">
        <v>44960</v>
      </c>
      <c r="B171" s="418">
        <v>23812.75</v>
      </c>
      <c r="C171" s="270">
        <f t="shared" si="4"/>
        <v>8.1566224884170868E-3</v>
      </c>
      <c r="F171" s="269">
        <v>44960</v>
      </c>
      <c r="G171" s="418">
        <v>489.60000600000001</v>
      </c>
      <c r="H171" s="270">
        <f t="shared" si="5"/>
        <v>2.0430234933610514E-4</v>
      </c>
    </row>
    <row r="172" spans="1:8" ht="15" thickBot="1" x14ac:dyDescent="0.4">
      <c r="A172" s="269">
        <v>44963</v>
      </c>
      <c r="B172" s="418">
        <v>23765.519531000002</v>
      </c>
      <c r="C172" s="270">
        <f t="shared" si="4"/>
        <v>-1.983410945816777E-3</v>
      </c>
      <c r="F172" s="269">
        <v>44963</v>
      </c>
      <c r="G172" s="418">
        <v>491.54998799999998</v>
      </c>
      <c r="H172" s="270">
        <f t="shared" si="5"/>
        <v>3.9828063237401512E-3</v>
      </c>
    </row>
    <row r="173" spans="1:8" ht="15" thickBot="1" x14ac:dyDescent="0.4">
      <c r="A173" s="269">
        <v>44964</v>
      </c>
      <c r="B173" s="418">
        <v>23710.990234000001</v>
      </c>
      <c r="C173" s="270">
        <f t="shared" si="4"/>
        <v>-2.2944710688471703E-3</v>
      </c>
      <c r="F173" s="269">
        <v>44964</v>
      </c>
      <c r="G173" s="418">
        <v>485.45001200000002</v>
      </c>
      <c r="H173" s="270">
        <f t="shared" si="5"/>
        <v>-1.2409675819176291E-2</v>
      </c>
    </row>
    <row r="174" spans="1:8" ht="15" thickBot="1" x14ac:dyDescent="0.4">
      <c r="A174" s="269">
        <v>44965</v>
      </c>
      <c r="B174" s="418">
        <v>23908.580077999999</v>
      </c>
      <c r="C174" s="270">
        <f t="shared" si="4"/>
        <v>8.3332598955174753E-3</v>
      </c>
      <c r="F174" s="269">
        <v>44965</v>
      </c>
      <c r="G174" s="418">
        <v>480</v>
      </c>
      <c r="H174" s="270">
        <f t="shared" si="5"/>
        <v>-1.1226721320999777E-2</v>
      </c>
    </row>
    <row r="175" spans="1:8" ht="15" thickBot="1" x14ac:dyDescent="0.4">
      <c r="A175" s="269">
        <v>44966</v>
      </c>
      <c r="B175" s="418">
        <v>23908.859375</v>
      </c>
      <c r="C175" s="270">
        <f t="shared" si="4"/>
        <v>1.1681873163915668E-5</v>
      </c>
      <c r="F175" s="269">
        <v>44966</v>
      </c>
      <c r="G175" s="418">
        <v>475.29998799999998</v>
      </c>
      <c r="H175" s="270">
        <f t="shared" si="5"/>
        <v>-9.7916916666667131E-3</v>
      </c>
    </row>
    <row r="176" spans="1:8" ht="15" thickBot="1" x14ac:dyDescent="0.4">
      <c r="A176" s="269">
        <v>44967</v>
      </c>
      <c r="B176" s="418">
        <v>23880</v>
      </c>
      <c r="C176" s="270">
        <f t="shared" si="4"/>
        <v>-1.2070577917312475E-3</v>
      </c>
      <c r="F176" s="269">
        <v>44967</v>
      </c>
      <c r="G176" s="418">
        <v>466.45001200000002</v>
      </c>
      <c r="H176" s="270">
        <f t="shared" si="5"/>
        <v>-1.8619769037317879E-2</v>
      </c>
    </row>
    <row r="177" spans="1:8" ht="15" thickBot="1" x14ac:dyDescent="0.4">
      <c r="A177" s="269">
        <v>44970</v>
      </c>
      <c r="B177" s="418">
        <v>23700</v>
      </c>
      <c r="C177" s="270">
        <f t="shared" si="4"/>
        <v>-7.5376884422110324E-3</v>
      </c>
      <c r="F177" s="269">
        <v>44970</v>
      </c>
      <c r="G177" s="418">
        <v>466.04998799999998</v>
      </c>
      <c r="H177" s="270">
        <f t="shared" si="5"/>
        <v>-8.5759243157668141E-4</v>
      </c>
    </row>
    <row r="178" spans="1:8" ht="15" thickBot="1" x14ac:dyDescent="0.4">
      <c r="A178" s="269">
        <v>44971</v>
      </c>
      <c r="B178" s="418">
        <v>23807.949218999998</v>
      </c>
      <c r="C178" s="270">
        <f t="shared" si="4"/>
        <v>4.5548193670885695E-3</v>
      </c>
      <c r="F178" s="269">
        <v>44971</v>
      </c>
      <c r="G178" s="418">
        <v>461.75</v>
      </c>
      <c r="H178" s="270">
        <f t="shared" si="5"/>
        <v>-9.2264523349799843E-3</v>
      </c>
    </row>
    <row r="179" spans="1:8" ht="15" thickBot="1" x14ac:dyDescent="0.4">
      <c r="A179" s="269">
        <v>44972</v>
      </c>
      <c r="B179" s="418">
        <v>23916.380859000001</v>
      </c>
      <c r="C179" s="270">
        <f t="shared" si="4"/>
        <v>4.5544300772226709E-3</v>
      </c>
      <c r="F179" s="269">
        <v>44972</v>
      </c>
      <c r="G179" s="418">
        <v>474</v>
      </c>
      <c r="H179" s="270">
        <f t="shared" si="5"/>
        <v>2.6529507309150047E-2</v>
      </c>
    </row>
    <row r="180" spans="1:8" ht="15" thickBot="1" x14ac:dyDescent="0.4">
      <c r="A180" s="269">
        <v>44973</v>
      </c>
      <c r="B180" s="418">
        <v>23991.919922000001</v>
      </c>
      <c r="C180" s="270">
        <f t="shared" si="4"/>
        <v>3.1584654653789013E-3</v>
      </c>
      <c r="F180" s="269">
        <v>44973</v>
      </c>
      <c r="G180" s="418">
        <v>467.60000600000001</v>
      </c>
      <c r="H180" s="270">
        <f t="shared" si="5"/>
        <v>-1.3502097046413475E-2</v>
      </c>
    </row>
    <row r="181" spans="1:8" ht="15" thickBot="1" x14ac:dyDescent="0.4">
      <c r="A181" s="269">
        <v>44974</v>
      </c>
      <c r="B181" s="418">
        <v>23863.439452999999</v>
      </c>
      <c r="C181" s="270">
        <f t="shared" si="4"/>
        <v>-5.3551557948552375E-3</v>
      </c>
      <c r="F181" s="269">
        <v>44974</v>
      </c>
      <c r="G181" s="418">
        <v>465.10000600000001</v>
      </c>
      <c r="H181" s="270">
        <f t="shared" si="5"/>
        <v>-5.3464498886255374E-3</v>
      </c>
    </row>
    <row r="182" spans="1:8" ht="15" thickBot="1" x14ac:dyDescent="0.4">
      <c r="A182" s="269">
        <v>44977</v>
      </c>
      <c r="B182" s="418">
        <v>23761.289063</v>
      </c>
      <c r="C182" s="270">
        <f t="shared" si="4"/>
        <v>-4.2806230929613998E-3</v>
      </c>
      <c r="F182" s="269">
        <v>44977</v>
      </c>
      <c r="G182" s="418">
        <v>469.70001200000002</v>
      </c>
      <c r="H182" s="270">
        <f t="shared" si="5"/>
        <v>9.8903589349770282E-3</v>
      </c>
    </row>
    <row r="183" spans="1:8" ht="15" thickBot="1" x14ac:dyDescent="0.4">
      <c r="A183" s="269">
        <v>44978</v>
      </c>
      <c r="B183" s="418">
        <v>23724.189452999999</v>
      </c>
      <c r="C183" s="270">
        <f t="shared" si="4"/>
        <v>-1.5613466887943739E-3</v>
      </c>
      <c r="F183" s="269">
        <v>44978</v>
      </c>
      <c r="G183" s="418">
        <v>478.70001200000002</v>
      </c>
      <c r="H183" s="270">
        <f t="shared" si="5"/>
        <v>1.9161166212616543E-2</v>
      </c>
    </row>
    <row r="184" spans="1:8" ht="15" thickBot="1" x14ac:dyDescent="0.4">
      <c r="A184" s="269">
        <v>44979</v>
      </c>
      <c r="B184" s="418">
        <v>23382.960938</v>
      </c>
      <c r="C184" s="270">
        <f t="shared" si="4"/>
        <v>-1.4383147448556954E-2</v>
      </c>
      <c r="F184" s="269">
        <v>44979</v>
      </c>
      <c r="G184" s="418">
        <v>477.25</v>
      </c>
      <c r="H184" s="270">
        <f t="shared" si="5"/>
        <v>-3.0290619671010655E-3</v>
      </c>
    </row>
    <row r="185" spans="1:8" ht="15" thickBot="1" x14ac:dyDescent="0.4">
      <c r="A185" s="269">
        <v>44980</v>
      </c>
      <c r="B185" s="418">
        <v>23333.039063</v>
      </c>
      <c r="C185" s="270">
        <f t="shared" si="4"/>
        <v>-2.1349680706548302E-3</v>
      </c>
      <c r="F185" s="269">
        <v>44980</v>
      </c>
      <c r="G185" s="418">
        <v>477.45001200000002</v>
      </c>
      <c r="H185" s="270">
        <f t="shared" si="5"/>
        <v>4.1909271870088638E-4</v>
      </c>
    </row>
    <row r="186" spans="1:8" ht="15" thickBot="1" x14ac:dyDescent="0.4">
      <c r="A186" s="269">
        <v>44981</v>
      </c>
      <c r="B186" s="418">
        <v>23268.449218999998</v>
      </c>
      <c r="C186" s="270">
        <f t="shared" si="4"/>
        <v>-2.7681710824555283E-3</v>
      </c>
      <c r="F186" s="269">
        <v>44981</v>
      </c>
      <c r="G186" s="418">
        <v>473.14999399999999</v>
      </c>
      <c r="H186" s="270">
        <f t="shared" si="5"/>
        <v>-9.006216131375866E-3</v>
      </c>
    </row>
    <row r="187" spans="1:8" ht="15" thickBot="1" x14ac:dyDescent="0.4">
      <c r="A187" s="269">
        <v>44984</v>
      </c>
      <c r="B187" s="418">
        <v>23135.150390999999</v>
      </c>
      <c r="C187" s="270">
        <f t="shared" si="4"/>
        <v>-5.728737087091873E-3</v>
      </c>
      <c r="F187" s="269">
        <v>44984</v>
      </c>
      <c r="G187" s="418">
        <v>465.95001200000002</v>
      </c>
      <c r="H187" s="270">
        <f t="shared" si="5"/>
        <v>-1.5217123726730897E-2</v>
      </c>
    </row>
    <row r="188" spans="1:8" ht="15" thickBot="1" x14ac:dyDescent="0.4">
      <c r="A188" s="269">
        <v>44985</v>
      </c>
      <c r="B188" s="418">
        <v>23084.789063</v>
      </c>
      <c r="C188" s="270">
        <f t="shared" si="4"/>
        <v>-2.1768316673485E-3</v>
      </c>
      <c r="F188" s="269">
        <v>44985</v>
      </c>
      <c r="G188" s="418">
        <v>466.20001200000002</v>
      </c>
      <c r="H188" s="270">
        <f t="shared" si="5"/>
        <v>5.3653824135957429E-4</v>
      </c>
    </row>
    <row r="189" spans="1:8" ht="15" thickBot="1" x14ac:dyDescent="0.4">
      <c r="A189" s="269">
        <v>44986</v>
      </c>
      <c r="B189" s="418">
        <v>23316.039063</v>
      </c>
      <c r="C189" s="270">
        <f t="shared" si="4"/>
        <v>1.0017418802004352E-2</v>
      </c>
      <c r="F189" s="269">
        <v>44986</v>
      </c>
      <c r="G189" s="418">
        <v>471.75</v>
      </c>
      <c r="H189" s="270">
        <f t="shared" si="5"/>
        <v>1.190473585830798E-2</v>
      </c>
    </row>
    <row r="190" spans="1:8" ht="15" thickBot="1" x14ac:dyDescent="0.4">
      <c r="A190" s="269">
        <v>44987</v>
      </c>
      <c r="B190" s="418">
        <v>23196.449218999998</v>
      </c>
      <c r="C190" s="270">
        <f t="shared" si="4"/>
        <v>-5.1290806160030344E-3</v>
      </c>
      <c r="F190" s="269">
        <v>44987</v>
      </c>
      <c r="G190" s="418">
        <v>473.45001200000002</v>
      </c>
      <c r="H190" s="270">
        <f t="shared" si="5"/>
        <v>3.6036290408054672E-3</v>
      </c>
    </row>
    <row r="191" spans="1:8" ht="15" thickBot="1" x14ac:dyDescent="0.4">
      <c r="A191" s="269">
        <v>44988</v>
      </c>
      <c r="B191" s="418">
        <v>23496.199218999998</v>
      </c>
      <c r="C191" s="270">
        <f t="shared" si="4"/>
        <v>1.2922236380664476E-2</v>
      </c>
      <c r="F191" s="269">
        <v>44988</v>
      </c>
      <c r="G191" s="418">
        <v>474.64999399999999</v>
      </c>
      <c r="H191" s="270">
        <f t="shared" si="5"/>
        <v>2.5345484625312054E-3</v>
      </c>
    </row>
    <row r="192" spans="1:8" ht="15" thickBot="1" x14ac:dyDescent="0.4">
      <c r="A192" s="269">
        <v>44991</v>
      </c>
      <c r="B192" s="418">
        <v>23665.320313</v>
      </c>
      <c r="C192" s="270">
        <f t="shared" si="4"/>
        <v>7.1978064377000717E-3</v>
      </c>
      <c r="F192" s="269">
        <v>44991</v>
      </c>
      <c r="G192" s="418">
        <v>482.75</v>
      </c>
      <c r="H192" s="270">
        <f t="shared" si="5"/>
        <v>1.7065218797832848E-2</v>
      </c>
    </row>
    <row r="193" spans="1:8" ht="15" thickBot="1" x14ac:dyDescent="0.4">
      <c r="A193" s="269">
        <v>44993</v>
      </c>
      <c r="B193" s="418">
        <v>23734.539063</v>
      </c>
      <c r="C193" s="270">
        <f t="shared" si="4"/>
        <v>2.9249023078710135E-3</v>
      </c>
      <c r="F193" s="269">
        <v>44993</v>
      </c>
      <c r="G193" s="418">
        <v>473.64999399999999</v>
      </c>
      <c r="H193" s="270">
        <f t="shared" si="5"/>
        <v>-1.8850349041947156E-2</v>
      </c>
    </row>
    <row r="194" spans="1:8" ht="15" thickBot="1" x14ac:dyDescent="0.4">
      <c r="A194" s="269">
        <v>44994</v>
      </c>
      <c r="B194" s="418">
        <v>23554.349609000001</v>
      </c>
      <c r="C194" s="270">
        <f t="shared" si="4"/>
        <v>-7.5918665840407629E-3</v>
      </c>
      <c r="F194" s="269">
        <v>44994</v>
      </c>
      <c r="G194" s="418">
        <v>471.35000600000001</v>
      </c>
      <c r="H194" s="270">
        <f t="shared" si="5"/>
        <v>-4.8558809862456753E-3</v>
      </c>
    </row>
    <row r="195" spans="1:8" ht="15" thickBot="1" x14ac:dyDescent="0.4">
      <c r="A195" s="269">
        <v>44995</v>
      </c>
      <c r="B195" s="418">
        <v>23353.349609000001</v>
      </c>
      <c r="C195" s="270">
        <f t="shared" si="4"/>
        <v>-8.5334557453965454E-3</v>
      </c>
      <c r="F195" s="269">
        <v>44995</v>
      </c>
      <c r="G195" s="418">
        <v>468.64999399999999</v>
      </c>
      <c r="H195" s="270">
        <f t="shared" si="5"/>
        <v>-5.7282528177161618E-3</v>
      </c>
    </row>
    <row r="196" spans="1:8" ht="15" thickBot="1" x14ac:dyDescent="0.4">
      <c r="A196" s="269">
        <v>44998</v>
      </c>
      <c r="B196" s="418">
        <v>22998.150390999999</v>
      </c>
      <c r="C196" s="270">
        <f t="shared" si="4"/>
        <v>-1.5209776068402348E-2</v>
      </c>
      <c r="F196" s="269">
        <v>44998</v>
      </c>
      <c r="G196" s="418">
        <v>453.60000600000001</v>
      </c>
      <c r="H196" s="270">
        <f t="shared" si="5"/>
        <v>-3.2113492356088624E-2</v>
      </c>
    </row>
    <row r="197" spans="1:8" ht="15" thickBot="1" x14ac:dyDescent="0.4">
      <c r="A197" s="269">
        <v>44999</v>
      </c>
      <c r="B197" s="418">
        <v>22848.210938</v>
      </c>
      <c r="C197" s="270">
        <f t="shared" si="4"/>
        <v>-6.5196309464380375E-3</v>
      </c>
      <c r="F197" s="269">
        <v>44999</v>
      </c>
      <c r="G197" s="418">
        <v>451.35000600000001</v>
      </c>
      <c r="H197" s="270">
        <f t="shared" si="5"/>
        <v>-4.9603173947048163E-3</v>
      </c>
    </row>
    <row r="198" spans="1:8" ht="15" thickBot="1" x14ac:dyDescent="0.4">
      <c r="A198" s="269">
        <v>45000</v>
      </c>
      <c r="B198" s="418">
        <v>22781.169922000001</v>
      </c>
      <c r="C198" s="270">
        <f t="shared" ref="C198:C250" si="6">B198/B197-1</f>
        <v>-2.9341910481270883E-3</v>
      </c>
      <c r="F198" s="269">
        <v>45000</v>
      </c>
      <c r="G198" s="418">
        <v>454.79998799999998</v>
      </c>
      <c r="H198" s="270">
        <f t="shared" ref="H198:H251" si="7">G198/G197-1</f>
        <v>7.6436954783156708E-3</v>
      </c>
    </row>
    <row r="199" spans="1:8" ht="15" thickBot="1" x14ac:dyDescent="0.4">
      <c r="A199" s="269">
        <v>45001</v>
      </c>
      <c r="B199" s="418">
        <v>22805.759765999999</v>
      </c>
      <c r="C199" s="270">
        <f t="shared" si="6"/>
        <v>1.0793933798918243E-3</v>
      </c>
      <c r="F199" s="269">
        <v>45001</v>
      </c>
      <c r="G199" s="418">
        <v>446.60000600000001</v>
      </c>
      <c r="H199" s="270">
        <f t="shared" si="7"/>
        <v>-1.8029864152063202E-2</v>
      </c>
    </row>
    <row r="200" spans="1:8" ht="15" thickBot="1" x14ac:dyDescent="0.4">
      <c r="A200" s="269">
        <v>45002</v>
      </c>
      <c r="B200" s="418">
        <v>22944.859375</v>
      </c>
      <c r="C200" s="270">
        <f t="shared" si="6"/>
        <v>6.0993192258114171E-3</v>
      </c>
      <c r="F200" s="269">
        <v>45002</v>
      </c>
      <c r="G200" s="418">
        <v>443.79998799999998</v>
      </c>
      <c r="H200" s="270">
        <f t="shared" si="7"/>
        <v>-6.2696326967806026E-3</v>
      </c>
    </row>
    <row r="201" spans="1:8" ht="15" thickBot="1" x14ac:dyDescent="0.4">
      <c r="A201" s="269">
        <v>45005</v>
      </c>
      <c r="B201" s="418">
        <v>22778.789063</v>
      </c>
      <c r="C201" s="270">
        <f t="shared" si="6"/>
        <v>-7.2378003842091809E-3</v>
      </c>
      <c r="F201" s="269">
        <v>45005</v>
      </c>
      <c r="G201" s="418">
        <v>436.39999399999999</v>
      </c>
      <c r="H201" s="270">
        <f t="shared" si="7"/>
        <v>-1.6674164488711063E-2</v>
      </c>
    </row>
    <row r="202" spans="1:8" ht="15" thickBot="1" x14ac:dyDescent="0.4">
      <c r="A202" s="269">
        <v>45006</v>
      </c>
      <c r="B202" s="418">
        <v>22928.880859000001</v>
      </c>
      <c r="C202" s="270">
        <f t="shared" si="6"/>
        <v>6.5891033796785514E-3</v>
      </c>
      <c r="F202" s="269">
        <v>45006</v>
      </c>
      <c r="G202" s="418">
        <v>434.20001200000002</v>
      </c>
      <c r="H202" s="270">
        <f t="shared" si="7"/>
        <v>-5.0412053855344308E-3</v>
      </c>
    </row>
    <row r="203" spans="1:8" ht="15" thickBot="1" x14ac:dyDescent="0.4">
      <c r="A203" s="269">
        <v>45007</v>
      </c>
      <c r="B203" s="418">
        <v>23003.849609000001</v>
      </c>
      <c r="C203" s="270">
        <f t="shared" si="6"/>
        <v>3.2696209841647228E-3</v>
      </c>
      <c r="F203" s="269">
        <v>45007</v>
      </c>
      <c r="G203" s="418">
        <v>436.29998799999998</v>
      </c>
      <c r="H203" s="270">
        <f t="shared" si="7"/>
        <v>4.8364254766533055E-3</v>
      </c>
    </row>
    <row r="204" spans="1:8" ht="15" thickBot="1" x14ac:dyDescent="0.4">
      <c r="A204" s="269">
        <v>45008</v>
      </c>
      <c r="B204" s="418">
        <v>22913.800781000002</v>
      </c>
      <c r="C204" s="270">
        <f t="shared" si="6"/>
        <v>-3.9145112461859144E-3</v>
      </c>
      <c r="F204" s="269">
        <v>45008</v>
      </c>
      <c r="G204" s="418">
        <v>439.79998799999998</v>
      </c>
      <c r="H204" s="270">
        <f t="shared" si="7"/>
        <v>8.0220034294384845E-3</v>
      </c>
    </row>
    <row r="205" spans="1:8" ht="15" thickBot="1" x14ac:dyDescent="0.4">
      <c r="A205" s="269">
        <v>45009</v>
      </c>
      <c r="B205" s="418">
        <v>22716.650390999999</v>
      </c>
      <c r="C205" s="270">
        <f t="shared" si="6"/>
        <v>-8.6040020983109144E-3</v>
      </c>
      <c r="F205" s="269">
        <v>45009</v>
      </c>
      <c r="G205" s="418">
        <v>433.70001200000002</v>
      </c>
      <c r="H205" s="270">
        <f t="shared" si="7"/>
        <v>-1.3869886690401567E-2</v>
      </c>
    </row>
    <row r="206" spans="1:8" ht="15" thickBot="1" x14ac:dyDescent="0.4">
      <c r="A206" s="269">
        <v>45012</v>
      </c>
      <c r="B206" s="418">
        <v>22686.980468999998</v>
      </c>
      <c r="C206" s="270">
        <f t="shared" si="6"/>
        <v>-1.3060870105988664E-3</v>
      </c>
      <c r="F206" s="269">
        <v>45012</v>
      </c>
      <c r="G206" s="418">
        <v>423.25</v>
      </c>
      <c r="H206" s="270">
        <f t="shared" si="7"/>
        <v>-2.4095023543600935E-2</v>
      </c>
    </row>
    <row r="207" spans="1:8" ht="15" thickBot="1" x14ac:dyDescent="0.4">
      <c r="A207" s="269">
        <v>45013</v>
      </c>
      <c r="B207" s="418">
        <v>22608.390625</v>
      </c>
      <c r="C207" s="270">
        <f t="shared" si="6"/>
        <v>-3.464094488351388E-3</v>
      </c>
      <c r="F207" s="269">
        <v>45013</v>
      </c>
      <c r="G207" s="418">
        <v>422.85000600000001</v>
      </c>
      <c r="H207" s="270">
        <f t="shared" si="7"/>
        <v>-9.4505375073827835E-4</v>
      </c>
    </row>
    <row r="208" spans="1:8" ht="15" thickBot="1" x14ac:dyDescent="0.4">
      <c r="A208" s="269">
        <v>45014</v>
      </c>
      <c r="B208" s="418">
        <v>22822.890625</v>
      </c>
      <c r="C208" s="270">
        <f t="shared" si="6"/>
        <v>9.4876280031541693E-3</v>
      </c>
      <c r="F208" s="269">
        <v>45014</v>
      </c>
      <c r="G208" s="418">
        <v>422.29998799999998</v>
      </c>
      <c r="H208" s="270">
        <f t="shared" si="7"/>
        <v>-1.300740196749639E-3</v>
      </c>
    </row>
    <row r="209" spans="1:8" ht="15" thickBot="1" x14ac:dyDescent="0.4">
      <c r="A209" s="269">
        <v>45016</v>
      </c>
      <c r="B209" s="418">
        <v>23160.009765999999</v>
      </c>
      <c r="C209" s="270">
        <f t="shared" si="6"/>
        <v>1.4771097427541457E-2</v>
      </c>
      <c r="F209" s="269">
        <v>45016</v>
      </c>
      <c r="G209" s="418">
        <v>428.04998799999998</v>
      </c>
      <c r="H209" s="270">
        <f t="shared" si="7"/>
        <v>1.3615913245065059E-2</v>
      </c>
    </row>
    <row r="210" spans="1:8" ht="15" thickBot="1" x14ac:dyDescent="0.4">
      <c r="A210" s="269">
        <v>45019</v>
      </c>
      <c r="B210" s="418">
        <v>23226.810547000001</v>
      </c>
      <c r="C210" s="270">
        <f t="shared" si="6"/>
        <v>2.8843157526672325E-3</v>
      </c>
      <c r="F210" s="269">
        <v>45019</v>
      </c>
      <c r="G210" s="418">
        <v>437.85000600000001</v>
      </c>
      <c r="H210" s="270">
        <f t="shared" si="7"/>
        <v>2.2894564361020331E-2</v>
      </c>
    </row>
    <row r="211" spans="1:8" ht="15" thickBot="1" x14ac:dyDescent="0.4">
      <c r="A211" s="269">
        <v>45021</v>
      </c>
      <c r="B211" s="418">
        <v>23397.109375</v>
      </c>
      <c r="C211" s="270">
        <f t="shared" si="6"/>
        <v>7.3319936740947611E-3</v>
      </c>
      <c r="F211" s="269">
        <v>45021</v>
      </c>
      <c r="G211" s="418">
        <v>452.20001200000002</v>
      </c>
      <c r="H211" s="270">
        <f t="shared" si="7"/>
        <v>3.2773794229433051E-2</v>
      </c>
    </row>
    <row r="212" spans="1:8" ht="15" thickBot="1" x14ac:dyDescent="0.4">
      <c r="A212" s="269">
        <v>45022</v>
      </c>
      <c r="B212" s="418">
        <v>23475.050781000002</v>
      </c>
      <c r="C212" s="270">
        <f t="shared" si="6"/>
        <v>3.3312408276930938E-3</v>
      </c>
      <c r="F212" s="269">
        <v>45022</v>
      </c>
      <c r="G212" s="418">
        <v>459.95001200000002</v>
      </c>
      <c r="H212" s="270">
        <f t="shared" si="7"/>
        <v>1.7138433866295433E-2</v>
      </c>
    </row>
    <row r="213" spans="1:8" ht="15" thickBot="1" x14ac:dyDescent="0.4">
      <c r="A213" s="269">
        <v>45026</v>
      </c>
      <c r="B213" s="418">
        <v>23526.359375</v>
      </c>
      <c r="C213" s="270">
        <f t="shared" si="6"/>
        <v>2.185664877944582E-3</v>
      </c>
      <c r="F213" s="269">
        <v>45026</v>
      </c>
      <c r="G213" s="418">
        <v>463.25</v>
      </c>
      <c r="H213" s="270">
        <f t="shared" si="7"/>
        <v>7.1746666244243418E-3</v>
      </c>
    </row>
    <row r="214" spans="1:8" ht="15" thickBot="1" x14ac:dyDescent="0.4">
      <c r="A214" s="269">
        <v>45027</v>
      </c>
      <c r="B214" s="418">
        <v>23652.449218999998</v>
      </c>
      <c r="C214" s="270">
        <f t="shared" si="6"/>
        <v>5.3595136412811772E-3</v>
      </c>
      <c r="F214" s="269">
        <v>45027</v>
      </c>
      <c r="G214" s="418">
        <v>463.14999399999999</v>
      </c>
      <c r="H214" s="270">
        <f t="shared" si="7"/>
        <v>-2.1587911494880263E-4</v>
      </c>
    </row>
    <row r="215" spans="1:8" ht="15" thickBot="1" x14ac:dyDescent="0.4">
      <c r="A215" s="269">
        <v>45028</v>
      </c>
      <c r="B215" s="418">
        <v>23768.470702999999</v>
      </c>
      <c r="C215" s="270">
        <f t="shared" si="6"/>
        <v>4.9052629994359442E-3</v>
      </c>
      <c r="F215" s="269">
        <v>45028</v>
      </c>
      <c r="G215" s="418">
        <v>461.60000600000001</v>
      </c>
      <c r="H215" s="270">
        <f t="shared" si="7"/>
        <v>-3.3466220880485897E-3</v>
      </c>
    </row>
    <row r="216" spans="1:8" ht="15" thickBot="1" x14ac:dyDescent="0.4">
      <c r="A216" s="269">
        <v>45029</v>
      </c>
      <c r="B216" s="418">
        <v>23789.460938</v>
      </c>
      <c r="C216" s="270">
        <f t="shared" si="6"/>
        <v>8.8311255958717361E-4</v>
      </c>
      <c r="F216" s="269">
        <v>45029</v>
      </c>
      <c r="G216" s="418">
        <v>454.29998799999998</v>
      </c>
      <c r="H216" s="270">
        <f t="shared" si="7"/>
        <v>-1.5814596848163887E-2</v>
      </c>
    </row>
    <row r="217" spans="1:8" ht="15" thickBot="1" x14ac:dyDescent="0.4">
      <c r="A217" s="269">
        <v>45033</v>
      </c>
      <c r="B217" s="418">
        <v>23706</v>
      </c>
      <c r="C217" s="270">
        <f t="shared" si="6"/>
        <v>-3.508315645214366E-3</v>
      </c>
      <c r="F217" s="269">
        <v>45033</v>
      </c>
      <c r="G217" s="418">
        <v>456.89999399999999</v>
      </c>
      <c r="H217" s="270">
        <f t="shared" si="7"/>
        <v>5.7231038271565726E-3</v>
      </c>
    </row>
    <row r="218" spans="1:8" ht="15" thickBot="1" x14ac:dyDescent="0.4">
      <c r="A218" s="269">
        <v>45034</v>
      </c>
      <c r="B218" s="418">
        <v>23693.710938</v>
      </c>
      <c r="C218" s="270">
        <f t="shared" si="6"/>
        <v>-5.1839458364966173E-4</v>
      </c>
      <c r="F218" s="269">
        <v>45034</v>
      </c>
      <c r="G218" s="418">
        <v>465.10000600000001</v>
      </c>
      <c r="H218" s="270">
        <f t="shared" si="7"/>
        <v>1.7947060861637887E-2</v>
      </c>
    </row>
    <row r="219" spans="1:8" ht="15" thickBot="1" x14ac:dyDescent="0.4">
      <c r="A219" s="269">
        <v>45035</v>
      </c>
      <c r="B219" s="418">
        <v>23629.609375</v>
      </c>
      <c r="C219" s="270">
        <f t="shared" si="6"/>
        <v>-2.705425214637569E-3</v>
      </c>
      <c r="F219" s="269">
        <v>45035</v>
      </c>
      <c r="G219" s="418">
        <v>461.04998799999998</v>
      </c>
      <c r="H219" s="270">
        <f t="shared" si="7"/>
        <v>-8.7078433621865514E-3</v>
      </c>
    </row>
    <row r="220" spans="1:8" ht="15" thickBot="1" x14ac:dyDescent="0.4">
      <c r="A220" s="269">
        <v>45036</v>
      </c>
      <c r="B220" s="418">
        <v>23638.119140999999</v>
      </c>
      <c r="C220" s="270">
        <f t="shared" si="6"/>
        <v>3.6013147170366189E-4</v>
      </c>
      <c r="F220" s="269">
        <v>45036</v>
      </c>
      <c r="G220" s="418">
        <v>439.95001200000002</v>
      </c>
      <c r="H220" s="270">
        <f t="shared" si="7"/>
        <v>-4.5765050535040874E-2</v>
      </c>
    </row>
    <row r="221" spans="1:8" ht="15" thickBot="1" x14ac:dyDescent="0.4">
      <c r="A221" s="269">
        <v>45037</v>
      </c>
      <c r="B221" s="418">
        <v>23611.550781000002</v>
      </c>
      <c r="C221" s="270">
        <f t="shared" si="6"/>
        <v>-1.1239625217860372E-3</v>
      </c>
      <c r="F221" s="269">
        <v>45037</v>
      </c>
      <c r="G221" s="418">
        <v>430.14999399999999</v>
      </c>
      <c r="H221" s="270">
        <f t="shared" si="7"/>
        <v>-2.2275298858271286E-2</v>
      </c>
    </row>
    <row r="222" spans="1:8" ht="15" thickBot="1" x14ac:dyDescent="0.4">
      <c r="A222" s="269">
        <v>45040</v>
      </c>
      <c r="B222" s="418">
        <v>23745.869140999999</v>
      </c>
      <c r="C222" s="270">
        <f t="shared" si="6"/>
        <v>5.6886716694644068E-3</v>
      </c>
      <c r="F222" s="269">
        <v>45040</v>
      </c>
      <c r="G222" s="418">
        <v>430.20001200000002</v>
      </c>
      <c r="H222" s="270">
        <f t="shared" si="7"/>
        <v>1.1628036893562843E-4</v>
      </c>
    </row>
    <row r="223" spans="1:8" ht="15" thickBot="1" x14ac:dyDescent="0.4">
      <c r="A223" s="269">
        <v>45041</v>
      </c>
      <c r="B223" s="418">
        <v>23787.080077999999</v>
      </c>
      <c r="C223" s="270">
        <f t="shared" si="6"/>
        <v>1.7354992043161488E-3</v>
      </c>
      <c r="F223" s="269">
        <v>45041</v>
      </c>
      <c r="G223" s="418">
        <v>436.14999399999999</v>
      </c>
      <c r="H223" s="270">
        <f t="shared" si="7"/>
        <v>1.383073415627889E-2</v>
      </c>
    </row>
    <row r="224" spans="1:8" ht="15" thickBot="1" x14ac:dyDescent="0.4">
      <c r="A224" s="269">
        <v>45042</v>
      </c>
      <c r="B224" s="418">
        <v>23851.410156000002</v>
      </c>
      <c r="C224" s="270">
        <f t="shared" si="6"/>
        <v>2.7044125545909736E-3</v>
      </c>
      <c r="F224" s="269">
        <v>45042</v>
      </c>
      <c r="G224" s="418">
        <v>434.70001200000002</v>
      </c>
      <c r="H224" s="270">
        <f t="shared" si="7"/>
        <v>-3.3245030836799305E-3</v>
      </c>
    </row>
    <row r="225" spans="1:8" ht="15" thickBot="1" x14ac:dyDescent="0.4">
      <c r="A225" s="269">
        <v>45043</v>
      </c>
      <c r="B225" s="418">
        <v>23983.880859000001</v>
      </c>
      <c r="C225" s="270">
        <f t="shared" si="6"/>
        <v>5.5539987838695293E-3</v>
      </c>
      <c r="F225" s="269">
        <v>45043</v>
      </c>
      <c r="G225" s="418">
        <v>438.14999399999999</v>
      </c>
      <c r="H225" s="270">
        <f t="shared" si="7"/>
        <v>7.9364663095522481E-3</v>
      </c>
    </row>
    <row r="226" spans="1:8" ht="15" thickBot="1" x14ac:dyDescent="0.4">
      <c r="A226" s="269">
        <v>45044</v>
      </c>
      <c r="B226" s="418">
        <v>24209.369140999999</v>
      </c>
      <c r="C226" s="270">
        <f t="shared" si="6"/>
        <v>9.4016595281485316E-3</v>
      </c>
      <c r="F226" s="269">
        <v>45044</v>
      </c>
      <c r="G226" s="418">
        <v>443.04998799999998</v>
      </c>
      <c r="H226" s="270">
        <f t="shared" si="7"/>
        <v>1.1183371144813936E-2</v>
      </c>
    </row>
    <row r="227" spans="1:8" ht="15" thickBot="1" x14ac:dyDescent="0.4">
      <c r="A227" s="269">
        <v>45048</v>
      </c>
      <c r="B227" s="418">
        <v>24344.140625</v>
      </c>
      <c r="C227" s="270">
        <f t="shared" si="6"/>
        <v>5.5669143303596069E-3</v>
      </c>
      <c r="F227" s="269">
        <v>45048</v>
      </c>
      <c r="G227" s="418">
        <v>452.45001200000002</v>
      </c>
      <c r="H227" s="270">
        <f t="shared" si="7"/>
        <v>2.1216621723506357E-2</v>
      </c>
    </row>
    <row r="228" spans="1:8" ht="15" thickBot="1" x14ac:dyDescent="0.4">
      <c r="A228" s="269">
        <v>45049</v>
      </c>
      <c r="B228" s="418">
        <v>24304.650390999999</v>
      </c>
      <c r="C228" s="270">
        <f t="shared" si="6"/>
        <v>-1.6221658676850437E-3</v>
      </c>
      <c r="F228" s="269">
        <v>45049</v>
      </c>
      <c r="G228" s="418">
        <v>455.79998799999998</v>
      </c>
      <c r="H228" s="270">
        <f t="shared" si="7"/>
        <v>7.4040798124677121E-3</v>
      </c>
    </row>
    <row r="229" spans="1:8" ht="15" thickBot="1" x14ac:dyDescent="0.4">
      <c r="A229" s="269">
        <v>45050</v>
      </c>
      <c r="B229" s="418">
        <v>24506.330077999999</v>
      </c>
      <c r="C229" s="270">
        <f t="shared" si="6"/>
        <v>8.2979875766771016E-3</v>
      </c>
      <c r="F229" s="269">
        <v>45050</v>
      </c>
      <c r="G229" s="418">
        <v>472.25</v>
      </c>
      <c r="H229" s="270">
        <f t="shared" si="7"/>
        <v>3.6090417799659935E-2</v>
      </c>
    </row>
    <row r="230" spans="1:8" ht="15" thickBot="1" x14ac:dyDescent="0.4">
      <c r="A230" s="269">
        <v>45051</v>
      </c>
      <c r="B230" s="418">
        <v>24306.419922000001</v>
      </c>
      <c r="C230" s="270">
        <f t="shared" si="6"/>
        <v>-8.15749054892001E-3</v>
      </c>
      <c r="F230" s="269">
        <v>45051</v>
      </c>
      <c r="G230" s="418">
        <v>469.29998799999998</v>
      </c>
      <c r="H230" s="270">
        <f t="shared" si="7"/>
        <v>-6.2467167813657909E-3</v>
      </c>
    </row>
    <row r="231" spans="1:8" ht="15" thickBot="1" x14ac:dyDescent="0.4">
      <c r="A231" s="269">
        <v>45054</v>
      </c>
      <c r="B231" s="418">
        <v>24543.580077999999</v>
      </c>
      <c r="C231" s="270">
        <f t="shared" si="6"/>
        <v>9.7570994313869175E-3</v>
      </c>
      <c r="F231" s="269">
        <v>45054</v>
      </c>
      <c r="G231" s="418">
        <v>470.25</v>
      </c>
      <c r="H231" s="270">
        <f t="shared" si="7"/>
        <v>2.024317119735386E-3</v>
      </c>
    </row>
    <row r="232" spans="1:8" ht="15" thickBot="1" x14ac:dyDescent="0.4">
      <c r="A232" s="269">
        <v>45055</v>
      </c>
      <c r="B232" s="418">
        <v>24528.820313</v>
      </c>
      <c r="C232" s="270">
        <f t="shared" si="6"/>
        <v>-6.0136968417368042E-4</v>
      </c>
      <c r="F232" s="269">
        <v>45055</v>
      </c>
      <c r="G232" s="418">
        <v>481.95001200000002</v>
      </c>
      <c r="H232" s="270">
        <f t="shared" si="7"/>
        <v>2.4880408293461054E-2</v>
      </c>
    </row>
    <row r="233" spans="1:8" ht="15" thickBot="1" x14ac:dyDescent="0.4">
      <c r="A233" s="269">
        <v>45056</v>
      </c>
      <c r="B233" s="418">
        <v>24603.759765999999</v>
      </c>
      <c r="C233" s="270">
        <f t="shared" si="6"/>
        <v>3.0551592797263272E-3</v>
      </c>
      <c r="F233" s="269">
        <v>45056</v>
      </c>
      <c r="G233" s="418">
        <v>499.14999399999999</v>
      </c>
      <c r="H233" s="270">
        <f t="shared" si="7"/>
        <v>3.5688311176969023E-2</v>
      </c>
    </row>
    <row r="234" spans="1:8" ht="15" thickBot="1" x14ac:dyDescent="0.4">
      <c r="A234" s="269">
        <v>45057</v>
      </c>
      <c r="B234" s="418">
        <v>24631.349609000001</v>
      </c>
      <c r="C234" s="270">
        <f t="shared" si="6"/>
        <v>1.1213669480762967E-3</v>
      </c>
      <c r="F234" s="269">
        <v>45057</v>
      </c>
      <c r="G234" s="418">
        <v>492.20001200000002</v>
      </c>
      <c r="H234" s="270">
        <f t="shared" si="7"/>
        <v>-1.3923634345470837E-2</v>
      </c>
    </row>
    <row r="235" spans="1:8" ht="15" thickBot="1" x14ac:dyDescent="0.4">
      <c r="A235" s="269">
        <v>45058</v>
      </c>
      <c r="B235" s="418">
        <v>24622.460938</v>
      </c>
      <c r="C235" s="270">
        <f t="shared" si="6"/>
        <v>-3.6086820824277055E-4</v>
      </c>
      <c r="F235" s="269">
        <v>45058</v>
      </c>
      <c r="G235" s="418">
        <v>497.60000600000001</v>
      </c>
      <c r="H235" s="270">
        <f t="shared" si="7"/>
        <v>1.0971137481402549E-2</v>
      </c>
    </row>
    <row r="236" spans="1:8" ht="15" thickBot="1" x14ac:dyDescent="0.4">
      <c r="A236" s="269">
        <v>45061</v>
      </c>
      <c r="B236" s="418">
        <v>24733.550781000002</v>
      </c>
      <c r="C236" s="270">
        <f t="shared" si="6"/>
        <v>4.5117278601731758E-3</v>
      </c>
      <c r="F236" s="269">
        <v>45061</v>
      </c>
      <c r="G236" s="418">
        <v>496.25</v>
      </c>
      <c r="H236" s="270">
        <f t="shared" si="7"/>
        <v>-2.7130345332029293E-3</v>
      </c>
    </row>
    <row r="237" spans="1:8" ht="15" thickBot="1" x14ac:dyDescent="0.4">
      <c r="A237" s="269">
        <v>45062</v>
      </c>
      <c r="B237" s="418">
        <v>24639.779297000001</v>
      </c>
      <c r="C237" s="270">
        <f t="shared" si="6"/>
        <v>-3.7912665605633888E-3</v>
      </c>
      <c r="F237" s="269">
        <v>45062</v>
      </c>
      <c r="G237" s="418">
        <v>495.54998799999998</v>
      </c>
      <c r="H237" s="270">
        <f t="shared" si="7"/>
        <v>-1.4106035264483952E-3</v>
      </c>
    </row>
    <row r="238" spans="1:8" ht="15" thickBot="1" x14ac:dyDescent="0.4">
      <c r="A238" s="269">
        <v>45063</v>
      </c>
      <c r="B238" s="418">
        <v>24536.519531000002</v>
      </c>
      <c r="C238" s="270">
        <f t="shared" si="6"/>
        <v>-4.1907747936918982E-3</v>
      </c>
      <c r="F238" s="269">
        <v>45063</v>
      </c>
      <c r="G238" s="418">
        <v>501.64999399999999</v>
      </c>
      <c r="H238" s="270">
        <f t="shared" si="7"/>
        <v>1.2309567445696334E-2</v>
      </c>
    </row>
    <row r="239" spans="1:8" ht="15" thickBot="1" x14ac:dyDescent="0.4">
      <c r="A239" s="269">
        <v>45064</v>
      </c>
      <c r="B239" s="418">
        <v>24429.349609000001</v>
      </c>
      <c r="C239" s="270">
        <f t="shared" si="6"/>
        <v>-4.3677719598576026E-3</v>
      </c>
      <c r="F239" s="269">
        <v>45064</v>
      </c>
      <c r="G239" s="418">
        <v>491.75</v>
      </c>
      <c r="H239" s="270">
        <f t="shared" si="7"/>
        <v>-1.973486318829698E-2</v>
      </c>
    </row>
    <row r="240" spans="1:8" ht="15" thickBot="1" x14ac:dyDescent="0.4">
      <c r="A240" s="269">
        <v>45065</v>
      </c>
      <c r="B240" s="418">
        <v>24504.070313</v>
      </c>
      <c r="C240" s="270">
        <f t="shared" si="6"/>
        <v>3.0586448348370876E-3</v>
      </c>
      <c r="F240" s="269">
        <v>45065</v>
      </c>
      <c r="G240" s="418">
        <v>492.54998799999998</v>
      </c>
      <c r="H240" s="270">
        <f t="shared" si="7"/>
        <v>1.626818505338079E-3</v>
      </c>
    </row>
    <row r="241" spans="1:8" ht="15" thickBot="1" x14ac:dyDescent="0.4">
      <c r="A241" s="269">
        <v>45068</v>
      </c>
      <c r="B241" s="418">
        <v>24655.580077999999</v>
      </c>
      <c r="C241" s="270">
        <f t="shared" si="6"/>
        <v>6.183044819277228E-3</v>
      </c>
      <c r="F241" s="269">
        <v>45068</v>
      </c>
      <c r="G241" s="418">
        <v>491.79998799999998</v>
      </c>
      <c r="H241" s="270">
        <f t="shared" si="7"/>
        <v>-1.5226880890716332E-3</v>
      </c>
    </row>
    <row r="242" spans="1:8" ht="15" thickBot="1" x14ac:dyDescent="0.4">
      <c r="A242" s="269">
        <v>45069</v>
      </c>
      <c r="B242" s="418">
        <v>24716.449218999998</v>
      </c>
      <c r="C242" s="270">
        <f t="shared" si="6"/>
        <v>2.4687774859659672E-3</v>
      </c>
      <c r="F242" s="269">
        <v>45069</v>
      </c>
      <c r="G242" s="418">
        <v>495.29998799999998</v>
      </c>
      <c r="H242" s="270">
        <f t="shared" si="7"/>
        <v>7.1167142850763199E-3</v>
      </c>
    </row>
    <row r="243" spans="1:8" ht="15" thickBot="1" x14ac:dyDescent="0.4">
      <c r="A243" s="269">
        <v>45070</v>
      </c>
      <c r="B243" s="418">
        <v>24673.289063</v>
      </c>
      <c r="C243" s="270">
        <f t="shared" si="6"/>
        <v>-1.7462118291173834E-3</v>
      </c>
      <c r="F243" s="269">
        <v>45070</v>
      </c>
      <c r="G243" s="418">
        <v>491.10000600000001</v>
      </c>
      <c r="H243" s="270">
        <f t="shared" si="7"/>
        <v>-8.4796731309429996E-3</v>
      </c>
    </row>
    <row r="244" spans="1:8" ht="15" thickBot="1" x14ac:dyDescent="0.4">
      <c r="A244" s="269">
        <v>45071</v>
      </c>
      <c r="B244" s="418">
        <v>24739.669922000001</v>
      </c>
      <c r="C244" s="270">
        <f t="shared" si="6"/>
        <v>2.6903936005655549E-3</v>
      </c>
      <c r="F244" s="269">
        <v>45071</v>
      </c>
      <c r="G244" s="418">
        <v>496.75</v>
      </c>
      <c r="H244" s="270">
        <f t="shared" si="7"/>
        <v>1.1504772818105025E-2</v>
      </c>
    </row>
    <row r="245" spans="1:8" ht="15" thickBot="1" x14ac:dyDescent="0.4">
      <c r="A245" s="269">
        <v>45072</v>
      </c>
      <c r="B245" s="418">
        <v>24962.810547000001</v>
      </c>
      <c r="C245" s="270">
        <f t="shared" si="6"/>
        <v>9.019547378906978E-3</v>
      </c>
      <c r="F245" s="269">
        <v>45072</v>
      </c>
      <c r="G245" s="418">
        <v>498.45001200000002</v>
      </c>
      <c r="H245" s="270">
        <f t="shared" si="7"/>
        <v>3.4222687468545843E-3</v>
      </c>
    </row>
    <row r="246" spans="1:8" ht="15" thickBot="1" x14ac:dyDescent="0.4">
      <c r="A246" s="269">
        <v>45075</v>
      </c>
      <c r="B246" s="418">
        <v>25080.820313</v>
      </c>
      <c r="C246" s="270">
        <f t="shared" si="6"/>
        <v>4.7274230510947479E-3</v>
      </c>
      <c r="F246" s="269">
        <v>45075</v>
      </c>
      <c r="G246" s="418">
        <v>509</v>
      </c>
      <c r="H246" s="270">
        <f t="shared" si="7"/>
        <v>2.1165588817359637E-2</v>
      </c>
    </row>
    <row r="247" spans="1:8" ht="15" thickBot="1" x14ac:dyDescent="0.4">
      <c r="A247" s="269">
        <v>45076</v>
      </c>
      <c r="B247" s="418">
        <v>25109.519531000002</v>
      </c>
      <c r="C247" s="270">
        <f t="shared" si="6"/>
        <v>1.1442695111980594E-3</v>
      </c>
      <c r="F247" s="269">
        <v>45076</v>
      </c>
      <c r="G247" s="418">
        <v>504.75</v>
      </c>
      <c r="H247" s="270">
        <f t="shared" si="7"/>
        <v>-8.3497053045186176E-3</v>
      </c>
    </row>
    <row r="248" spans="1:8" ht="15" thickBot="1" x14ac:dyDescent="0.4">
      <c r="A248" s="269">
        <v>45077</v>
      </c>
      <c r="B248" s="418">
        <v>25059.669922000001</v>
      </c>
      <c r="C248" s="270">
        <f t="shared" si="6"/>
        <v>-1.9852872508554498E-3</v>
      </c>
      <c r="F248" s="269">
        <v>45077</v>
      </c>
      <c r="G248" s="418">
        <v>496.04998799999998</v>
      </c>
      <c r="H248" s="270">
        <f t="shared" si="7"/>
        <v>-1.7236279346211081E-2</v>
      </c>
    </row>
    <row r="249" spans="1:8" ht="15" thickBot="1" x14ac:dyDescent="0.4">
      <c r="A249" s="269">
        <v>45078</v>
      </c>
      <c r="B249" s="418">
        <v>25042.419922000001</v>
      </c>
      <c r="C249" s="270">
        <f t="shared" si="6"/>
        <v>-6.8835703158465211E-4</v>
      </c>
      <c r="F249" s="269">
        <v>45078</v>
      </c>
      <c r="G249" s="418">
        <v>489.95001200000002</v>
      </c>
      <c r="H249" s="270">
        <f t="shared" si="7"/>
        <v>-1.2297099380234155E-2</v>
      </c>
    </row>
    <row r="250" spans="1:8" ht="15" thickBot="1" x14ac:dyDescent="0.4">
      <c r="A250" s="269">
        <v>45079</v>
      </c>
      <c r="B250" s="418">
        <v>25122.990234000001</v>
      </c>
      <c r="C250" s="270">
        <f t="shared" si="6"/>
        <v>3.2173532849841813E-3</v>
      </c>
      <c r="F250" s="269">
        <v>45079</v>
      </c>
      <c r="G250" s="418">
        <v>500.35000600000001</v>
      </c>
      <c r="H250" s="270">
        <f t="shared" si="7"/>
        <v>2.1226643015165303E-2</v>
      </c>
    </row>
    <row r="251" spans="1:8" ht="15" thickBot="1" x14ac:dyDescent="0.4">
      <c r="F251" s="269">
        <v>45082</v>
      </c>
      <c r="G251" s="418">
        <v>516.25</v>
      </c>
      <c r="H251" s="270">
        <f t="shared" si="7"/>
        <v>3.1777743198428077E-2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2A57-891E-9743-A4FD-5B69B3AF758A}">
  <sheetPr>
    <tabColor theme="4" tint="0.59999389629810485"/>
  </sheetPr>
  <dimension ref="B1:X73"/>
  <sheetViews>
    <sheetView showGridLines="0" topLeftCell="A14" zoomScale="125" zoomScaleNormal="40" workbookViewId="0">
      <selection activeCell="C28" sqref="C28"/>
    </sheetView>
  </sheetViews>
  <sheetFormatPr defaultColWidth="8.6328125" defaultRowHeight="14" customHeight="1" zeroHeight="1" x14ac:dyDescent="0.3"/>
  <cols>
    <col min="1" max="1" width="3.453125" style="121" customWidth="1"/>
    <col min="2" max="2" width="34.453125" style="121" bestFit="1" customWidth="1"/>
    <col min="3" max="3" width="14.1796875" style="121" bestFit="1" customWidth="1"/>
    <col min="4" max="4" width="12.81640625" style="121" bestFit="1" customWidth="1"/>
    <col min="5" max="5" width="13.453125" style="121" bestFit="1" customWidth="1"/>
    <col min="6" max="6" width="14.453125" style="121" bestFit="1" customWidth="1"/>
    <col min="7" max="7" width="10.1796875" style="121" bestFit="1" customWidth="1"/>
    <col min="8" max="8" width="11.453125" style="121" bestFit="1" customWidth="1"/>
    <col min="9" max="11" width="10.1796875" style="121" bestFit="1" customWidth="1"/>
    <col min="12" max="12" width="8.453125" style="121" customWidth="1"/>
    <col min="13" max="14" width="9.6328125" style="121" customWidth="1"/>
    <col min="15" max="15" width="9.1796875" style="121" customWidth="1"/>
    <col min="16" max="16" width="9.6328125" style="121" customWidth="1"/>
    <col min="17" max="17" width="11.36328125" style="121" bestFit="1" customWidth="1"/>
    <col min="18" max="18" width="13.453125" style="121" bestFit="1" customWidth="1"/>
    <col min="19" max="23" width="10.1796875" style="121" bestFit="1" customWidth="1"/>
    <col min="24" max="24" width="11.1796875" style="121" bestFit="1" customWidth="1"/>
    <col min="25" max="16384" width="8.6328125" style="121"/>
  </cols>
  <sheetData>
    <row r="1" spans="2:24" x14ac:dyDescent="0.3"/>
    <row r="2" spans="2:24" ht="28.5" x14ac:dyDescent="0.65">
      <c r="B2" s="70" t="s">
        <v>2</v>
      </c>
      <c r="C2" s="52"/>
      <c r="D2" s="52"/>
      <c r="E2" s="52"/>
      <c r="F2" s="52"/>
      <c r="G2" s="52"/>
      <c r="H2" s="52"/>
      <c r="I2" s="52"/>
      <c r="J2" s="52"/>
      <c r="K2" s="58" t="s">
        <v>550</v>
      </c>
      <c r="L2" s="59"/>
      <c r="M2" s="52"/>
      <c r="N2" s="52"/>
      <c r="O2" s="52"/>
      <c r="P2" s="52"/>
      <c r="Q2" s="52"/>
      <c r="R2" s="52"/>
    </row>
    <row r="3" spans="2:24" x14ac:dyDescent="0.3"/>
    <row r="4" spans="2:24" ht="16" thickBot="1" x14ac:dyDescent="0.4">
      <c r="B4" s="122" t="s">
        <v>644</v>
      </c>
      <c r="G4" s="57"/>
      <c r="H4" s="65" t="s">
        <v>553</v>
      </c>
    </row>
    <row r="5" spans="2:24" ht="14.5" x14ac:dyDescent="0.35">
      <c r="B5" s="317" t="s">
        <v>645</v>
      </c>
      <c r="C5" s="233" t="s">
        <v>551</v>
      </c>
      <c r="D5" s="233" t="s">
        <v>577</v>
      </c>
      <c r="E5" s="233" t="s">
        <v>578</v>
      </c>
      <c r="F5" s="233" t="s">
        <v>579</v>
      </c>
      <c r="G5" s="234" t="s">
        <v>580</v>
      </c>
      <c r="H5" s="235" t="s">
        <v>581</v>
      </c>
      <c r="Q5" s="256"/>
      <c r="R5" s="256"/>
      <c r="S5" s="257"/>
      <c r="T5" s="258"/>
      <c r="U5" s="258"/>
      <c r="V5" s="258"/>
      <c r="W5" s="258"/>
      <c r="X5" s="258"/>
    </row>
    <row r="6" spans="2:24" ht="14.5" x14ac:dyDescent="0.35">
      <c r="B6" s="318" t="s">
        <v>546</v>
      </c>
      <c r="C6" s="123">
        <f>'P&amp;L (projection)'!G19</f>
        <v>20309.7</v>
      </c>
      <c r="D6" s="123">
        <f>'P&amp;L (projection)'!H19</f>
        <v>32658.090714023856</v>
      </c>
      <c r="E6" s="123">
        <f>'P&amp;L (projection)'!I19</f>
        <v>36752.218925040856</v>
      </c>
      <c r="F6" s="123">
        <f>'P&amp;L (projection)'!J19</f>
        <v>41734.702518221369</v>
      </c>
      <c r="G6" s="123">
        <f>'P&amp;L (projection)'!K19</f>
        <v>47460.060809598537</v>
      </c>
      <c r="H6" s="319">
        <f>'P&amp;L (projection)'!L19</f>
        <v>54037.675371293357</v>
      </c>
      <c r="Q6"/>
      <c r="R6"/>
      <c r="S6"/>
      <c r="T6"/>
      <c r="U6"/>
      <c r="V6"/>
      <c r="W6"/>
      <c r="X6"/>
    </row>
    <row r="7" spans="2:24" x14ac:dyDescent="0.3">
      <c r="B7" s="318" t="s">
        <v>648</v>
      </c>
      <c r="C7" s="123">
        <f>'P&amp;L (projection)'!G24</f>
        <v>3834.9</v>
      </c>
      <c r="D7" s="123">
        <f>'P&amp;L (projection)'!H24</f>
        <v>6620.1551732061671</v>
      </c>
      <c r="E7" s="123">
        <f>'P&amp;L (projection)'!I24</f>
        <v>7316.4780734948436</v>
      </c>
      <c r="F7" s="123">
        <f>'P&amp;L (projection)'!J24</f>
        <v>8169.1187804426072</v>
      </c>
      <c r="G7" s="123">
        <f>'P&amp;L (projection)'!K24</f>
        <v>9126.4609638033253</v>
      </c>
      <c r="H7" s="319">
        <f>'P&amp;L (projection)'!L24</f>
        <v>10199.229699826923</v>
      </c>
    </row>
    <row r="8" spans="2:24" x14ac:dyDescent="0.3">
      <c r="B8" s="320" t="s">
        <v>649</v>
      </c>
      <c r="C8" s="125">
        <f>C6-C7</f>
        <v>16474.8</v>
      </c>
      <c r="D8" s="125">
        <f t="shared" ref="D8:H8" si="0">D6-D7</f>
        <v>26037.935540817689</v>
      </c>
      <c r="E8" s="125">
        <f t="shared" si="0"/>
        <v>29435.740851546012</v>
      </c>
      <c r="F8" s="125">
        <f t="shared" si="0"/>
        <v>33565.583737778761</v>
      </c>
      <c r="G8" s="125">
        <f t="shared" si="0"/>
        <v>38333.599845795208</v>
      </c>
      <c r="H8" s="321">
        <f t="shared" si="0"/>
        <v>43838.445671466434</v>
      </c>
    </row>
    <row r="9" spans="2:24" x14ac:dyDescent="0.3">
      <c r="B9" s="318" t="s">
        <v>650</v>
      </c>
      <c r="C9" s="123">
        <f>'P&amp;L (projection)'!G18</f>
        <v>750.7</v>
      </c>
      <c r="D9" s="123">
        <f>'P&amp;L (projection)'!H18</f>
        <v>533.2329965058891</v>
      </c>
      <c r="E9" s="123">
        <f>'P&amp;L (projection)'!I18</f>
        <v>650.72863502798077</v>
      </c>
      <c r="F9" s="123">
        <f>'P&amp;L (projection)'!J18</f>
        <v>771.2590128465597</v>
      </c>
      <c r="G9" s="123">
        <f>'P&amp;L (projection)'!K18</f>
        <v>898.24191616492021</v>
      </c>
      <c r="H9" s="319">
        <f>'P&amp;L (projection)'!L18</f>
        <v>1034.9474341633468</v>
      </c>
    </row>
    <row r="10" spans="2:24" x14ac:dyDescent="0.3">
      <c r="B10" s="318" t="s">
        <v>651</v>
      </c>
      <c r="C10" s="123">
        <f>'Working Capital'!C16</f>
        <v>3766.0999999999995</v>
      </c>
      <c r="D10" s="123">
        <f>'Working Capital'!D16</f>
        <v>1218.6029738998877</v>
      </c>
      <c r="E10" s="123">
        <f>'Working Capital'!E16</f>
        <v>1051.0986362675903</v>
      </c>
      <c r="F10" s="123">
        <f>'Working Capital'!F16</f>
        <v>1248.3400354161531</v>
      </c>
      <c r="G10" s="123">
        <f>'Working Capital'!G16</f>
        <v>1420.4822707888379</v>
      </c>
      <c r="H10" s="319">
        <f>'Working Capital'!H16</f>
        <v>1617.5393152710367</v>
      </c>
    </row>
    <row r="11" spans="2:24" x14ac:dyDescent="0.3">
      <c r="B11" s="318" t="s">
        <v>652</v>
      </c>
      <c r="C11" s="123">
        <f>'Capex Assumption'!G7</f>
        <v>694.3</v>
      </c>
      <c r="D11" s="123">
        <f>'Capex Assumption'!H7</f>
        <v>917.8122967999999</v>
      </c>
      <c r="E11" s="123">
        <f>'Capex Assumption'!I7</f>
        <v>1025.5651096080001</v>
      </c>
      <c r="F11" s="123">
        <f>'Capex Assumption'!J7</f>
        <v>1153.5380186344798</v>
      </c>
      <c r="G11" s="123">
        <f>'Capex Assumption'!K7</f>
        <v>1299.1579965700487</v>
      </c>
      <c r="H11" s="319">
        <f>'Capex Assumption'!L7</f>
        <v>1464.9791717043763</v>
      </c>
    </row>
    <row r="12" spans="2:24" ht="14.5" thickBot="1" x14ac:dyDescent="0.35">
      <c r="B12" s="322" t="s">
        <v>646</v>
      </c>
      <c r="C12" s="323">
        <f>C8+C9-C10+C11</f>
        <v>14153.7</v>
      </c>
      <c r="D12" s="323">
        <f>D8+D9-D10+D11</f>
        <v>26270.377860223689</v>
      </c>
      <c r="E12" s="323">
        <f t="shared" ref="E12:H12" si="1">E8+E9-E10+E11</f>
        <v>30060.935959914401</v>
      </c>
      <c r="F12" s="323">
        <f t="shared" si="1"/>
        <v>34242.040733843642</v>
      </c>
      <c r="G12" s="323">
        <f t="shared" si="1"/>
        <v>39110.517487741345</v>
      </c>
      <c r="H12" s="324">
        <f t="shared" si="1"/>
        <v>44720.832962063119</v>
      </c>
      <c r="I12" s="126"/>
      <c r="J12" s="127"/>
      <c r="K12" s="127"/>
      <c r="L12" s="127"/>
      <c r="M12" s="127"/>
    </row>
    <row r="13" spans="2:24" x14ac:dyDescent="0.3">
      <c r="C13" s="128"/>
    </row>
    <row r="14" spans="2:24" ht="15.5" x14ac:dyDescent="0.35">
      <c r="B14" s="441" t="s">
        <v>654</v>
      </c>
      <c r="C14" s="441"/>
      <c r="D14" s="129"/>
      <c r="E14" s="130" t="s">
        <v>655</v>
      </c>
    </row>
    <row r="15" spans="2:24" ht="14.5" x14ac:dyDescent="0.3">
      <c r="B15" s="442" t="s">
        <v>645</v>
      </c>
      <c r="C15" s="442"/>
      <c r="E15" s="131"/>
      <c r="F15" s="131"/>
      <c r="G15" s="443" t="s">
        <v>656</v>
      </c>
      <c r="H15" s="443"/>
      <c r="I15" s="443"/>
      <c r="J15" s="443"/>
      <c r="K15" s="443"/>
    </row>
    <row r="16" spans="2:24" ht="13.75" customHeight="1" x14ac:dyDescent="0.35">
      <c r="B16" s="259" t="s">
        <v>657</v>
      </c>
      <c r="C16" s="279">
        <f>C44</f>
        <v>9.5332397720236411E-2</v>
      </c>
      <c r="D16" s="132"/>
      <c r="E16" s="444" t="s">
        <v>657</v>
      </c>
      <c r="F16" s="133">
        <f>C26</f>
        <v>1481.5345505874211</v>
      </c>
      <c r="G16" s="134">
        <f>H16-0.005</f>
        <v>1.9999999999999997E-2</v>
      </c>
      <c r="H16" s="134">
        <f>I16-0.005</f>
        <v>2.4999999999999998E-2</v>
      </c>
      <c r="I16" s="134">
        <v>0.03</v>
      </c>
      <c r="J16" s="134">
        <f>I16+0.005</f>
        <v>3.4999999999999996E-2</v>
      </c>
      <c r="K16" s="134">
        <f>J16+0.005</f>
        <v>3.9999999999999994E-2</v>
      </c>
    </row>
    <row r="17" spans="2:11" ht="14.5" x14ac:dyDescent="0.35">
      <c r="B17" s="259" t="s">
        <v>806</v>
      </c>
      <c r="C17" s="280">
        <v>0.03</v>
      </c>
      <c r="D17" s="127"/>
      <c r="E17" s="445"/>
      <c r="F17" s="135">
        <f>F18-0.01</f>
        <v>7.5332397720236421E-2</v>
      </c>
      <c r="G17" s="123">
        <f t="dataTable" ref="G17:K21" dt2D="1" dtr="1" r1="C17" r2="C16"/>
        <v>1896.3236570419174</v>
      </c>
      <c r="H17" s="123">
        <v>2082.4087269923707</v>
      </c>
      <c r="I17" s="123">
        <v>2309.5428213290616</v>
      </c>
      <c r="J17" s="123">
        <v>2592.9924602838009</v>
      </c>
      <c r="K17" s="124">
        <v>2956.6658194624292</v>
      </c>
    </row>
    <row r="18" spans="2:11" ht="14.5" x14ac:dyDescent="0.35">
      <c r="B18" s="259" t="s">
        <v>807</v>
      </c>
      <c r="C18" s="260">
        <f>H12*(1+C17)/(C16-C17)</f>
        <v>705047.71841027006</v>
      </c>
      <c r="D18" s="136"/>
      <c r="E18" s="445"/>
      <c r="F18" s="135">
        <f>F19-0.01</f>
        <v>8.5332397720236416E-2</v>
      </c>
      <c r="G18" s="123">
        <v>1544.1270138173634</v>
      </c>
      <c r="H18" s="123">
        <v>1670.8278002360705</v>
      </c>
      <c r="I18" s="123">
        <v>1820.4267063168456</v>
      </c>
      <c r="J18" s="123">
        <v>1999.7478018534644</v>
      </c>
      <c r="K18" s="124">
        <v>2218.6258378023858</v>
      </c>
    </row>
    <row r="19" spans="2:11" ht="14.5" x14ac:dyDescent="0.35">
      <c r="B19" s="259" t="s">
        <v>808</v>
      </c>
      <c r="C19" s="260">
        <f>C18/(1+C16)^5</f>
        <v>447186.66493717057</v>
      </c>
      <c r="D19" s="132"/>
      <c r="E19" s="445"/>
      <c r="F19" s="137">
        <f>C44</f>
        <v>9.5332397720236411E-2</v>
      </c>
      <c r="G19" s="123">
        <v>1285.9000546563525</v>
      </c>
      <c r="H19" s="123">
        <v>1376.7633773231482</v>
      </c>
      <c r="I19" s="123">
        <v>1481.5345505874211</v>
      </c>
      <c r="J19" s="123">
        <v>1603.6713809817318</v>
      </c>
      <c r="K19" s="124">
        <v>1747.881505761701</v>
      </c>
    </row>
    <row r="20" spans="2:11" ht="14.5" x14ac:dyDescent="0.35">
      <c r="B20" s="259" t="s">
        <v>653</v>
      </c>
      <c r="C20" s="281">
        <f>NPV(C16,D12:H12)</f>
        <v>130632.80896368828</v>
      </c>
      <c r="D20" s="132"/>
      <c r="E20" s="445"/>
      <c r="F20" s="135">
        <f>F19+0.005</f>
        <v>0.10033239772023642</v>
      </c>
      <c r="G20" s="123">
        <v>1181.0521964014647</v>
      </c>
      <c r="H20" s="123">
        <v>1259.1684559672478</v>
      </c>
      <c r="I20" s="123">
        <v>1348.391440470308</v>
      </c>
      <c r="J20" s="123">
        <v>1451.271199807368</v>
      </c>
      <c r="K20" s="124">
        <v>1571.2031173918288</v>
      </c>
    </row>
    <row r="21" spans="2:11" ht="14.5" x14ac:dyDescent="0.35">
      <c r="B21" s="259" t="s">
        <v>495</v>
      </c>
      <c r="C21" s="260">
        <f>C19+C20</f>
        <v>577819.47390085889</v>
      </c>
      <c r="E21" s="445"/>
      <c r="F21" s="138">
        <f>F20+0.005</f>
        <v>0.10533239772023642</v>
      </c>
      <c r="G21" s="139">
        <v>1088.586750416956</v>
      </c>
      <c r="H21" s="139">
        <v>1156.3092976395894</v>
      </c>
      <c r="I21" s="139">
        <v>1233.0216751705773</v>
      </c>
      <c r="J21" s="139">
        <v>1320.6411709027848</v>
      </c>
      <c r="K21" s="140">
        <v>1421.672005999485</v>
      </c>
    </row>
    <row r="22" spans="2:11" ht="14.5" x14ac:dyDescent="0.35">
      <c r="B22" s="259" t="s">
        <v>298</v>
      </c>
      <c r="C22" s="282">
        <f>C38-'Balance Sheet (projection)'!G6</f>
        <v>90519.4</v>
      </c>
    </row>
    <row r="23" spans="2:11" ht="14.5" x14ac:dyDescent="0.35">
      <c r="B23" s="259" t="s">
        <v>809</v>
      </c>
      <c r="C23" s="282">
        <f>'Balance Sheet (projection)'!G11</f>
        <v>9240.4</v>
      </c>
    </row>
    <row r="24" spans="2:11" ht="14.5" x14ac:dyDescent="0.35">
      <c r="B24" s="259" t="s">
        <v>810</v>
      </c>
      <c r="C24" s="260">
        <f>C21-C22-C23</f>
        <v>478059.67390085885</v>
      </c>
      <c r="E24" s="52"/>
      <c r="F24" s="53"/>
    </row>
    <row r="25" spans="2:11" ht="14.5" x14ac:dyDescent="0.35">
      <c r="B25" s="259" t="s">
        <v>811</v>
      </c>
      <c r="C25" s="283">
        <v>322.678721</v>
      </c>
      <c r="E25" s="52"/>
      <c r="F25" s="53"/>
    </row>
    <row r="26" spans="2:11" ht="14.5" x14ac:dyDescent="0.35">
      <c r="B26" s="424" t="s">
        <v>658</v>
      </c>
      <c r="C26" s="284">
        <f>C24/C25</f>
        <v>1481.5345505874211</v>
      </c>
    </row>
    <row r="27" spans="2:11" ht="14.5" x14ac:dyDescent="0.35">
      <c r="B27" s="259" t="s">
        <v>812</v>
      </c>
      <c r="C27" s="259">
        <v>516.54999999999995</v>
      </c>
    </row>
    <row r="28" spans="2:11" ht="14.5" x14ac:dyDescent="0.35">
      <c r="B28" s="259" t="s">
        <v>813</v>
      </c>
      <c r="C28" s="266">
        <f>C26/C27-1</f>
        <v>1.8681338700753485</v>
      </c>
    </row>
    <row r="29" spans="2:11" x14ac:dyDescent="0.3"/>
    <row r="30" spans="2:11" ht="14" customHeight="1" x14ac:dyDescent="0.3"/>
    <row r="31" spans="2:11" ht="16" thickBot="1" x14ac:dyDescent="0.4">
      <c r="B31" s="141" t="s">
        <v>657</v>
      </c>
    </row>
    <row r="32" spans="2:11" x14ac:dyDescent="0.3">
      <c r="B32" s="446" t="s">
        <v>645</v>
      </c>
      <c r="C32" s="447"/>
      <c r="D32" s="142" t="s">
        <v>659</v>
      </c>
    </row>
    <row r="33" spans="2:10" x14ac:dyDescent="0.3">
      <c r="B33" s="377" t="s">
        <v>660</v>
      </c>
      <c r="C33" s="378">
        <v>6.9980000000000001E-2</v>
      </c>
      <c r="D33" s="142" t="s">
        <v>661</v>
      </c>
      <c r="G33" s="143"/>
    </row>
    <row r="34" spans="2:10" x14ac:dyDescent="0.3">
      <c r="B34" s="377" t="s">
        <v>662</v>
      </c>
      <c r="C34" s="379">
        <f>Beta!L14</f>
        <v>0.96699034308847676</v>
      </c>
      <c r="D34" s="52"/>
      <c r="E34" s="52"/>
      <c r="F34" s="52"/>
    </row>
    <row r="35" spans="2:10" x14ac:dyDescent="0.3">
      <c r="B35" s="377" t="s">
        <v>663</v>
      </c>
      <c r="C35" s="378">
        <f>Rm!F3</f>
        <v>0.11705744488642011</v>
      </c>
      <c r="E35" s="52"/>
      <c r="F35" s="52"/>
      <c r="G35" s="52"/>
      <c r="H35" s="52"/>
      <c r="I35" s="52"/>
      <c r="J35" s="52"/>
    </row>
    <row r="36" spans="2:10" x14ac:dyDescent="0.3">
      <c r="B36" s="377" t="s">
        <v>664</v>
      </c>
      <c r="C36" s="378">
        <f>C35-C33</f>
        <v>4.7077444886420114E-2</v>
      </c>
      <c r="D36" s="144"/>
    </row>
    <row r="37" spans="2:10" x14ac:dyDescent="0.3">
      <c r="B37" s="380" t="s">
        <v>665</v>
      </c>
      <c r="C37" s="381">
        <f>C33+C34*C36</f>
        <v>0.11550343458244824</v>
      </c>
    </row>
    <row r="38" spans="2:10" x14ac:dyDescent="0.3">
      <c r="B38" s="377" t="s">
        <v>666</v>
      </c>
      <c r="C38" s="382">
        <f>87886.9+5038.9</f>
        <v>92925.799999999988</v>
      </c>
    </row>
    <row r="39" spans="2:10" x14ac:dyDescent="0.3">
      <c r="B39" s="377" t="s">
        <v>667</v>
      </c>
      <c r="C39" s="383">
        <v>166700</v>
      </c>
    </row>
    <row r="40" spans="2:10" x14ac:dyDescent="0.3">
      <c r="B40" s="380" t="s">
        <v>53</v>
      </c>
      <c r="C40" s="384">
        <f>C38+C39</f>
        <v>259625.8</v>
      </c>
    </row>
    <row r="41" spans="2:10" x14ac:dyDescent="0.3">
      <c r="B41" s="377" t="s">
        <v>668</v>
      </c>
      <c r="C41" s="378">
        <v>7.9500000000000001E-2</v>
      </c>
      <c r="D41" s="121" t="s">
        <v>912</v>
      </c>
    </row>
    <row r="42" spans="2:10" x14ac:dyDescent="0.3">
      <c r="B42" s="377" t="s">
        <v>669</v>
      </c>
      <c r="C42" s="378">
        <f>'Debt &amp; Tax Assumption'!H13</f>
        <v>0.25600646207867983</v>
      </c>
    </row>
    <row r="43" spans="2:10" x14ac:dyDescent="0.3">
      <c r="B43" s="377" t="s">
        <v>670</v>
      </c>
      <c r="C43" s="385">
        <f>C41*(1-C42)</f>
        <v>5.9147486264744954E-2</v>
      </c>
    </row>
    <row r="44" spans="2:10" ht="14.5" thickBot="1" x14ac:dyDescent="0.35">
      <c r="B44" s="386" t="s">
        <v>657</v>
      </c>
      <c r="C44" s="387">
        <f>(C43*C38/C40)+(C37*C39/C40)</f>
        <v>9.5332397720236411E-2</v>
      </c>
    </row>
    <row r="45" spans="2:10" x14ac:dyDescent="0.3"/>
    <row r="46" spans="2:10" x14ac:dyDescent="0.3"/>
    <row r="47" spans="2:10" x14ac:dyDescent="0.3">
      <c r="C47" s="145"/>
    </row>
    <row r="48" spans="2:10" x14ac:dyDescent="0.3"/>
    <row r="49" x14ac:dyDescent="0.3"/>
    <row r="50" x14ac:dyDescent="0.3"/>
    <row r="51" x14ac:dyDescent="0.3"/>
    <row r="52" x14ac:dyDescent="0.3"/>
    <row r="53" x14ac:dyDescent="0.3"/>
    <row r="54" x14ac:dyDescent="0.3"/>
    <row r="55" x14ac:dyDescent="0.3"/>
    <row r="56" x14ac:dyDescent="0.3"/>
    <row r="57" x14ac:dyDescent="0.3"/>
    <row r="58" x14ac:dyDescent="0.3"/>
    <row r="59" x14ac:dyDescent="0.3"/>
    <row r="60" x14ac:dyDescent="0.3"/>
    <row r="61" x14ac:dyDescent="0.3"/>
    <row r="62" x14ac:dyDescent="0.3"/>
    <row r="63" x14ac:dyDescent="0.3"/>
    <row r="64" x14ac:dyDescent="0.3"/>
    <row r="65" x14ac:dyDescent="0.3"/>
    <row r="66" x14ac:dyDescent="0.3"/>
    <row r="67" x14ac:dyDescent="0.3"/>
    <row r="68" x14ac:dyDescent="0.3"/>
    <row r="69" ht="14" customHeight="1" x14ac:dyDescent="0.3"/>
    <row r="70" ht="14" customHeight="1" x14ac:dyDescent="0.3"/>
    <row r="71" ht="14" customHeight="1" x14ac:dyDescent="0.3"/>
    <row r="72" ht="14" customHeight="1" x14ac:dyDescent="0.3"/>
    <row r="73" ht="14" customHeight="1" x14ac:dyDescent="0.3"/>
  </sheetData>
  <mergeCells count="5">
    <mergeCell ref="B14:C14"/>
    <mergeCell ref="B15:C15"/>
    <mergeCell ref="G15:K15"/>
    <mergeCell ref="E16:E21"/>
    <mergeCell ref="B32:C32"/>
  </mergeCells>
  <conditionalFormatting sqref="G17:K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K2" location="Contents!A1" display="Back to contents" xr:uid="{1DF1F130-320D-DF4E-8196-3373CCE1FEF8}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1F7D-E18C-AB47-A82A-7C299B9AC423}">
  <sheetPr>
    <tabColor theme="4" tint="0.39997558519241921"/>
  </sheetPr>
  <dimension ref="A1:H47"/>
  <sheetViews>
    <sheetView topLeftCell="A29" zoomScale="145" workbookViewId="0">
      <selection activeCell="B41" sqref="B41"/>
    </sheetView>
  </sheetViews>
  <sheetFormatPr defaultColWidth="10.90625" defaultRowHeight="14.5" x14ac:dyDescent="0.35"/>
  <cols>
    <col min="1" max="1" width="25.453125" customWidth="1"/>
    <col min="2" max="2" width="16.36328125" customWidth="1"/>
    <col min="3" max="3" width="27.81640625" customWidth="1"/>
  </cols>
  <sheetData>
    <row r="1" spans="1:8" x14ac:dyDescent="0.35">
      <c r="A1" s="448"/>
      <c r="B1" s="449"/>
      <c r="C1" s="449"/>
      <c r="D1" s="449"/>
      <c r="E1" s="449"/>
      <c r="F1" s="178"/>
      <c r="G1" s="178"/>
      <c r="H1" s="178"/>
    </row>
    <row r="2" spans="1:8" x14ac:dyDescent="0.35">
      <c r="A2" s="180" t="s">
        <v>696</v>
      </c>
      <c r="B2" s="179" t="s">
        <v>697</v>
      </c>
      <c r="C2" s="182" t="s">
        <v>709</v>
      </c>
      <c r="D2" s="181" t="s">
        <v>710</v>
      </c>
      <c r="E2" s="181" t="s">
        <v>711</v>
      </c>
      <c r="F2" s="181" t="s">
        <v>824</v>
      </c>
      <c r="G2" s="181" t="s">
        <v>542</v>
      </c>
      <c r="H2" s="181" t="s">
        <v>695</v>
      </c>
    </row>
    <row r="3" spans="1:8" ht="15" customHeight="1" x14ac:dyDescent="0.35">
      <c r="A3" s="64" t="s">
        <v>698</v>
      </c>
      <c r="B3" s="64" t="s">
        <v>699</v>
      </c>
      <c r="C3" s="64">
        <v>111831</v>
      </c>
      <c r="D3" s="64">
        <v>7.1</v>
      </c>
      <c r="E3" s="64">
        <v>12.6</v>
      </c>
      <c r="F3" s="64">
        <v>0.8</v>
      </c>
      <c r="G3" s="332">
        <v>0.39429999999999998</v>
      </c>
      <c r="H3" s="64">
        <v>9.8000000000000007</v>
      </c>
    </row>
    <row r="4" spans="1:8" x14ac:dyDescent="0.35">
      <c r="A4" s="336">
        <f>'Revenue Assumptions'!G12/(SUM('Revenue Assumptions'!G12:G13))</f>
        <v>0.54063707643712289</v>
      </c>
      <c r="B4" s="64" t="s">
        <v>700</v>
      </c>
      <c r="C4" s="64">
        <v>18566</v>
      </c>
      <c r="D4" s="64">
        <v>1.6</v>
      </c>
      <c r="E4" s="64">
        <v>7.4</v>
      </c>
      <c r="F4" s="64">
        <v>0.5</v>
      </c>
      <c r="G4" s="332">
        <v>0.25890000000000002</v>
      </c>
    </row>
    <row r="5" spans="1:8" x14ac:dyDescent="0.35">
      <c r="A5" s="64"/>
      <c r="B5" s="64" t="s">
        <v>701</v>
      </c>
      <c r="C5" s="64">
        <v>94768</v>
      </c>
      <c r="D5" s="64">
        <v>1.7</v>
      </c>
      <c r="E5" s="333">
        <v>10.199999999999999</v>
      </c>
      <c r="F5" s="64">
        <v>1.1000000000000001</v>
      </c>
      <c r="G5" s="332">
        <v>0.23080000000000001</v>
      </c>
      <c r="H5" s="64">
        <v>6.5</v>
      </c>
    </row>
    <row r="6" spans="1:8" ht="15" customHeight="1" x14ac:dyDescent="0.35">
      <c r="A6" s="64"/>
      <c r="B6" s="64" t="s">
        <v>702</v>
      </c>
      <c r="C6" s="64">
        <v>36363</v>
      </c>
      <c r="D6" s="64">
        <v>0.5</v>
      </c>
      <c r="E6" s="64">
        <v>10.6</v>
      </c>
      <c r="F6" s="64">
        <v>3.5</v>
      </c>
      <c r="G6" s="332">
        <v>2.8799999999999999E-2</v>
      </c>
      <c r="H6" s="64">
        <v>8</v>
      </c>
    </row>
    <row r="7" spans="1:8" x14ac:dyDescent="0.35">
      <c r="A7" s="64"/>
      <c r="B7" s="64" t="s">
        <v>703</v>
      </c>
      <c r="C7" s="64">
        <v>10604</v>
      </c>
      <c r="D7" s="64">
        <v>1.4</v>
      </c>
      <c r="E7" s="64">
        <v>10.9</v>
      </c>
      <c r="F7" s="64">
        <v>0.1</v>
      </c>
      <c r="G7" s="332">
        <v>0.21609999999999999</v>
      </c>
      <c r="H7" s="64">
        <v>3.3</v>
      </c>
    </row>
    <row r="8" spans="1:8" x14ac:dyDescent="0.35">
      <c r="A8" s="64"/>
      <c r="B8" s="334" t="s">
        <v>825</v>
      </c>
      <c r="C8" s="334"/>
      <c r="D8" s="334">
        <f>MEDIAN(D3:D7)</f>
        <v>1.6</v>
      </c>
      <c r="E8" s="334">
        <f t="shared" ref="E8:H8" si="0">MEDIAN(E3:E7)</f>
        <v>10.6</v>
      </c>
      <c r="F8" s="334"/>
      <c r="G8" s="335"/>
      <c r="H8" s="334">
        <f t="shared" si="0"/>
        <v>7.25</v>
      </c>
    </row>
    <row r="9" spans="1:8" ht="15" customHeight="1" x14ac:dyDescent="0.35">
      <c r="A9" s="64" t="s">
        <v>704</v>
      </c>
      <c r="B9" s="64" t="s">
        <v>705</v>
      </c>
      <c r="C9" s="64">
        <v>408908</v>
      </c>
      <c r="D9" s="64">
        <v>2.4</v>
      </c>
      <c r="E9" s="64">
        <v>8.5</v>
      </c>
      <c r="F9" s="64">
        <v>3.7</v>
      </c>
      <c r="G9" s="332">
        <v>0.1101</v>
      </c>
      <c r="H9" s="64">
        <v>15</v>
      </c>
    </row>
    <row r="10" spans="1:8" x14ac:dyDescent="0.35">
      <c r="A10" s="337">
        <f>1-A4</f>
        <v>0.45936292356287711</v>
      </c>
      <c r="B10" s="64" t="s">
        <v>706</v>
      </c>
      <c r="C10" s="64">
        <v>417489</v>
      </c>
      <c r="D10" s="64">
        <v>7.5</v>
      </c>
      <c r="E10" s="64">
        <v>29.3</v>
      </c>
      <c r="F10" s="64">
        <v>0</v>
      </c>
      <c r="G10" s="332">
        <v>0.25190000000000001</v>
      </c>
      <c r="H10" s="64">
        <v>23.9</v>
      </c>
    </row>
    <row r="11" spans="1:8" x14ac:dyDescent="0.35">
      <c r="A11" s="64"/>
      <c r="B11" s="64" t="s">
        <v>707</v>
      </c>
      <c r="C11" s="64">
        <v>156143</v>
      </c>
      <c r="D11" s="64">
        <v>4.5</v>
      </c>
      <c r="E11" s="64">
        <v>21.6</v>
      </c>
      <c r="F11" s="64">
        <v>0</v>
      </c>
      <c r="G11" s="332">
        <v>0.21390000000000001</v>
      </c>
      <c r="H11" s="64">
        <v>20.9</v>
      </c>
    </row>
    <row r="12" spans="1:8" x14ac:dyDescent="0.35">
      <c r="A12" s="64"/>
      <c r="B12" s="64" t="s">
        <v>708</v>
      </c>
      <c r="C12" s="64">
        <v>149532</v>
      </c>
      <c r="D12" s="64">
        <v>5</v>
      </c>
      <c r="E12" s="64">
        <v>22.7</v>
      </c>
      <c r="F12" s="64">
        <v>1.9</v>
      </c>
      <c r="G12" s="332">
        <v>0.19270000000000001</v>
      </c>
      <c r="H12" s="64">
        <v>16.899999999999999</v>
      </c>
    </row>
    <row r="13" spans="1:8" x14ac:dyDescent="0.35">
      <c r="A13" s="64"/>
      <c r="B13" s="334" t="s">
        <v>825</v>
      </c>
      <c r="C13" s="64"/>
      <c r="D13" s="334">
        <f>MEDIAN(D9:D12)</f>
        <v>4.75</v>
      </c>
      <c r="E13" s="64">
        <f t="shared" ref="E13:H13" si="1">MEDIAN(E9:E12)</f>
        <v>22.15</v>
      </c>
      <c r="F13" s="64"/>
      <c r="G13" s="64"/>
      <c r="H13" s="64">
        <f t="shared" si="1"/>
        <v>18.899999999999999</v>
      </c>
    </row>
    <row r="14" spans="1:8" x14ac:dyDescent="0.35">
      <c r="A14" s="334"/>
      <c r="B14" s="338" t="s">
        <v>826</v>
      </c>
      <c r="C14" s="334"/>
      <c r="D14" s="334">
        <f>$A$4*D8+D13*$A$10</f>
        <v>3.0469932092230629</v>
      </c>
      <c r="E14" s="334">
        <f>$A$4*E8+E13*$A$10</f>
        <v>15.905641767151231</v>
      </c>
      <c r="F14" s="334"/>
      <c r="G14" s="334"/>
      <c r="H14" s="334">
        <f t="shared" ref="H14" si="2">$A$4*H8+H13*$A$10</f>
        <v>12.601578059507517</v>
      </c>
    </row>
    <row r="15" spans="1:8" x14ac:dyDescent="0.35">
      <c r="B15" s="64" t="s">
        <v>913</v>
      </c>
    </row>
    <row r="17" spans="1:3" x14ac:dyDescent="0.35">
      <c r="A17" s="264" t="s">
        <v>827</v>
      </c>
      <c r="B17" s="76"/>
      <c r="C17" s="76"/>
    </row>
    <row r="18" spans="1:3" x14ac:dyDescent="0.35">
      <c r="A18" s="339" t="s">
        <v>828</v>
      </c>
      <c r="B18" s="340" t="s">
        <v>829</v>
      </c>
      <c r="C18" s="340" t="s">
        <v>659</v>
      </c>
    </row>
    <row r="19" spans="1:3" x14ac:dyDescent="0.35">
      <c r="A19" s="341" t="s">
        <v>830</v>
      </c>
      <c r="B19" s="342"/>
      <c r="C19" s="342"/>
    </row>
    <row r="20" spans="1:3" x14ac:dyDescent="0.35">
      <c r="A20" s="343" t="s">
        <v>831</v>
      </c>
      <c r="B20" s="342">
        <f>E14</f>
        <v>15.905641767151231</v>
      </c>
      <c r="C20" s="342" t="s">
        <v>832</v>
      </c>
    </row>
    <row r="21" spans="1:3" x14ac:dyDescent="0.35">
      <c r="A21" s="343" t="s">
        <v>833</v>
      </c>
      <c r="B21" s="344">
        <f>'P&amp;L (projection)'!H27</f>
        <v>59.637858704794972</v>
      </c>
      <c r="C21" s="344"/>
    </row>
    <row r="22" spans="1:3" x14ac:dyDescent="0.35">
      <c r="A22" s="341" t="s">
        <v>834</v>
      </c>
      <c r="B22" s="345">
        <f>B20*B21</f>
        <v>948.57841631845054</v>
      </c>
      <c r="C22" s="345"/>
    </row>
    <row r="23" spans="1:3" x14ac:dyDescent="0.35">
      <c r="A23" s="341"/>
      <c r="B23" s="345"/>
      <c r="C23" s="345"/>
    </row>
    <row r="24" spans="1:3" x14ac:dyDescent="0.35">
      <c r="A24" s="341" t="s">
        <v>835</v>
      </c>
      <c r="B24" s="345"/>
      <c r="C24" s="345"/>
    </row>
    <row r="25" spans="1:3" x14ac:dyDescent="0.35">
      <c r="A25" s="343" t="s">
        <v>837</v>
      </c>
      <c r="B25" s="342">
        <v>15.8</v>
      </c>
      <c r="C25" s="345"/>
    </row>
    <row r="26" spans="1:3" x14ac:dyDescent="0.35">
      <c r="A26" s="343" t="s">
        <v>833</v>
      </c>
      <c r="B26" s="344">
        <f>B21</f>
        <v>59.637858704794972</v>
      </c>
      <c r="C26" s="342"/>
    </row>
    <row r="27" spans="1:3" x14ac:dyDescent="0.35">
      <c r="A27" s="341" t="s">
        <v>834</v>
      </c>
      <c r="B27" s="345">
        <f>B25*B26</f>
        <v>942.27816753576064</v>
      </c>
      <c r="C27" s="342"/>
    </row>
    <row r="28" spans="1:3" x14ac:dyDescent="0.35">
      <c r="A28" s="343"/>
      <c r="B28" s="344"/>
      <c r="C28" s="342"/>
    </row>
    <row r="29" spans="1:3" x14ac:dyDescent="0.35">
      <c r="A29" s="346" t="s">
        <v>836</v>
      </c>
      <c r="B29" s="347">
        <f>AVERAGE(B27,B22)</f>
        <v>945.42829192710565</v>
      </c>
      <c r="C29" s="347"/>
    </row>
    <row r="31" spans="1:3" x14ac:dyDescent="0.35">
      <c r="A31" s="264" t="s">
        <v>838</v>
      </c>
      <c r="B31" s="76"/>
    </row>
    <row r="32" spans="1:3" x14ac:dyDescent="0.35">
      <c r="A32" s="339" t="s">
        <v>828</v>
      </c>
      <c r="B32" s="340"/>
    </row>
    <row r="33" spans="1:2" x14ac:dyDescent="0.35">
      <c r="A33" s="343" t="s">
        <v>839</v>
      </c>
      <c r="B33" s="342">
        <f>H14</f>
        <v>12.601578059507517</v>
      </c>
    </row>
    <row r="34" spans="1:2" x14ac:dyDescent="0.35">
      <c r="A34" s="343" t="s">
        <v>840</v>
      </c>
      <c r="B34" s="344">
        <f>'P&amp;L (projection)'!H17</f>
        <v>33191.323710529745</v>
      </c>
    </row>
    <row r="35" spans="1:2" x14ac:dyDescent="0.35">
      <c r="A35" s="341" t="s">
        <v>841</v>
      </c>
      <c r="B35" s="345">
        <f>B34*B33</f>
        <v>418263.05663662328</v>
      </c>
    </row>
    <row r="36" spans="1:2" x14ac:dyDescent="0.35">
      <c r="A36" s="343" t="s">
        <v>298</v>
      </c>
      <c r="B36" s="345">
        <f>DCF!C22</f>
        <v>90519.4</v>
      </c>
    </row>
    <row r="37" spans="1:2" x14ac:dyDescent="0.35">
      <c r="A37" s="343" t="s">
        <v>810</v>
      </c>
      <c r="B37" s="345">
        <f>B35-B36</f>
        <v>327743.65663662332</v>
      </c>
    </row>
    <row r="38" spans="1:2" x14ac:dyDescent="0.35">
      <c r="A38" s="343" t="s">
        <v>842</v>
      </c>
      <c r="B38" s="348">
        <f>DCF!C25</f>
        <v>322.678721</v>
      </c>
    </row>
    <row r="39" spans="1:2" x14ac:dyDescent="0.35">
      <c r="A39" s="346" t="s">
        <v>836</v>
      </c>
      <c r="B39" s="347">
        <f>B37/B38</f>
        <v>1015.6965281780181</v>
      </c>
    </row>
    <row r="41" spans="1:2" ht="15" thickBot="1" x14ac:dyDescent="0.4">
      <c r="A41" s="264" t="s">
        <v>844</v>
      </c>
    </row>
    <row r="42" spans="1:2" ht="15" thickBot="1" x14ac:dyDescent="0.4">
      <c r="A42" s="268" t="s">
        <v>828</v>
      </c>
      <c r="B42" s="268"/>
    </row>
    <row r="43" spans="1:2" ht="15" thickBot="1" x14ac:dyDescent="0.4">
      <c r="A43" s="349" t="s">
        <v>845</v>
      </c>
      <c r="B43" s="423">
        <f>D14</f>
        <v>3.0469932092230629</v>
      </c>
    </row>
    <row r="44" spans="1:2" ht="15" thickBot="1" x14ac:dyDescent="0.4">
      <c r="A44" s="349" t="s">
        <v>846</v>
      </c>
      <c r="B44" s="423">
        <f>'Balance Sheet (projection)'!G28/'P&amp;L (projection)'!H26</f>
        <v>88.422194668319889</v>
      </c>
    </row>
    <row r="45" spans="1:2" ht="15" thickBot="1" x14ac:dyDescent="0.4">
      <c r="A45" s="349" t="s">
        <v>834</v>
      </c>
      <c r="B45" s="423">
        <f>B44*B43</f>
        <v>269.42182669897045</v>
      </c>
    </row>
    <row r="46" spans="1:2" ht="15" thickBot="1" x14ac:dyDescent="0.4">
      <c r="A46" s="264"/>
    </row>
    <row r="47" spans="1:2" ht="15" thickBot="1" x14ac:dyDescent="0.4">
      <c r="A47" s="220" t="s">
        <v>834</v>
      </c>
      <c r="B47" s="388">
        <f>(B45+B39+B29)/3</f>
        <v>743.51554893469802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58A6-0379-C140-8AF8-FE0E667C97D2}">
  <sheetPr>
    <tabColor theme="4" tint="0.59999389629810485"/>
  </sheetPr>
  <dimension ref="A1:T41"/>
  <sheetViews>
    <sheetView showGridLines="0" topLeftCell="A2" zoomScale="119" workbookViewId="0">
      <selection activeCell="D20" sqref="D20"/>
    </sheetView>
  </sheetViews>
  <sheetFormatPr defaultColWidth="0" defaultRowHeight="14" zeroHeight="1" x14ac:dyDescent="0.3"/>
  <cols>
    <col min="1" max="1" width="3" style="52" customWidth="1"/>
    <col min="2" max="2" width="20" style="52" customWidth="1"/>
    <col min="3" max="3" width="12.36328125" style="52" bestFit="1" customWidth="1"/>
    <col min="4" max="5" width="11.81640625" style="52" bestFit="1" customWidth="1"/>
    <col min="6" max="6" width="11.453125" style="52" bestFit="1" customWidth="1"/>
    <col min="7" max="7" width="10.81640625" style="52" bestFit="1" customWidth="1"/>
    <col min="8" max="9" width="11.36328125" style="52" bestFit="1" customWidth="1"/>
    <col min="10" max="14" width="10.36328125" style="52" bestFit="1" customWidth="1"/>
    <col min="15" max="15" width="10.36328125" style="52" customWidth="1"/>
    <col min="16" max="16" width="13.453125" style="52" customWidth="1"/>
    <col min="17" max="17" width="8.81640625" style="52" customWidth="1"/>
    <col min="18" max="19" width="8.81640625" style="52" hidden="1" customWidth="1"/>
    <col min="20" max="20" width="13.453125" style="52" hidden="1" customWidth="1"/>
    <col min="21" max="16384" width="8.81640625" style="52" hidden="1"/>
  </cols>
  <sheetData>
    <row r="1" spans="1:16" x14ac:dyDescent="0.3"/>
    <row r="2" spans="1:16" ht="29" thickBot="1" x14ac:dyDescent="0.7">
      <c r="B2" s="70" t="s">
        <v>2</v>
      </c>
      <c r="C2" s="102"/>
      <c r="D2" s="102"/>
      <c r="E2" s="102"/>
      <c r="F2" s="102"/>
      <c r="G2" s="103"/>
      <c r="H2" s="102"/>
      <c r="I2" s="102"/>
      <c r="J2" s="102"/>
      <c r="K2" s="104"/>
      <c r="L2" s="104"/>
      <c r="M2" s="104"/>
      <c r="N2" s="104"/>
      <c r="O2" s="104"/>
      <c r="P2" s="104" t="s">
        <v>550</v>
      </c>
    </row>
    <row r="3" spans="1:16" x14ac:dyDescent="0.3"/>
    <row r="4" spans="1:16" ht="15.5" x14ac:dyDescent="0.35">
      <c r="B4" s="177" t="s">
        <v>694</v>
      </c>
    </row>
    <row r="5" spans="1:16" x14ac:dyDescent="0.3">
      <c r="H5" s="76">
        <v>1</v>
      </c>
      <c r="I5" s="76">
        <v>2</v>
      </c>
      <c r="J5" s="76">
        <v>3</v>
      </c>
      <c r="K5" s="76">
        <v>4</v>
      </c>
      <c r="L5" s="76">
        <v>5</v>
      </c>
    </row>
    <row r="6" spans="1:16" ht="28.5" thickBot="1" x14ac:dyDescent="0.35">
      <c r="B6" s="161" t="s">
        <v>678</v>
      </c>
      <c r="C6" s="289" t="s">
        <v>693</v>
      </c>
      <c r="D6" s="289" t="s">
        <v>692</v>
      </c>
      <c r="E6" s="289" t="s">
        <v>691</v>
      </c>
      <c r="F6" s="289" t="s">
        <v>690</v>
      </c>
      <c r="G6" s="290" t="s">
        <v>814</v>
      </c>
      <c r="H6" s="289" t="s">
        <v>688</v>
      </c>
      <c r="I6" s="289" t="s">
        <v>687</v>
      </c>
      <c r="J6" s="289" t="s">
        <v>686</v>
      </c>
      <c r="K6" s="289" t="s">
        <v>685</v>
      </c>
      <c r="L6" s="291" t="s">
        <v>684</v>
      </c>
      <c r="M6" s="176" t="s">
        <v>674</v>
      </c>
    </row>
    <row r="7" spans="1:16" x14ac:dyDescent="0.3">
      <c r="B7" s="286" t="s">
        <v>544</v>
      </c>
      <c r="C7" s="292">
        <f>'P&amp;L (projection)'!C27</f>
        <v>14.70506054020491</v>
      </c>
      <c r="D7" s="292">
        <f>'P&amp;L (projection)'!D27</f>
        <v>17.534306116113015</v>
      </c>
      <c r="E7" s="292">
        <f>'P&amp;L (projection)'!E27</f>
        <v>32.881750465549352</v>
      </c>
      <c r="F7" s="292">
        <f>'P&amp;L (projection)'!F27</f>
        <v>42.308741475511447</v>
      </c>
      <c r="G7" s="292">
        <f>'P&amp;L (projection)'!G27</f>
        <v>34.546807191568504</v>
      </c>
      <c r="H7" s="292">
        <f>'P&amp;L (projection)'!H27</f>
        <v>59.637858704794972</v>
      </c>
      <c r="I7" s="292">
        <f>'P&amp;L (projection)'!I27</f>
        <v>65.910703623657696</v>
      </c>
      <c r="J7" s="292">
        <f>'P&amp;L (projection)'!J27</f>
        <v>73.591742009693078</v>
      </c>
      <c r="K7" s="292">
        <f>'P&amp;L (projection)'!K27</f>
        <v>82.215986664030325</v>
      </c>
      <c r="L7" s="304">
        <f>'P&amp;L (projection)'!L27</f>
        <v>91.880054745218857</v>
      </c>
      <c r="M7" s="173"/>
    </row>
    <row r="8" spans="1:16" x14ac:dyDescent="0.3">
      <c r="B8" s="287" t="s">
        <v>543</v>
      </c>
      <c r="C8" s="293">
        <f>'P&amp;L (projection)'!C29</f>
        <v>3.5880347718099981</v>
      </c>
      <c r="D8" s="293">
        <f>'P&amp;L (projection)'!D29</f>
        <v>10.485515057435583</v>
      </c>
      <c r="E8" s="293">
        <f>'P&amp;L (projection)'!E29</f>
        <v>14.599497206703912</v>
      </c>
      <c r="F8" s="293">
        <f>'P&amp;L (projection)'!F29</f>
        <v>17.875443273403587</v>
      </c>
      <c r="G8" s="293">
        <f>'P&amp;L (projection)'!G29</f>
        <v>22.496880843149409</v>
      </c>
      <c r="H8" s="293">
        <f>'P&amp;L (projection)'!H29</f>
        <v>29.818929352397486</v>
      </c>
      <c r="I8" s="293">
        <f>'P&amp;L (projection)'!I29</f>
        <v>32.955351811828848</v>
      </c>
      <c r="J8" s="293">
        <f>'P&amp;L (projection)'!J29</f>
        <v>36.795871004846539</v>
      </c>
      <c r="K8" s="293">
        <f>'P&amp;L (projection)'!K29</f>
        <v>41.107993332015162</v>
      </c>
      <c r="L8" s="305">
        <f>'P&amp;L (projection)'!L29</f>
        <v>45.940027372609428</v>
      </c>
      <c r="M8" s="175"/>
    </row>
    <row r="9" spans="1:16" x14ac:dyDescent="0.3">
      <c r="B9" s="286" t="s">
        <v>683</v>
      </c>
      <c r="C9" s="294">
        <f>C8/C7</f>
        <v>0.24399999999999999</v>
      </c>
      <c r="D9" s="294">
        <f t="shared" ref="D9:L9" si="0">D8/D7</f>
        <v>0.59799999999999998</v>
      </c>
      <c r="E9" s="294">
        <f t="shared" si="0"/>
        <v>0.44400000000000001</v>
      </c>
      <c r="F9" s="294">
        <f t="shared" si="0"/>
        <v>0.42249999999999999</v>
      </c>
      <c r="G9" s="294">
        <f t="shared" si="0"/>
        <v>0.6512</v>
      </c>
      <c r="H9" s="303">
        <f t="shared" si="0"/>
        <v>0.5</v>
      </c>
      <c r="I9" s="303">
        <f t="shared" si="0"/>
        <v>0.5</v>
      </c>
      <c r="J9" s="303">
        <f t="shared" si="0"/>
        <v>0.5</v>
      </c>
      <c r="K9" s="303">
        <f t="shared" si="0"/>
        <v>0.5</v>
      </c>
      <c r="L9" s="306">
        <f t="shared" si="0"/>
        <v>0.5</v>
      </c>
      <c r="M9" s="172"/>
    </row>
    <row r="10" spans="1:16" ht="14.5" thickBot="1" x14ac:dyDescent="0.35">
      <c r="B10" s="286" t="s">
        <v>682</v>
      </c>
      <c r="C10" s="307">
        <f>1-C9</f>
        <v>0.75600000000000001</v>
      </c>
      <c r="D10" s="307">
        <f t="shared" ref="D10:L10" si="1">1-D9</f>
        <v>0.40200000000000002</v>
      </c>
      <c r="E10" s="307">
        <f t="shared" si="1"/>
        <v>0.55600000000000005</v>
      </c>
      <c r="F10" s="307">
        <f t="shared" si="1"/>
        <v>0.57750000000000001</v>
      </c>
      <c r="G10" s="307">
        <f t="shared" si="1"/>
        <v>0.3488</v>
      </c>
      <c r="H10" s="308">
        <f t="shared" si="1"/>
        <v>0.5</v>
      </c>
      <c r="I10" s="308">
        <f t="shared" si="1"/>
        <v>0.5</v>
      </c>
      <c r="J10" s="308">
        <f t="shared" si="1"/>
        <v>0.5</v>
      </c>
      <c r="K10" s="308">
        <f t="shared" si="1"/>
        <v>0.5</v>
      </c>
      <c r="L10" s="309">
        <f t="shared" si="1"/>
        <v>0.5</v>
      </c>
      <c r="M10" s="173"/>
    </row>
    <row r="11" spans="1:16" x14ac:dyDescent="0.3">
      <c r="A11" s="56"/>
      <c r="B11" s="286" t="s">
        <v>679</v>
      </c>
      <c r="C11" s="293"/>
      <c r="G11" s="56"/>
      <c r="H11" s="310"/>
      <c r="I11" s="311"/>
      <c r="J11" s="311"/>
      <c r="K11" s="312"/>
      <c r="L11" s="313">
        <f>DCF!C37</f>
        <v>0.11550343458244824</v>
      </c>
      <c r="M11" s="173">
        <f>L8*(1+L12)/(L11-L12)</f>
        <v>1080.2663521942729</v>
      </c>
    </row>
    <row r="12" spans="1:16" x14ac:dyDescent="0.3">
      <c r="A12" s="56"/>
      <c r="B12" s="286" t="s">
        <v>656</v>
      </c>
      <c r="C12" s="293"/>
      <c r="G12" s="56"/>
      <c r="H12" s="314"/>
      <c r="I12" s="295"/>
      <c r="J12" s="295"/>
      <c r="K12" s="174"/>
      <c r="L12" s="296">
        <v>7.0000000000000007E-2</v>
      </c>
      <c r="M12" s="173"/>
    </row>
    <row r="13" spans="1:16" x14ac:dyDescent="0.3">
      <c r="B13" s="286" t="s">
        <v>681</v>
      </c>
      <c r="C13" s="293"/>
      <c r="G13" s="56"/>
      <c r="H13" s="315">
        <f>H8/(1+$L$11)^H5</f>
        <v>26.73136489585011</v>
      </c>
      <c r="I13" s="297">
        <f t="shared" ref="I13:L13" si="2">I8/(1+$L$11)^I5</f>
        <v>26.484033507872404</v>
      </c>
      <c r="J13" s="297">
        <f t="shared" si="2"/>
        <v>26.508573166270992</v>
      </c>
      <c r="K13" s="297">
        <f t="shared" si="2"/>
        <v>26.548661501587002</v>
      </c>
      <c r="L13" s="298">
        <f t="shared" si="2"/>
        <v>26.597247257026957</v>
      </c>
      <c r="M13" s="172">
        <f>M11/(1+L11)^5</f>
        <v>625.4265161776641</v>
      </c>
    </row>
    <row r="14" spans="1:16" ht="14.5" thickBot="1" x14ac:dyDescent="0.35">
      <c r="B14" s="288" t="s">
        <v>680</v>
      </c>
      <c r="C14" s="299"/>
      <c r="D14" s="102"/>
      <c r="E14" s="102"/>
      <c r="F14" s="103"/>
      <c r="G14" s="300"/>
      <c r="H14" s="316"/>
      <c r="I14" s="301"/>
      <c r="J14" s="301"/>
      <c r="K14" s="301"/>
      <c r="L14" s="302"/>
      <c r="M14" s="171">
        <f>SUM(H13:M13)</f>
        <v>758.29639650627155</v>
      </c>
    </row>
    <row r="15" spans="1:16" x14ac:dyDescent="0.3">
      <c r="N15" s="54"/>
      <c r="O15" s="54"/>
    </row>
    <row r="16" spans="1:16" x14ac:dyDescent="0.3">
      <c r="O16" s="53"/>
    </row>
    <row r="17" spans="2:15" x14ac:dyDescent="0.3">
      <c r="B17" s="55" t="s">
        <v>655</v>
      </c>
      <c r="O17" s="53"/>
    </row>
    <row r="18" spans="2:15" ht="14.5" customHeight="1" x14ac:dyDescent="0.3">
      <c r="B18" s="170"/>
      <c r="C18" s="169"/>
      <c r="D18" s="443" t="s">
        <v>656</v>
      </c>
      <c r="E18" s="443"/>
      <c r="F18" s="443"/>
      <c r="G18" s="443"/>
      <c r="H18" s="443"/>
    </row>
    <row r="19" spans="2:15" ht="15" x14ac:dyDescent="0.3">
      <c r="B19" s="168"/>
      <c r="C19" s="167">
        <f>M14</f>
        <v>758.29639650627155</v>
      </c>
      <c r="D19" s="166">
        <f>E19-0.005</f>
        <v>6.0000000000000005E-2</v>
      </c>
      <c r="E19" s="166">
        <f>F19-0.005</f>
        <v>6.5000000000000002E-2</v>
      </c>
      <c r="F19" s="166">
        <v>7.0000000000000007E-2</v>
      </c>
      <c r="G19" s="166">
        <f>F19+0.005</f>
        <v>7.5000000000000011E-2</v>
      </c>
      <c r="H19" s="166">
        <f>G19+0.005</f>
        <v>8.0000000000000016E-2</v>
      </c>
    </row>
    <row r="20" spans="2:15" ht="15" x14ac:dyDescent="0.3">
      <c r="B20" s="450" t="s">
        <v>679</v>
      </c>
      <c r="C20" s="165">
        <f>C21-1.5%</f>
        <v>9.7072009073861959E-2</v>
      </c>
      <c r="D20" s="164">
        <f t="dataTable" ref="D20:H24" dt2D="1" dtr="1" r1="L12" r2="L11"/>
        <v>966.27696509968291</v>
      </c>
      <c r="E20" s="164">
        <v>1099.6439788903017</v>
      </c>
      <c r="F20" s="164">
        <v>1282.2747962747903</v>
      </c>
      <c r="G20" s="164">
        <v>1547.6487915790285</v>
      </c>
      <c r="H20" s="164">
        <v>1968.4667033878213</v>
      </c>
    </row>
    <row r="21" spans="2:15" ht="15" x14ac:dyDescent="0.3">
      <c r="B21" s="450"/>
      <c r="C21" s="165">
        <f>C22-1.5%</f>
        <v>0.11207200907386196</v>
      </c>
      <c r="D21" s="164">
        <v>683.93402465441295</v>
      </c>
      <c r="E21" s="164">
        <v>745.20609375825018</v>
      </c>
      <c r="F21" s="164">
        <v>821.04178139436806</v>
      </c>
      <c r="G21" s="164">
        <v>917.33378891458585</v>
      </c>
      <c r="H21" s="164">
        <v>1043.6494869677097</v>
      </c>
    </row>
    <row r="22" spans="2:15" ht="15" x14ac:dyDescent="0.3">
      <c r="B22" s="450"/>
      <c r="C22" s="165">
        <v>0.12707200907386196</v>
      </c>
      <c r="D22" s="164">
        <v>528.04246009103917</v>
      </c>
      <c r="E22" s="164">
        <v>562.23390699368247</v>
      </c>
      <c r="F22" s="164">
        <v>602.41628490742687</v>
      </c>
      <c r="G22" s="164">
        <v>650.31535718891632</v>
      </c>
      <c r="H22" s="164">
        <v>708.39013117167156</v>
      </c>
    </row>
    <row r="23" spans="2:15" ht="15" x14ac:dyDescent="0.3">
      <c r="B23" s="450"/>
      <c r="C23" s="165">
        <f>C22+1.5%</f>
        <v>0.14207200907386197</v>
      </c>
      <c r="D23" s="164">
        <v>429.25991117823446</v>
      </c>
      <c r="E23" s="164">
        <v>450.60488166725077</v>
      </c>
      <c r="F23" s="164">
        <v>474.91146940036833</v>
      </c>
      <c r="G23" s="164">
        <v>502.84201115972502</v>
      </c>
      <c r="H23" s="164">
        <v>535.27225289272383</v>
      </c>
    </row>
    <row r="24" spans="2:15" ht="15" x14ac:dyDescent="0.3">
      <c r="B24" s="450"/>
      <c r="C24" s="165">
        <f>C23+1.5%</f>
        <v>0.15707200907386198</v>
      </c>
      <c r="D24" s="164">
        <v>361.105017753075</v>
      </c>
      <c r="E24" s="164">
        <v>375.44333104319276</v>
      </c>
      <c r="F24" s="164">
        <v>391.42836334698978</v>
      </c>
      <c r="G24" s="164">
        <v>409.36107945726098</v>
      </c>
      <c r="H24" s="164">
        <v>429.62054380282029</v>
      </c>
    </row>
    <row r="25" spans="2:15" x14ac:dyDescent="0.3"/>
    <row r="26" spans="2:15" x14ac:dyDescent="0.3"/>
    <row r="27" spans="2:15" x14ac:dyDescent="0.3">
      <c r="B27" s="161" t="s">
        <v>678</v>
      </c>
      <c r="C27" s="163">
        <v>2023</v>
      </c>
      <c r="D27" s="162">
        <v>2024</v>
      </c>
      <c r="E27" s="162">
        <v>2025</v>
      </c>
      <c r="F27" s="162">
        <v>2026</v>
      </c>
      <c r="G27" s="162">
        <v>2027</v>
      </c>
      <c r="H27" s="161">
        <v>2028</v>
      </c>
      <c r="I27" s="160"/>
    </row>
    <row r="28" spans="2:15" x14ac:dyDescent="0.3">
      <c r="B28" s="159" t="s">
        <v>544</v>
      </c>
      <c r="C28" s="157">
        <f>G7</f>
        <v>34.546807191568504</v>
      </c>
      <c r="D28" s="157">
        <f t="shared" ref="D28:H29" si="3">H7</f>
        <v>59.637858704794972</v>
      </c>
      <c r="E28" s="157">
        <f t="shared" si="3"/>
        <v>65.910703623657696</v>
      </c>
      <c r="F28" s="157">
        <f t="shared" si="3"/>
        <v>73.591742009693078</v>
      </c>
      <c r="G28" s="157">
        <f t="shared" si="3"/>
        <v>82.215986664030325</v>
      </c>
      <c r="H28" s="156">
        <f t="shared" si="3"/>
        <v>91.880054745218857</v>
      </c>
    </row>
    <row r="29" spans="2:15" x14ac:dyDescent="0.3">
      <c r="B29" s="158" t="s">
        <v>570</v>
      </c>
      <c r="C29" s="157">
        <f>G8</f>
        <v>22.496880843149409</v>
      </c>
      <c r="D29" s="157">
        <f t="shared" si="3"/>
        <v>29.818929352397486</v>
      </c>
      <c r="E29" s="157">
        <f t="shared" si="3"/>
        <v>32.955351811828848</v>
      </c>
      <c r="F29" s="157">
        <f t="shared" si="3"/>
        <v>36.795871004846539</v>
      </c>
      <c r="G29" s="157">
        <f t="shared" si="3"/>
        <v>41.107993332015162</v>
      </c>
      <c r="H29" s="156">
        <f t="shared" si="3"/>
        <v>45.940027372609428</v>
      </c>
      <c r="I29" s="155"/>
    </row>
    <row r="30" spans="2:15" x14ac:dyDescent="0.3">
      <c r="B30" s="154" t="s">
        <v>677</v>
      </c>
      <c r="C30" s="153">
        <f t="shared" ref="C30:H30" si="4">G13</f>
        <v>0</v>
      </c>
      <c r="D30" s="153">
        <f t="shared" si="4"/>
        <v>26.73136489585011</v>
      </c>
      <c r="E30" s="153">
        <f t="shared" si="4"/>
        <v>26.484033507872404</v>
      </c>
      <c r="F30" s="153">
        <f t="shared" si="4"/>
        <v>26.508573166270992</v>
      </c>
      <c r="G30" s="153">
        <f t="shared" si="4"/>
        <v>26.548661501587002</v>
      </c>
      <c r="H30" s="152">
        <f t="shared" si="4"/>
        <v>26.597247257026957</v>
      </c>
      <c r="I30" s="59"/>
    </row>
    <row r="31" spans="2:15" x14ac:dyDescent="0.3"/>
    <row r="32" spans="2:15" x14ac:dyDescent="0.3"/>
    <row r="33" spans="2:3" x14ac:dyDescent="0.3"/>
    <row r="34" spans="2:3" x14ac:dyDescent="0.3"/>
    <row r="35" spans="2:3" ht="44.5" hidden="1" customHeight="1" x14ac:dyDescent="0.3">
      <c r="B35" s="451" t="s">
        <v>676</v>
      </c>
      <c r="C35" s="451"/>
    </row>
    <row r="36" spans="2:3" ht="44" hidden="1" x14ac:dyDescent="0.3">
      <c r="B36" s="149" t="s">
        <v>675</v>
      </c>
      <c r="C36" s="151">
        <f>L7</f>
        <v>91.880054745218857</v>
      </c>
    </row>
    <row r="37" spans="2:3" ht="44" hidden="1" x14ac:dyDescent="0.3">
      <c r="B37" s="149" t="s">
        <v>656</v>
      </c>
      <c r="C37" s="150">
        <f>L12</f>
        <v>7.0000000000000007E-2</v>
      </c>
    </row>
    <row r="38" spans="2:3" ht="44" hidden="1" x14ac:dyDescent="0.3">
      <c r="B38" s="149" t="s">
        <v>674</v>
      </c>
      <c r="C38" s="148">
        <f>M8</f>
        <v>0</v>
      </c>
    </row>
    <row r="39" spans="2:3" ht="66" hidden="1" x14ac:dyDescent="0.3">
      <c r="B39" s="149" t="s">
        <v>673</v>
      </c>
      <c r="C39" s="148">
        <f>M13</f>
        <v>625.4265161776641</v>
      </c>
    </row>
    <row r="40" spans="2:3" ht="88" hidden="1" x14ac:dyDescent="0.3">
      <c r="B40" s="149" t="s">
        <v>672</v>
      </c>
      <c r="C40" s="148">
        <f>SUM(G13:L13)</f>
        <v>132.86988032860748</v>
      </c>
    </row>
    <row r="41" spans="2:3" ht="66" hidden="1" x14ac:dyDescent="0.3">
      <c r="B41" s="147" t="s">
        <v>671</v>
      </c>
      <c r="C41" s="146">
        <f>SUM(C39:C40)</f>
        <v>758.29639650627155</v>
      </c>
    </row>
  </sheetData>
  <mergeCells count="3">
    <mergeCell ref="D18:H18"/>
    <mergeCell ref="B20:B24"/>
    <mergeCell ref="B35:C35"/>
  </mergeCells>
  <conditionalFormatting sqref="D20:H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D1DC-2637-684B-8AAA-987AE1B7E5EE}">
  <sheetPr>
    <tabColor theme="4" tint="0.39997558519241921"/>
  </sheetPr>
  <dimension ref="A2:O23"/>
  <sheetViews>
    <sheetView zoomScale="133" workbookViewId="0">
      <selection activeCell="E20" sqref="E20"/>
    </sheetView>
  </sheetViews>
  <sheetFormatPr defaultColWidth="10.90625" defaultRowHeight="14.5" x14ac:dyDescent="0.35"/>
  <cols>
    <col min="2" max="2" width="18" customWidth="1"/>
    <col min="3" max="3" width="12.81640625" customWidth="1"/>
    <col min="2000" max="2000" width="2.36328125" customWidth="1"/>
  </cols>
  <sheetData>
    <row r="2" spans="1:15" ht="28.5" x14ac:dyDescent="0.65">
      <c r="A2" s="70" t="s">
        <v>2</v>
      </c>
    </row>
    <row r="3" spans="1:15" ht="15" thickBot="1" x14ac:dyDescent="0.4"/>
    <row r="4" spans="1:15" ht="15" thickBot="1" x14ac:dyDescent="0.4">
      <c r="B4" s="285" t="s">
        <v>645</v>
      </c>
      <c r="C4" s="329" t="s">
        <v>551</v>
      </c>
      <c r="D4" s="329" t="s">
        <v>577</v>
      </c>
      <c r="E4" s="329" t="s">
        <v>578</v>
      </c>
      <c r="F4" s="329" t="s">
        <v>579</v>
      </c>
      <c r="G4" s="329" t="s">
        <v>580</v>
      </c>
      <c r="H4" s="329" t="s">
        <v>581</v>
      </c>
    </row>
    <row r="5" spans="1:15" ht="15" thickBot="1" x14ac:dyDescent="0.4">
      <c r="B5" s="263" t="s">
        <v>815</v>
      </c>
      <c r="C5" s="417">
        <f>'Balance Sheet (projection)'!G28</f>
        <v>28525</v>
      </c>
      <c r="D5" s="417">
        <f>'Balance Sheet (projection)'!H28</f>
        <v>38144.586609083432</v>
      </c>
      <c r="E5" s="417">
        <f>'Balance Sheet (projection)'!I28</f>
        <v>48775.98310357942</v>
      </c>
      <c r="F5" s="417">
        <f>'Balance Sheet (projection)'!J28</f>
        <v>60646.331089742911</v>
      </c>
      <c r="G5" s="417">
        <f>'Balance Sheet (projection)'!K28</f>
        <v>73907.769738650997</v>
      </c>
      <c r="H5" s="417">
        <f>'Balance Sheet (projection)'!L28</f>
        <v>88728.022569054796</v>
      </c>
    </row>
    <row r="6" spans="1:15" ht="15" thickBot="1" x14ac:dyDescent="0.4">
      <c r="B6" s="263" t="s">
        <v>816</v>
      </c>
      <c r="C6" s="417">
        <f>'P&amp;L (projection)'!G25</f>
        <v>11144.800000000001</v>
      </c>
      <c r="D6" s="417">
        <f>'P&amp;L (projection)'!H25</f>
        <v>19239.173218166859</v>
      </c>
      <c r="E6" s="417">
        <f>'P&amp;L (projection)'!I25</f>
        <v>21262.792988991976</v>
      </c>
      <c r="F6" s="417">
        <f>'P&amp;L (projection)'!J25</f>
        <v>23740.695972326987</v>
      </c>
      <c r="G6" s="417">
        <f>'P&amp;L (projection)'!K25</f>
        <v>26522.877297816183</v>
      </c>
      <c r="H6" s="417">
        <f>'P&amp;L (projection)'!L25</f>
        <v>29640.505660807605</v>
      </c>
    </row>
    <row r="7" spans="1:15" ht="15" thickBot="1" x14ac:dyDescent="0.4">
      <c r="B7" s="263" t="s">
        <v>817</v>
      </c>
      <c r="C7" s="417"/>
      <c r="D7" s="417">
        <f>D6-D5*$C$10</f>
        <v>14833.34245409006</v>
      </c>
      <c r="E7" s="417">
        <f t="shared" ref="E7:H7" si="0">E6-E5*$C$10</f>
        <v>15628.999415393089</v>
      </c>
      <c r="F7" s="417">
        <f t="shared" si="0"/>
        <v>16735.836436637368</v>
      </c>
      <c r="G7" s="417">
        <f t="shared" si="0"/>
        <v>17986.276050673259</v>
      </c>
      <c r="H7" s="417">
        <f t="shared" si="0"/>
        <v>19392.114310372792</v>
      </c>
    </row>
    <row r="8" spans="1:15" ht="15" thickBot="1" x14ac:dyDescent="0.4"/>
    <row r="9" spans="1:15" ht="15" thickBot="1" x14ac:dyDescent="0.4">
      <c r="B9" s="452" t="s">
        <v>645</v>
      </c>
      <c r="C9" s="452"/>
    </row>
    <row r="10" spans="1:15" ht="15" thickBot="1" x14ac:dyDescent="0.4">
      <c r="B10" s="263" t="s">
        <v>665</v>
      </c>
      <c r="C10" s="325">
        <f>DCF!C37</f>
        <v>0.11550343458244824</v>
      </c>
    </row>
    <row r="11" spans="1:15" ht="15" thickBot="1" x14ac:dyDescent="0.4">
      <c r="B11" s="263" t="s">
        <v>818</v>
      </c>
      <c r="C11" s="326">
        <v>0.03</v>
      </c>
    </row>
    <row r="12" spans="1:15" ht="15" thickBot="1" x14ac:dyDescent="0.4">
      <c r="B12" s="263" t="s">
        <v>819</v>
      </c>
      <c r="C12" s="417">
        <f>NPV(C10,D7:H7)</f>
        <v>60757.511642234866</v>
      </c>
      <c r="I12" s="55" t="s">
        <v>655</v>
      </c>
    </row>
    <row r="13" spans="1:15" ht="15" thickBot="1" x14ac:dyDescent="0.4">
      <c r="B13" s="263" t="s">
        <v>820</v>
      </c>
      <c r="C13" s="417">
        <f>H7*(1+C11)/(C10-C11)</f>
        <v>233603.22117147001</v>
      </c>
      <c r="I13" s="170"/>
      <c r="J13" s="169"/>
      <c r="K13" s="443" t="s">
        <v>656</v>
      </c>
      <c r="L13" s="443"/>
      <c r="M13" s="443"/>
      <c r="N13" s="443"/>
      <c r="O13" s="443"/>
    </row>
    <row r="14" spans="1:15" ht="15.5" thickBot="1" x14ac:dyDescent="0.4">
      <c r="B14" s="263" t="s">
        <v>808</v>
      </c>
      <c r="C14" s="417">
        <f>C13/(1+C10)^5</f>
        <v>135245.94974969488</v>
      </c>
      <c r="I14" s="168"/>
      <c r="J14" s="167">
        <f>C18</f>
        <v>695.82667458239291</v>
      </c>
      <c r="K14" s="166">
        <f>L14-0.005</f>
        <v>1.9999999999999997E-2</v>
      </c>
      <c r="L14" s="166">
        <f>M14-0.005</f>
        <v>2.4999999999999998E-2</v>
      </c>
      <c r="M14" s="166">
        <v>0.03</v>
      </c>
      <c r="N14" s="166">
        <f>M14+0.005</f>
        <v>3.4999999999999996E-2</v>
      </c>
      <c r="O14" s="166">
        <f>N14+0.005</f>
        <v>3.9999999999999994E-2</v>
      </c>
    </row>
    <row r="15" spans="1:15" ht="15.5" thickBot="1" x14ac:dyDescent="0.4">
      <c r="B15" s="263" t="s">
        <v>821</v>
      </c>
      <c r="C15" s="417">
        <f>C5</f>
        <v>28525</v>
      </c>
      <c r="I15" s="450" t="s">
        <v>679</v>
      </c>
      <c r="J15" s="165">
        <f>J16-1.5%</f>
        <v>8.5500000000000007E-2</v>
      </c>
      <c r="K15" s="164">
        <f t="dataTable" ref="K15:O19" dt2D="1" dtr="1" r1="C11" r2="C10"/>
        <v>1020.5825010170047</v>
      </c>
      <c r="L15" s="164">
        <v>1082.6945958203953</v>
      </c>
      <c r="M15" s="164">
        <v>1155.9980590568302</v>
      </c>
      <c r="N15" s="164">
        <v>1243.8170595678057</v>
      </c>
      <c r="O15" s="164">
        <v>1350.936939311963</v>
      </c>
    </row>
    <row r="16" spans="1:15" ht="15.5" thickBot="1" x14ac:dyDescent="0.4">
      <c r="B16" s="263" t="s">
        <v>822</v>
      </c>
      <c r="C16" s="417">
        <f>C12+C14+C15</f>
        <v>224528.46139192974</v>
      </c>
      <c r="I16" s="450"/>
      <c r="J16" s="165">
        <f>J17-1.5%</f>
        <v>0.10050000000000001</v>
      </c>
      <c r="K16" s="164">
        <v>798.94186490480297</v>
      </c>
      <c r="L16" s="164">
        <v>834.96291734008821</v>
      </c>
      <c r="M16" s="164">
        <v>876.09333891513029</v>
      </c>
      <c r="N16" s="164">
        <v>923.50321416575139</v>
      </c>
      <c r="O16" s="164">
        <v>978.74943243300402</v>
      </c>
    </row>
    <row r="17" spans="2:15" ht="15.5" thickBot="1" x14ac:dyDescent="0.4">
      <c r="B17" s="263" t="s">
        <v>811</v>
      </c>
      <c r="C17" s="328">
        <v>322.678721</v>
      </c>
      <c r="I17" s="450"/>
      <c r="J17" s="165">
        <v>0.11550000000000001</v>
      </c>
      <c r="K17" s="164">
        <v>648.3255017664959</v>
      </c>
      <c r="L17" s="164">
        <v>670.77989973385434</v>
      </c>
      <c r="M17" s="164">
        <v>695.86054307751226</v>
      </c>
      <c r="N17" s="164">
        <v>724.05679428994756</v>
      </c>
      <c r="O17" s="164">
        <v>755.98764831197684</v>
      </c>
    </row>
    <row r="18" spans="2:15" ht="15.5" thickBot="1" x14ac:dyDescent="0.4">
      <c r="B18" s="263" t="s">
        <v>658</v>
      </c>
      <c r="C18" s="327">
        <f>C16/C17</f>
        <v>695.82667458239291</v>
      </c>
      <c r="I18" s="450"/>
      <c r="J18" s="165">
        <f>J17+1.5%</f>
        <v>0.1305</v>
      </c>
      <c r="K18" s="164">
        <v>539.71656171496875</v>
      </c>
      <c r="L18" s="164">
        <v>554.41450129154362</v>
      </c>
      <c r="M18" s="164">
        <v>570.57492241802652</v>
      </c>
      <c r="N18" s="164">
        <v>588.4275342383819</v>
      </c>
      <c r="O18" s="164">
        <v>608.25281034827935</v>
      </c>
    </row>
    <row r="19" spans="2:15" ht="15.5" thickBot="1" x14ac:dyDescent="0.4">
      <c r="B19" s="263" t="s">
        <v>812</v>
      </c>
      <c r="C19" s="263">
        <v>516.54999999999995</v>
      </c>
      <c r="I19" s="450"/>
      <c r="J19" s="165">
        <f>J18+1.5%</f>
        <v>0.14550000000000002</v>
      </c>
      <c r="K19" s="164">
        <v>457.97807796367721</v>
      </c>
      <c r="L19" s="164">
        <v>467.93441261051385</v>
      </c>
      <c r="M19" s="164">
        <v>478.75276757309388</v>
      </c>
      <c r="N19" s="164">
        <v>490.55015918387113</v>
      </c>
      <c r="O19" s="164">
        <v>503.46578696628615</v>
      </c>
    </row>
    <row r="20" spans="2:15" ht="15" thickBot="1" x14ac:dyDescent="0.4">
      <c r="B20" s="263" t="s">
        <v>813</v>
      </c>
      <c r="C20" s="270">
        <f>C18/C19-1</f>
        <v>0.34706548171985863</v>
      </c>
    </row>
    <row r="23" spans="2:15" x14ac:dyDescent="0.35">
      <c r="C23" s="425"/>
    </row>
  </sheetData>
  <mergeCells count="3">
    <mergeCell ref="B9:C9"/>
    <mergeCell ref="K13:O13"/>
    <mergeCell ref="I15:I19"/>
  </mergeCells>
  <conditionalFormatting sqref="K15:O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F092-10CB-4A46-B9B1-5673BC4D5F50}">
  <sheetPr>
    <tabColor theme="4" tint="0.59999389629810485"/>
  </sheetPr>
  <dimension ref="A1:Q25"/>
  <sheetViews>
    <sheetView showGridLines="0" zoomScale="150" workbookViewId="0">
      <selection activeCell="Q2" sqref="Q2"/>
    </sheetView>
  </sheetViews>
  <sheetFormatPr defaultColWidth="0" defaultRowHeight="14" customHeight="1" zeroHeight="1" x14ac:dyDescent="0.3"/>
  <cols>
    <col min="1" max="1" width="3.1796875" style="52" customWidth="1"/>
    <col min="2" max="2" width="15.36328125" style="52" bestFit="1" customWidth="1"/>
    <col min="3" max="3" width="9.81640625" style="52" customWidth="1"/>
    <col min="4" max="4" width="8.1796875" style="52" bestFit="1" customWidth="1"/>
    <col min="5" max="5" width="9.453125" style="52" customWidth="1"/>
    <col min="6" max="17" width="8.81640625" style="52" customWidth="1"/>
    <col min="18" max="16384" width="8.81640625" style="52" hidden="1"/>
  </cols>
  <sheetData>
    <row r="1" spans="2:16" x14ac:dyDescent="0.3"/>
    <row r="2" spans="2:16" ht="29" thickBot="1" x14ac:dyDescent="0.7">
      <c r="B2" s="70" t="s">
        <v>2</v>
      </c>
      <c r="C2" s="102"/>
      <c r="D2" s="102"/>
      <c r="E2" s="102"/>
      <c r="F2" s="102"/>
      <c r="G2" s="102"/>
      <c r="H2" s="102"/>
      <c r="I2" s="102"/>
      <c r="J2" s="102"/>
      <c r="K2" s="102"/>
      <c r="L2" s="103"/>
      <c r="M2" s="102"/>
      <c r="N2" s="102"/>
      <c r="O2" s="102"/>
      <c r="P2" s="104" t="s">
        <v>550</v>
      </c>
    </row>
    <row r="3" spans="2:16" x14ac:dyDescent="0.3"/>
    <row r="4" spans="2:16" x14ac:dyDescent="0.3"/>
    <row r="5" spans="2:16" x14ac:dyDescent="0.3">
      <c r="B5" s="55" t="s">
        <v>628</v>
      </c>
      <c r="H5" s="55" t="s">
        <v>629</v>
      </c>
    </row>
    <row r="6" spans="2:16" ht="26" x14ac:dyDescent="0.3">
      <c r="B6" s="105" t="s">
        <v>630</v>
      </c>
      <c r="C6" s="105" t="s">
        <v>631</v>
      </c>
      <c r="D6" s="105" t="s">
        <v>632</v>
      </c>
      <c r="E6" s="106" t="s">
        <v>633</v>
      </c>
    </row>
    <row r="7" spans="2:16" x14ac:dyDescent="0.3">
      <c r="B7" s="107" t="s">
        <v>634</v>
      </c>
      <c r="C7" s="108">
        <f>DCF!C26</f>
        <v>1481.5345505874211</v>
      </c>
      <c r="D7" s="109">
        <v>0.25</v>
      </c>
      <c r="E7" s="110">
        <f>C7*D7</f>
        <v>370.38363764685528</v>
      </c>
    </row>
    <row r="8" spans="2:16" x14ac:dyDescent="0.3">
      <c r="B8" s="107" t="s">
        <v>635</v>
      </c>
      <c r="C8" s="108">
        <f>DDM!M14</f>
        <v>758.29639650627155</v>
      </c>
      <c r="D8" s="109">
        <v>0.25</v>
      </c>
      <c r="E8" s="110">
        <f t="shared" ref="E8:E10" si="0">C8*D8</f>
        <v>189.57409912656789</v>
      </c>
    </row>
    <row r="9" spans="2:16" x14ac:dyDescent="0.3">
      <c r="B9" s="107" t="s">
        <v>817</v>
      </c>
      <c r="C9" s="108">
        <f>'Residual Income'!C18</f>
        <v>695.82667458239291</v>
      </c>
      <c r="D9" s="109">
        <v>0.25</v>
      </c>
      <c r="E9" s="110">
        <f t="shared" si="0"/>
        <v>173.95666864559823</v>
      </c>
    </row>
    <row r="10" spans="2:16" x14ac:dyDescent="0.3">
      <c r="B10" s="111" t="s">
        <v>636</v>
      </c>
      <c r="C10" s="108">
        <f>Relative!B47</f>
        <v>743.51554893469802</v>
      </c>
      <c r="D10" s="109">
        <v>0.25</v>
      </c>
      <c r="E10" s="110">
        <f t="shared" si="0"/>
        <v>185.8788872336745</v>
      </c>
    </row>
    <row r="11" spans="2:16" x14ac:dyDescent="0.3">
      <c r="B11" s="112" t="s">
        <v>637</v>
      </c>
      <c r="C11" s="113"/>
      <c r="D11" s="107"/>
      <c r="E11" s="114">
        <f>SUM(E7:E10)</f>
        <v>919.79329265269598</v>
      </c>
    </row>
    <row r="12" spans="2:16" x14ac:dyDescent="0.3">
      <c r="B12" s="115" t="s">
        <v>638</v>
      </c>
      <c r="C12" s="112"/>
      <c r="D12" s="115"/>
      <c r="E12" s="116">
        <v>516.29999999999995</v>
      </c>
    </row>
    <row r="13" spans="2:16" x14ac:dyDescent="0.3">
      <c r="B13" s="115" t="s">
        <v>843</v>
      </c>
      <c r="C13" s="112"/>
      <c r="D13" s="115"/>
      <c r="E13" s="117">
        <f>E11/E12-1</f>
        <v>0.78150937953262845</v>
      </c>
    </row>
    <row r="14" spans="2:16" x14ac:dyDescent="0.3"/>
    <row r="15" spans="2:16" x14ac:dyDescent="0.3"/>
    <row r="16" spans="2:16" x14ac:dyDescent="0.3">
      <c r="B16" s="55" t="s">
        <v>639</v>
      </c>
    </row>
    <row r="17" spans="2:5" ht="26" x14ac:dyDescent="0.3">
      <c r="B17" s="105" t="s">
        <v>630</v>
      </c>
      <c r="C17" s="106" t="s">
        <v>640</v>
      </c>
      <c r="D17" s="105" t="s">
        <v>641</v>
      </c>
      <c r="E17" s="106" t="s">
        <v>642</v>
      </c>
    </row>
    <row r="18" spans="2:5" x14ac:dyDescent="0.3">
      <c r="B18" s="107" t="s">
        <v>634</v>
      </c>
      <c r="C18" s="110">
        <f>DCF!G21</f>
        <v>1088.586750416956</v>
      </c>
      <c r="D18" s="110">
        <f>E18-C18</f>
        <v>1868.0790690454733</v>
      </c>
      <c r="E18" s="110">
        <f>DCF!K17</f>
        <v>2956.6658194624292</v>
      </c>
    </row>
    <row r="19" spans="2:5" x14ac:dyDescent="0.3">
      <c r="B19" s="107" t="s">
        <v>635</v>
      </c>
      <c r="C19" s="110">
        <f>DDM!D24</f>
        <v>361.105017753075</v>
      </c>
      <c r="D19" s="110">
        <f t="shared" ref="D19:D21" si="1">E19-C19</f>
        <v>1607.3616856347462</v>
      </c>
      <c r="E19" s="110">
        <f>DDM!H20</f>
        <v>1968.4667033878213</v>
      </c>
    </row>
    <row r="20" spans="2:5" x14ac:dyDescent="0.3">
      <c r="B20" s="107" t="s">
        <v>817</v>
      </c>
      <c r="C20" s="110">
        <f>'Residual Income'!K19</f>
        <v>457.97807796367721</v>
      </c>
      <c r="D20" s="110">
        <f t="shared" si="1"/>
        <v>892.95886134828584</v>
      </c>
      <c r="E20" s="110">
        <f>'Residual Income'!O15</f>
        <v>1350.936939311963</v>
      </c>
    </row>
    <row r="21" spans="2:5" x14ac:dyDescent="0.3">
      <c r="B21" s="111" t="s">
        <v>636</v>
      </c>
      <c r="C21" s="110">
        <f>Relative!B45</f>
        <v>269.42182669897045</v>
      </c>
      <c r="D21" s="110">
        <f t="shared" si="1"/>
        <v>746.27470147904762</v>
      </c>
      <c r="E21" s="110">
        <f>Relative!B39</f>
        <v>1015.6965281780181</v>
      </c>
    </row>
    <row r="22" spans="2:5" x14ac:dyDescent="0.3">
      <c r="B22" s="118"/>
      <c r="C22" s="110"/>
      <c r="D22" s="110"/>
      <c r="E22" s="119"/>
    </row>
    <row r="23" spans="2:5" x14ac:dyDescent="0.3">
      <c r="B23" s="120"/>
      <c r="C23" s="110"/>
      <c r="D23" s="110"/>
      <c r="E23" s="119"/>
    </row>
    <row r="24" spans="2:5" x14ac:dyDescent="0.3"/>
    <row r="25" spans="2:5" x14ac:dyDescent="0.3"/>
  </sheetData>
  <hyperlinks>
    <hyperlink ref="P2" location="Contents!A1" display="Back to contents" xr:uid="{C025CF94-BA18-4846-B998-39ADB2495517}"/>
  </hyperlink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3385-C145-D546-A2CC-21AE3B1EF80D}">
  <dimension ref="A1:L29"/>
  <sheetViews>
    <sheetView zoomScale="150" workbookViewId="0">
      <selection activeCell="G11" sqref="G11"/>
    </sheetView>
  </sheetViews>
  <sheetFormatPr defaultColWidth="10.90625" defaultRowHeight="14.5" x14ac:dyDescent="0.35"/>
  <cols>
    <col min="2" max="2" width="25.81640625" customWidth="1"/>
  </cols>
  <sheetData>
    <row r="1" spans="1:12" ht="28.5" x14ac:dyDescent="0.65">
      <c r="A1" s="70" t="s">
        <v>2</v>
      </c>
    </row>
    <row r="3" spans="1:12" ht="15.5" x14ac:dyDescent="0.35">
      <c r="B3" s="60" t="s">
        <v>572</v>
      </c>
      <c r="C3" s="76"/>
      <c r="D3" s="76"/>
      <c r="E3" s="76"/>
      <c r="F3" s="76"/>
      <c r="G3" s="76"/>
      <c r="H3" s="76"/>
      <c r="I3" s="76"/>
      <c r="J3" s="76"/>
      <c r="K3" s="77"/>
      <c r="L3" s="65" t="s">
        <v>553</v>
      </c>
    </row>
    <row r="4" spans="1:12" x14ac:dyDescent="0.35">
      <c r="B4" s="63" t="s">
        <v>548</v>
      </c>
      <c r="C4" s="61" t="s">
        <v>573</v>
      </c>
      <c r="D4" s="61" t="s">
        <v>574</v>
      </c>
      <c r="E4" s="61" t="s">
        <v>575</v>
      </c>
      <c r="F4" s="61" t="s">
        <v>576</v>
      </c>
      <c r="G4" s="61" t="s">
        <v>551</v>
      </c>
      <c r="H4" s="61" t="s">
        <v>577</v>
      </c>
      <c r="I4" s="61" t="s">
        <v>578</v>
      </c>
      <c r="J4" s="61" t="s">
        <v>579</v>
      </c>
      <c r="K4" s="62" t="s">
        <v>580</v>
      </c>
      <c r="L4" s="62" t="s">
        <v>581</v>
      </c>
    </row>
    <row r="5" spans="1:12" x14ac:dyDescent="0.35">
      <c r="B5" s="66" t="s">
        <v>204</v>
      </c>
      <c r="H5" s="68"/>
      <c r="I5" s="68"/>
      <c r="J5" s="68"/>
      <c r="K5" s="68"/>
      <c r="L5" s="68"/>
    </row>
    <row r="6" spans="1:12" x14ac:dyDescent="0.35">
      <c r="B6" t="s">
        <v>582</v>
      </c>
      <c r="C6">
        <v>18841</v>
      </c>
      <c r="D6">
        <v>5418</v>
      </c>
      <c r="E6">
        <v>3093</v>
      </c>
      <c r="F6">
        <v>7735.9</v>
      </c>
      <c r="G6">
        <v>2406.4</v>
      </c>
      <c r="H6" s="68"/>
      <c r="I6" s="68"/>
      <c r="J6" s="68"/>
      <c r="K6" s="68"/>
      <c r="L6" s="68"/>
    </row>
    <row r="7" spans="1:12" x14ac:dyDescent="0.35">
      <c r="B7" t="s">
        <v>583</v>
      </c>
      <c r="H7" s="68"/>
      <c r="I7" s="68"/>
      <c r="J7" s="68"/>
      <c r="K7" s="68"/>
      <c r="L7" s="68"/>
    </row>
    <row r="8" spans="1:12" x14ac:dyDescent="0.35">
      <c r="B8" s="64" t="s">
        <v>584</v>
      </c>
      <c r="C8">
        <v>4770</v>
      </c>
      <c r="D8">
        <v>880</v>
      </c>
      <c r="E8">
        <v>4586</v>
      </c>
      <c r="F8">
        <v>3848.3</v>
      </c>
      <c r="G8">
        <v>7734.4</v>
      </c>
      <c r="H8" s="68"/>
      <c r="I8" s="68"/>
      <c r="J8" s="68"/>
      <c r="K8" s="68"/>
      <c r="L8" s="68"/>
    </row>
    <row r="9" spans="1:12" x14ac:dyDescent="0.35">
      <c r="B9" s="64" t="s">
        <v>585</v>
      </c>
      <c r="C9">
        <v>4033</v>
      </c>
      <c r="D9">
        <v>5709</v>
      </c>
      <c r="E9">
        <v>29015</v>
      </c>
      <c r="F9">
        <v>68566.7</v>
      </c>
      <c r="G9">
        <v>64198.8</v>
      </c>
      <c r="H9" s="68"/>
      <c r="I9" s="68"/>
      <c r="J9" s="68"/>
      <c r="K9" s="68"/>
      <c r="L9" s="68"/>
    </row>
    <row r="10" spans="1:12" x14ac:dyDescent="0.35">
      <c r="B10" s="64" t="s">
        <v>586</v>
      </c>
      <c r="C10">
        <v>1307</v>
      </c>
      <c r="D10">
        <v>1503</v>
      </c>
      <c r="E10">
        <v>1189</v>
      </c>
      <c r="F10">
        <v>1247.0999999999999</v>
      </c>
      <c r="G10">
        <v>1365</v>
      </c>
      <c r="H10" s="68"/>
      <c r="I10" s="68"/>
      <c r="J10" s="68"/>
      <c r="K10" s="68"/>
      <c r="L10" s="68"/>
    </row>
    <row r="11" spans="1:12" x14ac:dyDescent="0.35">
      <c r="B11" t="s">
        <v>587</v>
      </c>
      <c r="C11">
        <v>2592</v>
      </c>
      <c r="D11">
        <v>8376</v>
      </c>
      <c r="E11">
        <v>4691</v>
      </c>
      <c r="F11">
        <v>2537.3000000000002</v>
      </c>
      <c r="G11">
        <v>9240.4</v>
      </c>
      <c r="H11" s="68"/>
      <c r="I11" s="68"/>
      <c r="J11" s="68"/>
      <c r="K11" s="68"/>
      <c r="L11" s="68"/>
    </row>
    <row r="12" spans="1:12" x14ac:dyDescent="0.35">
      <c r="B12" t="s">
        <v>588</v>
      </c>
      <c r="C12">
        <v>307</v>
      </c>
      <c r="D12">
        <v>328</v>
      </c>
      <c r="E12">
        <v>459</v>
      </c>
      <c r="F12">
        <v>736.8</v>
      </c>
      <c r="G12">
        <v>1431.1</v>
      </c>
      <c r="H12" s="68"/>
      <c r="I12" s="68"/>
      <c r="J12" s="68"/>
      <c r="K12" s="68"/>
      <c r="L12" s="68"/>
    </row>
    <row r="13" spans="1:12" x14ac:dyDescent="0.35">
      <c r="B13" t="s">
        <v>589</v>
      </c>
      <c r="D13">
        <v>1529</v>
      </c>
      <c r="E13">
        <v>962</v>
      </c>
      <c r="F13">
        <v>899</v>
      </c>
      <c r="G13">
        <v>968.6</v>
      </c>
      <c r="H13" s="68"/>
      <c r="I13" s="68"/>
      <c r="J13" s="68"/>
      <c r="K13" s="68"/>
      <c r="L13" s="68"/>
    </row>
    <row r="14" spans="1:12" x14ac:dyDescent="0.35">
      <c r="B14" t="s">
        <v>590</v>
      </c>
      <c r="C14">
        <v>168</v>
      </c>
      <c r="D14">
        <v>204</v>
      </c>
      <c r="E14">
        <v>267</v>
      </c>
      <c r="F14">
        <v>342.1</v>
      </c>
      <c r="G14">
        <v>486.3</v>
      </c>
      <c r="H14" s="68"/>
      <c r="I14" s="68"/>
      <c r="J14" s="68"/>
      <c r="K14" s="68"/>
      <c r="L14" s="68"/>
    </row>
    <row r="15" spans="1:12" x14ac:dyDescent="0.35">
      <c r="B15" t="s">
        <v>591</v>
      </c>
      <c r="H15" s="68"/>
      <c r="I15" s="68"/>
      <c r="J15" s="68"/>
      <c r="K15" s="68"/>
      <c r="L15" s="68"/>
    </row>
    <row r="16" spans="1:12" x14ac:dyDescent="0.35">
      <c r="B16" s="64" t="s">
        <v>592</v>
      </c>
      <c r="C16" s="66">
        <v>12654</v>
      </c>
      <c r="D16">
        <v>18694</v>
      </c>
      <c r="E16">
        <v>35699</v>
      </c>
      <c r="F16">
        <v>48430.2</v>
      </c>
      <c r="G16">
        <v>65501.3</v>
      </c>
      <c r="H16" s="68"/>
      <c r="I16" s="68"/>
      <c r="J16" s="68"/>
      <c r="K16" s="68"/>
      <c r="L16" s="68"/>
    </row>
    <row r="17" spans="2:12" ht="15" thickBot="1" x14ac:dyDescent="0.4">
      <c r="B17" s="78" t="s">
        <v>593</v>
      </c>
      <c r="C17" s="67">
        <v>1975</v>
      </c>
      <c r="D17" s="67">
        <v>1779</v>
      </c>
      <c r="E17" s="67">
        <v>1849</v>
      </c>
      <c r="F17" s="67">
        <v>2118.8000000000002</v>
      </c>
      <c r="G17" s="67">
        <v>2355.6999999999998</v>
      </c>
      <c r="H17" s="69"/>
      <c r="I17" s="69"/>
      <c r="J17" s="69"/>
      <c r="K17" s="69"/>
      <c r="L17" s="69"/>
    </row>
    <row r="18" spans="2:12" x14ac:dyDescent="0.35">
      <c r="B18" s="66" t="s">
        <v>48</v>
      </c>
      <c r="C18" s="66">
        <f>SUM(C6:C17)</f>
        <v>46647</v>
      </c>
      <c r="D18" s="66">
        <f t="shared" ref="D18:G18" si="0">SUM(D6:D17)</f>
        <v>44420</v>
      </c>
      <c r="E18" s="66">
        <f t="shared" si="0"/>
        <v>81810</v>
      </c>
      <c r="F18" s="66">
        <f t="shared" si="0"/>
        <v>136462.20000000001</v>
      </c>
      <c r="G18" s="66">
        <f t="shared" si="0"/>
        <v>155688.00000000003</v>
      </c>
      <c r="H18" s="68"/>
      <c r="I18" s="68"/>
      <c r="J18" s="68"/>
      <c r="K18" s="68"/>
      <c r="L18" s="68"/>
    </row>
    <row r="20" spans="2:12" x14ac:dyDescent="0.35">
      <c r="B20" s="66" t="s">
        <v>594</v>
      </c>
    </row>
    <row r="21" spans="2:12" x14ac:dyDescent="0.35">
      <c r="B21" t="s">
        <v>595</v>
      </c>
      <c r="C21">
        <v>4473</v>
      </c>
      <c r="D21">
        <v>16549</v>
      </c>
      <c r="E21">
        <v>36271</v>
      </c>
      <c r="F21">
        <v>78606.3</v>
      </c>
      <c r="G21">
        <v>94260.5</v>
      </c>
    </row>
    <row r="22" spans="2:12" x14ac:dyDescent="0.35">
      <c r="B22" t="s">
        <v>596</v>
      </c>
      <c r="C22">
        <v>42</v>
      </c>
      <c r="D22" s="80">
        <v>0</v>
      </c>
      <c r="E22">
        <v>6</v>
      </c>
      <c r="F22" s="80">
        <v>0</v>
      </c>
      <c r="G22" s="80">
        <v>0</v>
      </c>
    </row>
    <row r="23" spans="2:12" x14ac:dyDescent="0.35">
      <c r="B23" s="79" t="s">
        <v>600</v>
      </c>
      <c r="C23">
        <v>23362</v>
      </c>
      <c r="D23">
        <v>6926</v>
      </c>
      <c r="E23">
        <v>10265</v>
      </c>
      <c r="F23">
        <v>10776.1</v>
      </c>
      <c r="G23">
        <v>9148.4</v>
      </c>
    </row>
    <row r="24" spans="2:12" ht="15" thickBot="1" x14ac:dyDescent="0.4">
      <c r="B24" s="67" t="s">
        <v>597</v>
      </c>
      <c r="C24" s="67">
        <v>8297</v>
      </c>
      <c r="D24" s="67">
        <v>8857</v>
      </c>
      <c r="E24" s="67">
        <v>17047</v>
      </c>
      <c r="F24" s="67">
        <v>22774.5</v>
      </c>
      <c r="G24" s="67">
        <v>23754.1</v>
      </c>
      <c r="H24" s="67"/>
      <c r="I24" s="67"/>
      <c r="J24" s="67"/>
      <c r="K24" s="67"/>
      <c r="L24" s="67"/>
    </row>
    <row r="25" spans="2:12" x14ac:dyDescent="0.35">
      <c r="B25" t="s">
        <v>598</v>
      </c>
      <c r="C25" s="66">
        <f>SUM(C21:C24)</f>
        <v>36174</v>
      </c>
      <c r="D25" s="66">
        <f t="shared" ref="D25:F25" si="1">SUM(D21:D24)</f>
        <v>32332</v>
      </c>
      <c r="E25" s="66">
        <f t="shared" si="1"/>
        <v>63589</v>
      </c>
      <c r="F25" s="66">
        <f t="shared" si="1"/>
        <v>112156.90000000001</v>
      </c>
      <c r="G25" s="66">
        <f>SUM(G21:G24)</f>
        <v>127163</v>
      </c>
    </row>
    <row r="26" spans="2:12" x14ac:dyDescent="0.35">
      <c r="B26" s="79" t="s">
        <v>602</v>
      </c>
      <c r="C26" s="71">
        <v>1610.7</v>
      </c>
      <c r="D26" s="71">
        <v>1610.7</v>
      </c>
      <c r="E26" s="71">
        <v>1611.1</v>
      </c>
      <c r="F26">
        <v>1613.4</v>
      </c>
      <c r="G26">
        <v>1614.3</v>
      </c>
      <c r="H26">
        <f>G26</f>
        <v>1614.3</v>
      </c>
      <c r="I26">
        <f t="shared" ref="I26:L26" si="2">H26</f>
        <v>1614.3</v>
      </c>
      <c r="J26">
        <f t="shared" si="2"/>
        <v>1614.3</v>
      </c>
      <c r="K26">
        <f t="shared" si="2"/>
        <v>1614.3</v>
      </c>
      <c r="L26">
        <f t="shared" si="2"/>
        <v>1614.3</v>
      </c>
    </row>
    <row r="27" spans="2:12" ht="15" thickBot="1" x14ac:dyDescent="0.4">
      <c r="B27" s="84" t="s">
        <v>603</v>
      </c>
      <c r="C27" s="67">
        <v>8862</v>
      </c>
      <c r="D27" s="67">
        <v>10484.700000000001</v>
      </c>
      <c r="E27" s="67">
        <v>22691.9</v>
      </c>
      <c r="F27" s="67">
        <v>22691.9</v>
      </c>
      <c r="G27" s="67">
        <v>26910.7</v>
      </c>
      <c r="H27" s="67">
        <f>G27+('P&amp;L (projection)'!H25*'P&amp;L (projection)'!H28)</f>
        <v>36530.286609083429</v>
      </c>
      <c r="I27" s="67">
        <f>H27+('P&amp;L (projection)'!I25*'P&amp;L (projection)'!I28)</f>
        <v>47161.683103579417</v>
      </c>
      <c r="J27" s="67">
        <f>I27+('P&amp;L (projection)'!J25*'P&amp;L (projection)'!J28)</f>
        <v>59032.031089742908</v>
      </c>
      <c r="K27" s="67">
        <f>J27+('P&amp;L (projection)'!K25*'P&amp;L (projection)'!K28)</f>
        <v>72293.469738650994</v>
      </c>
      <c r="L27" s="67">
        <f>K27+('P&amp;L (projection)'!L25*'P&amp;L (projection)'!L28)</f>
        <v>87113.722569054793</v>
      </c>
    </row>
    <row r="28" spans="2:12" ht="15" thickBot="1" x14ac:dyDescent="0.4">
      <c r="B28" s="73" t="s">
        <v>601</v>
      </c>
      <c r="C28" s="73">
        <f>SUM(C26:C27)</f>
        <v>10472.700000000001</v>
      </c>
      <c r="D28" s="73">
        <f t="shared" ref="D28:E28" si="3">SUM(D26:D27)</f>
        <v>12095.400000000001</v>
      </c>
      <c r="E28" s="73">
        <f t="shared" si="3"/>
        <v>24303</v>
      </c>
      <c r="F28" s="73">
        <f t="shared" ref="F28" si="4">SUM(F26:F27)</f>
        <v>24305.300000000003</v>
      </c>
      <c r="G28" s="73">
        <f t="shared" ref="G28:L28" si="5">SUM(G26:G27)</f>
        <v>28525</v>
      </c>
      <c r="H28" s="73">
        <f t="shared" si="5"/>
        <v>38144.586609083432</v>
      </c>
      <c r="I28" s="73">
        <f t="shared" si="5"/>
        <v>48775.98310357942</v>
      </c>
      <c r="J28" s="73">
        <f t="shared" si="5"/>
        <v>60646.331089742911</v>
      </c>
      <c r="K28" s="73">
        <f t="shared" si="5"/>
        <v>73907.769738650997</v>
      </c>
      <c r="L28" s="73">
        <f t="shared" si="5"/>
        <v>88728.022569054796</v>
      </c>
    </row>
    <row r="29" spans="2:12" x14ac:dyDescent="0.35">
      <c r="B29" t="s">
        <v>599</v>
      </c>
      <c r="C29" s="66">
        <f>C28+C25</f>
        <v>46646.7</v>
      </c>
      <c r="D29" s="66">
        <f t="shared" ref="D29:E29" si="6">D28+D25</f>
        <v>44427.4</v>
      </c>
      <c r="E29" s="66">
        <f t="shared" si="6"/>
        <v>87892</v>
      </c>
      <c r="F29" s="66">
        <f t="shared" ref="F29" si="7">F28+F25</f>
        <v>136462.20000000001</v>
      </c>
      <c r="G29" s="66">
        <f t="shared" ref="G29" si="8">G28+G25</f>
        <v>155688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68"/>
  <sheetViews>
    <sheetView workbookViewId="0"/>
  </sheetViews>
  <sheetFormatPr defaultColWidth="8.81640625" defaultRowHeight="14.5" outlineLevelRow="1" x14ac:dyDescent="0.35"/>
  <cols>
    <col min="1" max="1" width="85.6328125" customWidth="1"/>
    <col min="2" max="10" width="15.6328125" customWidth="1"/>
  </cols>
  <sheetData>
    <row r="1" spans="1:10" ht="15" customHeight="1" x14ac:dyDescent="0.35">
      <c r="A1" s="1" t="s">
        <v>410</v>
      </c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 x14ac:dyDescent="0.35">
      <c r="A2" s="3" t="s">
        <v>1</v>
      </c>
      <c r="B2" s="4" t="s">
        <v>2</v>
      </c>
    </row>
    <row r="3" spans="1:10" x14ac:dyDescent="0.35">
      <c r="A3" s="3" t="s">
        <v>3</v>
      </c>
      <c r="B3" s="3" t="s">
        <v>4</v>
      </c>
    </row>
    <row r="4" spans="1:10" x14ac:dyDescent="0.35">
      <c r="A4" s="3" t="s">
        <v>5</v>
      </c>
      <c r="B4" s="3" t="s">
        <v>4</v>
      </c>
    </row>
    <row r="5" spans="1:10" x14ac:dyDescent="0.35">
      <c r="A5" s="3" t="s">
        <v>6</v>
      </c>
      <c r="B5" s="3" t="s">
        <v>7</v>
      </c>
    </row>
    <row r="6" spans="1:10" x14ac:dyDescent="0.35">
      <c r="A6" s="3" t="s">
        <v>8</v>
      </c>
      <c r="B6" s="3" t="s">
        <v>9</v>
      </c>
    </row>
    <row r="7" spans="1:10" x14ac:dyDescent="0.35">
      <c r="A7" s="3" t="s">
        <v>10</v>
      </c>
      <c r="B7" s="3" t="s">
        <v>11</v>
      </c>
    </row>
    <row r="8" spans="1:10" x14ac:dyDescent="0.35">
      <c r="A8" s="3" t="s">
        <v>12</v>
      </c>
      <c r="B8" s="3" t="s">
        <v>13</v>
      </c>
    </row>
    <row r="9" spans="1:10" x14ac:dyDescent="0.35">
      <c r="A9" s="3" t="s">
        <v>14</v>
      </c>
      <c r="B9" s="3" t="s">
        <v>15</v>
      </c>
    </row>
    <row r="10" spans="1:10" x14ac:dyDescent="0.35">
      <c r="A10" s="3" t="s">
        <v>16</v>
      </c>
      <c r="B10" s="5">
        <v>45076.753914467597</v>
      </c>
    </row>
    <row r="11" spans="1:10" x14ac:dyDescent="0.35">
      <c r="A11" s="6" t="s">
        <v>17</v>
      </c>
      <c r="B11" s="431" t="s">
        <v>18</v>
      </c>
      <c r="C11" s="431" t="s">
        <v>19</v>
      </c>
      <c r="D11" s="431" t="s">
        <v>20</v>
      </c>
      <c r="E11" s="431" t="s">
        <v>21</v>
      </c>
      <c r="F11" s="431" t="s">
        <v>22</v>
      </c>
      <c r="G11" s="431" t="s">
        <v>23</v>
      </c>
      <c r="H11" s="431" t="s">
        <v>24</v>
      </c>
      <c r="I11" s="431" t="s">
        <v>25</v>
      </c>
      <c r="J11" s="431" t="s">
        <v>26</v>
      </c>
    </row>
    <row r="12" spans="1:10" ht="15" customHeight="1" outlineLevel="1" x14ac:dyDescent="0.35">
      <c r="A12" s="7" t="s">
        <v>27</v>
      </c>
      <c r="B12" s="430">
        <v>41729</v>
      </c>
      <c r="C12" s="430">
        <v>42094</v>
      </c>
      <c r="D12" s="430">
        <v>42460</v>
      </c>
      <c r="E12" s="430">
        <v>42825</v>
      </c>
      <c r="F12" s="430">
        <v>43190</v>
      </c>
      <c r="G12" s="430">
        <v>43555</v>
      </c>
      <c r="H12" s="430">
        <v>43921</v>
      </c>
      <c r="I12" s="430">
        <v>44286</v>
      </c>
      <c r="J12" s="430">
        <v>44651</v>
      </c>
    </row>
    <row r="13" spans="1:10" ht="15" customHeight="1" outlineLevel="1" x14ac:dyDescent="0.35">
      <c r="A13" s="7" t="s">
        <v>28</v>
      </c>
      <c r="B13" s="430" t="s">
        <v>29</v>
      </c>
      <c r="C13" s="430" t="s">
        <v>29</v>
      </c>
      <c r="D13" s="430" t="s">
        <v>29</v>
      </c>
      <c r="E13" s="430" t="s">
        <v>29</v>
      </c>
      <c r="F13" s="430" t="s">
        <v>29</v>
      </c>
      <c r="G13" s="430" t="s">
        <v>29</v>
      </c>
      <c r="H13" s="430" t="s">
        <v>29</v>
      </c>
      <c r="I13" s="430" t="s">
        <v>29</v>
      </c>
      <c r="J13" s="430" t="s">
        <v>29</v>
      </c>
    </row>
    <row r="14" spans="1:10" x14ac:dyDescent="0.35">
      <c r="A14" s="8" t="s">
        <v>411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5">
      <c r="A15" s="8" t="s">
        <v>31</v>
      </c>
      <c r="B15" s="9" t="s">
        <v>33</v>
      </c>
      <c r="C15" s="9" t="s">
        <v>34</v>
      </c>
      <c r="D15" s="9" t="s">
        <v>35</v>
      </c>
      <c r="E15" s="9" t="s">
        <v>36</v>
      </c>
      <c r="F15" s="9" t="s">
        <v>37</v>
      </c>
      <c r="G15" s="9" t="s">
        <v>38</v>
      </c>
      <c r="H15" s="9" t="s">
        <v>39</v>
      </c>
      <c r="I15" s="9" t="s">
        <v>40</v>
      </c>
      <c r="J15" s="9" t="s">
        <v>41</v>
      </c>
    </row>
    <row r="16" spans="1:10" ht="15" customHeight="1" x14ac:dyDescent="0.35">
      <c r="A16" s="22" t="s">
        <v>412</v>
      </c>
      <c r="B16" s="23"/>
      <c r="C16" s="23"/>
      <c r="D16" s="23"/>
      <c r="E16" s="23"/>
      <c r="F16" s="23"/>
      <c r="G16" s="23"/>
      <c r="H16" s="23"/>
      <c r="I16" s="23"/>
      <c r="J16" s="23"/>
    </row>
    <row r="17" spans="1:10" ht="15" customHeight="1" x14ac:dyDescent="0.35">
      <c r="A17" s="21" t="s">
        <v>413</v>
      </c>
      <c r="B17" s="18">
        <v>-126.8</v>
      </c>
      <c r="C17" s="18">
        <v>-180.5</v>
      </c>
      <c r="D17" s="18">
        <v>-274</v>
      </c>
      <c r="E17" s="18">
        <v>-358.1</v>
      </c>
      <c r="F17" s="18">
        <v>-462</v>
      </c>
      <c r="G17" s="18">
        <v>-559.79999999999995</v>
      </c>
      <c r="H17" s="18">
        <v>-705.7</v>
      </c>
      <c r="I17" s="18">
        <v>-446.4</v>
      </c>
      <c r="J17" s="19">
        <v>-55.8</v>
      </c>
    </row>
    <row r="18" spans="1:10" ht="15" customHeight="1" x14ac:dyDescent="0.35">
      <c r="A18" s="13" t="s">
        <v>412</v>
      </c>
      <c r="B18" s="18">
        <v>-126.8</v>
      </c>
      <c r="C18" s="18">
        <v>-180.5</v>
      </c>
      <c r="D18" s="18">
        <v>-274</v>
      </c>
      <c r="E18" s="18">
        <v>-358.1</v>
      </c>
      <c r="F18" s="18">
        <v>-462</v>
      </c>
      <c r="G18" s="18">
        <v>-559.79999999999995</v>
      </c>
      <c r="H18" s="18">
        <v>-705.7</v>
      </c>
      <c r="I18" s="18">
        <v>-446.4</v>
      </c>
      <c r="J18" s="19">
        <v>-55.8</v>
      </c>
    </row>
    <row r="19" spans="1:10" ht="15" customHeight="1" x14ac:dyDescent="0.35">
      <c r="A19" s="24" t="s">
        <v>414</v>
      </c>
      <c r="B19" s="18">
        <v>-126.8</v>
      </c>
      <c r="C19" s="18">
        <v>-180.5</v>
      </c>
      <c r="D19" s="18">
        <v>-274</v>
      </c>
      <c r="E19" s="18">
        <v>-358.1</v>
      </c>
      <c r="F19" s="18">
        <v>-462</v>
      </c>
      <c r="G19" s="18">
        <v>-559.79999999999995</v>
      </c>
      <c r="H19" s="18">
        <v>-705.7</v>
      </c>
      <c r="I19" s="18">
        <v>-446.4</v>
      </c>
      <c r="J19" s="19">
        <v>-55.8</v>
      </c>
    </row>
    <row r="20" spans="1:10" ht="15" customHeight="1" x14ac:dyDescent="0.35">
      <c r="A20" s="21" t="s">
        <v>415</v>
      </c>
      <c r="B20" s="15">
        <v>55.7</v>
      </c>
      <c r="C20" s="15">
        <v>60.3</v>
      </c>
      <c r="D20" s="15">
        <v>38.5</v>
      </c>
      <c r="E20" s="15">
        <v>40.5</v>
      </c>
      <c r="F20" s="15">
        <v>6.3</v>
      </c>
      <c r="G20" s="15">
        <v>9.1999999999999993</v>
      </c>
      <c r="H20" s="15">
        <v>23.1</v>
      </c>
      <c r="I20" s="16">
        <v>311.39999999999998</v>
      </c>
      <c r="J20" s="16">
        <v>759.1</v>
      </c>
    </row>
    <row r="21" spans="1:10" ht="15" customHeight="1" x14ac:dyDescent="0.35">
      <c r="A21" s="13" t="s">
        <v>416</v>
      </c>
      <c r="B21" s="15">
        <v>55.7</v>
      </c>
      <c r="C21" s="15">
        <v>60.3</v>
      </c>
      <c r="D21" s="15">
        <v>38.5</v>
      </c>
      <c r="E21" s="15">
        <v>40.5</v>
      </c>
      <c r="F21" s="15">
        <v>6.3</v>
      </c>
      <c r="G21" s="15">
        <v>9.1999999999999993</v>
      </c>
      <c r="H21" s="15">
        <v>23.1</v>
      </c>
      <c r="I21" s="16">
        <v>311.39999999999998</v>
      </c>
      <c r="J21" s="16">
        <v>759.1</v>
      </c>
    </row>
    <row r="22" spans="1:10" ht="15" customHeight="1" x14ac:dyDescent="0.35">
      <c r="A22" s="21" t="s">
        <v>417</v>
      </c>
      <c r="B22" s="16">
        <v>182.5</v>
      </c>
      <c r="C22" s="16">
        <v>240.8</v>
      </c>
      <c r="D22" s="16">
        <v>312.5</v>
      </c>
      <c r="E22" s="16">
        <v>398.6</v>
      </c>
      <c r="F22" s="16">
        <v>468.3</v>
      </c>
      <c r="G22" s="16">
        <v>569</v>
      </c>
      <c r="H22" s="16">
        <v>728.8</v>
      </c>
      <c r="I22" s="16">
        <v>757.8</v>
      </c>
      <c r="J22" s="16">
        <v>814.9</v>
      </c>
    </row>
    <row r="23" spans="1:10" ht="15" customHeight="1" x14ac:dyDescent="0.35">
      <c r="A23" s="13" t="s">
        <v>418</v>
      </c>
      <c r="B23" s="16">
        <v>182.5</v>
      </c>
      <c r="C23" s="16">
        <v>240.8</v>
      </c>
      <c r="D23" s="16">
        <v>312.5</v>
      </c>
      <c r="E23" s="16">
        <v>398.6</v>
      </c>
      <c r="F23" s="16">
        <v>468.3</v>
      </c>
      <c r="G23" s="16">
        <v>569</v>
      </c>
      <c r="H23" s="16">
        <v>728.8</v>
      </c>
      <c r="I23" s="16">
        <v>757.8</v>
      </c>
      <c r="J23" s="16">
        <v>814.9</v>
      </c>
    </row>
    <row r="24" spans="1:10" ht="15" customHeight="1" x14ac:dyDescent="0.35">
      <c r="A24" s="24" t="s">
        <v>419</v>
      </c>
      <c r="B24" s="16">
        <v>182.5</v>
      </c>
      <c r="C24" s="16">
        <v>240.8</v>
      </c>
      <c r="D24" s="16">
        <v>312.5</v>
      </c>
      <c r="E24" s="16">
        <v>398.6</v>
      </c>
      <c r="F24" s="16">
        <v>468.3</v>
      </c>
      <c r="G24" s="16">
        <v>569</v>
      </c>
      <c r="H24" s="16">
        <v>728.8</v>
      </c>
      <c r="I24" s="16">
        <v>757.8</v>
      </c>
      <c r="J24" s="16">
        <v>814.9</v>
      </c>
    </row>
    <row r="25" spans="1:10" ht="15" customHeight="1" x14ac:dyDescent="0.35">
      <c r="A25" s="22" t="s">
        <v>420</v>
      </c>
      <c r="B25" s="23"/>
      <c r="C25" s="23"/>
      <c r="D25" s="23"/>
      <c r="E25" s="23"/>
      <c r="F25" s="23"/>
      <c r="G25" s="23"/>
      <c r="H25" s="23"/>
      <c r="I25" s="23"/>
      <c r="J25" s="23"/>
    </row>
    <row r="26" spans="1:10" ht="15" customHeight="1" x14ac:dyDescent="0.35">
      <c r="A26" s="21" t="s">
        <v>421</v>
      </c>
      <c r="B26" s="15">
        <v>46.8</v>
      </c>
      <c r="C26" s="15">
        <v>67</v>
      </c>
      <c r="D26" s="15">
        <v>90.6</v>
      </c>
      <c r="E26" s="16">
        <v>119.8</v>
      </c>
      <c r="F26" s="16">
        <v>103.8</v>
      </c>
      <c r="G26" s="15">
        <v>92.7</v>
      </c>
      <c r="H26" s="16">
        <v>107.1</v>
      </c>
      <c r="I26" s="16">
        <v>124</v>
      </c>
      <c r="J26" s="16">
        <v>105.8</v>
      </c>
    </row>
    <row r="27" spans="1:10" ht="15" customHeight="1" x14ac:dyDescent="0.35">
      <c r="A27" s="13" t="s">
        <v>422</v>
      </c>
      <c r="B27" s="15">
        <v>46.8</v>
      </c>
      <c r="C27" s="15">
        <v>67</v>
      </c>
      <c r="D27" s="15">
        <v>90.6</v>
      </c>
      <c r="E27" s="16">
        <v>119.8</v>
      </c>
      <c r="F27" s="16">
        <v>103.8</v>
      </c>
      <c r="G27" s="15">
        <v>92.7</v>
      </c>
      <c r="H27" s="16">
        <v>107.1</v>
      </c>
      <c r="I27" s="16">
        <v>124</v>
      </c>
      <c r="J27" s="16">
        <v>105.8</v>
      </c>
    </row>
    <row r="28" spans="1:10" ht="15" customHeight="1" x14ac:dyDescent="0.35">
      <c r="A28" s="21" t="s">
        <v>423</v>
      </c>
      <c r="B28" s="15">
        <v>46.8</v>
      </c>
      <c r="C28" s="15">
        <v>67</v>
      </c>
      <c r="D28" s="15">
        <v>90.6</v>
      </c>
      <c r="E28" s="16">
        <v>119.8</v>
      </c>
      <c r="F28" s="19">
        <v>-1.5</v>
      </c>
      <c r="G28" s="19">
        <v>-0.9</v>
      </c>
      <c r="H28" s="19">
        <v>-0.7</v>
      </c>
      <c r="I28" s="19">
        <v>-6.5</v>
      </c>
      <c r="J28" s="19">
        <v>-4.2</v>
      </c>
    </row>
    <row r="29" spans="1:10" ht="15" customHeight="1" x14ac:dyDescent="0.35">
      <c r="A29" s="13" t="s">
        <v>424</v>
      </c>
      <c r="B29" s="15">
        <v>46.8</v>
      </c>
      <c r="C29" s="15">
        <v>67</v>
      </c>
      <c r="D29" s="15">
        <v>90.6</v>
      </c>
      <c r="E29" s="16">
        <v>119.8</v>
      </c>
      <c r="F29" s="19">
        <v>-1.5</v>
      </c>
      <c r="G29" s="19">
        <v>-0.9</v>
      </c>
      <c r="H29" s="19">
        <v>-0.7</v>
      </c>
      <c r="I29" s="19">
        <v>-6.5</v>
      </c>
      <c r="J29" s="19">
        <v>-4.2</v>
      </c>
    </row>
    <row r="30" spans="1:10" ht="15" customHeight="1" x14ac:dyDescent="0.35">
      <c r="A30" s="24" t="s">
        <v>425</v>
      </c>
      <c r="B30" s="17"/>
      <c r="C30" s="17"/>
      <c r="D30" s="17"/>
      <c r="E30" s="17"/>
      <c r="F30" s="19">
        <v>-1.5</v>
      </c>
      <c r="G30" s="19">
        <v>-0.9</v>
      </c>
      <c r="H30" s="19">
        <v>-0.7</v>
      </c>
      <c r="I30" s="19">
        <v>-6.5</v>
      </c>
      <c r="J30" s="19">
        <v>-4.2</v>
      </c>
    </row>
    <row r="31" spans="1:10" ht="15" customHeight="1" x14ac:dyDescent="0.35">
      <c r="A31" s="13" t="s">
        <v>426</v>
      </c>
      <c r="B31" s="15">
        <v>10.8</v>
      </c>
      <c r="C31" s="15">
        <v>15</v>
      </c>
      <c r="D31" s="15">
        <v>18.2</v>
      </c>
      <c r="E31" s="15">
        <v>24.5</v>
      </c>
      <c r="F31" s="15">
        <v>27.7</v>
      </c>
      <c r="G31" s="15">
        <v>31.1</v>
      </c>
      <c r="H31" s="15">
        <v>36.6</v>
      </c>
      <c r="I31" s="15">
        <v>42.4</v>
      </c>
      <c r="J31" s="15">
        <v>25.1</v>
      </c>
    </row>
    <row r="32" spans="1:10" ht="15" customHeight="1" x14ac:dyDescent="0.35">
      <c r="A32" s="24" t="s">
        <v>427</v>
      </c>
      <c r="B32" s="15">
        <v>10.8</v>
      </c>
      <c r="C32" s="15">
        <v>15</v>
      </c>
      <c r="D32" s="15">
        <v>18.2</v>
      </c>
      <c r="E32" s="15">
        <v>24.5</v>
      </c>
      <c r="F32" s="15">
        <v>27.7</v>
      </c>
      <c r="G32" s="15">
        <v>31.1</v>
      </c>
      <c r="H32" s="15">
        <v>36.6</v>
      </c>
      <c r="I32" s="15">
        <v>42.4</v>
      </c>
      <c r="J32" s="15">
        <v>25.1</v>
      </c>
    </row>
    <row r="33" spans="1:10" ht="15" customHeight="1" x14ac:dyDescent="0.35">
      <c r="A33" s="13" t="s">
        <v>428</v>
      </c>
      <c r="B33" s="15">
        <v>19.899999999999999</v>
      </c>
      <c r="C33" s="15">
        <v>23.4</v>
      </c>
      <c r="D33" s="15">
        <v>29.7</v>
      </c>
      <c r="E33" s="15">
        <v>39.799999999999997</v>
      </c>
      <c r="F33" s="15">
        <v>50.8</v>
      </c>
      <c r="G33" s="15">
        <v>61.6</v>
      </c>
      <c r="H33" s="15">
        <v>70.5</v>
      </c>
      <c r="I33" s="15">
        <v>81.599999999999994</v>
      </c>
      <c r="J33" s="15">
        <v>80.7</v>
      </c>
    </row>
    <row r="34" spans="1:10" ht="15" customHeight="1" x14ac:dyDescent="0.35">
      <c r="A34" s="24" t="s">
        <v>429</v>
      </c>
      <c r="B34" s="15">
        <v>19.899999999999999</v>
      </c>
      <c r="C34" s="15">
        <v>23.4</v>
      </c>
      <c r="D34" s="15">
        <v>29.7</v>
      </c>
      <c r="E34" s="15">
        <v>39.799999999999997</v>
      </c>
      <c r="F34" s="15">
        <v>50.8</v>
      </c>
      <c r="G34" s="15">
        <v>61.6</v>
      </c>
      <c r="H34" s="15">
        <v>70.5</v>
      </c>
      <c r="I34" s="15">
        <v>81.599999999999994</v>
      </c>
      <c r="J34" s="15">
        <v>80.7</v>
      </c>
    </row>
    <row r="35" spans="1:10" ht="15" customHeight="1" x14ac:dyDescent="0.35">
      <c r="A35" s="13" t="s">
        <v>430</v>
      </c>
      <c r="B35" s="17">
        <v>0</v>
      </c>
      <c r="C35" s="17">
        <v>0</v>
      </c>
      <c r="D35" s="17">
        <v>0</v>
      </c>
      <c r="E35" s="17">
        <v>0</v>
      </c>
      <c r="F35" s="15">
        <v>1.4</v>
      </c>
      <c r="G35" s="17">
        <v>0</v>
      </c>
      <c r="H35" s="17">
        <v>0</v>
      </c>
      <c r="I35" s="17">
        <v>0</v>
      </c>
      <c r="J35" s="17"/>
    </row>
    <row r="36" spans="1:10" ht="15" customHeight="1" x14ac:dyDescent="0.35">
      <c r="A36" s="24" t="s">
        <v>431</v>
      </c>
      <c r="B36" s="17">
        <v>0</v>
      </c>
      <c r="C36" s="17">
        <v>0</v>
      </c>
      <c r="D36" s="17">
        <v>0</v>
      </c>
      <c r="E36" s="17">
        <v>0</v>
      </c>
      <c r="F36" s="15">
        <v>1.4</v>
      </c>
      <c r="G36" s="17">
        <v>0</v>
      </c>
      <c r="H36" s="17">
        <v>0</v>
      </c>
      <c r="I36" s="17">
        <v>0</v>
      </c>
      <c r="J36" s="17"/>
    </row>
    <row r="37" spans="1:10" ht="15" customHeight="1" x14ac:dyDescent="0.35">
      <c r="A37" s="13" t="s">
        <v>432</v>
      </c>
      <c r="B37" s="15">
        <v>16.100000000000001</v>
      </c>
      <c r="C37" s="15">
        <v>28.6</v>
      </c>
      <c r="D37" s="15">
        <v>42.7</v>
      </c>
      <c r="E37" s="15">
        <v>55.5</v>
      </c>
      <c r="F37" s="15">
        <v>24.8</v>
      </c>
      <c r="G37" s="17"/>
      <c r="H37" s="17"/>
      <c r="I37" s="17"/>
      <c r="J37" s="17"/>
    </row>
    <row r="38" spans="1:10" ht="15" customHeight="1" x14ac:dyDescent="0.35">
      <c r="A38" s="24" t="s">
        <v>433</v>
      </c>
      <c r="B38" s="15">
        <v>16.100000000000001</v>
      </c>
      <c r="C38" s="15">
        <v>28.6</v>
      </c>
      <c r="D38" s="15">
        <v>42.7</v>
      </c>
      <c r="E38" s="15">
        <v>55.5</v>
      </c>
      <c r="F38" s="15">
        <v>24.8</v>
      </c>
      <c r="G38" s="17"/>
      <c r="H38" s="17"/>
      <c r="I38" s="17"/>
      <c r="J38" s="17"/>
    </row>
    <row r="39" spans="1:10" ht="15" customHeight="1" x14ac:dyDescent="0.35">
      <c r="A39" s="13" t="s">
        <v>434</v>
      </c>
      <c r="B39" s="17"/>
      <c r="C39" s="17"/>
      <c r="D39" s="17"/>
      <c r="E39" s="17"/>
      <c r="F39" s="19">
        <v>-0.9</v>
      </c>
      <c r="G39" s="17"/>
      <c r="H39" s="17"/>
      <c r="I39" s="17"/>
      <c r="J39" s="17"/>
    </row>
    <row r="40" spans="1:10" ht="15" customHeight="1" x14ac:dyDescent="0.35">
      <c r="A40" s="24" t="s">
        <v>435</v>
      </c>
      <c r="B40" s="17"/>
      <c r="C40" s="17"/>
      <c r="D40" s="17"/>
      <c r="E40" s="17"/>
      <c r="F40" s="19">
        <v>-0.9</v>
      </c>
      <c r="G40" s="17"/>
      <c r="H40" s="17"/>
      <c r="I40" s="17"/>
      <c r="J40" s="17"/>
    </row>
    <row r="41" spans="1:10" ht="15" customHeight="1" x14ac:dyDescent="0.35">
      <c r="A41" s="13" t="s">
        <v>436</v>
      </c>
      <c r="B41" s="17"/>
      <c r="C41" s="17"/>
      <c r="D41" s="17"/>
      <c r="E41" s="17"/>
      <c r="F41" s="15">
        <v>1.5</v>
      </c>
      <c r="G41" s="15">
        <v>0.9</v>
      </c>
      <c r="H41" s="15">
        <v>0.7</v>
      </c>
      <c r="I41" s="15">
        <v>6.5</v>
      </c>
      <c r="J41" s="15">
        <v>4.2</v>
      </c>
    </row>
    <row r="42" spans="1:10" ht="15" customHeight="1" x14ac:dyDescent="0.35">
      <c r="A42" s="24" t="s">
        <v>437</v>
      </c>
      <c r="B42" s="17"/>
      <c r="C42" s="17"/>
      <c r="D42" s="17"/>
      <c r="E42" s="17"/>
      <c r="F42" s="15">
        <v>1.5</v>
      </c>
      <c r="G42" s="15">
        <v>0.9</v>
      </c>
      <c r="H42" s="15">
        <v>0.7</v>
      </c>
      <c r="I42" s="15">
        <v>6.5</v>
      </c>
      <c r="J42" s="15">
        <v>4.2</v>
      </c>
    </row>
    <row r="43" spans="1:10" ht="15" customHeight="1" x14ac:dyDescent="0.35">
      <c r="A43" s="28" t="s">
        <v>438</v>
      </c>
      <c r="B43" s="17"/>
      <c r="C43" s="17"/>
      <c r="D43" s="17"/>
      <c r="E43" s="17"/>
      <c r="F43" s="15">
        <v>1.5</v>
      </c>
      <c r="G43" s="15">
        <v>0.9</v>
      </c>
      <c r="H43" s="15">
        <v>0.7</v>
      </c>
      <c r="I43" s="15">
        <v>6.5</v>
      </c>
      <c r="J43" s="15">
        <v>4.2</v>
      </c>
    </row>
    <row r="44" spans="1:10" ht="15" customHeight="1" x14ac:dyDescent="0.35">
      <c r="A44" s="22" t="s">
        <v>439</v>
      </c>
      <c r="B44" s="23"/>
      <c r="C44" s="23"/>
      <c r="D44" s="23"/>
      <c r="E44" s="23"/>
      <c r="F44" s="23"/>
      <c r="G44" s="23"/>
      <c r="H44" s="23"/>
      <c r="I44" s="23"/>
      <c r="J44" s="23"/>
    </row>
    <row r="45" spans="1:10" ht="15" customHeight="1" x14ac:dyDescent="0.35">
      <c r="A45" s="21" t="s">
        <v>440</v>
      </c>
      <c r="B45" s="17"/>
      <c r="C45" s="17"/>
      <c r="D45" s="17"/>
      <c r="E45" s="17"/>
      <c r="F45" s="16">
        <v>462</v>
      </c>
      <c r="G45" s="16">
        <v>559.79999999999995</v>
      </c>
      <c r="H45" s="16">
        <v>705.7</v>
      </c>
      <c r="I45" s="16">
        <v>446.4</v>
      </c>
      <c r="J45" s="15">
        <v>55.8</v>
      </c>
    </row>
    <row r="46" spans="1:10" ht="15" customHeight="1" x14ac:dyDescent="0.35">
      <c r="A46" s="13" t="s">
        <v>441</v>
      </c>
      <c r="B46" s="17"/>
      <c r="C46" s="17"/>
      <c r="D46" s="17"/>
      <c r="E46" s="17"/>
      <c r="F46" s="16">
        <v>462</v>
      </c>
      <c r="G46" s="16">
        <v>559.79999999999995</v>
      </c>
      <c r="H46" s="16">
        <v>705.7</v>
      </c>
      <c r="I46" s="16">
        <v>446.4</v>
      </c>
      <c r="J46" s="15">
        <v>55.8</v>
      </c>
    </row>
    <row r="47" spans="1:10" ht="15" customHeight="1" x14ac:dyDescent="0.35">
      <c r="A47" s="24" t="s">
        <v>442</v>
      </c>
      <c r="B47" s="17"/>
      <c r="C47" s="17"/>
      <c r="D47" s="17"/>
      <c r="E47" s="17"/>
      <c r="F47" s="16">
        <v>462</v>
      </c>
      <c r="G47" s="16">
        <v>559.79999999999995</v>
      </c>
      <c r="H47" s="16">
        <v>705.7</v>
      </c>
      <c r="I47" s="16">
        <v>446.4</v>
      </c>
      <c r="J47" s="15">
        <v>55.8</v>
      </c>
    </row>
    <row r="48" spans="1:10" ht="15" customHeight="1" x14ac:dyDescent="0.35">
      <c r="A48" s="21" t="s">
        <v>443</v>
      </c>
      <c r="B48" s="17"/>
      <c r="C48" s="17"/>
      <c r="D48" s="17"/>
      <c r="E48" s="17"/>
      <c r="F48" s="18">
        <v>-462</v>
      </c>
      <c r="G48" s="18">
        <v>-559.79999999999995</v>
      </c>
      <c r="H48" s="18">
        <v>-705.7</v>
      </c>
      <c r="I48" s="18">
        <v>-446.4</v>
      </c>
      <c r="J48" s="19">
        <v>-55.8</v>
      </c>
    </row>
    <row r="49" spans="1:10" ht="15" customHeight="1" x14ac:dyDescent="0.35">
      <c r="A49" s="21" t="s">
        <v>444</v>
      </c>
      <c r="B49" s="17"/>
      <c r="C49" s="17"/>
      <c r="D49" s="17"/>
      <c r="E49" s="17"/>
      <c r="F49" s="18">
        <v>-462</v>
      </c>
      <c r="G49" s="18">
        <v>-559.79999999999995</v>
      </c>
      <c r="H49" s="18">
        <v>-705.7</v>
      </c>
      <c r="I49" s="18">
        <v>-446.4</v>
      </c>
      <c r="J49" s="19">
        <v>-55.8</v>
      </c>
    </row>
    <row r="50" spans="1:10" ht="15" customHeight="1" x14ac:dyDescent="0.35">
      <c r="A50" s="13" t="s">
        <v>445</v>
      </c>
      <c r="B50" s="17"/>
      <c r="C50" s="17"/>
      <c r="D50" s="17"/>
      <c r="E50" s="17"/>
      <c r="F50" s="18">
        <v>-462</v>
      </c>
      <c r="G50" s="18">
        <v>-559.79999999999995</v>
      </c>
      <c r="H50" s="18">
        <v>-705.7</v>
      </c>
      <c r="I50" s="18">
        <v>-446.4</v>
      </c>
      <c r="J50" s="19">
        <v>-55.8</v>
      </c>
    </row>
    <row r="51" spans="1:10" ht="15" customHeight="1" x14ac:dyDescent="0.35">
      <c r="A51" s="24" t="s">
        <v>446</v>
      </c>
      <c r="B51" s="17"/>
      <c r="C51" s="17"/>
      <c r="D51" s="17"/>
      <c r="E51" s="17"/>
      <c r="F51" s="18">
        <v>-462</v>
      </c>
      <c r="G51" s="18">
        <v>-559.79999999999995</v>
      </c>
      <c r="H51" s="18">
        <v>-705.7</v>
      </c>
      <c r="I51" s="18">
        <v>-446.4</v>
      </c>
      <c r="J51" s="19">
        <v>-55.8</v>
      </c>
    </row>
    <row r="52" spans="1:10" ht="15" customHeight="1" x14ac:dyDescent="0.35">
      <c r="A52" s="22" t="s">
        <v>447</v>
      </c>
      <c r="B52" s="23"/>
      <c r="C52" s="23"/>
      <c r="D52" s="23"/>
      <c r="E52" s="23"/>
      <c r="F52" s="23"/>
      <c r="G52" s="23"/>
      <c r="H52" s="23"/>
      <c r="I52" s="23"/>
      <c r="J52" s="23"/>
    </row>
    <row r="53" spans="1:10" ht="15" customHeight="1" x14ac:dyDescent="0.35">
      <c r="A53" s="21" t="s">
        <v>448</v>
      </c>
      <c r="B53" s="33">
        <v>8</v>
      </c>
      <c r="C53" s="33">
        <v>8</v>
      </c>
      <c r="D53" s="33">
        <v>8</v>
      </c>
      <c r="E53" s="33">
        <v>8</v>
      </c>
      <c r="F53" s="33">
        <v>8</v>
      </c>
      <c r="G53" s="33">
        <v>8</v>
      </c>
      <c r="H53" s="33">
        <v>8</v>
      </c>
      <c r="I53" s="33">
        <v>8</v>
      </c>
      <c r="J53" s="33">
        <v>7</v>
      </c>
    </row>
    <row r="54" spans="1:10" ht="15" customHeight="1" x14ac:dyDescent="0.35">
      <c r="A54" s="13" t="s">
        <v>449</v>
      </c>
      <c r="B54" s="33">
        <v>8</v>
      </c>
      <c r="C54" s="33">
        <v>8</v>
      </c>
      <c r="D54" s="33">
        <v>8</v>
      </c>
      <c r="E54" s="33">
        <v>8</v>
      </c>
      <c r="F54" s="33">
        <v>8</v>
      </c>
      <c r="G54" s="33">
        <v>8</v>
      </c>
      <c r="H54" s="33">
        <v>8</v>
      </c>
      <c r="I54" s="33">
        <v>8</v>
      </c>
      <c r="J54" s="33">
        <v>7</v>
      </c>
    </row>
    <row r="55" spans="1:10" ht="15" customHeight="1" x14ac:dyDescent="0.35">
      <c r="A55" s="21" t="s">
        <v>450</v>
      </c>
      <c r="B55" s="33">
        <v>7</v>
      </c>
      <c r="C55" s="33">
        <v>7</v>
      </c>
      <c r="D55" s="33">
        <v>7</v>
      </c>
      <c r="E55" s="33">
        <v>7</v>
      </c>
      <c r="F55" s="33">
        <v>7</v>
      </c>
      <c r="G55" s="33">
        <v>7</v>
      </c>
      <c r="H55" s="33">
        <v>7</v>
      </c>
      <c r="I55" s="33">
        <v>7</v>
      </c>
      <c r="J55" s="33">
        <v>7</v>
      </c>
    </row>
    <row r="56" spans="1:10" ht="15" customHeight="1" x14ac:dyDescent="0.35">
      <c r="A56" s="13" t="s">
        <v>451</v>
      </c>
      <c r="B56" s="33">
        <v>7</v>
      </c>
      <c r="C56" s="33">
        <v>7</v>
      </c>
      <c r="D56" s="33">
        <v>7</v>
      </c>
      <c r="E56" s="33">
        <v>7</v>
      </c>
      <c r="F56" s="33">
        <v>7</v>
      </c>
      <c r="G56" s="33">
        <v>7</v>
      </c>
      <c r="H56" s="33">
        <v>7</v>
      </c>
      <c r="I56" s="33">
        <v>7</v>
      </c>
      <c r="J56" s="33">
        <v>7</v>
      </c>
    </row>
    <row r="57" spans="1:10" ht="15" customHeight="1" x14ac:dyDescent="0.35">
      <c r="A57" s="22" t="s">
        <v>452</v>
      </c>
      <c r="B57" s="23"/>
      <c r="C57" s="23"/>
      <c r="D57" s="23"/>
      <c r="E57" s="23"/>
      <c r="F57" s="23"/>
      <c r="G57" s="23"/>
      <c r="H57" s="23"/>
      <c r="I57" s="23"/>
      <c r="J57" s="23"/>
    </row>
    <row r="58" spans="1:10" ht="15" customHeight="1" x14ac:dyDescent="0.35">
      <c r="A58" s="21" t="s">
        <v>453</v>
      </c>
      <c r="B58" s="17"/>
      <c r="C58" s="17"/>
      <c r="D58" s="17"/>
      <c r="E58" s="17"/>
      <c r="F58" s="17"/>
      <c r="G58" s="15">
        <v>8.6999999999999993</v>
      </c>
      <c r="H58" s="15">
        <v>22.4</v>
      </c>
      <c r="I58" s="16">
        <v>310.5</v>
      </c>
      <c r="J58" s="16">
        <v>759.1</v>
      </c>
    </row>
    <row r="59" spans="1:10" ht="15" customHeight="1" x14ac:dyDescent="0.35">
      <c r="A59" s="13" t="s">
        <v>454</v>
      </c>
      <c r="B59" s="17"/>
      <c r="C59" s="17"/>
      <c r="D59" s="17"/>
      <c r="E59" s="17"/>
      <c r="F59" s="17"/>
      <c r="G59" s="15">
        <v>8.6999999999999993</v>
      </c>
      <c r="H59" s="15">
        <v>22.4</v>
      </c>
      <c r="I59" s="16">
        <v>310.5</v>
      </c>
      <c r="J59" s="17"/>
    </row>
    <row r="60" spans="1:10" ht="15" customHeight="1" x14ac:dyDescent="0.35">
      <c r="A60" s="21" t="s">
        <v>455</v>
      </c>
      <c r="B60" s="17"/>
      <c r="C60" s="17"/>
      <c r="D60" s="17"/>
      <c r="E60" s="17"/>
      <c r="F60" s="17"/>
      <c r="G60" s="15">
        <v>0.5</v>
      </c>
      <c r="H60" s="15">
        <v>0.7</v>
      </c>
      <c r="I60" s="15">
        <v>0.9</v>
      </c>
      <c r="J60" s="17">
        <v>0</v>
      </c>
    </row>
    <row r="61" spans="1:10" ht="15" customHeight="1" x14ac:dyDescent="0.35">
      <c r="A61" s="13" t="s">
        <v>456</v>
      </c>
      <c r="B61" s="17"/>
      <c r="C61" s="17"/>
      <c r="D61" s="17"/>
      <c r="E61" s="17"/>
      <c r="F61" s="17"/>
      <c r="G61" s="15">
        <v>0.5</v>
      </c>
      <c r="H61" s="15">
        <v>0.7</v>
      </c>
      <c r="I61" s="15">
        <v>0.9</v>
      </c>
      <c r="J61" s="17"/>
    </row>
    <row r="62" spans="1:10" ht="15" customHeight="1" x14ac:dyDescent="0.35">
      <c r="A62" s="22" t="s">
        <v>457</v>
      </c>
      <c r="B62" s="23"/>
      <c r="C62" s="23"/>
      <c r="D62" s="23"/>
      <c r="E62" s="23"/>
      <c r="F62" s="23"/>
      <c r="G62" s="23"/>
      <c r="H62" s="23"/>
      <c r="I62" s="23"/>
      <c r="J62" s="23"/>
    </row>
    <row r="63" spans="1:10" ht="15" customHeight="1" x14ac:dyDescent="0.35">
      <c r="A63" s="21" t="s">
        <v>458</v>
      </c>
      <c r="B63" s="33"/>
      <c r="C63" s="33"/>
      <c r="D63" s="33"/>
      <c r="E63" s="33"/>
      <c r="F63" s="33">
        <v>85</v>
      </c>
      <c r="G63" s="33">
        <v>94.57</v>
      </c>
      <c r="H63" s="33">
        <v>96.97</v>
      </c>
      <c r="I63" s="33">
        <v>99.71</v>
      </c>
      <c r="J63" s="33">
        <v>100</v>
      </c>
    </row>
    <row r="64" spans="1:10" ht="15" customHeight="1" x14ac:dyDescent="0.35">
      <c r="A64" s="13" t="s">
        <v>459</v>
      </c>
      <c r="B64" s="33"/>
      <c r="C64" s="33"/>
      <c r="D64" s="33"/>
      <c r="E64" s="33"/>
      <c r="F64" s="33">
        <v>85</v>
      </c>
      <c r="G64" s="33">
        <v>94.57</v>
      </c>
      <c r="H64" s="33">
        <v>96.97</v>
      </c>
      <c r="I64" s="33">
        <v>99.71</v>
      </c>
      <c r="J64" s="33">
        <v>100</v>
      </c>
    </row>
    <row r="65" spans="1:10" ht="15" customHeight="1" x14ac:dyDescent="0.35">
      <c r="A65" s="24" t="s">
        <v>460</v>
      </c>
      <c r="B65" s="33"/>
      <c r="C65" s="33"/>
      <c r="D65" s="33"/>
      <c r="E65" s="33"/>
      <c r="F65" s="33">
        <v>85</v>
      </c>
      <c r="G65" s="33"/>
      <c r="H65" s="33"/>
      <c r="I65" s="33"/>
      <c r="J65" s="33"/>
    </row>
    <row r="66" spans="1:10" ht="15" customHeight="1" x14ac:dyDescent="0.35">
      <c r="A66" s="21" t="s">
        <v>461</v>
      </c>
      <c r="B66" s="33"/>
      <c r="C66" s="33"/>
      <c r="D66" s="33"/>
      <c r="E66" s="33"/>
      <c r="F66" s="33">
        <v>15</v>
      </c>
      <c r="G66" s="33">
        <v>5.43</v>
      </c>
      <c r="H66" s="33">
        <v>3.03</v>
      </c>
      <c r="I66" s="33">
        <v>0.28999999999999998</v>
      </c>
      <c r="J66" s="33">
        <v>0</v>
      </c>
    </row>
    <row r="67" spans="1:10" ht="15" customHeight="1" x14ac:dyDescent="0.35">
      <c r="A67" s="13" t="s">
        <v>462</v>
      </c>
      <c r="B67" s="33"/>
      <c r="C67" s="33"/>
      <c r="D67" s="33"/>
      <c r="E67" s="33"/>
      <c r="F67" s="33">
        <v>15</v>
      </c>
      <c r="G67" s="33">
        <v>5.43</v>
      </c>
      <c r="H67" s="33">
        <v>3.03</v>
      </c>
      <c r="I67" s="33">
        <v>0.28999999999999998</v>
      </c>
      <c r="J67" s="33">
        <v>0</v>
      </c>
    </row>
    <row r="68" spans="1:10" ht="15" customHeight="1" x14ac:dyDescent="0.35">
      <c r="A68" s="24" t="s">
        <v>463</v>
      </c>
      <c r="B68" s="33"/>
      <c r="C68" s="33"/>
      <c r="D68" s="33"/>
      <c r="E68" s="33"/>
      <c r="F68" s="33">
        <v>15</v>
      </c>
      <c r="G68" s="33"/>
      <c r="H68" s="33"/>
      <c r="I68" s="33"/>
      <c r="J68" s="33"/>
    </row>
  </sheetData>
  <mergeCells count="27">
    <mergeCell ref="G11"/>
    <mergeCell ref="H11"/>
    <mergeCell ref="I11"/>
    <mergeCell ref="J11"/>
    <mergeCell ref="B12"/>
    <mergeCell ref="E12"/>
    <mergeCell ref="H12"/>
    <mergeCell ref="B11"/>
    <mergeCell ref="C11"/>
    <mergeCell ref="D11"/>
    <mergeCell ref="E11"/>
    <mergeCell ref="F11"/>
    <mergeCell ref="B13"/>
    <mergeCell ref="C12"/>
    <mergeCell ref="C13"/>
    <mergeCell ref="D12"/>
    <mergeCell ref="D13"/>
    <mergeCell ref="E13"/>
    <mergeCell ref="F12"/>
    <mergeCell ref="F13"/>
    <mergeCell ref="G12"/>
    <mergeCell ref="G13"/>
    <mergeCell ref="H13"/>
    <mergeCell ref="I12"/>
    <mergeCell ref="I13"/>
    <mergeCell ref="J12"/>
    <mergeCell ref="J13"/>
  </mergeCells>
  <pageMargins left="0.5" right="0.5" top="1" bottom="1" header="0.5" footer="0.75"/>
  <pageSetup fitToHeight="0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67"/>
  <sheetViews>
    <sheetView topLeftCell="A24" workbookViewId="0">
      <selection activeCell="I18" sqref="I18"/>
    </sheetView>
  </sheetViews>
  <sheetFormatPr defaultColWidth="8.81640625" defaultRowHeight="14.5" outlineLevelRow="1" x14ac:dyDescent="0.35"/>
  <cols>
    <col min="1" max="1" width="85.6328125" customWidth="1"/>
    <col min="2" max="10" width="15.6328125" customWidth="1"/>
    <col min="2000" max="2000" width="2.36328125" customWidth="1"/>
  </cols>
  <sheetData>
    <row r="1" spans="1:10" ht="15" customHeight="1" x14ac:dyDescent="0.35">
      <c r="A1" s="1" t="s">
        <v>464</v>
      </c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 x14ac:dyDescent="0.35">
      <c r="A2" s="3" t="s">
        <v>1</v>
      </c>
      <c r="B2" s="4" t="s">
        <v>2</v>
      </c>
    </row>
    <row r="3" spans="1:10" x14ac:dyDescent="0.35">
      <c r="A3" s="3" t="s">
        <v>3</v>
      </c>
      <c r="B3" s="3" t="s">
        <v>4</v>
      </c>
    </row>
    <row r="4" spans="1:10" x14ac:dyDescent="0.35">
      <c r="A4" s="3" t="s">
        <v>5</v>
      </c>
      <c r="B4" s="3" t="s">
        <v>4</v>
      </c>
    </row>
    <row r="5" spans="1:10" x14ac:dyDescent="0.35">
      <c r="A5" s="3" t="s">
        <v>6</v>
      </c>
      <c r="B5" s="3" t="s">
        <v>7</v>
      </c>
    </row>
    <row r="6" spans="1:10" x14ac:dyDescent="0.35">
      <c r="A6" s="3" t="s">
        <v>8</v>
      </c>
      <c r="B6" s="3" t="s">
        <v>9</v>
      </c>
    </row>
    <row r="7" spans="1:10" x14ac:dyDescent="0.35">
      <c r="A7" s="3" t="s">
        <v>10</v>
      </c>
      <c r="B7" s="3" t="s">
        <v>11</v>
      </c>
    </row>
    <row r="8" spans="1:10" x14ac:dyDescent="0.35">
      <c r="A8" s="3" t="s">
        <v>12</v>
      </c>
      <c r="B8" s="3" t="s">
        <v>13</v>
      </c>
    </row>
    <row r="9" spans="1:10" x14ac:dyDescent="0.35">
      <c r="A9" s="3" t="s">
        <v>14</v>
      </c>
      <c r="B9" s="3" t="s">
        <v>15</v>
      </c>
    </row>
    <row r="10" spans="1:10" x14ac:dyDescent="0.35">
      <c r="A10" s="3" t="s">
        <v>16</v>
      </c>
      <c r="B10" s="5">
        <v>45076.753914479203</v>
      </c>
    </row>
    <row r="11" spans="1:10" x14ac:dyDescent="0.35">
      <c r="A11" s="6" t="s">
        <v>17</v>
      </c>
      <c r="B11" s="431" t="s">
        <v>18</v>
      </c>
      <c r="C11" s="431" t="s">
        <v>19</v>
      </c>
      <c r="D11" s="431" t="s">
        <v>20</v>
      </c>
      <c r="E11" s="431" t="s">
        <v>21</v>
      </c>
      <c r="F11" s="431" t="s">
        <v>22</v>
      </c>
      <c r="G11" s="431" t="s">
        <v>23</v>
      </c>
      <c r="H11" s="431" t="s">
        <v>24</v>
      </c>
      <c r="I11" s="431" t="s">
        <v>25</v>
      </c>
      <c r="J11" s="431" t="s">
        <v>26</v>
      </c>
    </row>
    <row r="12" spans="1:10" ht="15" customHeight="1" outlineLevel="1" x14ac:dyDescent="0.35">
      <c r="A12" s="7" t="s">
        <v>27</v>
      </c>
      <c r="B12" s="430">
        <v>41729</v>
      </c>
      <c r="C12" s="430">
        <v>42094</v>
      </c>
      <c r="D12" s="430">
        <v>42460</v>
      </c>
      <c r="E12" s="430">
        <v>42825</v>
      </c>
      <c r="F12" s="430">
        <v>43190</v>
      </c>
      <c r="G12" s="430">
        <v>43555</v>
      </c>
      <c r="H12" s="430">
        <v>43921</v>
      </c>
      <c r="I12" s="430">
        <v>44286</v>
      </c>
      <c r="J12" s="430">
        <v>44651</v>
      </c>
    </row>
    <row r="13" spans="1:10" ht="15" customHeight="1" outlineLevel="1" x14ac:dyDescent="0.35">
      <c r="A13" s="7" t="s">
        <v>28</v>
      </c>
      <c r="B13" s="430" t="s">
        <v>29</v>
      </c>
      <c r="C13" s="430" t="s">
        <v>29</v>
      </c>
      <c r="D13" s="430" t="s">
        <v>29</v>
      </c>
      <c r="E13" s="430" t="s">
        <v>29</v>
      </c>
      <c r="F13" s="430" t="s">
        <v>29</v>
      </c>
      <c r="G13" s="430" t="s">
        <v>29</v>
      </c>
      <c r="H13" s="430" t="s">
        <v>29</v>
      </c>
      <c r="I13" s="430" t="s">
        <v>29</v>
      </c>
      <c r="J13" s="430" t="s">
        <v>29</v>
      </c>
    </row>
    <row r="14" spans="1:10" x14ac:dyDescent="0.35">
      <c r="A14" s="8" t="s">
        <v>465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5">
      <c r="A15" s="8" t="s">
        <v>31</v>
      </c>
      <c r="B15" s="9" t="s">
        <v>33</v>
      </c>
      <c r="C15" s="9" t="s">
        <v>34</v>
      </c>
      <c r="D15" s="9" t="s">
        <v>35</v>
      </c>
      <c r="E15" s="9" t="s">
        <v>36</v>
      </c>
      <c r="F15" s="9" t="s">
        <v>37</v>
      </c>
      <c r="G15" s="9" t="s">
        <v>38</v>
      </c>
      <c r="H15" s="9" t="s">
        <v>39</v>
      </c>
      <c r="I15" s="9" t="s">
        <v>40</v>
      </c>
      <c r="J15" s="9" t="s">
        <v>41</v>
      </c>
    </row>
    <row r="16" spans="1:10" ht="15" customHeight="1" x14ac:dyDescent="0.35">
      <c r="A16" s="22" t="s">
        <v>466</v>
      </c>
      <c r="B16" s="23"/>
      <c r="C16" s="23"/>
      <c r="D16" s="23"/>
      <c r="E16" s="23"/>
      <c r="F16" s="23"/>
      <c r="G16" s="23"/>
      <c r="H16" s="23"/>
      <c r="I16" s="23"/>
      <c r="J16" s="23"/>
    </row>
    <row r="17" spans="1:10" ht="15" customHeight="1" x14ac:dyDescent="0.35">
      <c r="A17" s="21" t="s">
        <v>63</v>
      </c>
      <c r="B17" s="16">
        <v>581.5</v>
      </c>
      <c r="C17" s="16">
        <v>906</v>
      </c>
      <c r="D17" s="16">
        <v>946.1</v>
      </c>
      <c r="E17" s="16">
        <v>1077.2</v>
      </c>
      <c r="F17" s="16">
        <v>1577.3</v>
      </c>
      <c r="G17" s="16">
        <v>1796.9</v>
      </c>
      <c r="H17" s="16">
        <v>2350.4</v>
      </c>
      <c r="I17" s="16">
        <v>3448.9</v>
      </c>
      <c r="J17" s="16">
        <v>7185.5</v>
      </c>
    </row>
    <row r="18" spans="1:10" ht="15" customHeight="1" x14ac:dyDescent="0.35">
      <c r="A18" s="21" t="s">
        <v>65</v>
      </c>
      <c r="B18" s="16">
        <v>6595.4</v>
      </c>
      <c r="C18" s="16">
        <v>9917.9</v>
      </c>
      <c r="D18" s="16">
        <v>9123.5</v>
      </c>
      <c r="E18" s="17">
        <v>11515.3</v>
      </c>
      <c r="F18" s="17">
        <v>15224.8</v>
      </c>
      <c r="G18" s="17">
        <v>13896</v>
      </c>
      <c r="H18" s="17">
        <v>13690.3</v>
      </c>
      <c r="I18" s="17">
        <v>20131</v>
      </c>
      <c r="J18" s="17">
        <v>23819.4</v>
      </c>
    </row>
    <row r="19" spans="1:10" ht="15" customHeight="1" x14ac:dyDescent="0.35">
      <c r="A19" s="21" t="s">
        <v>75</v>
      </c>
      <c r="B19" s="16">
        <v>7216.5</v>
      </c>
      <c r="C19" s="17">
        <v>11095.8</v>
      </c>
      <c r="D19" s="17">
        <v>10262.700000000001</v>
      </c>
      <c r="E19" s="17">
        <v>12815.8</v>
      </c>
      <c r="F19" s="17">
        <v>17039.7</v>
      </c>
      <c r="G19" s="17">
        <v>15880.6</v>
      </c>
      <c r="H19" s="17">
        <v>16023.3</v>
      </c>
      <c r="I19" s="17">
        <v>23986.799999999999</v>
      </c>
      <c r="J19" s="17">
        <v>31623.1</v>
      </c>
    </row>
    <row r="20" spans="1:10" ht="15" customHeight="1" x14ac:dyDescent="0.35">
      <c r="A20" s="21" t="s">
        <v>77</v>
      </c>
      <c r="B20" s="16">
        <v>5522.4</v>
      </c>
      <c r="C20" s="16">
        <v>6248.5</v>
      </c>
      <c r="D20" s="16">
        <v>6227.8</v>
      </c>
      <c r="E20" s="16">
        <v>7277.1</v>
      </c>
      <c r="F20" s="16">
        <v>7874.4</v>
      </c>
      <c r="G20" s="16">
        <v>8030.9</v>
      </c>
      <c r="H20" s="16">
        <v>7672.4</v>
      </c>
      <c r="I20" s="16">
        <v>8601.2000000000007</v>
      </c>
      <c r="J20" s="17">
        <v>10396</v>
      </c>
    </row>
    <row r="21" spans="1:10" ht="15" customHeight="1" x14ac:dyDescent="0.35">
      <c r="A21" s="21" t="s">
        <v>92</v>
      </c>
      <c r="B21" s="16">
        <v>1648.7</v>
      </c>
      <c r="C21" s="16">
        <v>4823</v>
      </c>
      <c r="D21" s="16">
        <v>4012</v>
      </c>
      <c r="E21" s="16">
        <v>5510.3</v>
      </c>
      <c r="F21" s="16">
        <v>9131.4</v>
      </c>
      <c r="G21" s="16">
        <v>7802.7</v>
      </c>
      <c r="H21" s="16">
        <v>8320.7999999999993</v>
      </c>
      <c r="I21" s="17">
        <v>15346.5</v>
      </c>
      <c r="J21" s="17">
        <v>21160</v>
      </c>
    </row>
    <row r="22" spans="1:10" ht="15" customHeight="1" x14ac:dyDescent="0.35">
      <c r="A22" s="21" t="s">
        <v>115</v>
      </c>
      <c r="B22" s="16">
        <v>891.9</v>
      </c>
      <c r="C22" s="16">
        <v>2938.7</v>
      </c>
      <c r="D22" s="16">
        <v>2387.1999999999998</v>
      </c>
      <c r="E22" s="16">
        <v>3385.9</v>
      </c>
      <c r="F22" s="16">
        <v>5534.7</v>
      </c>
      <c r="G22" s="16">
        <v>4907.3</v>
      </c>
      <c r="H22" s="16">
        <v>5621.4</v>
      </c>
      <c r="I22" s="17">
        <v>10677.2</v>
      </c>
      <c r="J22" s="17">
        <v>13826</v>
      </c>
    </row>
    <row r="23" spans="1:10" ht="15" customHeight="1" x14ac:dyDescent="0.35">
      <c r="A23" s="22" t="s">
        <v>467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" customHeight="1" x14ac:dyDescent="0.35">
      <c r="A24" s="21" t="s">
        <v>207</v>
      </c>
      <c r="B24" s="16">
        <v>7684</v>
      </c>
      <c r="C24" s="16">
        <v>3813.6</v>
      </c>
      <c r="D24" s="16">
        <v>4998.8999999999996</v>
      </c>
      <c r="E24" s="16">
        <v>8844.5</v>
      </c>
      <c r="F24" s="17">
        <v>10775.7</v>
      </c>
      <c r="G24" s="17">
        <v>11022.3</v>
      </c>
      <c r="H24" s="16">
        <v>9098.5</v>
      </c>
      <c r="I24" s="17">
        <v>36174.9</v>
      </c>
      <c r="J24" s="17">
        <v>75439.899999999994</v>
      </c>
    </row>
    <row r="25" spans="1:10" ht="15" customHeight="1" x14ac:dyDescent="0.35">
      <c r="A25" s="21" t="s">
        <v>215</v>
      </c>
      <c r="B25" s="16">
        <v>1002.8</v>
      </c>
      <c r="C25" s="15">
        <v>12.2</v>
      </c>
      <c r="D25" s="15">
        <v>12.2</v>
      </c>
      <c r="E25" s="16">
        <v>678.2</v>
      </c>
      <c r="F25" s="16">
        <v>682.2</v>
      </c>
      <c r="G25" s="16">
        <v>2923.1</v>
      </c>
      <c r="H25" s="16">
        <v>8714.7000000000007</v>
      </c>
      <c r="I25" s="16">
        <v>4915.1000000000004</v>
      </c>
      <c r="J25" s="16">
        <v>2963.2</v>
      </c>
    </row>
    <row r="26" spans="1:10" ht="15" customHeight="1" x14ac:dyDescent="0.35">
      <c r="A26" s="21" t="s">
        <v>48</v>
      </c>
      <c r="B26" s="17">
        <v>15728.5</v>
      </c>
      <c r="C26" s="17">
        <v>13628.6</v>
      </c>
      <c r="D26" s="17">
        <v>13974.9</v>
      </c>
      <c r="E26" s="17">
        <v>20423.900000000001</v>
      </c>
      <c r="F26" s="17">
        <v>28739</v>
      </c>
      <c r="G26" s="17">
        <v>46645.9</v>
      </c>
      <c r="H26" s="17">
        <v>44428.2</v>
      </c>
      <c r="I26" s="17">
        <v>81809.100000000006</v>
      </c>
      <c r="J26" s="17">
        <v>136462.20000000001</v>
      </c>
    </row>
    <row r="27" spans="1:10" ht="15" customHeight="1" x14ac:dyDescent="0.35">
      <c r="A27" s="21" t="s">
        <v>272</v>
      </c>
      <c r="B27" s="16">
        <v>2493.6</v>
      </c>
      <c r="C27" s="16">
        <v>3523.1</v>
      </c>
      <c r="D27" s="16">
        <v>3981.6</v>
      </c>
      <c r="E27" s="16">
        <v>5014.8</v>
      </c>
      <c r="F27" s="16">
        <v>8477.1</v>
      </c>
      <c r="G27" s="17">
        <v>10472.700000000001</v>
      </c>
      <c r="H27" s="17">
        <v>12095.4</v>
      </c>
      <c r="I27" s="17">
        <v>18221.099999999999</v>
      </c>
      <c r="J27" s="17">
        <v>24305.3</v>
      </c>
    </row>
    <row r="28" spans="1:10" ht="15" customHeight="1" x14ac:dyDescent="0.35">
      <c r="A28" s="21" t="s">
        <v>319</v>
      </c>
      <c r="B28" s="16">
        <v>2329.9</v>
      </c>
      <c r="C28" s="16">
        <v>3397.3</v>
      </c>
      <c r="D28" s="16">
        <v>3858.1</v>
      </c>
      <c r="E28" s="16">
        <v>4882.5</v>
      </c>
      <c r="F28" s="16">
        <v>8367.9</v>
      </c>
      <c r="G28" s="17">
        <v>10304.299999999999</v>
      </c>
      <c r="H28" s="17">
        <v>11891.6</v>
      </c>
      <c r="I28" s="17">
        <v>17954.400000000001</v>
      </c>
      <c r="J28" s="17">
        <v>23963.200000000001</v>
      </c>
    </row>
    <row r="29" spans="1:10" ht="15" customHeight="1" x14ac:dyDescent="0.35">
      <c r="A29" s="21" t="s">
        <v>311</v>
      </c>
      <c r="B29" s="16">
        <v>1002.8</v>
      </c>
      <c r="C29" s="15">
        <v>12.2</v>
      </c>
      <c r="D29" s="15">
        <v>12.2</v>
      </c>
      <c r="E29" s="16">
        <v>678.2</v>
      </c>
      <c r="F29" s="16">
        <v>682.2</v>
      </c>
      <c r="G29" s="16">
        <v>2923.1</v>
      </c>
      <c r="H29" s="16">
        <v>8714.7000000000007</v>
      </c>
      <c r="I29" s="16">
        <v>4915.1000000000004</v>
      </c>
      <c r="J29" s="16">
        <v>2963.2</v>
      </c>
    </row>
    <row r="30" spans="1:10" ht="15" customHeight="1" x14ac:dyDescent="0.35">
      <c r="A30" s="22" t="s">
        <v>468</v>
      </c>
      <c r="B30" s="23"/>
      <c r="C30" s="23"/>
      <c r="D30" s="23"/>
      <c r="E30" s="23"/>
      <c r="F30" s="23"/>
      <c r="G30" s="23"/>
      <c r="H30" s="23"/>
      <c r="I30" s="23"/>
      <c r="J30" s="23"/>
    </row>
    <row r="31" spans="1:10" ht="15" customHeight="1" x14ac:dyDescent="0.35">
      <c r="A31" s="21" t="s">
        <v>364</v>
      </c>
      <c r="B31" s="16">
        <v>1686.3</v>
      </c>
      <c r="C31" s="16">
        <v>1909</v>
      </c>
      <c r="D31" s="16">
        <v>2071</v>
      </c>
      <c r="E31" s="16">
        <v>1376.5</v>
      </c>
      <c r="F31" s="16">
        <v>245.7</v>
      </c>
      <c r="G31" s="17">
        <v>22493.1</v>
      </c>
      <c r="H31" s="30">
        <v>-19409.400000000001</v>
      </c>
      <c r="I31" s="30">
        <v>-17029.400000000001</v>
      </c>
      <c r="J31" s="30">
        <v>-28099.200000000001</v>
      </c>
    </row>
    <row r="32" spans="1:10" ht="15" customHeight="1" x14ac:dyDescent="0.35">
      <c r="A32" s="21" t="s">
        <v>346</v>
      </c>
      <c r="B32" s="16">
        <v>134.80000000000001</v>
      </c>
      <c r="C32" s="16">
        <v>163</v>
      </c>
      <c r="D32" s="16">
        <v>159.6</v>
      </c>
      <c r="E32" s="16">
        <v>154.80000000000001</v>
      </c>
      <c r="F32" s="16">
        <v>153</v>
      </c>
      <c r="G32" s="16">
        <v>149.5</v>
      </c>
      <c r="H32" s="16">
        <v>614</v>
      </c>
      <c r="I32" s="16">
        <v>541.79999999999995</v>
      </c>
      <c r="J32" s="16">
        <v>625.29999999999995</v>
      </c>
    </row>
    <row r="33" spans="1:10" ht="15" customHeight="1" x14ac:dyDescent="0.35">
      <c r="A33" s="21" t="s">
        <v>367</v>
      </c>
      <c r="B33" s="16">
        <v>146.69999999999999</v>
      </c>
      <c r="C33" s="16">
        <v>199.3</v>
      </c>
      <c r="D33" s="16">
        <v>165</v>
      </c>
      <c r="E33" s="16">
        <v>153.9</v>
      </c>
      <c r="F33" s="16">
        <v>216.4</v>
      </c>
      <c r="G33" s="16">
        <v>208.1</v>
      </c>
      <c r="H33" s="16">
        <v>226.2</v>
      </c>
      <c r="I33" s="16">
        <v>401.9</v>
      </c>
      <c r="J33" s="16">
        <v>632.20000000000005</v>
      </c>
    </row>
    <row r="34" spans="1:10" ht="15" customHeight="1" x14ac:dyDescent="0.35">
      <c r="A34" s="21" t="s">
        <v>396</v>
      </c>
      <c r="B34" s="16">
        <v>735.2</v>
      </c>
      <c r="C34" s="18">
        <v>-213.6</v>
      </c>
      <c r="D34" s="18">
        <v>-557.29999999999995</v>
      </c>
      <c r="E34" s="16">
        <v>942.2</v>
      </c>
      <c r="F34" s="16">
        <v>564.4</v>
      </c>
      <c r="G34" s="17">
        <v>17070.400000000001</v>
      </c>
      <c r="H34" s="30">
        <v>-13421.1</v>
      </c>
      <c r="I34" s="18">
        <v>-2326.5</v>
      </c>
      <c r="J34" s="16">
        <v>4642.3999999999996</v>
      </c>
    </row>
    <row r="35" spans="1:10" ht="15" customHeight="1" x14ac:dyDescent="0.35">
      <c r="A35" s="22" t="s">
        <v>469</v>
      </c>
      <c r="B35" s="23"/>
      <c r="C35" s="23"/>
      <c r="D35" s="23"/>
      <c r="E35" s="23"/>
      <c r="F35" s="23"/>
      <c r="G35" s="23"/>
      <c r="H35" s="23"/>
      <c r="I35" s="23"/>
      <c r="J35" s="23"/>
    </row>
    <row r="36" spans="1:10" ht="15" customHeight="1" x14ac:dyDescent="0.35">
      <c r="A36" s="21" t="s">
        <v>470</v>
      </c>
      <c r="B36" s="15">
        <v>7.74</v>
      </c>
      <c r="C36" s="15">
        <v>10.94</v>
      </c>
      <c r="D36" s="15">
        <v>12.36</v>
      </c>
      <c r="E36" s="15">
        <v>15.57</v>
      </c>
      <c r="F36" s="15">
        <v>26.31</v>
      </c>
      <c r="G36" s="15">
        <v>32.51</v>
      </c>
      <c r="H36" s="15">
        <v>37.549999999999997</v>
      </c>
      <c r="I36" s="15">
        <v>56.55</v>
      </c>
      <c r="J36" s="15">
        <v>75.319999999999993</v>
      </c>
    </row>
    <row r="37" spans="1:10" ht="15" customHeight="1" x14ac:dyDescent="0.35">
      <c r="A37" s="21" t="s">
        <v>471</v>
      </c>
      <c r="B37" s="15">
        <v>7.23</v>
      </c>
      <c r="C37" s="15">
        <v>10.55</v>
      </c>
      <c r="D37" s="15">
        <v>11.98</v>
      </c>
      <c r="E37" s="15">
        <v>15.16</v>
      </c>
      <c r="F37" s="15">
        <v>25.98</v>
      </c>
      <c r="G37" s="15">
        <v>31.99</v>
      </c>
      <c r="H37" s="15">
        <v>36.909999999999997</v>
      </c>
      <c r="I37" s="15">
        <v>55.72</v>
      </c>
      <c r="J37" s="15">
        <v>74.260000000000005</v>
      </c>
    </row>
    <row r="38" spans="1:10" ht="15" customHeight="1" x14ac:dyDescent="0.35">
      <c r="A38" s="21" t="s">
        <v>150</v>
      </c>
      <c r="B38" s="15">
        <v>2.77</v>
      </c>
      <c r="C38" s="15">
        <v>9.1199999999999992</v>
      </c>
      <c r="D38" s="15">
        <v>7.41</v>
      </c>
      <c r="E38" s="15">
        <v>10.51</v>
      </c>
      <c r="F38" s="15">
        <v>17.18</v>
      </c>
      <c r="G38" s="15">
        <v>15.24</v>
      </c>
      <c r="H38" s="15">
        <v>17.440000000000001</v>
      </c>
      <c r="I38" s="15">
        <v>33.08</v>
      </c>
      <c r="J38" s="15">
        <v>42.35</v>
      </c>
    </row>
    <row r="39" spans="1:10" ht="15" customHeight="1" x14ac:dyDescent="0.35">
      <c r="A39" s="21" t="s">
        <v>148</v>
      </c>
      <c r="B39" s="16">
        <v>322.14</v>
      </c>
      <c r="C39" s="16">
        <v>322.14</v>
      </c>
      <c r="D39" s="16">
        <v>322.14</v>
      </c>
      <c r="E39" s="16">
        <v>322.14</v>
      </c>
      <c r="F39" s="16">
        <v>322.10000000000002</v>
      </c>
      <c r="G39" s="16">
        <v>322.10000000000002</v>
      </c>
      <c r="H39" s="16">
        <v>322.39999999999998</v>
      </c>
      <c r="I39" s="16">
        <v>322.8</v>
      </c>
      <c r="J39" s="16">
        <v>326.5</v>
      </c>
    </row>
    <row r="40" spans="1:10" ht="15" customHeight="1" x14ac:dyDescent="0.35">
      <c r="A40" s="21" t="s">
        <v>472</v>
      </c>
      <c r="B40" s="33"/>
      <c r="C40" s="33"/>
      <c r="D40" s="33"/>
      <c r="E40" s="33"/>
      <c r="F40" s="33"/>
      <c r="G40" s="33">
        <v>1.53</v>
      </c>
      <c r="H40" s="33">
        <v>3.6</v>
      </c>
      <c r="I40" s="33">
        <v>3.85</v>
      </c>
      <c r="J40" s="33">
        <v>3.98</v>
      </c>
    </row>
    <row r="41" spans="1:10" ht="15" customHeight="1" x14ac:dyDescent="0.35">
      <c r="A41" s="21" t="s">
        <v>473</v>
      </c>
      <c r="B41" s="33"/>
      <c r="C41" s="33"/>
      <c r="D41" s="33"/>
      <c r="E41" s="33"/>
      <c r="F41" s="33"/>
      <c r="G41" s="33">
        <v>1.53</v>
      </c>
      <c r="H41" s="33">
        <v>3.6</v>
      </c>
      <c r="I41" s="33">
        <v>3.85</v>
      </c>
      <c r="J41" s="33">
        <v>3.98</v>
      </c>
    </row>
    <row r="42" spans="1:10" ht="15" customHeight="1" x14ac:dyDescent="0.35">
      <c r="A42" s="22" t="s">
        <v>474</v>
      </c>
      <c r="B42" s="23"/>
      <c r="C42" s="23"/>
      <c r="D42" s="23"/>
      <c r="E42" s="23"/>
      <c r="F42" s="23"/>
      <c r="G42" s="23"/>
      <c r="H42" s="23"/>
      <c r="I42" s="23"/>
      <c r="J42" s="23"/>
    </row>
    <row r="43" spans="1:10" ht="15" customHeight="1" x14ac:dyDescent="0.35">
      <c r="A43" s="21" t="s">
        <v>475</v>
      </c>
      <c r="B43" s="33">
        <v>19.36</v>
      </c>
      <c r="C43" s="33">
        <v>40.53</v>
      </c>
      <c r="D43" s="33">
        <v>36.450000000000003</v>
      </c>
      <c r="E43" s="33">
        <v>40.729999999999997</v>
      </c>
      <c r="F43" s="33">
        <v>50.02</v>
      </c>
      <c r="G43" s="33">
        <v>47.68</v>
      </c>
      <c r="H43" s="33">
        <v>46.99</v>
      </c>
      <c r="I43" s="33">
        <v>59.65</v>
      </c>
      <c r="J43" s="33">
        <v>58.59</v>
      </c>
    </row>
    <row r="44" spans="1:10" ht="15" customHeight="1" x14ac:dyDescent="0.35">
      <c r="A44" s="21" t="s">
        <v>476</v>
      </c>
      <c r="B44" s="33">
        <v>36.17</v>
      </c>
      <c r="C44" s="33">
        <v>34.65</v>
      </c>
      <c r="D44" s="33">
        <v>36.19</v>
      </c>
      <c r="E44" s="33">
        <v>35.14</v>
      </c>
      <c r="F44" s="33">
        <v>35.07</v>
      </c>
      <c r="G44" s="33">
        <v>35.19</v>
      </c>
      <c r="H44" s="33">
        <v>25.34</v>
      </c>
      <c r="I44" s="33">
        <v>25.37</v>
      </c>
      <c r="J44" s="33">
        <v>25.38</v>
      </c>
    </row>
    <row r="45" spans="1:10" ht="15" customHeight="1" x14ac:dyDescent="0.35">
      <c r="A45" s="21" t="s">
        <v>477</v>
      </c>
      <c r="B45" s="33">
        <v>12.36</v>
      </c>
      <c r="C45" s="33">
        <v>26.48</v>
      </c>
      <c r="D45" s="33">
        <v>23.26</v>
      </c>
      <c r="E45" s="33">
        <v>26.42</v>
      </c>
      <c r="F45" s="33">
        <v>32.479999999999997</v>
      </c>
      <c r="G45" s="33">
        <v>30.9</v>
      </c>
      <c r="H45" s="33">
        <v>35.08</v>
      </c>
      <c r="I45" s="33">
        <v>44.51</v>
      </c>
      <c r="J45" s="33">
        <v>43.72</v>
      </c>
    </row>
    <row r="46" spans="1:10" ht="15" customHeight="1" x14ac:dyDescent="0.35">
      <c r="A46" s="21" t="s">
        <v>478</v>
      </c>
      <c r="B46" s="33">
        <v>34.9</v>
      </c>
      <c r="C46" s="33">
        <v>97.68</v>
      </c>
      <c r="D46" s="33">
        <v>63.62</v>
      </c>
      <c r="E46" s="33">
        <v>75.27</v>
      </c>
      <c r="F46" s="33">
        <v>82.04</v>
      </c>
      <c r="G46" s="33">
        <v>51.79</v>
      </c>
      <c r="H46" s="33">
        <v>49.82</v>
      </c>
      <c r="I46" s="33">
        <v>70.44</v>
      </c>
      <c r="J46" s="33">
        <v>65.02</v>
      </c>
    </row>
    <row r="47" spans="1:10" ht="15" customHeight="1" x14ac:dyDescent="0.35">
      <c r="A47" s="21" t="s">
        <v>479</v>
      </c>
      <c r="B47" s="33">
        <v>173.47</v>
      </c>
      <c r="C47" s="33">
        <v>579.04999999999995</v>
      </c>
      <c r="D47" s="33">
        <v>19567.21</v>
      </c>
      <c r="E47" s="33">
        <v>980.85</v>
      </c>
      <c r="F47" s="33">
        <v>813.69</v>
      </c>
      <c r="G47" s="33">
        <v>272.23</v>
      </c>
      <c r="H47" s="33">
        <v>93.14</v>
      </c>
      <c r="I47" s="33">
        <v>156.66999999999999</v>
      </c>
      <c r="J47" s="33">
        <v>350.99</v>
      </c>
    </row>
    <row r="48" spans="1:10" ht="15" customHeight="1" x14ac:dyDescent="0.35">
      <c r="A48" s="21" t="s">
        <v>480</v>
      </c>
      <c r="B48" s="33">
        <v>7.39</v>
      </c>
      <c r="C48" s="33">
        <v>20.02</v>
      </c>
      <c r="D48" s="33">
        <v>17.3</v>
      </c>
      <c r="E48" s="33">
        <v>19.690000000000001</v>
      </c>
      <c r="F48" s="33">
        <v>22.52</v>
      </c>
      <c r="G48" s="33">
        <v>13.02</v>
      </c>
      <c r="H48" s="33">
        <v>12.34</v>
      </c>
      <c r="I48" s="33">
        <v>16.920000000000002</v>
      </c>
      <c r="J48" s="33">
        <v>12.67</v>
      </c>
    </row>
    <row r="49" spans="1:10" ht="15" customHeight="1" x14ac:dyDescent="0.35">
      <c r="A49" s="22" t="s">
        <v>481</v>
      </c>
      <c r="B49" s="23"/>
      <c r="C49" s="23"/>
      <c r="D49" s="23"/>
      <c r="E49" s="23"/>
      <c r="F49" s="23"/>
      <c r="G49" s="23"/>
      <c r="H49" s="23"/>
      <c r="I49" s="23"/>
      <c r="J49" s="23"/>
    </row>
    <row r="50" spans="1:10" ht="15" customHeight="1" x14ac:dyDescent="0.35">
      <c r="A50" s="21" t="s">
        <v>63</v>
      </c>
      <c r="B50" s="16">
        <v>581.5</v>
      </c>
      <c r="C50" s="16">
        <v>906</v>
      </c>
      <c r="D50" s="16">
        <v>946.1</v>
      </c>
      <c r="E50" s="16">
        <v>1077.2</v>
      </c>
      <c r="F50" s="16">
        <v>1577.3</v>
      </c>
      <c r="G50" s="16">
        <v>1796.9</v>
      </c>
      <c r="H50" s="16">
        <v>2350.4</v>
      </c>
      <c r="I50" s="16">
        <v>3448.9</v>
      </c>
      <c r="J50" s="16">
        <v>7185.5</v>
      </c>
    </row>
    <row r="51" spans="1:10" ht="15" customHeight="1" x14ac:dyDescent="0.35">
      <c r="A51" s="21" t="s">
        <v>65</v>
      </c>
      <c r="B51" s="16">
        <v>6595.4</v>
      </c>
      <c r="C51" s="16">
        <v>9917.9</v>
      </c>
      <c r="D51" s="16">
        <v>9123.5</v>
      </c>
      <c r="E51" s="17">
        <v>11515.3</v>
      </c>
      <c r="F51" s="17">
        <v>15224.8</v>
      </c>
      <c r="G51" s="17">
        <v>13896</v>
      </c>
      <c r="H51" s="17">
        <v>13690.3</v>
      </c>
      <c r="I51" s="17">
        <v>20131</v>
      </c>
      <c r="J51" s="17">
        <v>23819.4</v>
      </c>
    </row>
    <row r="52" spans="1:10" ht="15" customHeight="1" x14ac:dyDescent="0.35">
      <c r="A52" s="21" t="s">
        <v>75</v>
      </c>
      <c r="B52" s="16">
        <v>7216.5</v>
      </c>
      <c r="C52" s="17">
        <v>11095.8</v>
      </c>
      <c r="D52" s="17">
        <v>10262.700000000001</v>
      </c>
      <c r="E52" s="17">
        <v>12815.8</v>
      </c>
      <c r="F52" s="17">
        <v>17039.7</v>
      </c>
      <c r="G52" s="17">
        <v>15880.6</v>
      </c>
      <c r="H52" s="17">
        <v>16023.3</v>
      </c>
      <c r="I52" s="17">
        <v>23986.799999999999</v>
      </c>
      <c r="J52" s="17">
        <v>31623.1</v>
      </c>
    </row>
    <row r="53" spans="1:10" ht="15" customHeight="1" x14ac:dyDescent="0.35">
      <c r="A53" s="21" t="s">
        <v>150</v>
      </c>
      <c r="B53" s="15">
        <v>2.77</v>
      </c>
      <c r="C53" s="15">
        <v>9.1199999999999992</v>
      </c>
      <c r="D53" s="15">
        <v>7.41</v>
      </c>
      <c r="E53" s="15">
        <v>10.51</v>
      </c>
      <c r="F53" s="15">
        <v>17.18</v>
      </c>
      <c r="G53" s="15">
        <v>15.24</v>
      </c>
      <c r="H53" s="15">
        <v>17.440000000000001</v>
      </c>
      <c r="I53" s="15">
        <v>33.08</v>
      </c>
      <c r="J53" s="15">
        <v>42.35</v>
      </c>
    </row>
    <row r="54" spans="1:10" ht="15" customHeight="1" x14ac:dyDescent="0.35">
      <c r="A54" s="21" t="s">
        <v>279</v>
      </c>
      <c r="B54" s="16">
        <v>322.14</v>
      </c>
      <c r="C54" s="16">
        <v>322.14</v>
      </c>
      <c r="D54" s="16">
        <v>322.14</v>
      </c>
      <c r="E54" s="16">
        <v>322.14</v>
      </c>
      <c r="F54" s="16">
        <v>322.14</v>
      </c>
      <c r="G54" s="16">
        <v>322.14</v>
      </c>
      <c r="H54" s="16">
        <v>322.14</v>
      </c>
      <c r="I54" s="16">
        <v>322.22000000000003</v>
      </c>
      <c r="J54" s="16">
        <v>322.68</v>
      </c>
    </row>
    <row r="55" spans="1:10" ht="15" customHeight="1" x14ac:dyDescent="0.35">
      <c r="A55" s="21" t="s">
        <v>207</v>
      </c>
      <c r="B55" s="16">
        <v>7684</v>
      </c>
      <c r="C55" s="16">
        <v>3813.6</v>
      </c>
      <c r="D55" s="16">
        <v>4998.8999999999996</v>
      </c>
      <c r="E55" s="16">
        <v>8844.5</v>
      </c>
      <c r="F55" s="17">
        <v>10775.7</v>
      </c>
      <c r="G55" s="17">
        <v>11022.3</v>
      </c>
      <c r="H55" s="16">
        <v>9098.5</v>
      </c>
      <c r="I55" s="17">
        <v>36174.9</v>
      </c>
      <c r="J55" s="17">
        <v>75439.899999999994</v>
      </c>
    </row>
    <row r="56" spans="1:10" ht="15" customHeight="1" x14ac:dyDescent="0.35">
      <c r="A56" s="21" t="s">
        <v>48</v>
      </c>
      <c r="B56" s="17">
        <v>15728.5</v>
      </c>
      <c r="C56" s="17">
        <v>13628.6</v>
      </c>
      <c r="D56" s="17">
        <v>13974.9</v>
      </c>
      <c r="E56" s="17">
        <v>20423.900000000001</v>
      </c>
      <c r="F56" s="17">
        <v>28739</v>
      </c>
      <c r="G56" s="17">
        <v>46645.9</v>
      </c>
      <c r="H56" s="17">
        <v>44428.2</v>
      </c>
      <c r="I56" s="17">
        <v>81809.100000000006</v>
      </c>
      <c r="J56" s="17">
        <v>136462.20000000001</v>
      </c>
    </row>
    <row r="57" spans="1:10" ht="15" customHeight="1" x14ac:dyDescent="0.35">
      <c r="A57" s="22" t="s">
        <v>482</v>
      </c>
      <c r="B57" s="23"/>
      <c r="C57" s="23"/>
      <c r="D57" s="23"/>
      <c r="E57" s="23"/>
      <c r="F57" s="23"/>
      <c r="G57" s="23"/>
      <c r="H57" s="23"/>
      <c r="I57" s="23"/>
      <c r="J57" s="23"/>
    </row>
    <row r="58" spans="1:10" ht="15" customHeight="1" x14ac:dyDescent="0.35">
      <c r="A58" s="21" t="s">
        <v>483</v>
      </c>
      <c r="B58" s="33">
        <v>20.16</v>
      </c>
      <c r="C58" s="33">
        <v>16.62</v>
      </c>
      <c r="D58" s="33">
        <v>12.37</v>
      </c>
      <c r="E58" s="33">
        <v>19.36</v>
      </c>
      <c r="F58" s="33">
        <v>23.4</v>
      </c>
      <c r="G58" s="33">
        <v>9.59</v>
      </c>
      <c r="H58" s="33">
        <v>37.25</v>
      </c>
      <c r="I58" s="33">
        <v>44.34</v>
      </c>
      <c r="J58" s="33">
        <v>57.46</v>
      </c>
    </row>
    <row r="59" spans="1:10" ht="15" customHeight="1" x14ac:dyDescent="0.35">
      <c r="A59" s="21" t="s">
        <v>484</v>
      </c>
      <c r="B59" s="33">
        <v>55.98</v>
      </c>
      <c r="C59" s="33">
        <v>39.14</v>
      </c>
      <c r="D59" s="33">
        <v>30.27</v>
      </c>
      <c r="E59" s="33">
        <v>44.08</v>
      </c>
      <c r="F59" s="33">
        <v>44.23</v>
      </c>
      <c r="G59" s="33">
        <v>29.93</v>
      </c>
      <c r="H59" s="33">
        <v>57.77</v>
      </c>
      <c r="I59" s="33">
        <v>66.56</v>
      </c>
      <c r="J59" s="33">
        <v>76.34</v>
      </c>
    </row>
    <row r="60" spans="1:10" ht="15" customHeight="1" x14ac:dyDescent="0.35">
      <c r="A60" s="21" t="s">
        <v>485</v>
      </c>
      <c r="B60" s="33">
        <v>127.18</v>
      </c>
      <c r="C60" s="33">
        <v>64.3</v>
      </c>
      <c r="D60" s="33">
        <v>43.41</v>
      </c>
      <c r="E60" s="33">
        <v>78.83</v>
      </c>
      <c r="F60" s="33">
        <v>79.319999999999993</v>
      </c>
      <c r="G60" s="33">
        <v>42.71</v>
      </c>
      <c r="H60" s="33">
        <v>136.83000000000001</v>
      </c>
      <c r="I60" s="33">
        <v>199.06</v>
      </c>
      <c r="J60" s="33">
        <v>322.61</v>
      </c>
    </row>
    <row r="61" spans="1:10" ht="15" customHeight="1" x14ac:dyDescent="0.35">
      <c r="A61" s="21" t="s">
        <v>486</v>
      </c>
      <c r="B61" s="15">
        <v>1</v>
      </c>
      <c r="C61" s="15">
        <v>1</v>
      </c>
      <c r="D61" s="15">
        <v>1</v>
      </c>
      <c r="E61" s="15">
        <v>1</v>
      </c>
      <c r="F61" s="15">
        <v>0.73</v>
      </c>
      <c r="G61" s="15">
        <v>0.63</v>
      </c>
      <c r="H61" s="15">
        <v>0.37</v>
      </c>
      <c r="I61" s="15">
        <v>0.55000000000000004</v>
      </c>
      <c r="J61" s="15">
        <v>0.42</v>
      </c>
    </row>
    <row r="62" spans="1:10" ht="15" customHeight="1" x14ac:dyDescent="0.35">
      <c r="A62" s="21" t="s">
        <v>487</v>
      </c>
      <c r="B62" s="33">
        <v>0</v>
      </c>
      <c r="C62" s="33">
        <v>0</v>
      </c>
      <c r="D62" s="33">
        <v>0</v>
      </c>
      <c r="E62" s="33">
        <v>0</v>
      </c>
      <c r="F62" s="33">
        <v>27.37</v>
      </c>
      <c r="G62" s="33">
        <v>37.42</v>
      </c>
      <c r="H62" s="33">
        <v>63.04</v>
      </c>
      <c r="I62" s="33">
        <v>44.51</v>
      </c>
      <c r="J62" s="33">
        <v>57.76</v>
      </c>
    </row>
    <row r="63" spans="1:10" ht="15" customHeight="1" x14ac:dyDescent="0.35">
      <c r="A63" s="21" t="s">
        <v>488</v>
      </c>
      <c r="B63" s="33"/>
      <c r="C63" s="33"/>
      <c r="D63" s="33"/>
      <c r="E63" s="33"/>
      <c r="F63" s="33">
        <v>365.42</v>
      </c>
      <c r="G63" s="33">
        <v>267.24</v>
      </c>
      <c r="H63" s="33">
        <v>158.62</v>
      </c>
      <c r="I63" s="33">
        <v>224.65</v>
      </c>
      <c r="J63" s="33">
        <v>173.12</v>
      </c>
    </row>
    <row r="64" spans="1:10" ht="15" customHeight="1" x14ac:dyDescent="0.35">
      <c r="A64" s="22" t="s">
        <v>489</v>
      </c>
      <c r="B64" s="23"/>
      <c r="C64" s="23"/>
      <c r="D64" s="23"/>
      <c r="E64" s="23"/>
      <c r="F64" s="23"/>
      <c r="G64" s="23"/>
      <c r="H64" s="23"/>
      <c r="I64" s="23"/>
      <c r="J64" s="23"/>
    </row>
    <row r="65" spans="1:10" ht="15" customHeight="1" x14ac:dyDescent="0.35">
      <c r="A65" s="21" t="s">
        <v>490</v>
      </c>
      <c r="B65" s="17"/>
      <c r="C65" s="17"/>
      <c r="D65" s="17"/>
      <c r="E65" s="17"/>
      <c r="F65" s="17">
        <v>1305353.77</v>
      </c>
      <c r="G65" s="17">
        <v>1192394.6100000001</v>
      </c>
      <c r="H65" s="17">
        <v>1433847.72</v>
      </c>
      <c r="I65" s="17">
        <v>2826151.4</v>
      </c>
      <c r="J65" s="17">
        <v>3518066.16</v>
      </c>
    </row>
    <row r="66" spans="1:10" ht="15" customHeight="1" x14ac:dyDescent="0.35">
      <c r="A66" s="21" t="s">
        <v>491</v>
      </c>
      <c r="B66" s="17"/>
      <c r="C66" s="17"/>
      <c r="D66" s="17"/>
      <c r="E66" s="17"/>
      <c r="F66" s="17">
        <v>4018797.17</v>
      </c>
      <c r="G66" s="17">
        <v>3858729.19</v>
      </c>
      <c r="H66" s="17">
        <v>4087055.22</v>
      </c>
      <c r="I66" s="17">
        <v>6349073.5800000001</v>
      </c>
      <c r="J66" s="17">
        <v>8046590.3300000001</v>
      </c>
    </row>
    <row r="67" spans="1:10" ht="15" customHeight="1" x14ac:dyDescent="0.35">
      <c r="A67" s="21" t="s">
        <v>492</v>
      </c>
      <c r="B67" s="17"/>
      <c r="C67" s="17"/>
      <c r="D67" s="17"/>
      <c r="E67" s="17">
        <v>4749744.1900000004</v>
      </c>
      <c r="F67" s="17">
        <v>6875358.8499999996</v>
      </c>
      <c r="G67" s="17">
        <v>11514663.050000001</v>
      </c>
      <c r="H67" s="17">
        <v>11722480.210000001</v>
      </c>
      <c r="I67" s="17">
        <v>21723074.879999999</v>
      </c>
      <c r="J67" s="17">
        <v>33332242.309999999</v>
      </c>
    </row>
  </sheetData>
  <mergeCells count="27">
    <mergeCell ref="G11"/>
    <mergeCell ref="H11"/>
    <mergeCell ref="I11"/>
    <mergeCell ref="J11"/>
    <mergeCell ref="B12"/>
    <mergeCell ref="E12"/>
    <mergeCell ref="H12"/>
    <mergeCell ref="B11"/>
    <mergeCell ref="C11"/>
    <mergeCell ref="D11"/>
    <mergeCell ref="E11"/>
    <mergeCell ref="F11"/>
    <mergeCell ref="B13"/>
    <mergeCell ref="C12"/>
    <mergeCell ref="C13"/>
    <mergeCell ref="D12"/>
    <mergeCell ref="D13"/>
    <mergeCell ref="E13"/>
    <mergeCell ref="F12"/>
    <mergeCell ref="F13"/>
    <mergeCell ref="G12"/>
    <mergeCell ref="G13"/>
    <mergeCell ref="H13"/>
    <mergeCell ref="I12"/>
    <mergeCell ref="I13"/>
    <mergeCell ref="J12"/>
    <mergeCell ref="J13"/>
  </mergeCells>
  <pageMargins left="0.5" right="0.5" top="1" bottom="1" header="0.5" footer="0.75"/>
  <pageSetup fitToHeight="0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J65"/>
  <sheetViews>
    <sheetView workbookViewId="0"/>
  </sheetViews>
  <sheetFormatPr defaultColWidth="8.81640625" defaultRowHeight="14.5" outlineLevelRow="1" x14ac:dyDescent="0.35"/>
  <cols>
    <col min="1" max="1" width="85.6328125" customWidth="1"/>
    <col min="2" max="10" width="15.6328125" customWidth="1"/>
  </cols>
  <sheetData>
    <row r="1" spans="1:10" ht="15" customHeight="1" x14ac:dyDescent="0.35">
      <c r="A1" s="1" t="s">
        <v>493</v>
      </c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 x14ac:dyDescent="0.35">
      <c r="A2" s="3" t="s">
        <v>1</v>
      </c>
      <c r="B2" s="4" t="s">
        <v>2</v>
      </c>
    </row>
    <row r="3" spans="1:10" x14ac:dyDescent="0.35">
      <c r="A3" s="3" t="s">
        <v>3</v>
      </c>
      <c r="B3" s="3" t="s">
        <v>4</v>
      </c>
    </row>
    <row r="4" spans="1:10" x14ac:dyDescent="0.35">
      <c r="A4" s="3" t="s">
        <v>5</v>
      </c>
      <c r="B4" s="3" t="s">
        <v>4</v>
      </c>
    </row>
    <row r="5" spans="1:10" x14ac:dyDescent="0.35">
      <c r="A5" s="3" t="s">
        <v>6</v>
      </c>
      <c r="B5" s="3" t="s">
        <v>7</v>
      </c>
    </row>
    <row r="6" spans="1:10" x14ac:dyDescent="0.35">
      <c r="A6" s="3" t="s">
        <v>8</v>
      </c>
      <c r="B6" s="3" t="s">
        <v>9</v>
      </c>
    </row>
    <row r="7" spans="1:10" x14ac:dyDescent="0.35">
      <c r="A7" s="3" t="s">
        <v>10</v>
      </c>
      <c r="B7" s="3" t="s">
        <v>11</v>
      </c>
    </row>
    <row r="8" spans="1:10" x14ac:dyDescent="0.35">
      <c r="A8" s="3" t="s">
        <v>12</v>
      </c>
      <c r="B8" s="3" t="s">
        <v>13</v>
      </c>
    </row>
    <row r="9" spans="1:10" x14ac:dyDescent="0.35">
      <c r="A9" s="3" t="s">
        <v>14</v>
      </c>
      <c r="B9" s="3" t="s">
        <v>15</v>
      </c>
    </row>
    <row r="10" spans="1:10" x14ac:dyDescent="0.35">
      <c r="A10" s="3" t="s">
        <v>16</v>
      </c>
      <c r="B10" s="5">
        <v>45076.753914490699</v>
      </c>
    </row>
    <row r="11" spans="1:10" x14ac:dyDescent="0.35">
      <c r="A11" s="6" t="s">
        <v>17</v>
      </c>
      <c r="B11" s="431" t="s">
        <v>18</v>
      </c>
      <c r="C11" s="431" t="s">
        <v>19</v>
      </c>
      <c r="D11" s="431" t="s">
        <v>20</v>
      </c>
      <c r="E11" s="431" t="s">
        <v>21</v>
      </c>
      <c r="F11" s="431" t="s">
        <v>22</v>
      </c>
      <c r="G11" s="431" t="s">
        <v>23</v>
      </c>
      <c r="H11" s="431" t="s">
        <v>24</v>
      </c>
      <c r="I11" s="431" t="s">
        <v>25</v>
      </c>
      <c r="J11" s="431" t="s">
        <v>26</v>
      </c>
    </row>
    <row r="12" spans="1:10" ht="15" customHeight="1" outlineLevel="1" x14ac:dyDescent="0.35">
      <c r="A12" s="7" t="s">
        <v>27</v>
      </c>
      <c r="B12" s="430">
        <v>41729</v>
      </c>
      <c r="C12" s="430">
        <v>42094</v>
      </c>
      <c r="D12" s="430">
        <v>42460</v>
      </c>
      <c r="E12" s="430">
        <v>42825</v>
      </c>
      <c r="F12" s="430">
        <v>43190</v>
      </c>
      <c r="G12" s="430">
        <v>43555</v>
      </c>
      <c r="H12" s="430">
        <v>43921</v>
      </c>
      <c r="I12" s="430">
        <v>44286</v>
      </c>
      <c r="J12" s="430">
        <v>44651</v>
      </c>
    </row>
    <row r="13" spans="1:10" ht="15" customHeight="1" outlineLevel="1" x14ac:dyDescent="0.35">
      <c r="A13" s="7" t="s">
        <v>28</v>
      </c>
      <c r="B13" s="430" t="s">
        <v>29</v>
      </c>
      <c r="C13" s="430" t="s">
        <v>29</v>
      </c>
      <c r="D13" s="430" t="s">
        <v>29</v>
      </c>
      <c r="E13" s="430" t="s">
        <v>29</v>
      </c>
      <c r="F13" s="430" t="s">
        <v>29</v>
      </c>
      <c r="G13" s="430" t="s">
        <v>29</v>
      </c>
      <c r="H13" s="430" t="s">
        <v>29</v>
      </c>
      <c r="I13" s="430" t="s">
        <v>29</v>
      </c>
      <c r="J13" s="430" t="s">
        <v>29</v>
      </c>
    </row>
    <row r="14" spans="1:10" x14ac:dyDescent="0.35">
      <c r="A14" s="8" t="s">
        <v>494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5">
      <c r="A15" s="8" t="s">
        <v>31</v>
      </c>
      <c r="B15" s="9" t="s">
        <v>33</v>
      </c>
      <c r="C15" s="9" t="s">
        <v>34</v>
      </c>
      <c r="D15" s="9" t="s">
        <v>35</v>
      </c>
      <c r="E15" s="9" t="s">
        <v>36</v>
      </c>
      <c r="F15" s="9" t="s">
        <v>37</v>
      </c>
      <c r="G15" s="9" t="s">
        <v>38</v>
      </c>
      <c r="H15" s="9" t="s">
        <v>39</v>
      </c>
      <c r="I15" s="9" t="s">
        <v>40</v>
      </c>
      <c r="J15" s="9" t="s">
        <v>41</v>
      </c>
    </row>
    <row r="16" spans="1:10" ht="15" customHeight="1" x14ac:dyDescent="0.35">
      <c r="A16" s="22" t="s">
        <v>495</v>
      </c>
      <c r="B16" s="23"/>
      <c r="C16" s="23"/>
      <c r="D16" s="23"/>
      <c r="E16" s="23"/>
      <c r="F16" s="23"/>
      <c r="G16" s="23"/>
      <c r="H16" s="23"/>
      <c r="I16" s="23"/>
      <c r="J16" s="23"/>
    </row>
    <row r="17" spans="1:10" ht="15" customHeight="1" x14ac:dyDescent="0.35">
      <c r="A17" s="21" t="s">
        <v>495</v>
      </c>
      <c r="B17" s="17"/>
      <c r="C17" s="17"/>
      <c r="D17" s="17"/>
      <c r="E17" s="17"/>
      <c r="F17" s="17"/>
      <c r="G17" s="17">
        <v>60712.53</v>
      </c>
      <c r="H17" s="17">
        <v>91497.39</v>
      </c>
      <c r="I17" s="17">
        <v>151637.62</v>
      </c>
      <c r="J17" s="17">
        <v>268283.96000000002</v>
      </c>
    </row>
    <row r="18" spans="1:10" ht="15" customHeight="1" x14ac:dyDescent="0.35">
      <c r="A18" s="21" t="s">
        <v>496</v>
      </c>
      <c r="B18" s="17"/>
      <c r="C18" s="17"/>
      <c r="D18" s="17"/>
      <c r="E18" s="17"/>
      <c r="F18" s="17"/>
      <c r="G18" s="17"/>
      <c r="H18" s="17"/>
      <c r="I18" s="17"/>
      <c r="J18" s="17"/>
    </row>
    <row r="19" spans="1:10" ht="15" customHeight="1" x14ac:dyDescent="0.35">
      <c r="A19" s="22" t="s">
        <v>497</v>
      </c>
      <c r="B19" s="23"/>
      <c r="C19" s="23"/>
      <c r="D19" s="23"/>
      <c r="E19" s="23"/>
      <c r="F19" s="23"/>
      <c r="G19" s="23"/>
      <c r="H19" s="23"/>
      <c r="I19" s="23"/>
      <c r="J19" s="23"/>
    </row>
    <row r="20" spans="1:10" ht="15" customHeight="1" x14ac:dyDescent="0.35">
      <c r="A20" s="21" t="s">
        <v>497</v>
      </c>
      <c r="B20" s="17"/>
      <c r="C20" s="17"/>
      <c r="D20" s="17"/>
      <c r="E20" s="17"/>
      <c r="F20" s="17"/>
      <c r="G20" s="17">
        <v>77975.13</v>
      </c>
      <c r="H20" s="17">
        <v>89055.99</v>
      </c>
      <c r="I20" s="17">
        <v>123346.72</v>
      </c>
      <c r="J20" s="17">
        <v>200464.16</v>
      </c>
    </row>
    <row r="21" spans="1:10" ht="15" customHeight="1" x14ac:dyDescent="0.35">
      <c r="A21" s="21" t="s">
        <v>498</v>
      </c>
      <c r="B21" s="17"/>
      <c r="C21" s="17"/>
      <c r="D21" s="17"/>
      <c r="E21" s="17"/>
      <c r="F21" s="17"/>
      <c r="G21" s="17"/>
      <c r="H21" s="17"/>
      <c r="I21" s="17"/>
      <c r="J21" s="17"/>
    </row>
    <row r="22" spans="1:10" ht="15" customHeight="1" x14ac:dyDescent="0.35">
      <c r="A22" s="22" t="s">
        <v>499</v>
      </c>
      <c r="B22" s="23"/>
      <c r="C22" s="23"/>
      <c r="D22" s="23"/>
      <c r="E22" s="23"/>
      <c r="F22" s="23"/>
      <c r="G22" s="23"/>
      <c r="H22" s="23"/>
      <c r="I22" s="23"/>
      <c r="J22" s="23"/>
    </row>
    <row r="23" spans="1:10" ht="15" customHeight="1" x14ac:dyDescent="0.35">
      <c r="A23" s="21" t="s">
        <v>500</v>
      </c>
      <c r="B23" s="17"/>
      <c r="C23" s="17"/>
      <c r="D23" s="17"/>
      <c r="E23" s="17"/>
      <c r="F23" s="17"/>
      <c r="G23" s="16">
        <v>242</v>
      </c>
      <c r="H23" s="16">
        <v>276.45</v>
      </c>
      <c r="I23" s="16">
        <v>382.8</v>
      </c>
      <c r="J23" s="16">
        <v>621.25</v>
      </c>
    </row>
    <row r="24" spans="1:10" ht="15" customHeight="1" x14ac:dyDescent="0.35">
      <c r="A24" s="21" t="s">
        <v>501</v>
      </c>
      <c r="B24" s="17"/>
      <c r="C24" s="17"/>
      <c r="D24" s="17"/>
      <c r="E24" s="17"/>
      <c r="F24" s="17"/>
      <c r="G24" s="17"/>
      <c r="H24" s="17"/>
      <c r="I24" s="17"/>
      <c r="J24" s="17"/>
    </row>
    <row r="25" spans="1:10" ht="15" customHeight="1" x14ac:dyDescent="0.35">
      <c r="A25" s="22" t="s">
        <v>502</v>
      </c>
      <c r="B25" s="23"/>
      <c r="C25" s="23"/>
      <c r="D25" s="23"/>
      <c r="E25" s="23"/>
      <c r="F25" s="23"/>
      <c r="G25" s="23"/>
      <c r="H25" s="23"/>
      <c r="I25" s="23"/>
      <c r="J25" s="23"/>
    </row>
    <row r="26" spans="1:10" ht="15" customHeight="1" x14ac:dyDescent="0.35">
      <c r="A26" s="21" t="s">
        <v>503</v>
      </c>
      <c r="B26" s="33"/>
      <c r="C26" s="33"/>
      <c r="D26" s="33"/>
      <c r="E26" s="33"/>
      <c r="F26" s="33"/>
      <c r="G26" s="33">
        <v>28.57</v>
      </c>
      <c r="H26" s="34">
        <v>-22.04</v>
      </c>
      <c r="I26" s="34">
        <v>-14.11</v>
      </c>
      <c r="J26" s="34">
        <v>-14.17</v>
      </c>
    </row>
    <row r="27" spans="1:10" ht="15" customHeight="1" x14ac:dyDescent="0.35">
      <c r="A27" s="21" t="s">
        <v>504</v>
      </c>
      <c r="B27" s="33"/>
      <c r="C27" s="33"/>
      <c r="D27" s="33"/>
      <c r="E27" s="33"/>
      <c r="F27" s="33"/>
      <c r="G27" s="33"/>
      <c r="H27" s="33"/>
      <c r="I27" s="33"/>
      <c r="J27" s="33"/>
    </row>
    <row r="28" spans="1:10" ht="15" customHeight="1" x14ac:dyDescent="0.35">
      <c r="A28" s="22" t="s">
        <v>505</v>
      </c>
      <c r="B28" s="23"/>
      <c r="C28" s="23"/>
      <c r="D28" s="23"/>
      <c r="E28" s="23"/>
      <c r="F28" s="23"/>
      <c r="G28" s="23"/>
      <c r="H28" s="23"/>
      <c r="I28" s="23"/>
      <c r="J28" s="23"/>
    </row>
    <row r="29" spans="1:10" ht="15" customHeight="1" x14ac:dyDescent="0.35">
      <c r="A29" s="21" t="s">
        <v>473</v>
      </c>
      <c r="B29" s="33"/>
      <c r="C29" s="33"/>
      <c r="D29" s="33"/>
      <c r="E29" s="33"/>
      <c r="F29" s="33"/>
      <c r="G29" s="33">
        <v>1.53</v>
      </c>
      <c r="H29" s="33">
        <v>3.6</v>
      </c>
      <c r="I29" s="33">
        <v>3.85</v>
      </c>
      <c r="J29" s="33">
        <v>3.98</v>
      </c>
    </row>
    <row r="30" spans="1:10" ht="15" customHeight="1" x14ac:dyDescent="0.35">
      <c r="A30" s="21" t="s">
        <v>506</v>
      </c>
      <c r="B30" s="33"/>
      <c r="C30" s="33"/>
      <c r="D30" s="33"/>
      <c r="E30" s="33"/>
      <c r="F30" s="33"/>
      <c r="G30" s="33"/>
      <c r="H30" s="33"/>
      <c r="I30" s="33"/>
      <c r="J30" s="33"/>
    </row>
    <row r="31" spans="1:10" ht="15" customHeight="1" x14ac:dyDescent="0.35">
      <c r="A31" s="21" t="s">
        <v>472</v>
      </c>
      <c r="B31" s="33"/>
      <c r="C31" s="33"/>
      <c r="D31" s="33"/>
      <c r="E31" s="33"/>
      <c r="F31" s="33"/>
      <c r="G31" s="33">
        <v>1.53</v>
      </c>
      <c r="H31" s="33">
        <v>3.6</v>
      </c>
      <c r="I31" s="33">
        <v>3.85</v>
      </c>
      <c r="J31" s="33">
        <v>3.98</v>
      </c>
    </row>
    <row r="32" spans="1:10" ht="15" customHeight="1" x14ac:dyDescent="0.35">
      <c r="A32" s="21" t="s">
        <v>507</v>
      </c>
      <c r="B32" s="33"/>
      <c r="C32" s="33"/>
      <c r="D32" s="33"/>
      <c r="E32" s="33"/>
      <c r="F32" s="33"/>
      <c r="G32" s="33"/>
      <c r="H32" s="33"/>
      <c r="I32" s="33"/>
      <c r="J32" s="33"/>
    </row>
    <row r="33" spans="1:10" ht="15" customHeight="1" x14ac:dyDescent="0.35">
      <c r="A33" s="22" t="s">
        <v>508</v>
      </c>
      <c r="B33" s="23"/>
      <c r="C33" s="23"/>
      <c r="D33" s="23"/>
      <c r="E33" s="23"/>
      <c r="F33" s="23"/>
      <c r="G33" s="23"/>
      <c r="H33" s="23"/>
      <c r="I33" s="23"/>
      <c r="J33" s="23"/>
    </row>
    <row r="34" spans="1:10" ht="15" customHeight="1" x14ac:dyDescent="0.35">
      <c r="A34" s="21" t="s">
        <v>509</v>
      </c>
      <c r="B34" s="17"/>
      <c r="C34" s="17"/>
      <c r="D34" s="17"/>
      <c r="E34" s="17"/>
      <c r="F34" s="17"/>
      <c r="G34" s="15">
        <v>7.44</v>
      </c>
      <c r="H34" s="15">
        <v>7.36</v>
      </c>
      <c r="I34" s="15">
        <v>6.77</v>
      </c>
      <c r="J34" s="15">
        <v>8.25</v>
      </c>
    </row>
    <row r="35" spans="1:10" ht="15" customHeight="1" x14ac:dyDescent="0.35">
      <c r="A35" s="21" t="s">
        <v>510</v>
      </c>
      <c r="B35" s="17"/>
      <c r="C35" s="17"/>
      <c r="D35" s="17"/>
      <c r="E35" s="17"/>
      <c r="F35" s="17"/>
      <c r="G35" s="17"/>
      <c r="H35" s="17"/>
      <c r="I35" s="17"/>
      <c r="J35" s="17"/>
    </row>
    <row r="36" spans="1:10" ht="15" customHeight="1" x14ac:dyDescent="0.35">
      <c r="A36" s="22" t="s">
        <v>511</v>
      </c>
      <c r="B36" s="23"/>
      <c r="C36" s="23"/>
      <c r="D36" s="23"/>
      <c r="E36" s="23"/>
      <c r="F36" s="23"/>
      <c r="G36" s="23"/>
      <c r="H36" s="23"/>
      <c r="I36" s="23"/>
      <c r="J36" s="23"/>
    </row>
    <row r="37" spans="1:10" ht="15" customHeight="1" x14ac:dyDescent="0.35">
      <c r="A37" s="21" t="s">
        <v>512</v>
      </c>
      <c r="B37" s="17"/>
      <c r="C37" s="17"/>
      <c r="D37" s="17"/>
      <c r="E37" s="17"/>
      <c r="F37" s="17"/>
      <c r="G37" s="15">
        <v>7.57</v>
      </c>
      <c r="H37" s="15">
        <v>7.49</v>
      </c>
      <c r="I37" s="15">
        <v>6.87</v>
      </c>
      <c r="J37" s="15">
        <v>8.3699999999999992</v>
      </c>
    </row>
    <row r="38" spans="1:10" ht="15" customHeight="1" x14ac:dyDescent="0.35">
      <c r="A38" s="21" t="s">
        <v>513</v>
      </c>
      <c r="B38" s="17"/>
      <c r="C38" s="17"/>
      <c r="D38" s="17"/>
      <c r="E38" s="17"/>
      <c r="F38" s="17"/>
      <c r="G38" s="17"/>
      <c r="H38" s="17"/>
      <c r="I38" s="17"/>
      <c r="J38" s="17"/>
    </row>
    <row r="39" spans="1:10" ht="15" customHeight="1" x14ac:dyDescent="0.35">
      <c r="A39" s="22" t="s">
        <v>514</v>
      </c>
      <c r="B39" s="23"/>
      <c r="C39" s="23"/>
      <c r="D39" s="23"/>
      <c r="E39" s="23"/>
      <c r="F39" s="23"/>
      <c r="G39" s="23"/>
      <c r="H39" s="23"/>
      <c r="I39" s="23"/>
      <c r="J39" s="23"/>
    </row>
    <row r="40" spans="1:10" ht="15" customHeight="1" x14ac:dyDescent="0.35">
      <c r="A40" s="21" t="s">
        <v>515</v>
      </c>
      <c r="B40" s="17"/>
      <c r="C40" s="17"/>
      <c r="D40" s="17"/>
      <c r="E40" s="17"/>
      <c r="F40" s="17"/>
      <c r="G40" s="15">
        <v>4.91</v>
      </c>
      <c r="H40" s="15">
        <v>5.56</v>
      </c>
      <c r="I40" s="15">
        <v>5.15</v>
      </c>
      <c r="J40" s="15">
        <v>6.41</v>
      </c>
    </row>
    <row r="41" spans="1:10" ht="15" customHeight="1" x14ac:dyDescent="0.35">
      <c r="A41" s="21" t="s">
        <v>516</v>
      </c>
      <c r="B41" s="17"/>
      <c r="C41" s="17"/>
      <c r="D41" s="17"/>
      <c r="E41" s="17"/>
      <c r="F41" s="17"/>
      <c r="G41" s="17"/>
      <c r="H41" s="17"/>
      <c r="I41" s="17"/>
      <c r="J41" s="17"/>
    </row>
    <row r="42" spans="1:10" ht="15" customHeight="1" x14ac:dyDescent="0.35">
      <c r="A42" s="22" t="s">
        <v>517</v>
      </c>
      <c r="B42" s="23"/>
      <c r="C42" s="23"/>
      <c r="D42" s="23"/>
      <c r="E42" s="23"/>
      <c r="F42" s="23"/>
      <c r="G42" s="23"/>
      <c r="H42" s="23"/>
      <c r="I42" s="23"/>
      <c r="J42" s="23"/>
    </row>
    <row r="43" spans="1:10" ht="15" customHeight="1" x14ac:dyDescent="0.35">
      <c r="A43" s="21" t="s">
        <v>518</v>
      </c>
      <c r="B43" s="17"/>
      <c r="C43" s="17"/>
      <c r="D43" s="17"/>
      <c r="E43" s="17"/>
      <c r="F43" s="17"/>
      <c r="G43" s="15">
        <v>3.5</v>
      </c>
      <c r="H43" s="17"/>
      <c r="I43" s="17"/>
      <c r="J43" s="17"/>
    </row>
    <row r="44" spans="1:10" ht="15" customHeight="1" x14ac:dyDescent="0.35">
      <c r="A44" s="22" t="s">
        <v>519</v>
      </c>
      <c r="B44" s="23"/>
      <c r="C44" s="23"/>
      <c r="D44" s="23"/>
      <c r="E44" s="23"/>
      <c r="F44" s="23"/>
      <c r="G44" s="23"/>
      <c r="H44" s="23"/>
      <c r="I44" s="23"/>
      <c r="J44" s="23"/>
    </row>
    <row r="45" spans="1:10" ht="15" customHeight="1" x14ac:dyDescent="0.35">
      <c r="A45" s="21" t="s">
        <v>520</v>
      </c>
      <c r="B45" s="17"/>
      <c r="C45" s="17"/>
      <c r="D45" s="17"/>
      <c r="E45" s="17"/>
      <c r="F45" s="17"/>
      <c r="G45" s="15">
        <v>15.41</v>
      </c>
      <c r="H45" s="15">
        <v>14.29</v>
      </c>
      <c r="I45" s="15">
        <v>11.01</v>
      </c>
      <c r="J45" s="15">
        <v>14.04</v>
      </c>
    </row>
    <row r="46" spans="1:10" ht="15" customHeight="1" x14ac:dyDescent="0.35">
      <c r="A46" s="21" t="s">
        <v>521</v>
      </c>
      <c r="B46" s="17"/>
      <c r="C46" s="17"/>
      <c r="D46" s="17"/>
      <c r="E46" s="17"/>
      <c r="F46" s="17"/>
      <c r="G46" s="17"/>
      <c r="H46" s="17"/>
      <c r="I46" s="17"/>
      <c r="J46" s="17"/>
    </row>
    <row r="47" spans="1:10" ht="15" customHeight="1" x14ac:dyDescent="0.35">
      <c r="A47" s="22" t="s">
        <v>522</v>
      </c>
      <c r="B47" s="23"/>
      <c r="C47" s="23"/>
      <c r="D47" s="23"/>
      <c r="E47" s="23"/>
      <c r="F47" s="23"/>
      <c r="G47" s="23"/>
      <c r="H47" s="23"/>
      <c r="I47" s="23"/>
      <c r="J47" s="23"/>
    </row>
    <row r="48" spans="1:10" ht="15" customHeight="1" x14ac:dyDescent="0.35">
      <c r="A48" s="21" t="s">
        <v>523</v>
      </c>
      <c r="B48" s="17"/>
      <c r="C48" s="17"/>
      <c r="D48" s="17"/>
      <c r="E48" s="17"/>
      <c r="F48" s="17"/>
      <c r="G48" s="15">
        <v>15.88</v>
      </c>
      <c r="H48" s="15">
        <v>15.86</v>
      </c>
      <c r="I48" s="15">
        <v>11.57</v>
      </c>
      <c r="J48" s="15">
        <v>14.67</v>
      </c>
    </row>
    <row r="49" spans="1:10" ht="15" customHeight="1" x14ac:dyDescent="0.35">
      <c r="A49" s="21" t="s">
        <v>524</v>
      </c>
      <c r="B49" s="17"/>
      <c r="C49" s="17"/>
      <c r="D49" s="17"/>
      <c r="E49" s="17"/>
      <c r="F49" s="17"/>
      <c r="G49" s="17"/>
      <c r="H49" s="17"/>
      <c r="I49" s="17"/>
      <c r="J49" s="17"/>
    </row>
    <row r="50" spans="1:10" ht="15" customHeight="1" x14ac:dyDescent="0.35">
      <c r="A50" s="22" t="s">
        <v>525</v>
      </c>
      <c r="B50" s="23"/>
      <c r="C50" s="23"/>
      <c r="D50" s="23"/>
      <c r="E50" s="23"/>
      <c r="F50" s="23"/>
      <c r="G50" s="23"/>
      <c r="H50" s="23"/>
      <c r="I50" s="23"/>
      <c r="J50" s="23"/>
    </row>
    <row r="51" spans="1:10" ht="15" customHeight="1" x14ac:dyDescent="0.35">
      <c r="A51" s="21" t="s">
        <v>526</v>
      </c>
      <c r="B51" s="17"/>
      <c r="C51" s="17"/>
      <c r="D51" s="17"/>
      <c r="E51" s="17"/>
      <c r="F51" s="17"/>
      <c r="G51" s="15">
        <v>15.8</v>
      </c>
      <c r="H51" s="15">
        <v>15.56</v>
      </c>
      <c r="I51" s="15">
        <v>11.62</v>
      </c>
      <c r="J51" s="15">
        <v>14.74</v>
      </c>
    </row>
    <row r="52" spans="1:10" ht="15" customHeight="1" x14ac:dyDescent="0.35">
      <c r="A52" s="21" t="s">
        <v>527</v>
      </c>
      <c r="B52" s="17"/>
      <c r="C52" s="17"/>
      <c r="D52" s="17"/>
      <c r="E52" s="17"/>
      <c r="F52" s="17"/>
      <c r="G52" s="17"/>
      <c r="H52" s="17"/>
      <c r="I52" s="17"/>
      <c r="J52" s="17"/>
    </row>
    <row r="53" spans="1:10" ht="15" customHeight="1" x14ac:dyDescent="0.35">
      <c r="A53" s="22" t="s">
        <v>528</v>
      </c>
      <c r="B53" s="23"/>
      <c r="C53" s="23"/>
      <c r="D53" s="23"/>
      <c r="E53" s="23"/>
      <c r="F53" s="23"/>
      <c r="G53" s="23"/>
      <c r="H53" s="23"/>
      <c r="I53" s="23"/>
      <c r="J53" s="23"/>
    </row>
    <row r="54" spans="1:10" ht="15" customHeight="1" x14ac:dyDescent="0.35">
      <c r="A54" s="21" t="s">
        <v>529</v>
      </c>
      <c r="B54" s="17"/>
      <c r="C54" s="17"/>
      <c r="D54" s="17"/>
      <c r="E54" s="17"/>
      <c r="F54" s="17"/>
      <c r="G54" s="19">
        <v>-1.4</v>
      </c>
      <c r="H54" s="15">
        <v>1.1000000000000001</v>
      </c>
      <c r="I54" s="15">
        <v>0.13</v>
      </c>
      <c r="J54" s="15">
        <v>0.52</v>
      </c>
    </row>
    <row r="55" spans="1:10" ht="15" customHeight="1" x14ac:dyDescent="0.35">
      <c r="A55" s="21" t="s">
        <v>530</v>
      </c>
      <c r="B55" s="17"/>
      <c r="C55" s="17"/>
      <c r="D55" s="17"/>
      <c r="E55" s="17"/>
      <c r="F55" s="17"/>
      <c r="G55" s="17"/>
      <c r="H55" s="17"/>
      <c r="I55" s="17"/>
      <c r="J55" s="17"/>
    </row>
    <row r="56" spans="1:10" ht="15" customHeight="1" x14ac:dyDescent="0.35">
      <c r="A56" s="22" t="s">
        <v>531</v>
      </c>
      <c r="B56" s="23"/>
      <c r="C56" s="23"/>
      <c r="D56" s="23"/>
      <c r="E56" s="23"/>
      <c r="F56" s="23"/>
      <c r="G56" s="23"/>
      <c r="H56" s="23"/>
      <c r="I56" s="23"/>
      <c r="J56" s="23"/>
    </row>
    <row r="57" spans="1:10" ht="15" customHeight="1" x14ac:dyDescent="0.35">
      <c r="A57" s="21" t="s">
        <v>532</v>
      </c>
      <c r="B57" s="17"/>
      <c r="C57" s="17"/>
      <c r="D57" s="17"/>
      <c r="E57" s="17"/>
      <c r="F57" s="17"/>
      <c r="G57" s="15">
        <v>3.82</v>
      </c>
      <c r="H57" s="15">
        <v>5.71</v>
      </c>
      <c r="I57" s="15">
        <v>6.32</v>
      </c>
      <c r="J57" s="15">
        <v>8.48</v>
      </c>
    </row>
    <row r="58" spans="1:10" ht="15" customHeight="1" x14ac:dyDescent="0.35">
      <c r="A58" s="21" t="s">
        <v>533</v>
      </c>
      <c r="B58" s="17"/>
      <c r="C58" s="17"/>
      <c r="D58" s="17"/>
      <c r="E58" s="17"/>
      <c r="F58" s="17"/>
      <c r="G58" s="17"/>
      <c r="H58" s="17"/>
      <c r="I58" s="17"/>
      <c r="J58" s="17"/>
    </row>
    <row r="59" spans="1:10" ht="15" customHeight="1" x14ac:dyDescent="0.35">
      <c r="A59" s="22" t="s">
        <v>534</v>
      </c>
      <c r="B59" s="23"/>
      <c r="C59" s="23"/>
      <c r="D59" s="23"/>
      <c r="E59" s="23"/>
      <c r="F59" s="23"/>
      <c r="G59" s="23"/>
      <c r="H59" s="23"/>
      <c r="I59" s="23"/>
      <c r="J59" s="23"/>
    </row>
    <row r="60" spans="1:10" ht="15" customHeight="1" x14ac:dyDescent="0.35">
      <c r="A60" s="21" t="s">
        <v>535</v>
      </c>
      <c r="B60" s="17"/>
      <c r="C60" s="17"/>
      <c r="D60" s="17"/>
      <c r="E60" s="17"/>
      <c r="F60" s="17"/>
      <c r="G60" s="15">
        <v>7.63</v>
      </c>
      <c r="H60" s="15">
        <v>10.24</v>
      </c>
      <c r="I60" s="15">
        <v>9.5399999999999991</v>
      </c>
      <c r="J60" s="15">
        <v>12.31</v>
      </c>
    </row>
    <row r="61" spans="1:10" ht="15" customHeight="1" x14ac:dyDescent="0.35">
      <c r="A61" s="21" t="s">
        <v>536</v>
      </c>
      <c r="B61" s="17"/>
      <c r="C61" s="17"/>
      <c r="D61" s="17"/>
      <c r="E61" s="17"/>
      <c r="F61" s="17"/>
      <c r="G61" s="17"/>
      <c r="H61" s="17"/>
      <c r="I61" s="17"/>
      <c r="J61" s="17"/>
    </row>
    <row r="62" spans="1:10" ht="15" customHeight="1" x14ac:dyDescent="0.35">
      <c r="A62" s="22" t="s">
        <v>537</v>
      </c>
      <c r="B62" s="23"/>
      <c r="C62" s="23"/>
      <c r="D62" s="23"/>
      <c r="E62" s="23"/>
      <c r="F62" s="23"/>
      <c r="G62" s="23"/>
      <c r="H62" s="23"/>
      <c r="I62" s="23"/>
      <c r="J62" s="23"/>
    </row>
    <row r="63" spans="1:10" ht="15" customHeight="1" x14ac:dyDescent="0.35">
      <c r="A63" s="21" t="s">
        <v>538</v>
      </c>
      <c r="B63" s="17"/>
      <c r="C63" s="17"/>
      <c r="D63" s="17"/>
      <c r="E63" s="17"/>
      <c r="F63" s="17"/>
      <c r="G63" s="15">
        <v>2.7</v>
      </c>
      <c r="H63" s="17"/>
      <c r="I63" s="17"/>
      <c r="J63" s="17"/>
    </row>
    <row r="64" spans="1:10" ht="15" customHeight="1" x14ac:dyDescent="0.35">
      <c r="A64" s="22" t="s">
        <v>539</v>
      </c>
      <c r="B64" s="23"/>
      <c r="C64" s="23"/>
      <c r="D64" s="23"/>
      <c r="E64" s="23"/>
      <c r="F64" s="23"/>
      <c r="G64" s="23"/>
      <c r="H64" s="23"/>
      <c r="I64" s="23"/>
      <c r="J64" s="23"/>
    </row>
    <row r="65" spans="1:10" ht="15" customHeight="1" x14ac:dyDescent="0.35">
      <c r="A65" s="21" t="s">
        <v>540</v>
      </c>
      <c r="B65" s="17"/>
      <c r="C65" s="17"/>
      <c r="D65" s="17"/>
      <c r="E65" s="17"/>
      <c r="F65" s="17"/>
      <c r="G65" s="15">
        <v>2.73</v>
      </c>
      <c r="H65" s="17"/>
      <c r="I65" s="17"/>
      <c r="J65" s="17"/>
    </row>
  </sheetData>
  <mergeCells count="27">
    <mergeCell ref="G11"/>
    <mergeCell ref="H11"/>
    <mergeCell ref="I11"/>
    <mergeCell ref="J11"/>
    <mergeCell ref="B12"/>
    <mergeCell ref="E12"/>
    <mergeCell ref="H12"/>
    <mergeCell ref="B11"/>
    <mergeCell ref="C11"/>
    <mergeCell ref="D11"/>
    <mergeCell ref="E11"/>
    <mergeCell ref="F11"/>
    <mergeCell ref="B13"/>
    <mergeCell ref="C12"/>
    <mergeCell ref="C13"/>
    <mergeCell ref="D12"/>
    <mergeCell ref="D13"/>
    <mergeCell ref="E13"/>
    <mergeCell ref="F12"/>
    <mergeCell ref="F13"/>
    <mergeCell ref="G12"/>
    <mergeCell ref="G13"/>
    <mergeCell ref="H13"/>
    <mergeCell ref="I12"/>
    <mergeCell ref="I13"/>
    <mergeCell ref="J12"/>
    <mergeCell ref="J13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Business Line By Segm</vt:lpstr>
      <vt:lpstr>Business Line By Stat</vt:lpstr>
      <vt:lpstr>Geographic Line By Se</vt:lpstr>
      <vt:lpstr>Geographic Line By St</vt:lpstr>
      <vt:lpstr>Cover Sheet </vt:lpstr>
      <vt:lpstr>Contents</vt:lpstr>
      <vt:lpstr>Income Statement</vt:lpstr>
      <vt:lpstr>Balance Sheet</vt:lpstr>
      <vt:lpstr>Cash Flow</vt:lpstr>
      <vt:lpstr>Revenue Assumptions</vt:lpstr>
      <vt:lpstr>Expense Assumptions</vt:lpstr>
      <vt:lpstr>Capex Assumption</vt:lpstr>
      <vt:lpstr>Working Capital</vt:lpstr>
      <vt:lpstr>Debt &amp; Tax Assumption</vt:lpstr>
      <vt:lpstr>P&amp;L (projection)</vt:lpstr>
      <vt:lpstr>ESG Score</vt:lpstr>
      <vt:lpstr>Rm</vt:lpstr>
      <vt:lpstr>Beta</vt:lpstr>
      <vt:lpstr>DCF</vt:lpstr>
      <vt:lpstr>Relative</vt:lpstr>
      <vt:lpstr>DDM</vt:lpstr>
      <vt:lpstr>Residual Income</vt:lpstr>
      <vt:lpstr>Price projection</vt:lpstr>
      <vt:lpstr>Balance Sheet (projection)</vt:lpstr>
      <vt:lpstr>Pension</vt:lpstr>
      <vt:lpstr>Financial Summary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2023-06-26T20:22:56Z</cp:lastPrinted>
  <dcterms:created xsi:type="dcterms:W3CDTF">2023-05-30T18:05:46Z</dcterms:created>
  <dcterms:modified xsi:type="dcterms:W3CDTF">2023-06-26T20:23:01Z</dcterms:modified>
</cp:coreProperties>
</file>