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6275" windowHeight="9525"/>
  </bookViews>
  <sheets>
    <sheet name="Spreadsheet 27.1" sheetId="2" r:id="rId1"/>
    <sheet name="Spreadsheet 27.2" sheetId="1" r:id="rId2"/>
  </sheets>
  <definedNames>
    <definedName name="_xlnm.Print_Area" localSheetId="1">'Spreadsheet 27.2'!$A$1:$F$33</definedName>
    <definedName name="solver_adj" localSheetId="1" hidden="1">'Spreadsheet 27.2'!$G$7:$G$8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'Spreadsheet 27.2'!$G$9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'Spreadsheet 27.2'!$G$11</definedName>
    <definedName name="solver_pre" localSheetId="1" hidden="1">0.000001</definedName>
    <definedName name="solver_rel1" localSheetId="1" hidden="1">2</definedName>
    <definedName name="solver_rhs1" localSheetId="1" hidden="1">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45621"/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E36" i="2"/>
  <c r="F36" i="2"/>
  <c r="F37" i="2" s="1"/>
  <c r="G36" i="2"/>
  <c r="G37" i="2" s="1"/>
  <c r="H36" i="2"/>
  <c r="H37" i="2" s="1"/>
  <c r="I36" i="2"/>
  <c r="J36" i="2"/>
  <c r="J37" i="2" s="1"/>
  <c r="E37" i="2"/>
  <c r="C37" i="2" s="1"/>
  <c r="I37" i="2"/>
  <c r="B46" i="2"/>
  <c r="F11" i="1"/>
  <c r="C12" i="1"/>
  <c r="C13" i="1" s="1"/>
  <c r="D12" i="1"/>
  <c r="D13" i="1" s="1"/>
  <c r="F13" i="1"/>
  <c r="C18" i="1"/>
  <c r="D18" i="1"/>
  <c r="C19" i="1"/>
  <c r="D19" i="1"/>
  <c r="F25" i="1" s="1"/>
  <c r="F26" i="1"/>
  <c r="F27" i="1"/>
  <c r="D30" i="1"/>
  <c r="E30" i="1"/>
  <c r="F30" i="1"/>
  <c r="I38" i="2" l="1"/>
  <c r="H38" i="2"/>
  <c r="G38" i="2"/>
  <c r="J38" i="2"/>
  <c r="F38" i="2"/>
  <c r="B47" i="2"/>
  <c r="E38" i="2"/>
  <c r="C32" i="1"/>
  <c r="F24" i="1"/>
  <c r="F28" i="1" s="1"/>
  <c r="B32" i="1"/>
  <c r="F32" i="1"/>
  <c r="D32" i="1"/>
  <c r="E32" i="1"/>
  <c r="B33" i="1"/>
  <c r="F33" i="1"/>
  <c r="C33" i="1"/>
  <c r="D33" i="1"/>
  <c r="E33" i="1"/>
  <c r="F14" i="1"/>
  <c r="H39" i="2" l="1"/>
  <c r="J39" i="2"/>
  <c r="G39" i="2"/>
  <c r="C38" i="2"/>
  <c r="C40" i="2"/>
  <c r="E39" i="2"/>
  <c r="C44" i="2"/>
  <c r="F39" i="2"/>
  <c r="I39" i="2"/>
  <c r="C45" i="2" l="1"/>
  <c r="C46" i="2"/>
  <c r="C42" i="2"/>
  <c r="C43" i="2" s="1"/>
  <c r="C41" i="2"/>
  <c r="B43" i="2" l="1"/>
  <c r="G44" i="2"/>
  <c r="E44" i="2"/>
  <c r="I44" i="2"/>
  <c r="F44" i="2"/>
  <c r="J44" i="2"/>
  <c r="H44" i="2"/>
  <c r="G43" i="2"/>
  <c r="E43" i="2"/>
  <c r="F43" i="2"/>
  <c r="H43" i="2"/>
  <c r="I43" i="2"/>
  <c r="J43" i="2"/>
  <c r="C47" i="2"/>
  <c r="C48" i="2" s="1"/>
  <c r="D46" i="2" l="1"/>
  <c r="D44" i="2"/>
  <c r="D49" i="2" s="1"/>
  <c r="D45" i="2"/>
  <c r="D47" i="2" s="1"/>
  <c r="D48" i="2" s="1"/>
</calcChain>
</file>

<file path=xl/sharedStrings.xml><?xml version="1.0" encoding="utf-8"?>
<sst xmlns="http://schemas.openxmlformats.org/spreadsheetml/2006/main" count="97" uniqueCount="61">
  <si>
    <r>
      <t>E(R</t>
    </r>
    <r>
      <rPr>
        <vertAlign val="subscript"/>
        <sz val="10"/>
        <rFont val="Palatino"/>
        <family val="1"/>
      </rPr>
      <t>S</t>
    </r>
    <r>
      <rPr>
        <sz val="11"/>
        <color theme="1"/>
        <rFont val="Calibri"/>
        <family val="2"/>
        <scheme val="minor"/>
      </rPr>
      <t>|P)</t>
    </r>
  </si>
  <si>
    <r>
      <t>E(R</t>
    </r>
    <r>
      <rPr>
        <vertAlign val="subscript"/>
        <sz val="10"/>
        <rFont val="Palatino"/>
        <family val="1"/>
      </rPr>
      <t>B</t>
    </r>
    <r>
      <rPr>
        <sz val="11"/>
        <color theme="1"/>
        <rFont val="Calibri"/>
        <family val="2"/>
        <scheme val="minor"/>
      </rPr>
      <t>|P)</t>
    </r>
  </si>
  <si>
    <t>Baseline</t>
  </si>
  <si>
    <t>Variance</t>
  </si>
  <si>
    <t>Possible SD</t>
  </si>
  <si>
    <t>Confidence measured by standard deviation of view Q</t>
  </si>
  <si>
    <t>Difference between view and baseline data, D =</t>
  </si>
  <si>
    <t xml:space="preserve">Cov[E(RB),E(RS)] – Var[E(RB)]  = </t>
  </si>
  <si>
    <r>
      <t>Var[E(R</t>
    </r>
    <r>
      <rPr>
        <vertAlign val="subscript"/>
        <sz val="10"/>
        <rFont val="Palatino"/>
        <family val="1"/>
      </rPr>
      <t>B</t>
    </r>
    <r>
      <rPr>
        <sz val="11"/>
        <color theme="1"/>
        <rFont val="Calibri"/>
        <family val="2"/>
        <scheme val="minor"/>
      </rPr>
      <t>)] – Cov[E(R</t>
    </r>
    <r>
      <rPr>
        <vertAlign val="subscript"/>
        <sz val="10"/>
        <rFont val="Palatino"/>
        <family val="1"/>
      </rPr>
      <t>B</t>
    </r>
    <r>
      <rPr>
        <sz val="11"/>
        <color theme="1"/>
        <rFont val="Calibri"/>
        <family val="2"/>
        <scheme val="minor"/>
      </rPr>
      <t>),E(R</t>
    </r>
    <r>
      <rPr>
        <vertAlign val="subscript"/>
        <sz val="10"/>
        <rFont val="Palatino"/>
        <family val="1"/>
      </rPr>
      <t>S</t>
    </r>
    <r>
      <rPr>
        <sz val="11"/>
        <color theme="1"/>
        <rFont val="Calibri"/>
        <family val="2"/>
        <scheme val="minor"/>
      </rPr>
      <t xml:space="preserve">)] = </t>
    </r>
  </si>
  <si>
    <r>
      <t>Variance of Q</t>
    </r>
    <r>
      <rPr>
        <vertAlign val="superscript"/>
        <sz val="10"/>
        <rFont val="Palatino"/>
        <family val="1"/>
      </rPr>
      <t>E</t>
    </r>
    <r>
      <rPr>
        <sz val="11"/>
        <color theme="1"/>
        <rFont val="Calibri"/>
        <family val="2"/>
        <scheme val="minor"/>
      </rPr>
      <t xml:space="preserve"> = Var(R</t>
    </r>
    <r>
      <rPr>
        <vertAlign val="subscript"/>
        <sz val="10"/>
        <rFont val="Palatino"/>
        <family val="1"/>
      </rPr>
      <t>B</t>
    </r>
    <r>
      <rPr>
        <sz val="11"/>
        <color theme="1"/>
        <rFont val="Calibri"/>
        <family val="2"/>
        <scheme val="minor"/>
      </rPr>
      <t>-R</t>
    </r>
    <r>
      <rPr>
        <vertAlign val="subscript"/>
        <sz val="10"/>
        <rFont val="Palatino"/>
        <family val="1"/>
      </rPr>
      <t>S</t>
    </r>
    <r>
      <rPr>
        <sz val="11"/>
        <color theme="1"/>
        <rFont val="Calibri"/>
        <family val="2"/>
        <scheme val="minor"/>
      </rPr>
      <t>)</t>
    </r>
  </si>
  <si>
    <r>
      <t>View embedded in baseline forecasts Q</t>
    </r>
    <r>
      <rPr>
        <vertAlign val="superscript"/>
        <sz val="10"/>
        <rFont val="Palatino"/>
        <family val="1"/>
      </rPr>
      <t>E</t>
    </r>
    <r>
      <rPr>
        <sz val="11"/>
        <color theme="1"/>
        <rFont val="Calibri"/>
        <family val="2"/>
        <scheme val="minor"/>
      </rPr>
      <t xml:space="preserve"> = </t>
    </r>
  </si>
  <si>
    <t xml:space="preserve">View: Difference between returns on bonds and stocks, Q = </t>
  </si>
  <si>
    <t>Table 2: Views, Confidence, and Revised (Posterior) Expectations</t>
  </si>
  <si>
    <t>Stocks</t>
  </si>
  <si>
    <t>Bonds</t>
  </si>
  <si>
    <t>Covariance matrix of expected returns</t>
  </si>
  <si>
    <t>Proportion of covariance attributed to expected reutrns</t>
  </si>
  <si>
    <t>Baseline risk premiums</t>
  </si>
  <si>
    <r>
      <t xml:space="preserve">    Covariance with R</t>
    </r>
    <r>
      <rPr>
        <vertAlign val="subscript"/>
        <sz val="10"/>
        <rFont val="Palatino"/>
        <family val="1"/>
      </rPr>
      <t>M</t>
    </r>
  </si>
  <si>
    <t xml:space="preserve">      Baseline market portfolio risk premium = 0.01A*V(M) =</t>
  </si>
  <si>
    <t xml:space="preserve">      Coefficient of risk aversion of represntative investor =</t>
  </si>
  <si>
    <t xml:space="preserve">      Market portfolio variance V(M) = sum(c11,d11) = </t>
  </si>
  <si>
    <t>sumproduct</t>
  </si>
  <si>
    <t>Weights</t>
  </si>
  <si>
    <t>and Market-Value Weights and Calculation of Baseline Forecasts</t>
  </si>
  <si>
    <t xml:space="preserve">Table 1: Bordered Covariance Matrix from Historical Excess Returns </t>
  </si>
  <si>
    <t>Benchmark Risk</t>
  </si>
  <si>
    <t>M-Square</t>
  </si>
  <si>
    <t>Sharpe Ratio</t>
  </si>
  <si>
    <t>SD</t>
  </si>
  <si>
    <t>Risk premium</t>
  </si>
  <si>
    <t>Beta</t>
  </si>
  <si>
    <t>Portfolio</t>
  </si>
  <si>
    <t>W*</t>
  </si>
  <si>
    <t>Overall</t>
  </si>
  <si>
    <r>
      <t>W</t>
    </r>
    <r>
      <rPr>
        <vertAlign val="subscript"/>
        <sz val="11"/>
        <rFont val="Arial"/>
        <family val="2"/>
      </rPr>
      <t>0</t>
    </r>
  </si>
  <si>
    <r>
      <t>s</t>
    </r>
    <r>
      <rPr>
        <vertAlign val="superscript"/>
        <sz val="11"/>
        <rFont val="Symbol"/>
        <family val="1"/>
        <charset val="2"/>
      </rPr>
      <t>2</t>
    </r>
    <r>
      <rPr>
        <sz val="11"/>
        <rFont val="Verdana"/>
        <family val="2"/>
      </rPr>
      <t>(</t>
    </r>
    <r>
      <rPr>
        <sz val="11"/>
        <rFont val="Verdana"/>
        <family val="2"/>
      </rPr>
      <t>e</t>
    </r>
    <r>
      <rPr>
        <vertAlign val="subscript"/>
        <sz val="11"/>
        <rFont val="Verdana"/>
        <family val="2"/>
      </rPr>
      <t>A</t>
    </r>
    <r>
      <rPr>
        <sz val="11"/>
        <rFont val="Verdana"/>
        <family val="2"/>
      </rPr>
      <t>)</t>
    </r>
  </si>
  <si>
    <r>
      <t>a</t>
    </r>
    <r>
      <rPr>
        <vertAlign val="subscript"/>
        <sz val="11"/>
        <rFont val="Arial"/>
        <family val="2"/>
      </rPr>
      <t>A</t>
    </r>
  </si>
  <si>
    <r>
      <t>[W</t>
    </r>
    <r>
      <rPr>
        <vertAlign val="subscript"/>
        <sz val="11"/>
        <rFont val="Verdana"/>
        <family val="2"/>
      </rPr>
      <t>0</t>
    </r>
    <r>
      <rPr>
        <sz val="11"/>
        <rFont val="Verdana"/>
        <family val="2"/>
      </rPr>
      <t>(i)]</t>
    </r>
    <r>
      <rPr>
        <vertAlign val="superscript"/>
        <sz val="11"/>
        <rFont val="Verdana"/>
        <family val="2"/>
      </rPr>
      <t>2</t>
    </r>
  </si>
  <si>
    <r>
      <t>W</t>
    </r>
    <r>
      <rPr>
        <vertAlign val="subscript"/>
        <sz val="11"/>
        <rFont val="Verdana"/>
        <family val="2"/>
      </rPr>
      <t>0</t>
    </r>
    <r>
      <rPr>
        <sz val="11"/>
        <rFont val="Verdana"/>
        <family val="2"/>
      </rPr>
      <t>(i)</t>
    </r>
  </si>
  <si>
    <r>
      <t>a/s</t>
    </r>
    <r>
      <rPr>
        <vertAlign val="superscript"/>
        <sz val="11"/>
        <rFont val="Symbol"/>
        <family val="1"/>
        <charset val="2"/>
      </rPr>
      <t>2</t>
    </r>
    <r>
      <rPr>
        <sz val="11"/>
        <rFont val="Symbol"/>
        <family val="1"/>
        <charset val="2"/>
      </rPr>
      <t>(</t>
    </r>
    <r>
      <rPr>
        <sz val="11"/>
        <rFont val="Arial"/>
        <family val="2"/>
      </rPr>
      <t>e</t>
    </r>
    <r>
      <rPr>
        <sz val="11"/>
        <rFont val="Symbol"/>
        <family val="1"/>
        <charset val="2"/>
      </rPr>
      <t>)</t>
    </r>
  </si>
  <si>
    <r>
      <t>s</t>
    </r>
    <r>
      <rPr>
        <vertAlign val="superscript"/>
        <sz val="11"/>
        <rFont val="Verdana"/>
        <family val="2"/>
      </rPr>
      <t>2</t>
    </r>
    <r>
      <rPr>
        <sz val="11"/>
        <rFont val="Verdana"/>
        <family val="2"/>
      </rPr>
      <t>(e)</t>
    </r>
  </si>
  <si>
    <t>SHELL</t>
  </si>
  <si>
    <t>BP</t>
  </si>
  <si>
    <t>TARGET</t>
  </si>
  <si>
    <t>WMT</t>
  </si>
  <si>
    <t>DELL</t>
  </si>
  <si>
    <t>HP</t>
  </si>
  <si>
    <t>Active Pf A</t>
  </si>
  <si>
    <t>S&amp;P 500</t>
  </si>
  <si>
    <t xml:space="preserve">Table D:  Computation of the Optimal Risky Portfolio </t>
  </si>
  <si>
    <t>Alpha</t>
  </si>
  <si>
    <t>SP 500</t>
  </si>
  <si>
    <t>Table C:  Macro Forecast  (S&amp;P 500) and Forecasts of Alpha Values</t>
  </si>
  <si>
    <t>Table B:  The Index Model Covariance Matrix</t>
  </si>
  <si>
    <t>Correlation with the S&amp;P 500</t>
  </si>
  <si>
    <t>SD of Residual</t>
  </si>
  <si>
    <t xml:space="preserve">SD of Systematic component </t>
  </si>
  <si>
    <t>SD of excess return</t>
  </si>
  <si>
    <t>Table A:  Risk Parameters of the Investable Universe (annualized)</t>
  </si>
  <si>
    <t>Spreadsheet 27.1:  Active Portfolio Management with a Universe of Six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</si>
</sst>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>
    <font>
      <sz val="11"/>
      <color theme="1"/>
      <name val="Calibri"/>
      <family val="2"/>
      <scheme val="minor"/>
    </font>
    <font>
      <sz val="10"/>
      <name val="Palatino"/>
      <family val="1"/>
    </font>
    <font>
      <vertAlign val="subscript"/>
      <sz val="10"/>
      <name val="Palatino"/>
      <family val="1"/>
    </font>
    <font>
      <vertAlign val="superscript"/>
      <sz val="10"/>
      <name val="Palatino"/>
      <family val="1"/>
    </font>
    <font>
      <b/>
      <sz val="12"/>
      <name val="Palatino"/>
      <family val="1"/>
    </font>
    <font>
      <b/>
      <sz val="10"/>
      <name val="Palatino"/>
      <family val="1"/>
    </font>
    <font>
      <b/>
      <sz val="10"/>
      <color indexed="28"/>
      <name val="Arial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name val="Symbol"/>
      <family val="1"/>
      <charset val="2"/>
    </font>
    <font>
      <vertAlign val="superscript"/>
      <sz val="11"/>
      <name val="Symbol"/>
      <family val="1"/>
      <charset val="2"/>
    </font>
    <font>
      <vertAlign val="subscript"/>
      <sz val="11"/>
      <name val="Verdana"/>
      <family val="2"/>
    </font>
    <font>
      <vertAlign val="superscript"/>
      <sz val="11"/>
      <name val="Verdana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2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6" fillId="4" borderId="13" applyFont="0" applyFill="0" applyBorder="0" applyAlignment="0">
      <alignment horizontal="center"/>
    </xf>
    <xf numFmtId="0" fontId="7" fillId="0" borderId="0"/>
  </cellStyleXfs>
  <cellXfs count="127">
    <xf numFmtId="0" fontId="0" fillId="0" borderId="0" xfId="0"/>
    <xf numFmtId="0" fontId="1" fillId="0" borderId="0" xfId="1"/>
    <xf numFmtId="0" fontId="1" fillId="0" borderId="0" xfId="1" applyBorder="1"/>
    <xf numFmtId="0" fontId="1" fillId="0" borderId="1" xfId="1" applyBorder="1"/>
    <xf numFmtId="2" fontId="1" fillId="0" borderId="2" xfId="1" applyNumberFormat="1" applyBorder="1"/>
    <xf numFmtId="0" fontId="1" fillId="0" borderId="3" xfId="1" applyFill="1" applyBorder="1"/>
    <xf numFmtId="2" fontId="1" fillId="0" borderId="4" xfId="1" applyNumberFormat="1" applyBorder="1"/>
    <xf numFmtId="2" fontId="1" fillId="0" borderId="5" xfId="1" applyNumberFormat="1" applyBorder="1"/>
    <xf numFmtId="0" fontId="1" fillId="0" borderId="6" xfId="1" applyFill="1" applyBorder="1"/>
    <xf numFmtId="0" fontId="1" fillId="0" borderId="7" xfId="1" applyBorder="1"/>
    <xf numFmtId="0" fontId="1" fillId="0" borderId="2" xfId="1" applyBorder="1"/>
    <xf numFmtId="0" fontId="1" fillId="0" borderId="3" xfId="1" applyBorder="1"/>
    <xf numFmtId="2" fontId="1" fillId="0" borderId="8" xfId="1" applyNumberFormat="1" applyBorder="1"/>
    <xf numFmtId="0" fontId="1" fillId="0" borderId="5" xfId="1" applyBorder="1"/>
    <xf numFmtId="0" fontId="1" fillId="0" borderId="6" xfId="1" applyBorder="1"/>
    <xf numFmtId="2" fontId="1" fillId="2" borderId="9" xfId="1" applyNumberFormat="1" applyFill="1" applyBorder="1"/>
    <xf numFmtId="0" fontId="1" fillId="3" borderId="9" xfId="1" applyFill="1" applyBorder="1"/>
    <xf numFmtId="0" fontId="4" fillId="0" borderId="0" xfId="1" applyFont="1"/>
    <xf numFmtId="0" fontId="1" fillId="2" borderId="9" xfId="1" applyFill="1" applyBorder="1"/>
    <xf numFmtId="2" fontId="1" fillId="0" borderId="0" xfId="1" applyNumberFormat="1" applyBorder="1"/>
    <xf numFmtId="2" fontId="1" fillId="0" borderId="0" xfId="1" applyNumberFormat="1"/>
    <xf numFmtId="0" fontId="1" fillId="3" borderId="10" xfId="1" applyFill="1" applyBorder="1"/>
    <xf numFmtId="0" fontId="1" fillId="3" borderId="11" xfId="1" applyFill="1" applyBorder="1"/>
    <xf numFmtId="0" fontId="5" fillId="3" borderId="9" xfId="1" applyFont="1" applyFill="1" applyBorder="1"/>
    <xf numFmtId="0" fontId="1" fillId="2" borderId="0" xfId="1" applyFill="1"/>
    <xf numFmtId="0" fontId="1" fillId="3" borderId="8" xfId="1" applyFill="1" applyBorder="1"/>
    <xf numFmtId="0" fontId="1" fillId="3" borderId="12" xfId="1" applyFill="1" applyBorder="1"/>
    <xf numFmtId="0" fontId="5" fillId="0" borderId="0" xfId="1" applyFont="1"/>
    <xf numFmtId="0" fontId="7" fillId="0" borderId="0" xfId="3"/>
    <xf numFmtId="164" fontId="7" fillId="0" borderId="0" xfId="3" applyNumberFormat="1"/>
    <xf numFmtId="0" fontId="7" fillId="0" borderId="0" xfId="3" applyBorder="1"/>
    <xf numFmtId="164" fontId="7" fillId="5" borderId="1" xfId="3" applyNumberFormat="1" applyFill="1" applyBorder="1"/>
    <xf numFmtId="164" fontId="7" fillId="5" borderId="14" xfId="3" applyNumberFormat="1" applyFill="1" applyBorder="1"/>
    <xf numFmtId="0" fontId="7" fillId="0" borderId="15" xfId="3" applyBorder="1"/>
    <xf numFmtId="0" fontId="8" fillId="0" borderId="3" xfId="3" applyFont="1" applyBorder="1"/>
    <xf numFmtId="164" fontId="7" fillId="5" borderId="16" xfId="3" applyNumberFormat="1" applyFill="1" applyBorder="1"/>
    <xf numFmtId="164" fontId="7" fillId="5" borderId="17" xfId="3" applyNumberFormat="1" applyFill="1" applyBorder="1"/>
    <xf numFmtId="0" fontId="7" fillId="0" borderId="18" xfId="3" applyBorder="1"/>
    <xf numFmtId="0" fontId="9" fillId="0" borderId="17" xfId="3" applyFont="1" applyBorder="1"/>
    <xf numFmtId="2" fontId="7" fillId="5" borderId="17" xfId="3" applyNumberFormat="1" applyFill="1" applyBorder="1"/>
    <xf numFmtId="2" fontId="7" fillId="5" borderId="18" xfId="3" applyNumberFormat="1" applyFill="1" applyBorder="1"/>
    <xf numFmtId="0" fontId="9" fillId="0" borderId="17" xfId="3" applyFont="1" applyFill="1" applyBorder="1"/>
    <xf numFmtId="164" fontId="7" fillId="5" borderId="10" xfId="3" applyNumberFormat="1" applyFill="1" applyBorder="1"/>
    <xf numFmtId="164" fontId="7" fillId="5" borderId="2" xfId="3" applyNumberFormat="1" applyFill="1" applyBorder="1"/>
    <xf numFmtId="164" fontId="7" fillId="5" borderId="18" xfId="3" applyNumberFormat="1" applyFill="1" applyBorder="1"/>
    <xf numFmtId="164" fontId="7" fillId="5" borderId="19" xfId="3" applyNumberFormat="1" applyFill="1" applyBorder="1"/>
    <xf numFmtId="164" fontId="7" fillId="5" borderId="0" xfId="3" applyNumberFormat="1" applyFill="1" applyBorder="1"/>
    <xf numFmtId="0" fontId="7" fillId="6" borderId="18" xfId="3" applyFill="1" applyBorder="1"/>
    <xf numFmtId="164" fontId="7" fillId="5" borderId="7" xfId="3" applyNumberFormat="1" applyFill="1" applyBorder="1"/>
    <xf numFmtId="164" fontId="7" fillId="5" borderId="20" xfId="3" applyNumberFormat="1" applyFill="1" applyBorder="1"/>
    <xf numFmtId="0" fontId="7" fillId="0" borderId="21" xfId="3" applyBorder="1"/>
    <xf numFmtId="0" fontId="10" fillId="0" borderId="1" xfId="3" applyFont="1" applyBorder="1" applyAlignment="1">
      <alignment horizontal="center"/>
    </xf>
    <xf numFmtId="164" fontId="7" fillId="0" borderId="22" xfId="3" applyNumberFormat="1" applyBorder="1"/>
    <xf numFmtId="0" fontId="11" fillId="0" borderId="17" xfId="3" applyFont="1" applyBorder="1"/>
    <xf numFmtId="0" fontId="7" fillId="0" borderId="19" xfId="3" applyBorder="1"/>
    <xf numFmtId="0" fontId="10" fillId="0" borderId="7" xfId="3" applyFont="1" applyFill="1" applyBorder="1" applyAlignment="1">
      <alignment horizontal="center"/>
    </xf>
    <xf numFmtId="0" fontId="7" fillId="0" borderId="22" xfId="3" applyBorder="1"/>
    <xf numFmtId="0" fontId="7" fillId="0" borderId="17" xfId="3" applyBorder="1"/>
    <xf numFmtId="0" fontId="9" fillId="0" borderId="0" xfId="3" applyFont="1" applyBorder="1"/>
    <xf numFmtId="164" fontId="7" fillId="5" borderId="22" xfId="3" applyNumberFormat="1" applyFill="1" applyBorder="1"/>
    <xf numFmtId="0" fontId="13" fillId="0" borderId="17" xfId="3" applyFont="1" applyBorder="1"/>
    <xf numFmtId="0" fontId="7" fillId="0" borderId="8" xfId="3" applyBorder="1"/>
    <xf numFmtId="0" fontId="7" fillId="0" borderId="5" xfId="3" applyBorder="1"/>
    <xf numFmtId="0" fontId="7" fillId="0" borderId="6" xfId="3" applyBorder="1"/>
    <xf numFmtId="164" fontId="7" fillId="5" borderId="12" xfId="3" applyNumberFormat="1" applyFill="1" applyBorder="1"/>
    <xf numFmtId="0" fontId="7" fillId="0" borderId="12" xfId="3" applyBorder="1"/>
    <xf numFmtId="0" fontId="13" fillId="0" borderId="6" xfId="3" applyFont="1" applyBorder="1"/>
    <xf numFmtId="0" fontId="9" fillId="0" borderId="3" xfId="3" applyFont="1" applyBorder="1"/>
    <xf numFmtId="164" fontId="7" fillId="0" borderId="11" xfId="3" applyNumberFormat="1" applyBorder="1"/>
    <xf numFmtId="0" fontId="7" fillId="0" borderId="3" xfId="3" applyBorder="1"/>
    <xf numFmtId="164" fontId="7" fillId="5" borderId="8" xfId="3" applyNumberFormat="1" applyFill="1" applyBorder="1"/>
    <xf numFmtId="164" fontId="7" fillId="5" borderId="5" xfId="3" applyNumberFormat="1" applyFill="1" applyBorder="1"/>
    <xf numFmtId="164" fontId="7" fillId="5" borderId="6" xfId="3" applyNumberFormat="1" applyFill="1" applyBorder="1"/>
    <xf numFmtId="0" fontId="11" fillId="0" borderId="0" xfId="3" applyFont="1"/>
    <xf numFmtId="0" fontId="17" fillId="0" borderId="23" xfId="3" applyFont="1" applyFill="1" applyBorder="1" applyAlignment="1">
      <alignment horizontal="center"/>
    </xf>
    <xf numFmtId="0" fontId="17" fillId="0" borderId="24" xfId="3" applyFont="1" applyFill="1" applyBorder="1" applyAlignment="1">
      <alignment horizontal="center"/>
    </xf>
    <xf numFmtId="0" fontId="17" fillId="0" borderId="25" xfId="3" applyFont="1" applyFill="1" applyBorder="1" applyAlignment="1">
      <alignment horizontal="center"/>
    </xf>
    <xf numFmtId="0" fontId="11" fillId="0" borderId="6" xfId="3" applyFont="1" applyBorder="1"/>
    <xf numFmtId="0" fontId="18" fillId="0" borderId="12" xfId="3" applyFont="1" applyFill="1" applyBorder="1" applyAlignment="1">
      <alignment horizontal="center"/>
    </xf>
    <xf numFmtId="0" fontId="17" fillId="0" borderId="6" xfId="3" applyFont="1" applyBorder="1"/>
    <xf numFmtId="0" fontId="8" fillId="0" borderId="0" xfId="3" applyFont="1"/>
    <xf numFmtId="0" fontId="19" fillId="0" borderId="0" xfId="3" applyFont="1"/>
    <xf numFmtId="164" fontId="7" fillId="6" borderId="10" xfId="3" applyNumberFormat="1" applyFill="1" applyBorder="1"/>
    <xf numFmtId="164" fontId="7" fillId="6" borderId="2" xfId="3" applyNumberFormat="1" applyFill="1" applyBorder="1"/>
    <xf numFmtId="164" fontId="7" fillId="6" borderId="11" xfId="3" applyNumberFormat="1" applyFill="1" applyBorder="1"/>
    <xf numFmtId="0" fontId="20" fillId="0" borderId="11" xfId="3" applyFont="1" applyBorder="1"/>
    <xf numFmtId="0" fontId="7" fillId="6" borderId="8" xfId="3" applyFill="1" applyBorder="1"/>
    <xf numFmtId="0" fontId="7" fillId="6" borderId="5" xfId="3" applyFill="1" applyBorder="1"/>
    <xf numFmtId="164" fontId="7" fillId="6" borderId="5" xfId="3" applyNumberFormat="1" applyFill="1" applyBorder="1"/>
    <xf numFmtId="0" fontId="7" fillId="6" borderId="12" xfId="3" applyFill="1" applyBorder="1"/>
    <xf numFmtId="0" fontId="20" fillId="0" borderId="12" xfId="3" applyFont="1" applyBorder="1"/>
    <xf numFmtId="0" fontId="21" fillId="0" borderId="23" xfId="3" applyFont="1" applyFill="1" applyBorder="1" applyAlignment="1">
      <alignment horizontal="center"/>
    </xf>
    <xf numFmtId="0" fontId="21" fillId="0" borderId="24" xfId="3" applyFont="1" applyFill="1" applyBorder="1" applyAlignment="1">
      <alignment horizontal="center"/>
    </xf>
    <xf numFmtId="0" fontId="7" fillId="0" borderId="9" xfId="3" applyBorder="1" applyAlignment="1">
      <alignment horizontal="center"/>
    </xf>
    <xf numFmtId="0" fontId="19" fillId="0" borderId="0" xfId="3" applyFont="1" applyFill="1" applyBorder="1" applyAlignment="1">
      <alignment horizontal="left"/>
    </xf>
    <xf numFmtId="164" fontId="7" fillId="4" borderId="10" xfId="3" applyNumberFormat="1" applyFill="1" applyBorder="1"/>
    <xf numFmtId="164" fontId="7" fillId="0" borderId="2" xfId="3" applyNumberFormat="1" applyBorder="1"/>
    <xf numFmtId="164" fontId="7" fillId="0" borderId="3" xfId="3" applyNumberFormat="1" applyBorder="1"/>
    <xf numFmtId="2" fontId="7" fillId="0" borderId="10" xfId="3" applyNumberFormat="1" applyBorder="1"/>
    <xf numFmtId="0" fontId="20" fillId="0" borderId="3" xfId="3" applyFont="1" applyFill="1" applyBorder="1" applyAlignment="1">
      <alignment horizontal="center"/>
    </xf>
    <xf numFmtId="164" fontId="7" fillId="0" borderId="19" xfId="3" applyNumberFormat="1" applyBorder="1"/>
    <xf numFmtId="164" fontId="7" fillId="4" borderId="0" xfId="3" applyNumberFormat="1" applyFill="1" applyBorder="1"/>
    <xf numFmtId="164" fontId="7" fillId="0" borderId="0" xfId="3" applyNumberFormat="1" applyBorder="1"/>
    <xf numFmtId="164" fontId="7" fillId="0" borderId="17" xfId="3" applyNumberFormat="1" applyBorder="1"/>
    <xf numFmtId="2" fontId="7" fillId="0" borderId="19" xfId="3" applyNumberFormat="1" applyBorder="1"/>
    <xf numFmtId="0" fontId="20" fillId="0" borderId="17" xfId="3" applyFont="1" applyFill="1" applyBorder="1" applyAlignment="1">
      <alignment horizontal="center"/>
    </xf>
    <xf numFmtId="164" fontId="7" fillId="0" borderId="8" xfId="3" applyNumberFormat="1" applyBorder="1"/>
    <xf numFmtId="164" fontId="7" fillId="0" borderId="5" xfId="3" applyNumberFormat="1" applyBorder="1"/>
    <xf numFmtId="164" fontId="7" fillId="4" borderId="6" xfId="3" applyNumberFormat="1" applyFill="1" applyBorder="1"/>
    <xf numFmtId="2" fontId="7" fillId="0" borderId="2" xfId="3" applyNumberFormat="1" applyBorder="1"/>
    <xf numFmtId="2" fontId="7" fillId="0" borderId="2" xfId="3" applyNumberFormat="1" applyFill="1" applyBorder="1"/>
    <xf numFmtId="0" fontId="7" fillId="0" borderId="2" xfId="3" applyFill="1" applyBorder="1" applyAlignment="1"/>
    <xf numFmtId="0" fontId="21" fillId="0" borderId="8" xfId="3" applyFont="1" applyFill="1" applyBorder="1" applyAlignment="1">
      <alignment horizontal="center"/>
    </xf>
    <xf numFmtId="0" fontId="21" fillId="0" borderId="5" xfId="3" applyFont="1" applyFill="1" applyBorder="1" applyAlignment="1">
      <alignment horizontal="center"/>
    </xf>
    <xf numFmtId="0" fontId="7" fillId="0" borderId="5" xfId="3" applyBorder="1" applyAlignment="1">
      <alignment horizontal="center"/>
    </xf>
    <xf numFmtId="2" fontId="7" fillId="6" borderId="10" xfId="3" applyNumberFormat="1" applyFill="1" applyBorder="1"/>
    <xf numFmtId="2" fontId="7" fillId="6" borderId="2" xfId="3" applyNumberFormat="1" applyFill="1" applyBorder="1"/>
    <xf numFmtId="2" fontId="7" fillId="6" borderId="19" xfId="3" applyNumberFormat="1" applyFill="1" applyBorder="1"/>
    <xf numFmtId="164" fontId="7" fillId="6" borderId="0" xfId="3" applyNumberFormat="1" applyFill="1" applyBorder="1"/>
    <xf numFmtId="2" fontId="7" fillId="6" borderId="0" xfId="3" applyNumberFormat="1" applyFill="1" applyBorder="1"/>
    <xf numFmtId="0" fontId="7" fillId="6" borderId="19" xfId="3" applyFill="1" applyBorder="1"/>
    <xf numFmtId="0" fontId="7" fillId="6" borderId="0" xfId="3" applyFill="1" applyBorder="1"/>
    <xf numFmtId="0" fontId="22" fillId="0" borderId="0" xfId="3" applyFont="1"/>
    <xf numFmtId="0" fontId="23" fillId="0" borderId="8" xfId="3" applyFont="1" applyBorder="1" applyAlignment="1">
      <alignment horizontal="center" wrapText="1"/>
    </xf>
    <xf numFmtId="0" fontId="23" fillId="0" borderId="5" xfId="3" applyFont="1" applyBorder="1" applyAlignment="1">
      <alignment horizontal="center" wrapText="1"/>
    </xf>
    <xf numFmtId="0" fontId="23" fillId="0" borderId="5" xfId="3" applyFont="1" applyBorder="1" applyAlignment="1">
      <alignment horizontal="center"/>
    </xf>
    <xf numFmtId="0" fontId="22" fillId="0" borderId="6" xfId="3" applyFont="1" applyBorder="1"/>
  </cellXfs>
  <cellStyles count="4">
    <cellStyle name="0.00" xfId="2"/>
    <cellStyle name="Normal" xfId="0" builtinId="0"/>
    <cellStyle name="Normal 2" xfId="1"/>
    <cellStyle name="Normal_Ch8_7e.x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topLeftCell="A13" workbookViewId="0">
      <selection activeCell="J28" sqref="J28"/>
    </sheetView>
  </sheetViews>
  <sheetFormatPr defaultColWidth="12.85546875" defaultRowHeight="12.75"/>
  <cols>
    <col min="1" max="1" width="19.85546875" style="28" customWidth="1"/>
    <col min="2" max="2" width="10.28515625" style="28" customWidth="1"/>
    <col min="3" max="3" width="11.85546875" style="28" customWidth="1"/>
    <col min="4" max="4" width="12.5703125" style="28" customWidth="1"/>
    <col min="5" max="5" width="10.42578125" style="28" customWidth="1"/>
    <col min="6" max="6" width="12" style="28" customWidth="1"/>
    <col min="7" max="8" width="11.28515625" style="28" customWidth="1"/>
    <col min="9" max="9" width="10.85546875" style="28" customWidth="1"/>
    <col min="10" max="16384" width="12.85546875" style="28"/>
  </cols>
  <sheetData>
    <row r="1" spans="1:11" ht="15">
      <c r="A1" s="81" t="s">
        <v>60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15">
      <c r="A3" s="81" t="s">
        <v>59</v>
      </c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1:11" ht="15">
      <c r="A4" s="80"/>
      <c r="B4" s="81"/>
      <c r="C4" s="80"/>
      <c r="D4" s="80"/>
      <c r="E4" s="80"/>
      <c r="F4" s="80"/>
      <c r="G4" s="80"/>
      <c r="H4" s="80"/>
      <c r="I4" s="80"/>
      <c r="J4" s="80"/>
      <c r="K4" s="80"/>
    </row>
    <row r="5" spans="1:11" s="122" customFormat="1" ht="42" customHeight="1">
      <c r="A5" s="126"/>
      <c r="B5" s="124" t="s">
        <v>58</v>
      </c>
      <c r="C5" s="125" t="s">
        <v>31</v>
      </c>
      <c r="D5" s="124" t="s">
        <v>57</v>
      </c>
      <c r="E5" s="124" t="s">
        <v>56</v>
      </c>
      <c r="F5" s="123" t="s">
        <v>55</v>
      </c>
    </row>
    <row r="6" spans="1:11">
      <c r="A6" s="105" t="s">
        <v>49</v>
      </c>
      <c r="B6" s="118">
        <v>0.13575795512512476</v>
      </c>
      <c r="C6" s="119">
        <v>1</v>
      </c>
      <c r="D6" s="118">
        <f>B6</f>
        <v>0.13575795512512476</v>
      </c>
      <c r="E6" s="121">
        <v>0</v>
      </c>
      <c r="F6" s="120">
        <v>1</v>
      </c>
    </row>
    <row r="7" spans="1:11">
      <c r="A7" s="105" t="s">
        <v>47</v>
      </c>
      <c r="B7" s="118">
        <v>0.38165566643083498</v>
      </c>
      <c r="C7" s="119">
        <v>2.0348194080002089</v>
      </c>
      <c r="D7" s="118">
        <f t="shared" ref="D7:D12" si="0">(C7^2*$B$6^2)^0.5</f>
        <v>0.27624292187902527</v>
      </c>
      <c r="E7" s="118">
        <v>0.26560610108020744</v>
      </c>
      <c r="F7" s="117">
        <v>0.72380144244258726</v>
      </c>
    </row>
    <row r="8" spans="1:11">
      <c r="A8" s="105" t="s">
        <v>46</v>
      </c>
      <c r="B8" s="118">
        <v>0.29014527058019829</v>
      </c>
      <c r="C8" s="119">
        <v>1.2315479230247295</v>
      </c>
      <c r="D8" s="118">
        <f t="shared" si="0"/>
        <v>0.16719242766843181</v>
      </c>
      <c r="E8" s="118">
        <v>0.23916619672539238</v>
      </c>
      <c r="F8" s="117">
        <v>0.57623695652215923</v>
      </c>
    </row>
    <row r="9" spans="1:11">
      <c r="A9" s="105" t="s">
        <v>45</v>
      </c>
      <c r="B9" s="118">
        <v>0.19350876199909325</v>
      </c>
      <c r="C9" s="119">
        <v>0.61985314438517036</v>
      </c>
      <c r="D9" s="118">
        <f t="shared" si="0"/>
        <v>8.4149995359609431E-2</v>
      </c>
      <c r="E9" s="118">
        <v>0.17574966208004833</v>
      </c>
      <c r="F9" s="117">
        <v>0.43486400558959576</v>
      </c>
    </row>
    <row r="10" spans="1:11">
      <c r="A10" s="105" t="s">
        <v>44</v>
      </c>
      <c r="B10" s="118">
        <v>0.26109779841628356</v>
      </c>
      <c r="C10" s="119">
        <v>1.2671949100698658</v>
      </c>
      <c r="D10" s="118">
        <f t="shared" si="0"/>
        <v>0.17203178973605135</v>
      </c>
      <c r="E10" s="118">
        <v>0.19809655847523355</v>
      </c>
      <c r="F10" s="117">
        <v>0.6588787449742145</v>
      </c>
    </row>
    <row r="11" spans="1:11">
      <c r="A11" s="105" t="s">
        <v>43</v>
      </c>
      <c r="B11" s="118">
        <v>0.18215297654543641</v>
      </c>
      <c r="C11" s="119">
        <v>0.46696858120232487</v>
      </c>
      <c r="D11" s="118">
        <f t="shared" si="0"/>
        <v>6.3394699691708398E-2</v>
      </c>
      <c r="E11" s="118">
        <v>0.17223121568194436</v>
      </c>
      <c r="F11" s="117">
        <v>0.34802999596273504</v>
      </c>
    </row>
    <row r="12" spans="1:11">
      <c r="A12" s="99" t="s">
        <v>42</v>
      </c>
      <c r="B12" s="83">
        <v>0.19876891436318578</v>
      </c>
      <c r="C12" s="116">
        <v>0.67356462699600095</v>
      </c>
      <c r="D12" s="83">
        <f t="shared" si="0"/>
        <v>9.1441756405594488E-2</v>
      </c>
      <c r="E12" s="83">
        <v>0.17800143856703585</v>
      </c>
      <c r="F12" s="115">
        <v>0.46004052846268678</v>
      </c>
    </row>
    <row r="14" spans="1:11" s="80" customFormat="1" ht="15">
      <c r="A14" s="94" t="s">
        <v>54</v>
      </c>
    </row>
    <row r="16" spans="1:11">
      <c r="A16" s="63"/>
      <c r="B16" s="62"/>
      <c r="C16" s="114" t="s">
        <v>52</v>
      </c>
      <c r="D16" s="113" t="s">
        <v>47</v>
      </c>
      <c r="E16" s="113" t="s">
        <v>46</v>
      </c>
      <c r="F16" s="113" t="s">
        <v>45</v>
      </c>
      <c r="G16" s="113" t="s">
        <v>44</v>
      </c>
      <c r="H16" s="113" t="s">
        <v>43</v>
      </c>
      <c r="I16" s="112" t="s">
        <v>42</v>
      </c>
    </row>
    <row r="17" spans="1:9">
      <c r="A17" s="69"/>
      <c r="B17" s="111" t="s">
        <v>31</v>
      </c>
      <c r="C17" s="110">
        <v>1</v>
      </c>
      <c r="D17" s="109">
        <v>2.0348194080002089</v>
      </c>
      <c r="E17" s="109">
        <v>1.2315479230247295</v>
      </c>
      <c r="F17" s="109">
        <v>0.61985314438517036</v>
      </c>
      <c r="G17" s="109">
        <v>1.2671949100698658</v>
      </c>
      <c r="H17" s="109">
        <v>0.46696858120232487</v>
      </c>
      <c r="I17" s="98">
        <v>0.67356462699600095</v>
      </c>
    </row>
    <row r="18" spans="1:9">
      <c r="A18" s="105" t="s">
        <v>49</v>
      </c>
      <c r="B18" s="104">
        <v>1</v>
      </c>
      <c r="C18" s="108">
        <v>1.8430222379755393E-2</v>
      </c>
      <c r="D18" s="107">
        <v>3.7502174192086055E-2</v>
      </c>
      <c r="E18" s="107">
        <v>2.2697702092671634E-2</v>
      </c>
      <c r="F18" s="107">
        <v>1.1424031293809313E-2</v>
      </c>
      <c r="G18" s="107">
        <v>2.3354683991081756E-2</v>
      </c>
      <c r="H18" s="107">
        <v>8.6063347959177087E-3</v>
      </c>
      <c r="I18" s="106">
        <v>1.2413945862673286E-2</v>
      </c>
    </row>
    <row r="19" spans="1:9">
      <c r="A19" s="105" t="s">
        <v>47</v>
      </c>
      <c r="B19" s="104">
        <v>2.0348194080002089</v>
      </c>
      <c r="C19" s="103">
        <v>3.7502174192086055E-2</v>
      </c>
      <c r="D19" s="101">
        <v>0.14566104771876479</v>
      </c>
      <c r="E19" s="102">
        <v>4.6185724735175196E-2</v>
      </c>
      <c r="F19" s="102">
        <v>2.3245840594244928E-2</v>
      </c>
      <c r="G19" s="102">
        <v>4.7522564252764937E-2</v>
      </c>
      <c r="H19" s="102">
        <v>1.7512337074480869E-2</v>
      </c>
      <c r="I19" s="100">
        <v>2.5260137971231496E-2</v>
      </c>
    </row>
    <row r="20" spans="1:9">
      <c r="A20" s="105" t="s">
        <v>46</v>
      </c>
      <c r="B20" s="104">
        <v>1.2315479230247295</v>
      </c>
      <c r="C20" s="103">
        <v>2.2697702092671634E-2</v>
      </c>
      <c r="D20" s="102">
        <v>4.6185724735175196E-2</v>
      </c>
      <c r="E20" s="101">
        <v>8.4184278040056487E-2</v>
      </c>
      <c r="F20" s="102">
        <v>1.4069242012460372E-2</v>
      </c>
      <c r="G20" s="102">
        <v>2.8762412562115636E-2</v>
      </c>
      <c r="H20" s="102">
        <v>1.0599113742767913E-2</v>
      </c>
      <c r="I20" s="100">
        <v>1.528836924371672E-2</v>
      </c>
    </row>
    <row r="21" spans="1:9">
      <c r="A21" s="105" t="s">
        <v>45</v>
      </c>
      <c r="B21" s="104">
        <v>0.61985314438517036</v>
      </c>
      <c r="C21" s="103">
        <v>1.1424031293809313E-2</v>
      </c>
      <c r="D21" s="102">
        <v>2.3245840594244928E-2</v>
      </c>
      <c r="E21" s="102">
        <v>1.4069242012460372E-2</v>
      </c>
      <c r="F21" s="101">
        <v>3.7445640970421731E-2</v>
      </c>
      <c r="G21" s="102">
        <v>1.4476474307994026E-2</v>
      </c>
      <c r="H21" s="102">
        <v>5.3346636848810945E-3</v>
      </c>
      <c r="I21" s="100">
        <v>7.6948233772053121E-3</v>
      </c>
    </row>
    <row r="22" spans="1:9">
      <c r="A22" s="105" t="s">
        <v>44</v>
      </c>
      <c r="B22" s="104">
        <v>1.2671949100698658</v>
      </c>
      <c r="C22" s="103">
        <v>2.3354683991081756E-2</v>
      </c>
      <c r="D22" s="102">
        <v>4.7522564252764937E-2</v>
      </c>
      <c r="E22" s="102">
        <v>2.8762412562115636E-2</v>
      </c>
      <c r="F22" s="102">
        <v>1.4476474307994026E-2</v>
      </c>
      <c r="G22" s="101">
        <v>6.8172060337830256E-2</v>
      </c>
      <c r="H22" s="102">
        <v>1.0905903647744098E-2</v>
      </c>
      <c r="I22" s="100">
        <v>1.5730889011062458E-2</v>
      </c>
    </row>
    <row r="23" spans="1:9">
      <c r="A23" s="105" t="s">
        <v>43</v>
      </c>
      <c r="B23" s="104">
        <v>0.46696858120232487</v>
      </c>
      <c r="C23" s="103">
        <v>8.6063347959177087E-3</v>
      </c>
      <c r="D23" s="102">
        <v>1.7512337074480869E-2</v>
      </c>
      <c r="E23" s="102">
        <v>1.0599113742767913E-2</v>
      </c>
      <c r="F23" s="102">
        <v>5.3346636848810945E-3</v>
      </c>
      <c r="G23" s="102">
        <v>1.0905903647744098E-2</v>
      </c>
      <c r="H23" s="101">
        <v>3.3179706864362314E-2</v>
      </c>
      <c r="I23" s="100">
        <v>5.7969226866150152E-3</v>
      </c>
    </row>
    <row r="24" spans="1:9">
      <c r="A24" s="99" t="s">
        <v>42</v>
      </c>
      <c r="B24" s="98">
        <v>0.67356462699600095</v>
      </c>
      <c r="C24" s="97">
        <v>1.2413945862673286E-2</v>
      </c>
      <c r="D24" s="96">
        <v>2.5260137971231496E-2</v>
      </c>
      <c r="E24" s="96">
        <v>1.528836924371672E-2</v>
      </c>
      <c r="F24" s="96">
        <v>7.6948233772053121E-3</v>
      </c>
      <c r="G24" s="96">
        <v>1.5730889011062458E-2</v>
      </c>
      <c r="H24" s="96">
        <v>5.7969226866150152E-3</v>
      </c>
      <c r="I24" s="95">
        <v>3.9509081317119485E-2</v>
      </c>
    </row>
    <row r="25" spans="1:9">
      <c r="A25" s="63"/>
      <c r="B25" s="62"/>
      <c r="C25" s="62"/>
      <c r="D25" s="62"/>
      <c r="E25" s="62"/>
      <c r="F25" s="62"/>
      <c r="G25" s="62"/>
      <c r="H25" s="62"/>
      <c r="I25" s="61"/>
    </row>
    <row r="26" spans="1:9" s="80" customFormat="1" ht="15">
      <c r="A26" s="94" t="s">
        <v>53</v>
      </c>
    </row>
    <row r="27" spans="1:9" s="80" customFormat="1" ht="15">
      <c r="B27" s="81"/>
    </row>
    <row r="29" spans="1:9">
      <c r="B29" s="93" t="s">
        <v>52</v>
      </c>
      <c r="C29" s="92" t="s">
        <v>47</v>
      </c>
      <c r="D29" s="92" t="s">
        <v>46</v>
      </c>
      <c r="E29" s="92" t="s">
        <v>45</v>
      </c>
      <c r="F29" s="92" t="s">
        <v>44</v>
      </c>
      <c r="G29" s="92" t="s">
        <v>43</v>
      </c>
      <c r="H29" s="91" t="s">
        <v>42</v>
      </c>
    </row>
    <row r="30" spans="1:9">
      <c r="A30" s="90" t="s">
        <v>51</v>
      </c>
      <c r="B30" s="89">
        <v>0</v>
      </c>
      <c r="C30" s="88">
        <v>1.4999999999999999E-2</v>
      </c>
      <c r="D30" s="88">
        <v>-0.01</v>
      </c>
      <c r="E30" s="88">
        <v>-5.0000000000000001E-3</v>
      </c>
      <c r="F30" s="87">
        <v>7.4999999999999997E-3</v>
      </c>
      <c r="G30" s="88">
        <v>1.2E-2</v>
      </c>
      <c r="H30" s="86">
        <v>2.5000000000000001E-3</v>
      </c>
    </row>
    <row r="31" spans="1:9">
      <c r="A31" s="85" t="s">
        <v>30</v>
      </c>
      <c r="B31" s="84">
        <v>0.06</v>
      </c>
      <c r="C31" s="83">
        <v>0.1371</v>
      </c>
      <c r="D31" s="83">
        <v>6.3899999999999998E-2</v>
      </c>
      <c r="E31" s="83">
        <v>3.2199999999999999E-2</v>
      </c>
      <c r="F31" s="83">
        <v>8.3500000000000005E-2</v>
      </c>
      <c r="G31" s="83">
        <v>0.04</v>
      </c>
      <c r="H31" s="82">
        <v>4.2900000000000001E-2</v>
      </c>
    </row>
    <row r="33" spans="1:12" s="80" customFormat="1" ht="15">
      <c r="A33" s="81" t="s">
        <v>50</v>
      </c>
    </row>
    <row r="35" spans="1:12" s="73" customFormat="1" ht="15">
      <c r="B35" s="79" t="s">
        <v>49</v>
      </c>
      <c r="C35" s="78" t="s">
        <v>48</v>
      </c>
      <c r="D35" s="77"/>
      <c r="E35" s="76" t="s">
        <v>47</v>
      </c>
      <c r="F35" s="75" t="s">
        <v>46</v>
      </c>
      <c r="G35" s="75" t="s">
        <v>45</v>
      </c>
      <c r="H35" s="75" t="s">
        <v>44</v>
      </c>
      <c r="I35" s="75" t="s">
        <v>43</v>
      </c>
      <c r="J35" s="74" t="s">
        <v>42</v>
      </c>
    </row>
    <row r="36" spans="1:12" ht="16.5">
      <c r="B36" s="63"/>
      <c r="C36" s="65"/>
      <c r="D36" s="66" t="s">
        <v>41</v>
      </c>
      <c r="E36" s="72">
        <f>E7^2</f>
        <v>7.0546600931029366E-2</v>
      </c>
      <c r="F36" s="71">
        <f>E8^2</f>
        <v>5.720046965608909E-2</v>
      </c>
      <c r="G36" s="71">
        <f>E9^2</f>
        <v>3.0887943721251178E-2</v>
      </c>
      <c r="H36" s="71">
        <f>E10^2</f>
        <v>3.9242246479731624E-2</v>
      </c>
      <c r="I36" s="71">
        <f>E11^2</f>
        <v>2.9663591655280434E-2</v>
      </c>
      <c r="J36" s="70">
        <f>E12^2</f>
        <v>3.1684512131934239E-2</v>
      </c>
    </row>
    <row r="37" spans="1:12" ht="18.95" customHeight="1">
      <c r="B37" s="57"/>
      <c r="C37" s="59">
        <f>SUM(E37:J37)</f>
        <v>0.55048598786307423</v>
      </c>
      <c r="D37" s="60" t="s">
        <v>40</v>
      </c>
      <c r="E37" s="36">
        <f t="shared" ref="E37:J37" si="1">C30/E36</f>
        <v>0.21262541075033378</v>
      </c>
      <c r="F37" s="46">
        <f t="shared" si="1"/>
        <v>-0.17482373938752238</v>
      </c>
      <c r="G37" s="46">
        <f t="shared" si="1"/>
        <v>-0.16187545681650398</v>
      </c>
      <c r="H37" s="46">
        <f t="shared" si="1"/>
        <v>0.19112055686907994</v>
      </c>
      <c r="I37" s="46">
        <f t="shared" si="1"/>
        <v>0.40453631304838544</v>
      </c>
      <c r="J37" s="45">
        <f t="shared" si="1"/>
        <v>7.890290339930138E-2</v>
      </c>
    </row>
    <row r="38" spans="1:12" ht="17.25">
      <c r="B38" s="57"/>
      <c r="C38" s="59">
        <f>SUM(E38:J38)</f>
        <v>1</v>
      </c>
      <c r="D38" s="38" t="s">
        <v>39</v>
      </c>
      <c r="E38" s="36">
        <f t="shared" ref="E38:J38" si="2">E37/$C$37</f>
        <v>0.38625035956995407</v>
      </c>
      <c r="F38" s="46">
        <f t="shared" si="2"/>
        <v>-0.31758072547163063</v>
      </c>
      <c r="G38" s="46">
        <f t="shared" si="2"/>
        <v>-0.29405917750038763</v>
      </c>
      <c r="H38" s="46">
        <f t="shared" si="2"/>
        <v>0.34718514382353094</v>
      </c>
      <c r="I38" s="46">
        <f t="shared" si="2"/>
        <v>0.73487122645709968</v>
      </c>
      <c r="J38" s="45">
        <f t="shared" si="2"/>
        <v>0.14333317312143354</v>
      </c>
    </row>
    <row r="39" spans="1:12" ht="17.25">
      <c r="B39" s="69"/>
      <c r="C39" s="68"/>
      <c r="D39" s="67" t="s">
        <v>38</v>
      </c>
      <c r="E39" s="36">
        <f t="shared" ref="E39:J39" si="3">E38^2</f>
        <v>0.1491893402679188</v>
      </c>
      <c r="F39" s="46">
        <f t="shared" si="3"/>
        <v>0.10085751719108722</v>
      </c>
      <c r="G39" s="46">
        <f t="shared" si="3"/>
        <v>8.6470799872204476E-2</v>
      </c>
      <c r="H39" s="46">
        <f t="shared" si="3"/>
        <v>0.12053752409176587</v>
      </c>
      <c r="I39" s="46">
        <f t="shared" si="3"/>
        <v>0.54003571947456186</v>
      </c>
      <c r="J39" s="45">
        <f t="shared" si="3"/>
        <v>2.0544398517058839E-2</v>
      </c>
    </row>
    <row r="40" spans="1:12" ht="18.75">
      <c r="A40" s="66" t="s">
        <v>37</v>
      </c>
      <c r="B40" s="65"/>
      <c r="C40" s="64">
        <f>SUMPRODUCT(E38:J38,C30:H30)</f>
        <v>2.2220534764732815E-2</v>
      </c>
      <c r="D40" s="58"/>
      <c r="E40" s="63"/>
      <c r="F40" s="62"/>
      <c r="G40" s="62"/>
      <c r="H40" s="62"/>
      <c r="I40" s="62"/>
      <c r="J40" s="61"/>
    </row>
    <row r="41" spans="1:12" ht="18" thickBot="1">
      <c r="A41" s="60" t="s">
        <v>36</v>
      </c>
      <c r="B41" s="56"/>
      <c r="C41" s="59">
        <f>SUMPRODUCT(E39:J39,E36:J36)</f>
        <v>4.0365304938987601E-2</v>
      </c>
      <c r="D41" s="58"/>
      <c r="E41" s="57"/>
      <c r="F41" s="30"/>
      <c r="G41" s="30"/>
      <c r="H41" s="30"/>
      <c r="I41" s="30"/>
      <c r="J41" s="54"/>
    </row>
    <row r="42" spans="1:12" ht="18.75">
      <c r="A42" s="53" t="s">
        <v>35</v>
      </c>
      <c r="B42" s="56"/>
      <c r="C42" s="36">
        <f>(C40/C41)/(B31/C18)</f>
        <v>0.16909298622092975</v>
      </c>
      <c r="D42" s="55" t="s">
        <v>34</v>
      </c>
      <c r="E42" s="30"/>
      <c r="F42" s="30"/>
      <c r="G42" s="30"/>
      <c r="H42" s="30"/>
      <c r="I42" s="30"/>
      <c r="J42" s="54"/>
    </row>
    <row r="43" spans="1:12" ht="15" thickBot="1">
      <c r="A43" s="53" t="s">
        <v>33</v>
      </c>
      <c r="B43" s="52">
        <f>1-C43</f>
        <v>0.82822852358401733</v>
      </c>
      <c r="C43" s="36">
        <f>C42/(1+(1-C44)*C42)</f>
        <v>0.17177147641598267</v>
      </c>
      <c r="D43" s="51" t="s">
        <v>32</v>
      </c>
      <c r="E43" s="46">
        <f t="shared" ref="E43:J43" si="4">E38*$C$43</f>
        <v>6.6346794529535194E-2</v>
      </c>
      <c r="F43" s="46">
        <f t="shared" si="4"/>
        <v>-5.4551310095520868E-2</v>
      </c>
      <c r="G43" s="46">
        <f t="shared" si="4"/>
        <v>-5.0510979072911098E-2</v>
      </c>
      <c r="H43" s="46">
        <f t="shared" si="4"/>
        <v>5.96365047442632E-2</v>
      </c>
      <c r="I43" s="46">
        <f t="shared" si="4"/>
        <v>0.12622991554415997</v>
      </c>
      <c r="J43" s="45">
        <f t="shared" si="4"/>
        <v>2.4620550766456282E-2</v>
      </c>
    </row>
    <row r="44" spans="1:12" ht="14.25">
      <c r="A44" s="38" t="s">
        <v>31</v>
      </c>
      <c r="B44" s="50">
        <v>1</v>
      </c>
      <c r="C44" s="49">
        <f>SUMPRODUCT(E38:J38,D17:I17)</f>
        <v>1.0922175157236245</v>
      </c>
      <c r="D44" s="48">
        <f>B43+C43*C44</f>
        <v>1.015840338827261</v>
      </c>
      <c r="E44" s="46">
        <f t="shared" ref="E44:J44" si="5">$C$43*E38</f>
        <v>6.6346794529535194E-2</v>
      </c>
      <c r="F44" s="46">
        <f t="shared" si="5"/>
        <v>-5.4551310095520868E-2</v>
      </c>
      <c r="G44" s="46">
        <f t="shared" si="5"/>
        <v>-5.0510979072911098E-2</v>
      </c>
      <c r="H44" s="46">
        <f t="shared" si="5"/>
        <v>5.96365047442632E-2</v>
      </c>
      <c r="I44" s="46">
        <f t="shared" si="5"/>
        <v>0.12622991554415997</v>
      </c>
      <c r="J44" s="45">
        <f t="shared" si="5"/>
        <v>2.4620550766456282E-2</v>
      </c>
    </row>
    <row r="45" spans="1:12" ht="14.25">
      <c r="A45" s="38" t="s">
        <v>30</v>
      </c>
      <c r="B45" s="47">
        <v>0.06</v>
      </c>
      <c r="C45" s="36">
        <f>C44*B45+C40</f>
        <v>8.7753585708150283E-2</v>
      </c>
      <c r="D45" s="35">
        <f>B43*0.06+C43*C45</f>
        <v>6.4767274392926483E-2</v>
      </c>
      <c r="E45" s="46">
        <v>7.4999999999999997E-2</v>
      </c>
      <c r="F45" s="46">
        <v>0.11208916448001253</v>
      </c>
      <c r="G45" s="46">
        <v>6.8892875381483767E-2</v>
      </c>
      <c r="H45" s="46">
        <v>4.4691188663110219E-2</v>
      </c>
      <c r="I45" s="46">
        <v>8.803169460419194E-2</v>
      </c>
      <c r="J45" s="45">
        <v>3.0518114872139492E-2</v>
      </c>
    </row>
    <row r="46" spans="1:12" ht="14.25">
      <c r="A46" s="38" t="s">
        <v>29</v>
      </c>
      <c r="B46" s="44">
        <f>B6</f>
        <v>0.13575795512512476</v>
      </c>
      <c r="C46" s="36">
        <f>((C44*B46)^2+C41)^0.5</f>
        <v>0.24970269896011729</v>
      </c>
      <c r="D46" s="35">
        <f>((B43+C43*C44)^2*C18+C43^2*C41)^0.5</f>
        <v>0.14216091180528914</v>
      </c>
      <c r="E46" s="43">
        <v>0.38165566643083498</v>
      </c>
      <c r="F46" s="43">
        <v>0.29014527058019829</v>
      </c>
      <c r="G46" s="43">
        <v>0.19350876199909325</v>
      </c>
      <c r="H46" s="43">
        <v>0.26109779841628356</v>
      </c>
      <c r="I46" s="43">
        <v>0.18215297654543641</v>
      </c>
      <c r="J46" s="42">
        <v>0.19876891436318578</v>
      </c>
    </row>
    <row r="47" spans="1:12" ht="14.25">
      <c r="A47" s="41" t="s">
        <v>28</v>
      </c>
      <c r="B47" s="40">
        <f>B45/B46</f>
        <v>0.44196305067131775</v>
      </c>
      <c r="C47" s="39">
        <f>C45/C46</f>
        <v>0.35143226754696133</v>
      </c>
      <c r="D47" s="35">
        <f>D45/D46</f>
        <v>0.45559129841285101</v>
      </c>
      <c r="E47" s="30"/>
      <c r="F47" s="30"/>
      <c r="G47" s="30"/>
      <c r="H47" s="30"/>
      <c r="I47" s="30"/>
      <c r="J47" s="30"/>
    </row>
    <row r="48" spans="1:12" ht="14.25">
      <c r="A48" s="38" t="s">
        <v>27</v>
      </c>
      <c r="B48" s="37">
        <v>0</v>
      </c>
      <c r="C48" s="36">
        <f>B46*(C47-B47)</f>
        <v>-1.2290273992838781E-2</v>
      </c>
      <c r="D48" s="35">
        <f>B46*(D47-B47)</f>
        <v>1.8501430453291554E-3</v>
      </c>
      <c r="E48" s="30"/>
      <c r="F48" s="30"/>
      <c r="G48" s="30"/>
      <c r="H48" s="30"/>
      <c r="I48" s="30"/>
      <c r="J48" s="30"/>
      <c r="L48" s="29"/>
    </row>
    <row r="49" spans="1:12" ht="15.75" thickBot="1">
      <c r="A49" s="34" t="s">
        <v>26</v>
      </c>
      <c r="B49" s="33"/>
      <c r="C49" s="32"/>
      <c r="D49" s="31">
        <f>C43*((1-D44)^2*B46^2+C41)^0.5</f>
        <v>3.4512787972793162E-2</v>
      </c>
      <c r="E49" s="30"/>
      <c r="F49" s="30"/>
      <c r="G49" s="30"/>
      <c r="H49" s="30"/>
      <c r="I49" s="30"/>
      <c r="J49" s="30"/>
      <c r="L49" s="29"/>
    </row>
  </sheetData>
  <printOptions horizontalCentered="1" verticalCentered="1" headings="1" gridLines="1"/>
  <pageMargins left="0.45" right="0.32" top="0.5" bottom="0.55000000000000004" header="0.5" footer="0.5"/>
  <pageSetup scale="7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Normal="100" zoomScalePageLayoutView="150" workbookViewId="0">
      <selection activeCell="B35" sqref="B35"/>
    </sheetView>
  </sheetViews>
  <sheetFormatPr defaultColWidth="12.42578125" defaultRowHeight="12.75"/>
  <cols>
    <col min="1" max="1" width="13.7109375" style="1" customWidth="1"/>
    <col min="2" max="2" width="13.5703125" style="1" customWidth="1"/>
    <col min="3" max="6" width="12.42578125" style="1"/>
    <col min="7" max="7" width="12.5703125" style="2" customWidth="1"/>
    <col min="8" max="8" width="16.7109375" style="2" customWidth="1"/>
    <col min="9" max="16" width="12.5703125" style="2" customWidth="1"/>
    <col min="17" max="16384" width="12.42578125" style="1"/>
  </cols>
  <sheetData>
    <row r="1" spans="1:15" ht="15.75">
      <c r="A1" s="17" t="s">
        <v>25</v>
      </c>
      <c r="B1" s="17"/>
      <c r="G1" s="19"/>
    </row>
    <row r="2" spans="1:15" ht="15.75">
      <c r="A2" s="17" t="s">
        <v>24</v>
      </c>
      <c r="B2" s="17"/>
      <c r="G2" s="19"/>
    </row>
    <row r="3" spans="1:15" ht="15.75">
      <c r="A3" s="17"/>
      <c r="G3" s="19"/>
    </row>
    <row r="4" spans="1:15">
      <c r="C4" s="24" t="s">
        <v>14</v>
      </c>
      <c r="D4" s="24" t="s">
        <v>13</v>
      </c>
      <c r="G4" s="19"/>
    </row>
    <row r="5" spans="1:15">
      <c r="B5" s="24" t="s">
        <v>23</v>
      </c>
      <c r="C5" s="27">
        <v>0.25</v>
      </c>
      <c r="D5" s="27">
        <v>0.75</v>
      </c>
      <c r="G5" s="19"/>
      <c r="L5" s="19"/>
      <c r="M5" s="19"/>
      <c r="N5" s="19"/>
    </row>
    <row r="6" spans="1:15">
      <c r="A6" s="24" t="s">
        <v>14</v>
      </c>
      <c r="B6" s="23">
        <v>0.25</v>
      </c>
      <c r="C6" s="26">
        <v>64</v>
      </c>
      <c r="D6" s="25">
        <v>40.799999999999997</v>
      </c>
      <c r="G6" s="19"/>
      <c r="H6" s="19"/>
      <c r="I6" s="19"/>
    </row>
    <row r="7" spans="1:15">
      <c r="A7" s="24" t="s">
        <v>13</v>
      </c>
      <c r="B7" s="23">
        <v>0.75</v>
      </c>
      <c r="C7" s="22">
        <v>40.799999999999997</v>
      </c>
      <c r="D7" s="21">
        <v>289</v>
      </c>
      <c r="G7" s="19"/>
      <c r="J7" s="19"/>
      <c r="K7" s="19"/>
      <c r="L7" s="19"/>
      <c r="M7" s="19"/>
      <c r="N7" s="19"/>
      <c r="O7" s="19"/>
    </row>
    <row r="8" spans="1:15">
      <c r="B8" s="1" t="s">
        <v>22</v>
      </c>
      <c r="C8" s="1">
        <v>11.65</v>
      </c>
      <c r="D8" s="20">
        <v>170.21250000000001</v>
      </c>
      <c r="G8" s="19"/>
      <c r="J8" s="19"/>
      <c r="K8" s="19"/>
      <c r="L8" s="19"/>
      <c r="M8" s="19"/>
      <c r="N8" s="19"/>
    </row>
    <row r="9" spans="1:15">
      <c r="A9" s="1" t="s">
        <v>21</v>
      </c>
      <c r="F9" s="15">
        <v>181.86250000000001</v>
      </c>
      <c r="G9" s="19"/>
      <c r="H9" s="19"/>
      <c r="I9" s="19"/>
      <c r="J9" s="19"/>
      <c r="K9" s="19"/>
      <c r="L9" s="19"/>
      <c r="M9" s="19"/>
      <c r="N9" s="19"/>
      <c r="O9" s="19"/>
    </row>
    <row r="10" spans="1:15">
      <c r="A10" s="1" t="s">
        <v>20</v>
      </c>
      <c r="F10" s="16">
        <v>3</v>
      </c>
      <c r="G10" s="19"/>
    </row>
    <row r="11" spans="1:15">
      <c r="A11" s="1" t="s">
        <v>19</v>
      </c>
      <c r="F11" s="15">
        <f>F9*F10*0.01</f>
        <v>5.4558750000000007</v>
      </c>
      <c r="G11" s="19"/>
      <c r="J11" s="19"/>
      <c r="K11" s="19"/>
      <c r="L11" s="19"/>
      <c r="M11" s="19"/>
      <c r="N11" s="19"/>
      <c r="O11" s="19"/>
    </row>
    <row r="12" spans="1:15" ht="14.25">
      <c r="A12" s="1" t="s">
        <v>18</v>
      </c>
      <c r="C12" s="18">
        <f>C8/C5</f>
        <v>46.6</v>
      </c>
      <c r="D12" s="18">
        <f>D8/D5</f>
        <v>226.95000000000002</v>
      </c>
      <c r="G12" s="19"/>
      <c r="J12" s="19"/>
      <c r="K12" s="19"/>
      <c r="L12" s="19"/>
      <c r="M12" s="19"/>
      <c r="N12" s="19"/>
      <c r="O12" s="19"/>
    </row>
    <row r="13" spans="1:15">
      <c r="A13" s="1" t="s">
        <v>17</v>
      </c>
      <c r="C13" s="15">
        <f>(C12/$F$9)*$F$11</f>
        <v>1.3980000000000001</v>
      </c>
      <c r="D13" s="15">
        <f>(D12/$F$9)*$F$11</f>
        <v>6.8085000000000004</v>
      </c>
      <c r="F13" s="1">
        <f>(C12/$F$9)</f>
        <v>0.25623754209911331</v>
      </c>
      <c r="G13" s="19"/>
      <c r="J13" s="19"/>
      <c r="K13" s="19"/>
      <c r="L13" s="19"/>
      <c r="M13" s="19"/>
      <c r="N13" s="19"/>
      <c r="O13" s="19"/>
    </row>
    <row r="14" spans="1:15">
      <c r="F14" s="1">
        <f>(D12/$F$9)</f>
        <v>1.2479208193002955</v>
      </c>
      <c r="G14" s="19"/>
      <c r="J14" s="19"/>
      <c r="K14" s="19"/>
      <c r="L14" s="19"/>
      <c r="M14" s="19"/>
      <c r="N14" s="19"/>
      <c r="O14" s="19"/>
    </row>
    <row r="15" spans="1:15">
      <c r="A15" s="1" t="s">
        <v>16</v>
      </c>
      <c r="F15" s="1">
        <v>0.01</v>
      </c>
      <c r="G15" s="19"/>
      <c r="J15" s="19"/>
      <c r="K15" s="19"/>
      <c r="L15" s="19"/>
      <c r="M15" s="19"/>
      <c r="N15" s="19"/>
      <c r="O15" s="19"/>
    </row>
    <row r="16" spans="1:15">
      <c r="A16" s="1" t="s">
        <v>15</v>
      </c>
      <c r="G16" s="19"/>
      <c r="J16" s="19"/>
      <c r="K16" s="19"/>
      <c r="L16" s="19"/>
      <c r="M16" s="19"/>
      <c r="N16" s="19"/>
      <c r="O16" s="19"/>
    </row>
    <row r="17" spans="1:7">
      <c r="C17" s="1" t="s">
        <v>14</v>
      </c>
      <c r="D17" s="1" t="s">
        <v>13</v>
      </c>
    </row>
    <row r="18" spans="1:7">
      <c r="B18" s="1" t="s">
        <v>14</v>
      </c>
      <c r="C18" s="18">
        <f>C6*$F$15</f>
        <v>0.64</v>
      </c>
      <c r="D18" s="18">
        <f>D6*$F$15</f>
        <v>0.40799999999999997</v>
      </c>
    </row>
    <row r="19" spans="1:7">
      <c r="B19" s="1" t="s">
        <v>13</v>
      </c>
      <c r="C19" s="18">
        <f>C7*$F$15</f>
        <v>0.40799999999999997</v>
      </c>
      <c r="D19" s="18">
        <f>D7*$F$15</f>
        <v>2.89</v>
      </c>
    </row>
    <row r="21" spans="1:7" ht="15.75">
      <c r="A21" s="17" t="s">
        <v>12</v>
      </c>
    </row>
    <row r="23" spans="1:7">
      <c r="A23" s="1" t="s">
        <v>11</v>
      </c>
      <c r="F23" s="16">
        <v>0.5</v>
      </c>
    </row>
    <row r="24" spans="1:7" ht="16.5">
      <c r="A24" s="1" t="s">
        <v>10</v>
      </c>
      <c r="F24" s="15">
        <f>C13-D13</f>
        <v>-5.4105000000000008</v>
      </c>
    </row>
    <row r="25" spans="1:7" ht="16.5">
      <c r="A25" s="1" t="s">
        <v>9</v>
      </c>
      <c r="F25" s="15">
        <f>C18+D19-2*C19</f>
        <v>2.7140000000000004</v>
      </c>
    </row>
    <row r="26" spans="1:7" ht="15">
      <c r="A26" s="1" t="s">
        <v>8</v>
      </c>
      <c r="F26" s="15">
        <f>C18-C19</f>
        <v>0.23200000000000004</v>
      </c>
    </row>
    <row r="27" spans="1:7">
      <c r="A27" s="1" t="s">
        <v>7</v>
      </c>
      <c r="F27" s="15">
        <f>C19-D19</f>
        <v>-2.4820000000000002</v>
      </c>
    </row>
    <row r="28" spans="1:7">
      <c r="A28" s="1" t="s">
        <v>6</v>
      </c>
      <c r="F28" s="15">
        <f>F23-F24</f>
        <v>5.9105000000000008</v>
      </c>
    </row>
    <row r="29" spans="1:7">
      <c r="A29" s="1" t="s">
        <v>5</v>
      </c>
    </row>
    <row r="30" spans="1:7" ht="13.5" thickBot="1">
      <c r="A30" s="14" t="s">
        <v>4</v>
      </c>
      <c r="B30" s="13">
        <v>0</v>
      </c>
      <c r="C30" s="13">
        <v>1</v>
      </c>
      <c r="D30" s="7">
        <f>D31^0.5</f>
        <v>1.7320508075688772</v>
      </c>
      <c r="E30" s="7">
        <f>E31^0.5</f>
        <v>3</v>
      </c>
      <c r="F30" s="12">
        <f>F31^0.5</f>
        <v>6</v>
      </c>
    </row>
    <row r="31" spans="1:7">
      <c r="A31" s="11" t="s">
        <v>3</v>
      </c>
      <c r="B31" s="10">
        <v>0</v>
      </c>
      <c r="C31" s="10">
        <v>1.5</v>
      </c>
      <c r="D31" s="10">
        <v>3</v>
      </c>
      <c r="E31" s="10">
        <v>9</v>
      </c>
      <c r="F31" s="10">
        <v>36</v>
      </c>
      <c r="G31" s="9" t="s">
        <v>2</v>
      </c>
    </row>
    <row r="32" spans="1:7" ht="15">
      <c r="A32" s="8" t="s">
        <v>1</v>
      </c>
      <c r="B32" s="7">
        <f>$C$13+$F$28*$F$26/($F$25+B$31)</f>
        <v>1.9032453942520267</v>
      </c>
      <c r="C32" s="7">
        <f>$C$13+$F$28*$F$26/($F$25+C$31)</f>
        <v>1.7234000949216899</v>
      </c>
      <c r="D32" s="7">
        <f>$C$13+$F$28*$F$26/($F$25+D$31)</f>
        <v>1.6379782989149458</v>
      </c>
      <c r="E32" s="7">
        <f>$C$13+$F$28*$F$26/($F$25+E$31)</f>
        <v>1.515059586819191</v>
      </c>
      <c r="F32" s="7">
        <f>$C$13+$F$28*$F$26/($F$25+F$31)</f>
        <v>1.4334196414733689</v>
      </c>
      <c r="G32" s="6">
        <v>1.4</v>
      </c>
    </row>
    <row r="33" spans="1:7" ht="15.75" thickBot="1">
      <c r="A33" s="5" t="s">
        <v>0</v>
      </c>
      <c r="B33" s="4">
        <f>$D$13+$F$28*$F$27/($F$25+B$31)</f>
        <v>1.4032453942520267</v>
      </c>
      <c r="C33" s="4">
        <f>$D$13+$F$28*$F$27/($F$25+C$31)</f>
        <v>3.3272800189843381</v>
      </c>
      <c r="D33" s="4">
        <f>$D$13+$F$28*$F$27/($F$25+D$31)</f>
        <v>4.2411459572978654</v>
      </c>
      <c r="E33" s="4">
        <f>$D$13+$F$28*$F$27/($F$25+E$31)</f>
        <v>5.5561642479084856</v>
      </c>
      <c r="F33" s="4">
        <f>$D$13+$F$28*$F$27/($F$25+F$31)</f>
        <v>6.4295709045823219</v>
      </c>
      <c r="G33" s="3">
        <v>6.81</v>
      </c>
    </row>
  </sheetData>
  <printOptions horizontalCentered="1" headings="1" gridLines="1"/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Spreadsheet 27.1</vt:lpstr>
      <vt:lpstr>Spreadsheet 27.2</vt:lpstr>
      <vt:lpstr>'Spreadsheet 27.2'!Print_Area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Bathurst, Noelle</dc:creator>
  <cp:lastModifiedBy>Bathurst, Noelle</cp:lastModifiedBy>
  <dcterms:created xsi:type="dcterms:W3CDTF">2013-09-05T18:53:28Z</dcterms:created>
  <dcterms:modified xsi:type="dcterms:W3CDTF">2017-05-12T18:21:44Z</dcterms:modified>
</cp:coreProperties>
</file>