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brand\OneDrive\Escritorio\Maestría en finanzas\Tercer Semestre\Mercado de Derivados\Ejercicios\"/>
    </mc:Choice>
  </mc:AlternateContent>
  <xr:revisionPtr revIDLastSave="0" documentId="13_ncr:1_{74BBFCA3-5460-42EA-BD91-3566AAFBDCE9}" xr6:coauthVersionLast="47" xr6:coauthVersionMax="47" xr10:uidLastSave="{00000000-0000-0000-0000-000000000000}"/>
  <bookViews>
    <workbookView xWindow="-108" yWindow="-108" windowWidth="23256" windowHeight="12456" activeTab="3" xr2:uid="{BB82E7EC-3DF7-4877-9804-3BEE8CE4A46D}"/>
  </bookViews>
  <sheets>
    <sheet name="Futuro USD en MexDer" sheetId="1" r:id="rId1"/>
    <sheet name="Futuro MXP en CME" sheetId="2" r:id="rId2"/>
    <sheet name="Futuro corto TIIE" sheetId="3" r:id="rId3"/>
    <sheet name="Futuro largo CETE 91"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4" l="1"/>
  <c r="E11" i="4"/>
  <c r="E12" i="4"/>
  <c r="F10" i="4"/>
  <c r="G10" i="4"/>
  <c r="H10" i="4" s="1"/>
  <c r="F11" i="4" s="1"/>
  <c r="G11" i="4" s="1"/>
  <c r="H11" i="4" s="1"/>
  <c r="F12" i="4" s="1"/>
  <c r="H9" i="4"/>
  <c r="G9" i="4"/>
  <c r="F9" i="4"/>
  <c r="E9" i="4"/>
  <c r="D10" i="4"/>
  <c r="D11" i="4"/>
  <c r="D12" i="4"/>
  <c r="D9" i="4"/>
  <c r="H8" i="4"/>
  <c r="H9" i="3"/>
  <c r="E9" i="3"/>
  <c r="D10" i="3"/>
  <c r="D11" i="3"/>
  <c r="D12" i="3"/>
  <c r="D9" i="3"/>
  <c r="F9" i="3"/>
  <c r="G9" i="3" s="1"/>
  <c r="H8" i="3"/>
  <c r="G8" i="3"/>
  <c r="F10" i="2"/>
  <c r="F9" i="2"/>
  <c r="H8" i="2"/>
  <c r="G9" i="2"/>
  <c r="H9" i="2" s="1"/>
  <c r="G8" i="2"/>
  <c r="E11" i="2"/>
  <c r="E12" i="2"/>
  <c r="E13" i="2"/>
  <c r="E14" i="2"/>
  <c r="E15" i="2"/>
  <c r="E10" i="2"/>
  <c r="E9" i="2"/>
  <c r="D10" i="2"/>
  <c r="D11" i="2"/>
  <c r="D12" i="2"/>
  <c r="D13" i="2"/>
  <c r="D14" i="2"/>
  <c r="D15" i="2"/>
  <c r="D9" i="2"/>
  <c r="F8" i="2"/>
  <c r="P7" i="1"/>
  <c r="P8" i="1"/>
  <c r="P9" i="1"/>
  <c r="P10" i="1"/>
  <c r="P11" i="1"/>
  <c r="P12" i="1"/>
  <c r="P13" i="1"/>
  <c r="P6" i="1"/>
  <c r="O7" i="1"/>
  <c r="O8" i="1"/>
  <c r="O9" i="1"/>
  <c r="O10" i="1"/>
  <c r="O11" i="1"/>
  <c r="O12" i="1"/>
  <c r="O13" i="1"/>
  <c r="O6" i="1"/>
  <c r="N9" i="1"/>
  <c r="N10" i="1"/>
  <c r="N11" i="1"/>
  <c r="N12" i="1"/>
  <c r="N13" i="1"/>
  <c r="N8" i="1"/>
  <c r="N7" i="1"/>
  <c r="N6" i="1"/>
  <c r="M8" i="1"/>
  <c r="M9" i="1"/>
  <c r="M10" i="1"/>
  <c r="M11" i="1"/>
  <c r="M12" i="1"/>
  <c r="M13" i="1"/>
  <c r="M7" i="1"/>
  <c r="L8" i="1"/>
  <c r="L9" i="1"/>
  <c r="L10" i="1"/>
  <c r="L11" i="1"/>
  <c r="L12" i="1"/>
  <c r="L13" i="1"/>
  <c r="L7" i="1"/>
  <c r="F8" i="1"/>
  <c r="H8" i="1" s="1"/>
  <c r="H9" i="1"/>
  <c r="H10" i="1"/>
  <c r="H11" i="1"/>
  <c r="H12" i="1"/>
  <c r="H13" i="1"/>
  <c r="H7" i="1"/>
  <c r="G7" i="1"/>
  <c r="G8" i="1"/>
  <c r="G9" i="1"/>
  <c r="G10" i="1"/>
  <c r="G11" i="1"/>
  <c r="G12" i="1"/>
  <c r="G13" i="1"/>
  <c r="G6" i="1"/>
  <c r="D8" i="1"/>
  <c r="D9" i="1"/>
  <c r="E10" i="1" s="1"/>
  <c r="D10" i="1"/>
  <c r="D11" i="1"/>
  <c r="D12" i="1"/>
  <c r="D13" i="1"/>
  <c r="D7" i="1"/>
  <c r="G12" i="4" l="1"/>
  <c r="H12" i="4" s="1"/>
  <c r="E10" i="3"/>
  <c r="E11" i="3"/>
  <c r="E12" i="3"/>
  <c r="F10" i="3"/>
  <c r="G10" i="3" s="1"/>
  <c r="H10" i="3" s="1"/>
  <c r="G10" i="2"/>
  <c r="H10" i="2" s="1"/>
  <c r="E9" i="1"/>
  <c r="E8" i="1"/>
  <c r="E11" i="1"/>
  <c r="E7" i="1"/>
  <c r="E13" i="1"/>
  <c r="E12" i="1"/>
  <c r="F11" i="3" l="1"/>
  <c r="G11" i="3" s="1"/>
  <c r="H11" i="3" s="1"/>
  <c r="F12" i="3" s="1"/>
  <c r="G12" i="3" s="1"/>
  <c r="H12" i="3" s="1"/>
  <c r="F11" i="2"/>
  <c r="G11" i="2" s="1"/>
  <c r="H11" i="2" s="1"/>
  <c r="F7" i="1"/>
  <c r="F9" i="1"/>
  <c r="F10" i="1"/>
  <c r="F11" i="1"/>
  <c r="F13" i="1"/>
  <c r="F12" i="1"/>
  <c r="F12" i="2" l="1"/>
  <c r="G12" i="2" s="1"/>
  <c r="H12" i="2" s="1"/>
  <c r="F13" i="2" l="1"/>
  <c r="G13" i="2" s="1"/>
  <c r="H13" i="2" s="1"/>
  <c r="F14" i="2" l="1"/>
  <c r="G14" i="2" s="1"/>
  <c r="H14" i="2" s="1"/>
  <c r="G15" i="2" l="1"/>
  <c r="H15" i="2" s="1"/>
  <c r="F15" i="2"/>
</calcChain>
</file>

<file path=xl/sharedStrings.xml><?xml version="1.0" encoding="utf-8"?>
<sst xmlns="http://schemas.openxmlformats.org/spreadsheetml/2006/main" count="59" uniqueCount="26">
  <si>
    <t>Día</t>
  </si>
  <si>
    <t>Saldo en la cuenta de margen</t>
  </si>
  <si>
    <t>Llamada de margen</t>
  </si>
  <si>
    <t>Saldo en cuenta de margen después de llamada</t>
  </si>
  <si>
    <t>Pérdida/ganancia diaria</t>
  </si>
  <si>
    <t>Pérdida/ganancia acumulada</t>
  </si>
  <si>
    <r>
      <t xml:space="preserve">Un inversionista abrió el día de hoy una posición </t>
    </r>
    <r>
      <rPr>
        <b/>
        <sz val="11"/>
        <color theme="1"/>
        <rFont val="Calibri"/>
        <family val="2"/>
        <scheme val="minor"/>
      </rPr>
      <t>larga</t>
    </r>
    <r>
      <rPr>
        <sz val="11"/>
        <color theme="1"/>
        <rFont val="Calibri"/>
        <family val="2"/>
        <scheme val="minor"/>
      </rPr>
      <t xml:space="preserve"> en un contrato de futuros del dólar con vencimiento en mayo de 2022 y precio de entrega $21.20 pesos por dólar.  Cada contrato es para la compra de USD$10,000.00.  El margen inicial es de $10,000.00 (diez mil pesos) y el de mantenimiento es de 5,000.00 (cinco mil pesos).   Si al cierre de cada uno de los siguientes días el dólar para entrega en mayo de 2022 toma los precios futuros que se indican ¿Cuál será la variación en la cuenta de margen de este inversionista?  Indicar en qué momento recibirá una llamada de margen y cuál es el importe que se le requerirá depositar en ella</t>
    </r>
  </si>
  <si>
    <r>
      <t xml:space="preserve">Un inversionista abrió el día de hoy una posición </t>
    </r>
    <r>
      <rPr>
        <b/>
        <sz val="11"/>
        <color theme="1"/>
        <rFont val="Calibri"/>
        <family val="2"/>
        <scheme val="minor"/>
      </rPr>
      <t>corta</t>
    </r>
    <r>
      <rPr>
        <sz val="11"/>
        <color theme="1"/>
        <rFont val="Calibri"/>
        <family val="2"/>
        <scheme val="minor"/>
      </rPr>
      <t xml:space="preserve"> en un contrato de futuros del dólar con vencimiento en marzo de 2022 y precio de entrega $21.15 pesos por dólar.  Cada contrato es para la compra de USD$10,000.00.  El margen inicial es de $10,000.00 (diez mil pesos) y el de mantenimiento es de 5,000.00 (cinco mil pesos).   Si al cierre de cada uno de los siguientes días el dólar para entrega en marzo de 2022 toma los precios futuros que se indican ¿Cuál será la variación en la cuenta de margen de este inversionista?  Indicar en qué momento recibirá una llamada de margen y cuál es el importe que se le requerirá depositar en ella:</t>
    </r>
  </si>
  <si>
    <t>Precio futuro (cierre del dia)</t>
  </si>
  <si>
    <t>Pérdida/ ganancia</t>
  </si>
  <si>
    <t>Ganancia / Pérdida acumulada</t>
  </si>
  <si>
    <t>Diaria (USD)</t>
  </si>
  <si>
    <t>Precio futuro del peso (USD)</t>
  </si>
  <si>
    <t>Cifras en USD</t>
  </si>
  <si>
    <t xml:space="preserve">Si una empresa que importa insumos ha decidido el 1º de septiembre de 2018 cubrir su riesgo cambiario en el CME Group, tendrá que adoptar una posición corta en un contrato de futuro (vender pesos y recibir dólares) para entrega en diciembre de 2018.  Si el precio futuro del peso que cerró esta empresa es USD$0.0533 por peso, el contrato es por $500,000 pesos mexicanos, el margen inicial es de USD$5,000.00 y el de mantenimiento es de USD$3,000.00   ¿Cuáles son los movimientos en la cuenta de margen? </t>
  </si>
  <si>
    <t>Precio futuro</t>
  </si>
  <si>
    <t>diaria</t>
  </si>
  <si>
    <t>Ganancia acumulada</t>
  </si>
  <si>
    <t>Saldo en la cta de margen</t>
  </si>
  <si>
    <t>Saldo en cta de margen después de llamada</t>
  </si>
  <si>
    <t>El 27 de agosto de 2018 un inversionista desea cubrirse contra posibles bajas en las tasas de interés, por lo que decide emplear futuros del CETE 91 con vencimiento el 17 de octubre de 2018, con lo que fijará una tasa de 7.80% para su inversión de $2,000,000 (pero ahora por 91 días contados a partir del vencimiento del contrato en octubre). 
Asumiendo que en los días siguientes a la compra del contrato se observan las siguientes tasas futuras para CETES 91 ¿Cuál será el cargo o abono en la cuenta de margen de este inversionista?  Cada contrato es por $100,000 pesos (10,000 CETES) y el margen inicial por contrato es de $2,400 y el de mantenimiento es de $1,800.</t>
  </si>
  <si>
    <r>
      <t xml:space="preserve">El 27 de agosto de 2018 un </t>
    </r>
    <r>
      <rPr>
        <b/>
        <sz val="14"/>
        <color rgb="FF000000"/>
        <rFont val="Calibri"/>
        <family val="2"/>
        <scheme val="minor"/>
      </rPr>
      <t xml:space="preserve">deudor que desea cubrirse contra posibles alzas en las tasas de interés </t>
    </r>
    <r>
      <rPr>
        <sz val="14"/>
        <color rgb="FF000000"/>
        <rFont val="Calibri"/>
        <family val="2"/>
        <scheme val="minor"/>
      </rPr>
      <t xml:space="preserve">decide usar los futuros de la TIIE 28 con plazo 55 días, por lo que </t>
    </r>
    <r>
      <rPr>
        <b/>
        <sz val="14"/>
        <color rgb="FF000000"/>
        <rFont val="Calibri"/>
        <family val="2"/>
        <scheme val="minor"/>
      </rPr>
      <t xml:space="preserve">adopta una posición corta en un futuro </t>
    </r>
    <r>
      <rPr>
        <sz val="14"/>
        <color rgb="FF000000"/>
        <rFont val="Calibri"/>
        <family val="2"/>
        <scheme val="minor"/>
      </rPr>
      <t xml:space="preserve">con una tasa de </t>
    </r>
    <r>
      <rPr>
        <b/>
        <sz val="14"/>
        <color rgb="FF000000"/>
        <rFont val="Calibri"/>
        <family val="2"/>
        <scheme val="minor"/>
      </rPr>
      <t xml:space="preserve">8.17%. </t>
    </r>
    <r>
      <rPr>
        <sz val="14"/>
        <color rgb="FF000000"/>
        <rFont val="Calibri"/>
        <family val="2"/>
        <scheme val="minor"/>
      </rPr>
      <t>El importe nominal del contrato es por $100,000 pesos, el margen inicial es de $945 y el de mantenimiento es de $700. Asumiendo que en los días posteriores a la venta del contrato se observan las siguientes tasas futuras para la TIIE 28 ¿Cuál será el cargo o abono en la cuenta de margen de este deudor?</t>
    </r>
  </si>
  <si>
    <t>Margen de mnto</t>
  </si>
  <si>
    <t>Magen inicial</t>
  </si>
  <si>
    <t>Tmño contrato</t>
  </si>
  <si>
    <t>Tmño contrato (nominal)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</si>
</sst>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_-* #,##0.0000_-;\-* #,##0.0000_-;_-* &quot;-&quot;??_-;_-@_-"/>
    <numFmt numFmtId="165" formatCode="_-* #,##0_-;\-* #,##0_-;_-* &quot;-&quot;??_-;_-@_-"/>
  </numFmts>
  <fonts count="13" x14ac:knownFonts="1">
    <font>
      <sz val="11"/>
      <color theme="1"/>
      <name val="Calibri"/>
      <family val="2"/>
      <scheme val="minor"/>
    </font>
    <font>
      <b/>
      <sz val="11"/>
      <color theme="1"/>
      <name val="Calibri"/>
      <family val="2"/>
      <scheme val="minor"/>
    </font>
    <font>
      <sz val="11"/>
      <color theme="1"/>
      <name val="Times New Roman"/>
      <family val="1"/>
    </font>
    <font>
      <sz val="12"/>
      <color theme="1"/>
      <name val="Times New Roman"/>
      <family val="1"/>
    </font>
    <font>
      <sz val="11"/>
      <color theme="1"/>
      <name val="Calibri"/>
      <family val="2"/>
      <scheme val="minor"/>
    </font>
    <font>
      <b/>
      <sz val="13"/>
      <color rgb="FF000000"/>
      <name val="Arial"/>
      <family val="2"/>
    </font>
    <font>
      <sz val="14"/>
      <color rgb="FF000000"/>
      <name val="Arial"/>
      <family val="2"/>
    </font>
    <font>
      <sz val="12"/>
      <color rgb="FF000000"/>
      <name val="Verdana"/>
      <family val="2"/>
    </font>
    <font>
      <sz val="12"/>
      <color theme="1"/>
      <name val="Calibri"/>
      <family val="2"/>
      <scheme val="minor"/>
    </font>
    <font>
      <sz val="14"/>
      <color rgb="FF000000"/>
      <name val="Calibri"/>
      <family val="2"/>
      <scheme val="minor"/>
    </font>
    <font>
      <b/>
      <sz val="14"/>
      <color rgb="FF000000"/>
      <name val="Calibri"/>
      <family val="2"/>
      <scheme val="minor"/>
    </font>
    <font>
      <b/>
      <sz val="14"/>
      <color rgb="FF000000"/>
      <name val="Arial"/>
      <family val="2"/>
    </font>
    <font>
      <sz val="14"/>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4" fillId="0" borderId="0" applyFont="0" applyFill="0" applyBorder="0" applyAlignment="0" applyProtection="0"/>
    <xf numFmtId="44" fontId="4" fillId="0" borderId="0" applyFont="0" applyFill="0" applyBorder="0" applyAlignment="0" applyProtection="0"/>
  </cellStyleXfs>
  <cellXfs count="25">
    <xf numFmtId="0" fontId="0" fillId="0" borderId="0" xfId="0"/>
    <xf numFmtId="0" fontId="1" fillId="0" borderId="0" xfId="0" applyFont="1"/>
    <xf numFmtId="0" fontId="7" fillId="0" borderId="0" xfId="0" applyFont="1" applyAlignment="1">
      <alignment horizontal="left" vertical="top" wrapText="1" readingOrder="1"/>
    </xf>
    <xf numFmtId="0" fontId="7" fillId="0" borderId="0" xfId="0" applyFont="1" applyAlignment="1">
      <alignment vertical="center" readingOrder="1"/>
    </xf>
    <xf numFmtId="0" fontId="9" fillId="0" borderId="0" xfId="0" applyFont="1" applyAlignment="1">
      <alignment horizontal="left" vertical="top" wrapText="1" readingOrder="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43" fontId="3" fillId="0" borderId="1" xfId="1" applyFont="1" applyBorder="1" applyAlignment="1">
      <alignment horizontal="right" vertical="center" wrapText="1"/>
    </xf>
    <xf numFmtId="0" fontId="5" fillId="0" borderId="1" xfId="0" applyFont="1" applyBorder="1" applyAlignment="1">
      <alignment horizontal="center" vertical="center" wrapText="1" readingOrder="1"/>
    </xf>
    <xf numFmtId="0" fontId="6" fillId="0" borderId="1" xfId="0" applyFont="1" applyBorder="1" applyAlignment="1">
      <alignment horizontal="left" vertical="center" wrapText="1" readingOrder="1"/>
    </xf>
    <xf numFmtId="164" fontId="6" fillId="0" borderId="1" xfId="1" applyNumberFormat="1" applyFont="1" applyBorder="1" applyAlignment="1">
      <alignment horizontal="right" vertical="center" wrapText="1" readingOrder="1"/>
    </xf>
    <xf numFmtId="43" fontId="3" fillId="0" borderId="1" xfId="1" applyFont="1" applyBorder="1" applyAlignment="1">
      <alignment horizontal="center" vertical="center" wrapText="1"/>
    </xf>
    <xf numFmtId="10" fontId="11" fillId="0" borderId="1" xfId="0" applyNumberFormat="1" applyFont="1" applyBorder="1" applyAlignment="1">
      <alignment horizontal="right" vertical="center" wrapText="1" readingOrder="1"/>
    </xf>
    <xf numFmtId="43" fontId="12" fillId="0" borderId="1" xfId="1" applyFont="1" applyBorder="1" applyAlignment="1">
      <alignment horizontal="right" vertical="top" wrapText="1"/>
    </xf>
    <xf numFmtId="0" fontId="6" fillId="0" borderId="1" xfId="0" applyFont="1" applyBorder="1" applyAlignment="1">
      <alignment horizontal="center" vertical="center" wrapText="1" readingOrder="1"/>
    </xf>
    <xf numFmtId="0" fontId="0" fillId="0" borderId="0" xfId="0" applyAlignment="1">
      <alignment horizontal="left" wrapText="1"/>
    </xf>
    <xf numFmtId="43" fontId="6" fillId="0" borderId="1" xfId="1" applyFont="1" applyBorder="1" applyAlignment="1">
      <alignment horizontal="right" vertical="center" wrapText="1" readingOrder="1"/>
    </xf>
    <xf numFmtId="165" fontId="0" fillId="0" borderId="0" xfId="1" applyNumberFormat="1" applyFont="1"/>
    <xf numFmtId="0" fontId="0" fillId="0" borderId="0" xfId="0" applyAlignment="1">
      <alignment wrapText="1"/>
    </xf>
    <xf numFmtId="44" fontId="3" fillId="0" borderId="1" xfId="2" applyFont="1" applyBorder="1" applyAlignment="1">
      <alignment horizontal="right" vertical="center" wrapText="1"/>
    </xf>
    <xf numFmtId="0" fontId="0" fillId="0" borderId="0" xfId="0" applyAlignment="1">
      <alignment horizontal="left" wrapText="1"/>
    </xf>
    <xf numFmtId="0" fontId="5" fillId="0" borderId="1" xfId="0" applyFont="1" applyBorder="1" applyAlignment="1">
      <alignment horizontal="center" vertical="center" wrapText="1" readingOrder="1"/>
    </xf>
    <xf numFmtId="0" fontId="8" fillId="0" borderId="0" xfId="0" applyFont="1" applyAlignment="1">
      <alignment horizontal="left" vertical="center" wrapText="1"/>
    </xf>
    <xf numFmtId="0" fontId="9" fillId="0" borderId="0" xfId="0" applyFont="1" applyAlignment="1">
      <alignment horizontal="left" vertical="top" wrapText="1" readingOrder="1"/>
    </xf>
    <xf numFmtId="2" fontId="12" fillId="0" borderId="1" xfId="1" applyNumberFormat="1" applyFont="1" applyBorder="1" applyAlignment="1">
      <alignment horizontal="right" vertical="top" wrapText="1"/>
    </xf>
  </cellXfs>
  <cellStyles count="3">
    <cellStyle name="Millares" xfId="1" builtinId="3"/>
    <cellStyle name="Moneda"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BE78B-B3C9-4970-BCAE-34DE0A9B0E3B}">
  <dimension ref="B2:P13"/>
  <sheetViews>
    <sheetView zoomScale="90" zoomScaleNormal="90" workbookViewId="0">
      <selection activeCell="M4" sqref="M4"/>
    </sheetView>
  </sheetViews>
  <sheetFormatPr baseColWidth="10" defaultRowHeight="14.4" x14ac:dyDescent="0.3"/>
  <cols>
    <col min="1" max="1" width="4.6640625" customWidth="1"/>
    <col min="3" max="3" width="13.109375" customWidth="1"/>
    <col min="4" max="4" width="15.88671875" customWidth="1"/>
    <col min="5" max="5" width="16.109375" customWidth="1"/>
    <col min="6" max="6" width="15.33203125" customWidth="1"/>
    <col min="7" max="7" width="14.33203125" customWidth="1"/>
    <col min="8" max="8" width="18.44140625" customWidth="1"/>
    <col min="10" max="10" width="13.88671875" bestFit="1" customWidth="1"/>
    <col min="11" max="11" width="13.6640625" customWidth="1"/>
    <col min="12" max="12" width="16.6640625" customWidth="1"/>
    <col min="13" max="13" width="15.33203125" customWidth="1"/>
    <col min="14" max="14" width="15" customWidth="1"/>
    <col min="15" max="15" width="15.109375" customWidth="1"/>
    <col min="16" max="16" width="16.88671875" customWidth="1"/>
  </cols>
  <sheetData>
    <row r="2" spans="2:16" ht="94.5" customHeight="1" x14ac:dyDescent="0.3">
      <c r="B2" s="20" t="s">
        <v>6</v>
      </c>
      <c r="C2" s="20"/>
      <c r="D2" s="20"/>
      <c r="E2" s="20"/>
      <c r="F2" s="20"/>
      <c r="G2" s="20"/>
      <c r="H2" s="20"/>
      <c r="J2" s="20" t="s">
        <v>7</v>
      </c>
      <c r="K2" s="20"/>
      <c r="L2" s="20"/>
      <c r="M2" s="20"/>
      <c r="N2" s="20"/>
      <c r="O2" s="20"/>
      <c r="P2" s="20"/>
    </row>
    <row r="3" spans="2:16" x14ac:dyDescent="0.3">
      <c r="B3" s="15"/>
      <c r="C3" s="15"/>
      <c r="D3" s="15"/>
      <c r="E3" s="15"/>
      <c r="F3" s="15"/>
      <c r="G3" s="15"/>
      <c r="H3" s="15"/>
      <c r="J3" s="15"/>
      <c r="K3" s="15"/>
      <c r="L3" s="15"/>
      <c r="M3" s="15"/>
      <c r="N3" s="15"/>
      <c r="O3" s="15"/>
      <c r="P3" s="15"/>
    </row>
    <row r="4" spans="2:16" x14ac:dyDescent="0.3">
      <c r="B4" t="s">
        <v>24</v>
      </c>
      <c r="C4" s="17">
        <v>10000</v>
      </c>
      <c r="D4" t="s">
        <v>22</v>
      </c>
      <c r="E4" s="17">
        <v>5000</v>
      </c>
      <c r="F4" t="s">
        <v>23</v>
      </c>
      <c r="G4">
        <v>10000</v>
      </c>
      <c r="H4" s="17"/>
      <c r="J4" t="s">
        <v>24</v>
      </c>
      <c r="K4" s="17">
        <v>10000</v>
      </c>
      <c r="L4" t="s">
        <v>22</v>
      </c>
      <c r="M4" s="17">
        <v>5000</v>
      </c>
      <c r="N4" t="s">
        <v>23</v>
      </c>
      <c r="O4">
        <v>10000</v>
      </c>
    </row>
    <row r="5" spans="2:16" ht="41.4" x14ac:dyDescent="0.3">
      <c r="B5" s="5" t="s">
        <v>0</v>
      </c>
      <c r="C5" s="5" t="s">
        <v>8</v>
      </c>
      <c r="D5" s="5" t="s">
        <v>4</v>
      </c>
      <c r="E5" s="5" t="s">
        <v>5</v>
      </c>
      <c r="F5" s="5" t="s">
        <v>1</v>
      </c>
      <c r="G5" s="5" t="s">
        <v>2</v>
      </c>
      <c r="H5" s="5" t="s">
        <v>3</v>
      </c>
      <c r="J5" s="5" t="s">
        <v>0</v>
      </c>
      <c r="K5" s="5" t="s">
        <v>8</v>
      </c>
      <c r="L5" s="5" t="s">
        <v>4</v>
      </c>
      <c r="M5" s="5" t="s">
        <v>5</v>
      </c>
      <c r="N5" s="5" t="s">
        <v>1</v>
      </c>
      <c r="O5" s="5" t="s">
        <v>2</v>
      </c>
      <c r="P5" s="5" t="s">
        <v>3</v>
      </c>
    </row>
    <row r="6" spans="2:16" ht="15.6" x14ac:dyDescent="0.3">
      <c r="B6" s="6">
        <v>0</v>
      </c>
      <c r="C6" s="11">
        <v>21.2</v>
      </c>
      <c r="D6" s="7"/>
      <c r="E6" s="7"/>
      <c r="F6" s="19">
        <v>10000</v>
      </c>
      <c r="G6" s="7" t="str">
        <f>IF(F6&lt;=$E$4,ABS($C$4-F6),"0")</f>
        <v>0</v>
      </c>
      <c r="H6" s="7">
        <v>10000</v>
      </c>
      <c r="J6" s="6">
        <v>0</v>
      </c>
      <c r="K6" s="11">
        <v>21.15</v>
      </c>
      <c r="L6" s="7"/>
      <c r="M6" s="7"/>
      <c r="N6" s="7">
        <f>O4</f>
        <v>10000</v>
      </c>
      <c r="O6" s="7">
        <f>IF(N6&lt;$M$4,ABS($O$4-N6),0)</f>
        <v>0</v>
      </c>
      <c r="P6" s="7">
        <f>O6+N6</f>
        <v>10000</v>
      </c>
    </row>
    <row r="7" spans="2:16" ht="15.6" x14ac:dyDescent="0.3">
      <c r="B7" s="6">
        <v>1</v>
      </c>
      <c r="C7" s="11">
        <v>21.15</v>
      </c>
      <c r="D7" s="7">
        <f>(C7-C6)*10000</f>
        <v>-500.00000000000711</v>
      </c>
      <c r="E7" s="7">
        <f>SUM($D$6:D7)</f>
        <v>-500.00000000000711</v>
      </c>
      <c r="F7" s="7">
        <f>SUM($E$7:E7)+$F$6</f>
        <v>9499.9999999999927</v>
      </c>
      <c r="G7" s="7" t="str">
        <f t="shared" ref="G7:G13" si="0">IF(F7&lt;=$E$4,ABS($C$4-F7),"0")</f>
        <v>0</v>
      </c>
      <c r="H7" s="7">
        <f>F7+G7</f>
        <v>9499.9999999999927</v>
      </c>
      <c r="J7" s="6">
        <v>1</v>
      </c>
      <c r="K7" s="11">
        <v>21.2</v>
      </c>
      <c r="L7" s="7">
        <f>(K6-K7)*$K$4</f>
        <v>-500.00000000000711</v>
      </c>
      <c r="M7" s="7">
        <f>SUM($L$6:L7)</f>
        <v>-500.00000000000711</v>
      </c>
      <c r="N7" s="7">
        <f>$O$4+M7</f>
        <v>9499.9999999999927</v>
      </c>
      <c r="O7" s="7">
        <f t="shared" ref="O7:O13" si="1">IF(N7&lt;$M$4,ABS($O$4-N7),0)</f>
        <v>0</v>
      </c>
      <c r="P7" s="7">
        <f t="shared" ref="P7:P13" si="2">O7+N7</f>
        <v>9499.9999999999927</v>
      </c>
    </row>
    <row r="8" spans="2:16" ht="15.6" x14ac:dyDescent="0.3">
      <c r="B8" s="6">
        <v>2</v>
      </c>
      <c r="C8" s="11">
        <v>21</v>
      </c>
      <c r="D8" s="7">
        <f t="shared" ref="D8:D13" si="3">(C8-C7)*10000</f>
        <v>-1499.9999999999859</v>
      </c>
      <c r="E8" s="7">
        <f>SUM($D$6:D8)</f>
        <v>-1999.999999999993</v>
      </c>
      <c r="F8" s="7">
        <f>SUM($E$7:E8)+$F$6</f>
        <v>7500</v>
      </c>
      <c r="G8" s="7" t="str">
        <f t="shared" si="0"/>
        <v>0</v>
      </c>
      <c r="H8" s="7">
        <f t="shared" ref="H8:H13" si="4">F8+G8</f>
        <v>7500</v>
      </c>
      <c r="J8" s="6">
        <v>2</v>
      </c>
      <c r="K8" s="11">
        <v>21</v>
      </c>
      <c r="L8" s="7">
        <f t="shared" ref="L8:L13" si="5">(K7-K8)*$K$4</f>
        <v>1999.999999999993</v>
      </c>
      <c r="M8" s="7">
        <f>SUM($L$6:L8)</f>
        <v>1499.9999999999859</v>
      </c>
      <c r="N8" s="7">
        <f>$O$4+M8</f>
        <v>11499.999999999985</v>
      </c>
      <c r="O8" s="7">
        <f t="shared" si="1"/>
        <v>0</v>
      </c>
      <c r="P8" s="7">
        <f t="shared" si="2"/>
        <v>11499.999999999985</v>
      </c>
    </row>
    <row r="9" spans="2:16" ht="15.6" x14ac:dyDescent="0.3">
      <c r="B9" s="6">
        <v>3</v>
      </c>
      <c r="C9" s="11">
        <v>21.05</v>
      </c>
      <c r="D9" s="7">
        <f t="shared" si="3"/>
        <v>500.00000000000711</v>
      </c>
      <c r="E9" s="7">
        <f>SUM($D$6:D9)</f>
        <v>-1499.9999999999859</v>
      </c>
      <c r="F9" s="7">
        <f>SUM($E$7:E9)+$F$6</f>
        <v>6000.0000000000146</v>
      </c>
      <c r="G9" s="7" t="str">
        <f t="shared" si="0"/>
        <v>0</v>
      </c>
      <c r="H9" s="7">
        <f t="shared" si="4"/>
        <v>6000.0000000000146</v>
      </c>
      <c r="J9" s="6">
        <v>3</v>
      </c>
      <c r="K9" s="11">
        <v>20.05</v>
      </c>
      <c r="L9" s="7">
        <f t="shared" si="5"/>
        <v>9499.9999999999927</v>
      </c>
      <c r="M9" s="7">
        <f>SUM($L$6:L9)</f>
        <v>10999.999999999978</v>
      </c>
      <c r="N9" s="7">
        <f t="shared" ref="N9:N13" si="6">$O$4+M9</f>
        <v>20999.999999999978</v>
      </c>
      <c r="O9" s="7">
        <f t="shared" si="1"/>
        <v>0</v>
      </c>
      <c r="P9" s="7">
        <f t="shared" si="2"/>
        <v>20999.999999999978</v>
      </c>
    </row>
    <row r="10" spans="2:16" ht="15.6" x14ac:dyDescent="0.3">
      <c r="B10" s="6">
        <v>4</v>
      </c>
      <c r="C10" s="11">
        <v>21.9</v>
      </c>
      <c r="D10" s="7">
        <f t="shared" si="3"/>
        <v>8499.9999999999782</v>
      </c>
      <c r="E10" s="7">
        <f>SUM($D$6:D10)</f>
        <v>6999.9999999999927</v>
      </c>
      <c r="F10" s="7">
        <f>SUM($E$7:E10)+$F$6</f>
        <v>13000.000000000007</v>
      </c>
      <c r="G10" s="7" t="str">
        <f t="shared" si="0"/>
        <v>0</v>
      </c>
      <c r="H10" s="7">
        <f t="shared" si="4"/>
        <v>13000.000000000007</v>
      </c>
      <c r="J10" s="6">
        <v>4</v>
      </c>
      <c r="K10" s="11">
        <v>20.9</v>
      </c>
      <c r="L10" s="7">
        <f t="shared" si="5"/>
        <v>-8499.9999999999782</v>
      </c>
      <c r="M10" s="7">
        <f>SUM($L$6:L10)</f>
        <v>2500</v>
      </c>
      <c r="N10" s="7">
        <f t="shared" si="6"/>
        <v>12500</v>
      </c>
      <c r="O10" s="7">
        <f t="shared" si="1"/>
        <v>0</v>
      </c>
      <c r="P10" s="7">
        <f t="shared" si="2"/>
        <v>12500</v>
      </c>
    </row>
    <row r="11" spans="2:16" ht="15.6" x14ac:dyDescent="0.3">
      <c r="B11" s="6">
        <v>5</v>
      </c>
      <c r="C11" s="11">
        <v>21.8</v>
      </c>
      <c r="D11" s="7">
        <f t="shared" si="3"/>
        <v>-999.99999999997863</v>
      </c>
      <c r="E11" s="7">
        <f>SUM($D$6:D11)</f>
        <v>6000.0000000000146</v>
      </c>
      <c r="F11" s="7">
        <f>SUM($E$7:E11)+$F$6</f>
        <v>19000.000000000022</v>
      </c>
      <c r="G11" s="7" t="str">
        <f t="shared" si="0"/>
        <v>0</v>
      </c>
      <c r="H11" s="7">
        <f t="shared" si="4"/>
        <v>19000.000000000022</v>
      </c>
      <c r="J11" s="6">
        <v>5</v>
      </c>
      <c r="K11" s="11">
        <v>20.8</v>
      </c>
      <c r="L11" s="7">
        <f t="shared" si="5"/>
        <v>999.99999999997863</v>
      </c>
      <c r="M11" s="7">
        <f>SUM($L$6:L11)</f>
        <v>3499.9999999999786</v>
      </c>
      <c r="N11" s="7">
        <f t="shared" si="6"/>
        <v>13499.999999999978</v>
      </c>
      <c r="O11" s="7">
        <f t="shared" si="1"/>
        <v>0</v>
      </c>
      <c r="P11" s="7">
        <f t="shared" si="2"/>
        <v>13499.999999999978</v>
      </c>
    </row>
    <row r="12" spans="2:16" ht="15.6" x14ac:dyDescent="0.3">
      <c r="B12" s="6">
        <v>6</v>
      </c>
      <c r="C12" s="11">
        <v>21.1</v>
      </c>
      <c r="D12" s="7">
        <f t="shared" si="3"/>
        <v>-6999.9999999999927</v>
      </c>
      <c r="E12" s="7">
        <f>SUM($D$6:D12)</f>
        <v>-999.99999999997817</v>
      </c>
      <c r="F12" s="7">
        <f>SUM($E$7:E12)+$F$6</f>
        <v>18000.000000000044</v>
      </c>
      <c r="G12" s="7" t="str">
        <f t="shared" si="0"/>
        <v>0</v>
      </c>
      <c r="H12" s="7">
        <f t="shared" si="4"/>
        <v>18000.000000000044</v>
      </c>
      <c r="J12" s="6">
        <v>6</v>
      </c>
      <c r="K12" s="11">
        <v>21.8</v>
      </c>
      <c r="L12" s="7">
        <f t="shared" si="5"/>
        <v>-10000</v>
      </c>
      <c r="M12" s="7">
        <f>SUM($L$6:L12)</f>
        <v>-6500.0000000000218</v>
      </c>
      <c r="N12" s="7">
        <f t="shared" si="6"/>
        <v>3499.9999999999782</v>
      </c>
      <c r="O12" s="7">
        <f t="shared" si="1"/>
        <v>6500.0000000000218</v>
      </c>
      <c r="P12" s="7">
        <f t="shared" si="2"/>
        <v>10000</v>
      </c>
    </row>
    <row r="13" spans="2:16" ht="15.6" x14ac:dyDescent="0.3">
      <c r="B13" s="6">
        <v>7</v>
      </c>
      <c r="C13" s="11">
        <v>21.2</v>
      </c>
      <c r="D13" s="7">
        <f t="shared" si="3"/>
        <v>999.99999999997863</v>
      </c>
      <c r="E13" s="7">
        <f>SUM($D$6:D13)</f>
        <v>0</v>
      </c>
      <c r="F13" s="7">
        <f>SUM($E$7:E13)+$F$6</f>
        <v>18000.000000000044</v>
      </c>
      <c r="G13" s="7" t="str">
        <f t="shared" si="0"/>
        <v>0</v>
      </c>
      <c r="H13" s="7">
        <f t="shared" si="4"/>
        <v>18000.000000000044</v>
      </c>
      <c r="J13" s="6">
        <v>7</v>
      </c>
      <c r="K13" s="11">
        <v>21.15</v>
      </c>
      <c r="L13" s="7">
        <f t="shared" si="5"/>
        <v>6500.0000000000209</v>
      </c>
      <c r="M13" s="7">
        <f>SUM($L$6:L13)</f>
        <v>0</v>
      </c>
      <c r="N13" s="7">
        <f t="shared" si="6"/>
        <v>10000</v>
      </c>
      <c r="O13" s="7">
        <f t="shared" si="1"/>
        <v>0</v>
      </c>
      <c r="P13" s="7">
        <f t="shared" si="2"/>
        <v>10000</v>
      </c>
    </row>
  </sheetData>
  <mergeCells count="2">
    <mergeCell ref="J2:P2"/>
    <mergeCell ref="B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5292E-7D95-444A-8494-8FC1FA946AF3}">
  <dimension ref="B3:H16"/>
  <sheetViews>
    <sheetView zoomScale="80" zoomScaleNormal="80" workbookViewId="0">
      <selection activeCell="H9" sqref="H9"/>
    </sheetView>
  </sheetViews>
  <sheetFormatPr baseColWidth="10" defaultRowHeight="14.4" x14ac:dyDescent="0.3"/>
  <cols>
    <col min="2" max="2" width="15.88671875" customWidth="1"/>
    <col min="3" max="8" width="23.6640625" customWidth="1"/>
  </cols>
  <sheetData>
    <row r="3" spans="2:8" ht="72.75" customHeight="1" x14ac:dyDescent="0.3">
      <c r="B3" s="22" t="s">
        <v>14</v>
      </c>
      <c r="C3" s="22"/>
      <c r="D3" s="22"/>
      <c r="E3" s="22"/>
      <c r="F3" s="22"/>
      <c r="G3" s="22"/>
      <c r="H3" s="22"/>
    </row>
    <row r="4" spans="2:8" ht="16.2" x14ac:dyDescent="0.3">
      <c r="C4" s="2"/>
      <c r="D4" s="2"/>
      <c r="E4" s="2"/>
      <c r="F4" s="2"/>
      <c r="G4" s="2"/>
      <c r="H4" s="2"/>
    </row>
    <row r="5" spans="2:8" ht="28.8" x14ac:dyDescent="0.3">
      <c r="B5" s="18" t="s">
        <v>25</v>
      </c>
      <c r="C5" s="17">
        <v>500000</v>
      </c>
      <c r="D5" t="s">
        <v>22</v>
      </c>
      <c r="E5" s="17">
        <v>3000</v>
      </c>
      <c r="F5" t="s">
        <v>23</v>
      </c>
      <c r="G5">
        <v>5000</v>
      </c>
      <c r="H5" s="3"/>
    </row>
    <row r="6" spans="2:8" ht="16.8" x14ac:dyDescent="0.3">
      <c r="B6" s="21" t="s">
        <v>0</v>
      </c>
      <c r="C6" s="21" t="s">
        <v>12</v>
      </c>
      <c r="D6" s="8" t="s">
        <v>9</v>
      </c>
      <c r="E6" s="21" t="s">
        <v>10</v>
      </c>
      <c r="F6" s="21" t="s">
        <v>1</v>
      </c>
      <c r="G6" s="21" t="s">
        <v>2</v>
      </c>
      <c r="H6" s="21" t="s">
        <v>3</v>
      </c>
    </row>
    <row r="7" spans="2:8" ht="16.8" x14ac:dyDescent="0.3">
      <c r="B7" s="21"/>
      <c r="C7" s="21"/>
      <c r="D7" s="8" t="s">
        <v>11</v>
      </c>
      <c r="E7" s="21"/>
      <c r="F7" s="21"/>
      <c r="G7" s="21"/>
      <c r="H7" s="21"/>
    </row>
    <row r="8" spans="2:8" ht="17.399999999999999" x14ac:dyDescent="0.3">
      <c r="B8" s="9">
        <v>0</v>
      </c>
      <c r="C8" s="10">
        <v>5.33E-2</v>
      </c>
      <c r="D8" s="16"/>
      <c r="E8" s="16"/>
      <c r="F8" s="16">
        <f>G5</f>
        <v>5000</v>
      </c>
      <c r="G8" s="16" t="str">
        <f>IF(F8&lt;=$E$5,ABS(F8-$G$5),"0")</f>
        <v>0</v>
      </c>
      <c r="H8" s="16">
        <f>G8+F8</f>
        <v>5000</v>
      </c>
    </row>
    <row r="9" spans="2:8" ht="17.399999999999999" x14ac:dyDescent="0.3">
      <c r="B9" s="9">
        <v>1</v>
      </c>
      <c r="C9" s="10">
        <v>5.8299999999999998E-2</v>
      </c>
      <c r="D9" s="16">
        <f>(C8-C9)*$C$5</f>
        <v>-2499.9999999999986</v>
      </c>
      <c r="E9" s="16">
        <f>SUM($D$8:D9)</f>
        <v>-2499.9999999999986</v>
      </c>
      <c r="F9" s="16">
        <f>H8+D9</f>
        <v>2500.0000000000014</v>
      </c>
      <c r="G9" s="16">
        <f t="shared" ref="G9:G15" si="0">IF(F9&lt;=$E$5,ABS(F9-$G$5),"0")</f>
        <v>2499.9999999999986</v>
      </c>
      <c r="H9" s="16">
        <f t="shared" ref="H9:H15" si="1">G9+F9</f>
        <v>5000</v>
      </c>
    </row>
    <row r="10" spans="2:8" ht="17.399999999999999" x14ac:dyDescent="0.3">
      <c r="B10" s="9">
        <v>2</v>
      </c>
      <c r="C10" s="10">
        <v>4.53E-2</v>
      </c>
      <c r="D10" s="16">
        <f t="shared" ref="D10:D15" si="2">(C9-C10)*$C$5</f>
        <v>6499.9999999999991</v>
      </c>
      <c r="E10" s="16">
        <f>SUM($D$8:D10)</f>
        <v>4000.0000000000005</v>
      </c>
      <c r="F10" s="16">
        <f t="shared" ref="F10:F15" si="3">H9+D10</f>
        <v>11500</v>
      </c>
      <c r="G10" s="16" t="str">
        <f t="shared" si="0"/>
        <v>0</v>
      </c>
      <c r="H10" s="16">
        <f t="shared" si="1"/>
        <v>11500</v>
      </c>
    </row>
    <row r="11" spans="2:8" ht="17.399999999999999" x14ac:dyDescent="0.3">
      <c r="B11" s="9">
        <v>3</v>
      </c>
      <c r="C11" s="10">
        <v>4.9299999999999997E-2</v>
      </c>
      <c r="D11" s="16">
        <f t="shared" si="2"/>
        <v>-1999.9999999999984</v>
      </c>
      <c r="E11" s="16">
        <f>SUM($D$8:D11)</f>
        <v>2000.000000000002</v>
      </c>
      <c r="F11" s="16">
        <f t="shared" si="3"/>
        <v>9500.0000000000018</v>
      </c>
      <c r="G11" s="16" t="str">
        <f t="shared" si="0"/>
        <v>0</v>
      </c>
      <c r="H11" s="16">
        <f t="shared" si="1"/>
        <v>9500.0000000000018</v>
      </c>
    </row>
    <row r="12" spans="2:8" ht="17.399999999999999" x14ac:dyDescent="0.3">
      <c r="B12" s="9">
        <v>4</v>
      </c>
      <c r="C12" s="10">
        <v>5.2200000000000003E-2</v>
      </c>
      <c r="D12" s="16">
        <f t="shared" si="2"/>
        <v>-1450.0000000000034</v>
      </c>
      <c r="E12" s="16">
        <f>SUM($D$8:D12)</f>
        <v>549.99999999999864</v>
      </c>
      <c r="F12" s="16">
        <f t="shared" si="3"/>
        <v>8049.9999999999982</v>
      </c>
      <c r="G12" s="16" t="str">
        <f t="shared" si="0"/>
        <v>0</v>
      </c>
      <c r="H12" s="16">
        <f t="shared" si="1"/>
        <v>8049.9999999999982</v>
      </c>
    </row>
    <row r="13" spans="2:8" ht="17.399999999999999" x14ac:dyDescent="0.3">
      <c r="B13" s="9">
        <v>5</v>
      </c>
      <c r="C13" s="10">
        <v>5.7299999999999997E-2</v>
      </c>
      <c r="D13" s="16">
        <f t="shared" si="2"/>
        <v>-2549.9999999999968</v>
      </c>
      <c r="E13" s="16">
        <f>SUM($D$8:D13)</f>
        <v>-1999.9999999999982</v>
      </c>
      <c r="F13" s="16">
        <f t="shared" si="3"/>
        <v>5500.0000000000018</v>
      </c>
      <c r="G13" s="16" t="str">
        <f t="shared" si="0"/>
        <v>0</v>
      </c>
      <c r="H13" s="16">
        <f t="shared" si="1"/>
        <v>5500.0000000000018</v>
      </c>
    </row>
    <row r="14" spans="2:8" ht="17.399999999999999" x14ac:dyDescent="0.3">
      <c r="B14" s="9">
        <v>6</v>
      </c>
      <c r="C14" s="10">
        <v>5.9299999999999999E-2</v>
      </c>
      <c r="D14" s="16">
        <f t="shared" si="2"/>
        <v>-1000.0000000000009</v>
      </c>
      <c r="E14" s="16">
        <f>SUM($D$8:D14)</f>
        <v>-2999.9999999999991</v>
      </c>
      <c r="F14" s="16">
        <f t="shared" si="3"/>
        <v>4500.0000000000009</v>
      </c>
      <c r="G14" s="16" t="str">
        <f t="shared" si="0"/>
        <v>0</v>
      </c>
      <c r="H14" s="16">
        <f t="shared" si="1"/>
        <v>4500.0000000000009</v>
      </c>
    </row>
    <row r="15" spans="2:8" ht="17.399999999999999" x14ac:dyDescent="0.3">
      <c r="B15" s="9">
        <v>7</v>
      </c>
      <c r="C15" s="10">
        <v>5.9799999999999999E-2</v>
      </c>
      <c r="D15" s="16">
        <f t="shared" si="2"/>
        <v>-250.00000000000023</v>
      </c>
      <c r="E15" s="16">
        <f>SUM($D$8:D15)</f>
        <v>-3249.9999999999991</v>
      </c>
      <c r="F15" s="16">
        <f t="shared" si="3"/>
        <v>4250.0000000000009</v>
      </c>
      <c r="G15" s="16" t="str">
        <f t="shared" si="0"/>
        <v>0</v>
      </c>
      <c r="H15" s="16">
        <f t="shared" si="1"/>
        <v>4250.0000000000009</v>
      </c>
    </row>
    <row r="16" spans="2:8" ht="17.399999999999999" x14ac:dyDescent="0.3">
      <c r="B16" s="1" t="s">
        <v>13</v>
      </c>
      <c r="H16" s="16"/>
    </row>
  </sheetData>
  <mergeCells count="7">
    <mergeCell ref="H6:H7"/>
    <mergeCell ref="B3:H3"/>
    <mergeCell ref="B6:B7"/>
    <mergeCell ref="C6:C7"/>
    <mergeCell ref="E6:E7"/>
    <mergeCell ref="F6:F7"/>
    <mergeCell ref="G6:G7"/>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14D8-D526-45AB-8B56-26E1B6B68902}">
  <dimension ref="B3:H12"/>
  <sheetViews>
    <sheetView zoomScale="70" zoomScaleNormal="70" workbookViewId="0">
      <selection activeCell="H10" sqref="H10"/>
    </sheetView>
  </sheetViews>
  <sheetFormatPr baseColWidth="10" defaultRowHeight="14.4" x14ac:dyDescent="0.3"/>
  <cols>
    <col min="4" max="8" width="28.5546875" customWidth="1"/>
  </cols>
  <sheetData>
    <row r="3" spans="2:8" ht="84.75" customHeight="1" x14ac:dyDescent="0.3">
      <c r="B3" s="23" t="s">
        <v>21</v>
      </c>
      <c r="C3" s="23"/>
      <c r="D3" s="23"/>
      <c r="E3" s="23"/>
      <c r="F3" s="23"/>
      <c r="G3" s="23"/>
      <c r="H3" s="23"/>
    </row>
    <row r="5" spans="2:8" x14ac:dyDescent="0.3">
      <c r="B5" t="s">
        <v>24</v>
      </c>
      <c r="C5" s="17">
        <v>100000</v>
      </c>
      <c r="D5" t="s">
        <v>22</v>
      </c>
      <c r="E5" s="17">
        <v>700</v>
      </c>
      <c r="F5" t="s">
        <v>23</v>
      </c>
      <c r="G5">
        <v>945</v>
      </c>
    </row>
    <row r="6" spans="2:8" ht="16.8" x14ac:dyDescent="0.3">
      <c r="B6" s="21" t="s">
        <v>0</v>
      </c>
      <c r="C6" s="21" t="s">
        <v>15</v>
      </c>
      <c r="D6" s="8" t="s">
        <v>9</v>
      </c>
      <c r="E6" s="21" t="s">
        <v>17</v>
      </c>
      <c r="F6" s="21" t="s">
        <v>18</v>
      </c>
      <c r="G6" s="21" t="s">
        <v>2</v>
      </c>
      <c r="H6" s="21" t="s">
        <v>19</v>
      </c>
    </row>
    <row r="7" spans="2:8" ht="16.8" x14ac:dyDescent="0.3">
      <c r="B7" s="21"/>
      <c r="C7" s="21"/>
      <c r="D7" s="8" t="s">
        <v>16</v>
      </c>
      <c r="E7" s="21"/>
      <c r="F7" s="21"/>
      <c r="G7" s="21"/>
      <c r="H7" s="21"/>
    </row>
    <row r="8" spans="2:8" ht="17.399999999999999" x14ac:dyDescent="0.3">
      <c r="B8" s="9">
        <v>0</v>
      </c>
      <c r="C8" s="12">
        <v>8.1699999999999995E-2</v>
      </c>
      <c r="D8" s="13"/>
      <c r="E8" s="13"/>
      <c r="F8" s="13">
        <v>945</v>
      </c>
      <c r="G8" s="13">
        <f>IF(F8&lt;$E$5,ABS(F8-$G$5),0)</f>
        <v>0</v>
      </c>
      <c r="H8" s="13">
        <f>G8+F8</f>
        <v>945</v>
      </c>
    </row>
    <row r="9" spans="2:8" ht="17.399999999999999" x14ac:dyDescent="0.3">
      <c r="B9" s="9">
        <v>1</v>
      </c>
      <c r="C9" s="12">
        <v>8.2500000000000004E-2</v>
      </c>
      <c r="D9" s="13">
        <f>((C9-C8)*28/360)/(1+C9*28/360)*$C$5</f>
        <v>6.1825508542409127</v>
      </c>
      <c r="E9" s="13">
        <f>SUM($D$8:D9)</f>
        <v>6.1825508542409127</v>
      </c>
      <c r="F9" s="13">
        <f>H8+D9</f>
        <v>951.18255085424096</v>
      </c>
      <c r="G9" s="13">
        <f>IF(F9&lt;$E$5,ABS(F9-$G$5),0)</f>
        <v>0</v>
      </c>
      <c r="H9" s="13">
        <f>G9+F9</f>
        <v>951.18255085424096</v>
      </c>
    </row>
    <row r="10" spans="2:8" ht="17.399999999999999" x14ac:dyDescent="0.3">
      <c r="B10" s="9">
        <v>2</v>
      </c>
      <c r="C10" s="12">
        <v>7.6999999999999999E-2</v>
      </c>
      <c r="D10" s="13">
        <f t="shared" ref="D10:D12" si="0">((C10-C9)*28/360)/(1+C10*28/360)*$C$5</f>
        <v>-42.523111587271828</v>
      </c>
      <c r="E10" s="13">
        <f>SUM($D$8:D10)</f>
        <v>-36.340560733030912</v>
      </c>
      <c r="F10" s="13">
        <f>H9+D10</f>
        <v>908.65943926696912</v>
      </c>
      <c r="G10" s="13">
        <f t="shared" ref="G9:G12" si="1">IF(F10&lt;$E$5,ABS(F10-$G$5),0)</f>
        <v>0</v>
      </c>
      <c r="H10" s="13">
        <f>G10+F10</f>
        <v>908.65943926696912</v>
      </c>
    </row>
    <row r="11" spans="2:8" ht="17.399999999999999" x14ac:dyDescent="0.3">
      <c r="B11" s="9">
        <v>3</v>
      </c>
      <c r="C11" s="12">
        <v>7.5499999999999998E-2</v>
      </c>
      <c r="D11" s="13">
        <f t="shared" si="0"/>
        <v>-11.598557360389281</v>
      </c>
      <c r="E11" s="13">
        <f>SUM($D$8:D11)</f>
        <v>-47.939118093420191</v>
      </c>
      <c r="F11" s="13">
        <f>H10+D11</f>
        <v>897.06088190657988</v>
      </c>
      <c r="G11" s="13">
        <f t="shared" si="1"/>
        <v>0</v>
      </c>
      <c r="H11" s="13">
        <f t="shared" ref="H9:H12" si="2">G11+F11</f>
        <v>897.06088190657988</v>
      </c>
    </row>
    <row r="12" spans="2:8" ht="17.399999999999999" x14ac:dyDescent="0.3">
      <c r="B12" s="9">
        <v>4</v>
      </c>
      <c r="C12" s="12">
        <v>7.0999999999999994E-2</v>
      </c>
      <c r="D12" s="13">
        <f t="shared" si="0"/>
        <v>-34.807783683437052</v>
      </c>
      <c r="E12" s="13">
        <f>SUM($D$8:D12)</f>
        <v>-82.746901776857243</v>
      </c>
      <c r="F12" s="13">
        <f>H11+D12</f>
        <v>862.25309822314284</v>
      </c>
      <c r="G12" s="13">
        <f t="shared" si="1"/>
        <v>0</v>
      </c>
      <c r="H12" s="13">
        <f t="shared" si="2"/>
        <v>862.25309822314284</v>
      </c>
    </row>
  </sheetData>
  <mergeCells count="7">
    <mergeCell ref="B3:H3"/>
    <mergeCell ref="B6:B7"/>
    <mergeCell ref="C6:C7"/>
    <mergeCell ref="E6:E7"/>
    <mergeCell ref="F6:F7"/>
    <mergeCell ref="G6:G7"/>
    <mergeCell ref="H6:H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21CC0-985A-4580-A921-18729BA68806}">
  <dimension ref="B3:H12"/>
  <sheetViews>
    <sheetView tabSelected="1" zoomScale="70" zoomScaleNormal="70" workbookViewId="0">
      <selection activeCell="G15" sqref="G15"/>
    </sheetView>
  </sheetViews>
  <sheetFormatPr baseColWidth="10" defaultRowHeight="14.4" x14ac:dyDescent="0.3"/>
  <cols>
    <col min="2" max="2" width="16.109375" customWidth="1"/>
    <col min="3" max="8" width="31.33203125" customWidth="1"/>
  </cols>
  <sheetData>
    <row r="3" spans="2:8" ht="84.75" customHeight="1" x14ac:dyDescent="0.3">
      <c r="B3" s="23" t="s">
        <v>20</v>
      </c>
      <c r="C3" s="23"/>
      <c r="D3" s="23"/>
      <c r="E3" s="23"/>
      <c r="F3" s="23"/>
      <c r="G3" s="23"/>
      <c r="H3" s="23"/>
    </row>
    <row r="4" spans="2:8" ht="18" x14ac:dyDescent="0.3">
      <c r="B4" s="4"/>
      <c r="C4" s="4"/>
      <c r="D4" s="4"/>
      <c r="E4" s="4"/>
      <c r="F4" s="4"/>
      <c r="G4" s="4"/>
      <c r="H4" s="4"/>
    </row>
    <row r="5" spans="2:8" ht="28.8" x14ac:dyDescent="0.3">
      <c r="B5" s="18" t="s">
        <v>25</v>
      </c>
      <c r="C5" s="17">
        <v>2000000</v>
      </c>
      <c r="D5" t="s">
        <v>22</v>
      </c>
      <c r="E5" s="17">
        <v>1800</v>
      </c>
      <c r="F5" t="s">
        <v>23</v>
      </c>
      <c r="G5">
        <v>2400</v>
      </c>
    </row>
    <row r="6" spans="2:8" ht="16.8" x14ac:dyDescent="0.3">
      <c r="B6" s="21" t="s">
        <v>0</v>
      </c>
      <c r="C6" s="21" t="s">
        <v>15</v>
      </c>
      <c r="D6" s="8" t="s">
        <v>9</v>
      </c>
      <c r="E6" s="21" t="s">
        <v>17</v>
      </c>
      <c r="F6" s="21" t="s">
        <v>1</v>
      </c>
      <c r="G6" s="21" t="s">
        <v>2</v>
      </c>
      <c r="H6" s="21" t="s">
        <v>3</v>
      </c>
    </row>
    <row r="7" spans="2:8" ht="16.8" x14ac:dyDescent="0.3">
      <c r="B7" s="21"/>
      <c r="C7" s="21"/>
      <c r="D7" s="8" t="s">
        <v>16</v>
      </c>
      <c r="E7" s="21"/>
      <c r="F7" s="21"/>
      <c r="G7" s="21"/>
      <c r="H7" s="21"/>
    </row>
    <row r="8" spans="2:8" ht="17.399999999999999" x14ac:dyDescent="0.3">
      <c r="B8" s="14">
        <v>0</v>
      </c>
      <c r="C8" s="12">
        <v>7.8E-2</v>
      </c>
      <c r="D8" s="13"/>
      <c r="E8" s="13"/>
      <c r="F8" s="13">
        <v>2400</v>
      </c>
      <c r="G8" s="13"/>
      <c r="H8" s="13">
        <f>SUM(F8:G8)</f>
        <v>2400</v>
      </c>
    </row>
    <row r="9" spans="2:8" ht="17.399999999999999" x14ac:dyDescent="0.3">
      <c r="B9" s="14">
        <v>1</v>
      </c>
      <c r="C9" s="12">
        <v>7.8200000000000006E-2</v>
      </c>
      <c r="D9" s="24">
        <f>((C8-C9)*(91/360)*$C$5)/(1+(C9*91/360))</f>
        <v>-99.15116794083464</v>
      </c>
      <c r="E9" s="13">
        <f>SUM(D8:D9)</f>
        <v>-99.15116794083464</v>
      </c>
      <c r="F9" s="13">
        <f>H8+D9</f>
        <v>2300.8488320591655</v>
      </c>
      <c r="G9" s="13">
        <f>IF(F9&lt;$E$5,$H$8-F9,0)</f>
        <v>0</v>
      </c>
      <c r="H9" s="13">
        <f t="shared" ref="H9:H12" si="0">SUM(F9:G9)</f>
        <v>2300.8488320591655</v>
      </c>
    </row>
    <row r="10" spans="2:8" ht="17.399999999999999" x14ac:dyDescent="0.3">
      <c r="B10" s="14">
        <v>2</v>
      </c>
      <c r="C10" s="12">
        <v>7.85E-2</v>
      </c>
      <c r="D10" s="24">
        <f t="shared" ref="D10:D12" si="1">((C9-C10)*(91/360)*$C$5)/(1+(C10*91/360))</f>
        <v>-148.7156929102627</v>
      </c>
      <c r="E10" s="13">
        <f t="shared" ref="E10:E12" si="2">SUM(D9:D10)</f>
        <v>-247.86686085109733</v>
      </c>
      <c r="F10" s="13">
        <f t="shared" ref="F10:F12" si="3">H9+D10</f>
        <v>2152.133139148903</v>
      </c>
      <c r="G10" s="13">
        <f t="shared" ref="G10:G12" si="4">IF(F10&lt;$E$5,$H$8-F10,0)</f>
        <v>0</v>
      </c>
      <c r="H10" s="13">
        <f t="shared" si="0"/>
        <v>2152.133139148903</v>
      </c>
    </row>
    <row r="11" spans="2:8" ht="17.399999999999999" x14ac:dyDescent="0.3">
      <c r="B11" s="14">
        <v>3</v>
      </c>
      <c r="C11" s="12">
        <v>0.08</v>
      </c>
      <c r="D11" s="24">
        <f t="shared" si="1"/>
        <v>-743.30211282944958</v>
      </c>
      <c r="E11" s="13">
        <f t="shared" si="2"/>
        <v>-892.01780573971223</v>
      </c>
      <c r="F11" s="13">
        <f t="shared" si="3"/>
        <v>1408.8310263194535</v>
      </c>
      <c r="G11" s="13">
        <f t="shared" si="4"/>
        <v>991.16897368054651</v>
      </c>
      <c r="H11" s="13">
        <f t="shared" si="0"/>
        <v>2400</v>
      </c>
    </row>
    <row r="12" spans="2:8" ht="17.399999999999999" x14ac:dyDescent="0.3">
      <c r="B12" s="14">
        <v>4</v>
      </c>
      <c r="C12" s="12">
        <v>7.6999999999999999E-2</v>
      </c>
      <c r="D12" s="24">
        <f t="shared" si="1"/>
        <v>1487.710043677642</v>
      </c>
      <c r="E12" s="13">
        <f t="shared" si="2"/>
        <v>744.40793084819245</v>
      </c>
      <c r="F12" s="13">
        <f t="shared" si="3"/>
        <v>3887.7100436776418</v>
      </c>
      <c r="G12" s="13">
        <f t="shared" si="4"/>
        <v>0</v>
      </c>
      <c r="H12" s="13">
        <f t="shared" si="0"/>
        <v>3887.7100436776418</v>
      </c>
    </row>
  </sheetData>
  <mergeCells count="7">
    <mergeCell ref="B3:H3"/>
    <mergeCell ref="B6:B7"/>
    <mergeCell ref="C6:C7"/>
    <mergeCell ref="E6:E7"/>
    <mergeCell ref="F6:F7"/>
    <mergeCell ref="G6:G7"/>
    <mergeCell ref="H6:H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Futuro USD en MexDer</vt:lpstr>
      <vt:lpstr>Futuro MXP en CME</vt:lpstr>
      <vt:lpstr>Futuro corto TIIE</vt:lpstr>
      <vt:lpstr>Futuro largo CETE 91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Roman</dc:creator>
  <cp:lastModifiedBy>Brandon Cortes</cp:lastModifiedBy>
  <dcterms:created xsi:type="dcterms:W3CDTF">2019-02-15T23:46:42Z</dcterms:created>
  <dcterms:modified xsi:type="dcterms:W3CDTF">2025-02-15T17:06:44Z</dcterms:modified>
</cp:coreProperties>
</file>