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3.xml" ContentType="application/vnd.openxmlformats-officedocument.drawing+xml"/>
  <Override PartName="/xl/comments5.xml" ContentType="application/vnd.openxmlformats-officedocument.spreadsheetml.comments+xml"/>
  <Override PartName="/xl/drawings/drawing4.xml" ContentType="application/vnd.openxmlformats-officedocument.drawing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  <Override PartName="/xl/threadedComments/threadedComment3.xml" ContentType="application/vnd.ms-excel.threadedcomments+xml"/>
  <Override PartName="/xl/threadedComments/threadedComment4.xml" ContentType="application/vnd.ms-excel.threadedcomments+xml"/>
  <Override PartName="/xl/threadedComments/threadedComment5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rand\OneDrive\Escritorio\Maestría en finanzas\Segundo Semestre\Administración de riesgo\"/>
    </mc:Choice>
  </mc:AlternateContent>
  <xr:revisionPtr revIDLastSave="0" documentId="13_ncr:1_{77117EB3-2B5B-4202-A0EF-E966E2EAA6ED}" xr6:coauthVersionLast="47" xr6:coauthVersionMax="47" xr10:uidLastSave="{00000000-0000-0000-0000-000000000000}"/>
  <bookViews>
    <workbookView xWindow="-108" yWindow="-108" windowWidth="23256" windowHeight="12456" activeTab="1" xr2:uid="{40311BD7-1171-494F-8D0C-7242FFC7FFA1}"/>
  </bookViews>
  <sheets>
    <sheet name="CARACTERÍSTICAS DEL MDO. DINERO" sheetId="12" r:id="rId1"/>
    <sheet name="EN DIRECTO" sheetId="10" r:id="rId2"/>
    <sheet name="EN REPORTO" sheetId="11" r:id="rId3"/>
    <sheet name="DURACIÓN DE UN BONO CUPÓN CERO" sheetId="13" r:id="rId4"/>
    <sheet name="DURACIÓN DE UNO BONO CON CUPONE" sheetId="14" r:id="rId5"/>
    <sheet name="DURACIÓN DE UNO BONO CON CU (2)" sheetId="15" r:id="rId6"/>
    <sheet name="DURACIÓN DE UNO BONO CON CU (3)" sheetId="16" r:id="rId7"/>
    <sheet name="VaR DE UN BONO" sheetId="7" r:id="rId8"/>
    <sheet name="TASAS DE INTERÉS FORWARD" sheetId="8" r:id="rId9"/>
  </sheets>
  <definedNames>
    <definedName name="_xlnm.Print_Area" localSheetId="1">'EN DIRECTO'!#REF!</definedName>
    <definedName name="_xlnm.Print_Area" localSheetId="2">'EN REPORTO'!$B$3:$C$13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6" i="10" l="1"/>
  <c r="Q45" i="8"/>
  <c r="Q44" i="8"/>
  <c r="N41" i="8"/>
  <c r="O41" i="8"/>
  <c r="P41" i="8"/>
  <c r="Q41" i="8"/>
  <c r="N42" i="8"/>
  <c r="Q42" i="8" s="1"/>
  <c r="O42" i="8"/>
  <c r="P42" i="8"/>
  <c r="Q40" i="8"/>
  <c r="P40" i="8"/>
  <c r="O40" i="8"/>
  <c r="N40" i="8"/>
  <c r="Q39" i="8"/>
  <c r="P39" i="8"/>
  <c r="O39" i="8"/>
  <c r="F38" i="7" l="1"/>
  <c r="F12" i="7" a="1"/>
  <c r="F12" i="7" s="1"/>
  <c r="L71" i="16"/>
  <c r="M69" i="16"/>
  <c r="M68" i="16"/>
  <c r="M67" i="16"/>
  <c r="L69" i="16"/>
  <c r="B39" i="16"/>
  <c r="F39" i="16" s="1"/>
  <c r="C39" i="16"/>
  <c r="D39" i="16" s="1"/>
  <c r="C40" i="16"/>
  <c r="C41" i="16" s="1"/>
  <c r="C5" i="16"/>
  <c r="C82" i="16" s="1"/>
  <c r="C87" i="16" s="1"/>
  <c r="C89" i="16" s="1"/>
  <c r="C84" i="16"/>
  <c r="C88" i="16" s="1"/>
  <c r="G90" i="16" s="1"/>
  <c r="G91" i="16" s="1"/>
  <c r="C83" i="16"/>
  <c r="C81" i="16"/>
  <c r="B15" i="16"/>
  <c r="B16" i="16" s="1"/>
  <c r="F14" i="16"/>
  <c r="C14" i="16"/>
  <c r="C15" i="16" s="1"/>
  <c r="C11" i="16"/>
  <c r="B16" i="15"/>
  <c r="F16" i="15" s="1"/>
  <c r="C16" i="15"/>
  <c r="D16" i="15" s="1"/>
  <c r="B17" i="15"/>
  <c r="F17" i="15" s="1"/>
  <c r="C17" i="15"/>
  <c r="D17" i="15" s="1"/>
  <c r="C5" i="15"/>
  <c r="C10" i="15" s="1"/>
  <c r="C64" i="15"/>
  <c r="C68" i="15" s="1"/>
  <c r="G70" i="15" s="1"/>
  <c r="G71" i="15" s="1"/>
  <c r="C63" i="15"/>
  <c r="C61" i="15"/>
  <c r="B15" i="15"/>
  <c r="F15" i="15" s="1"/>
  <c r="F14" i="15"/>
  <c r="C14" i="15"/>
  <c r="C15" i="15" s="1"/>
  <c r="C11" i="15"/>
  <c r="C44" i="14"/>
  <c r="C28" i="14"/>
  <c r="C27" i="14"/>
  <c r="C26" i="14"/>
  <c r="C25" i="14"/>
  <c r="F14" i="14"/>
  <c r="B16" i="14"/>
  <c r="B17" i="14" s="1"/>
  <c r="F17" i="14" s="1"/>
  <c r="B15" i="14"/>
  <c r="C11" i="14"/>
  <c r="C14" i="14" s="1"/>
  <c r="C10" i="14"/>
  <c r="C19" i="14" s="1"/>
  <c r="C42" i="16" l="1"/>
  <c r="B40" i="16"/>
  <c r="F16" i="16"/>
  <c r="B17" i="16"/>
  <c r="B18" i="16" s="1"/>
  <c r="F15" i="16"/>
  <c r="C92" i="16"/>
  <c r="F18" i="16"/>
  <c r="B19" i="16"/>
  <c r="D15" i="16"/>
  <c r="C16" i="16"/>
  <c r="C90" i="16"/>
  <c r="D14" i="16"/>
  <c r="F17" i="16"/>
  <c r="C10" i="16"/>
  <c r="C75" i="16" s="1"/>
  <c r="C18" i="15"/>
  <c r="B18" i="15"/>
  <c r="C62" i="15"/>
  <c r="C67" i="15" s="1"/>
  <c r="C69" i="15" s="1"/>
  <c r="C70" i="15" s="1"/>
  <c r="C55" i="15"/>
  <c r="D15" i="15"/>
  <c r="D14" i="15"/>
  <c r="C32" i="14"/>
  <c r="G34" i="14" s="1"/>
  <c r="G35" i="14" s="1"/>
  <c r="C31" i="14"/>
  <c r="C33" i="14" s="1"/>
  <c r="C34" i="14" s="1"/>
  <c r="C15" i="14"/>
  <c r="D14" i="14"/>
  <c r="F15" i="14"/>
  <c r="F16" i="14"/>
  <c r="M33" i="13"/>
  <c r="H33" i="13"/>
  <c r="H24" i="13"/>
  <c r="M24" i="13" s="1"/>
  <c r="M21" i="13"/>
  <c r="M30" i="13" s="1"/>
  <c r="M32" i="13" s="1"/>
  <c r="H21" i="13"/>
  <c r="H23" i="13" s="1"/>
  <c r="M31" i="13"/>
  <c r="M22" i="13"/>
  <c r="M17" i="13"/>
  <c r="M16" i="13"/>
  <c r="N15" i="13" s="1"/>
  <c r="M15" i="13"/>
  <c r="M11" i="13"/>
  <c r="M12" i="13" s="1"/>
  <c r="M9" i="13"/>
  <c r="M10" i="13" s="1"/>
  <c r="H31" i="13"/>
  <c r="H30" i="13"/>
  <c r="H32" i="13" s="1"/>
  <c r="H22" i="13"/>
  <c r="H17" i="13"/>
  <c r="H16" i="13"/>
  <c r="H15" i="13"/>
  <c r="H11" i="13"/>
  <c r="H12" i="13" s="1"/>
  <c r="H9" i="13"/>
  <c r="H10" i="13" s="1"/>
  <c r="C31" i="13"/>
  <c r="C30" i="13"/>
  <c r="C32" i="13" s="1"/>
  <c r="C29" i="13"/>
  <c r="C23" i="13"/>
  <c r="C25" i="13" s="1"/>
  <c r="C22" i="13"/>
  <c r="C20" i="13"/>
  <c r="E15" i="13"/>
  <c r="C12" i="13"/>
  <c r="E17" i="13" s="1"/>
  <c r="C11" i="13"/>
  <c r="C17" i="13"/>
  <c r="C15" i="13"/>
  <c r="C16" i="13"/>
  <c r="C9" i="13"/>
  <c r="C10" i="13" s="1"/>
  <c r="C47" i="11"/>
  <c r="C45" i="11"/>
  <c r="C41" i="11"/>
  <c r="C42" i="11" s="1"/>
  <c r="C46" i="11" s="1"/>
  <c r="C48" i="11" s="1"/>
  <c r="C39" i="11"/>
  <c r="C36" i="11"/>
  <c r="C35" i="11"/>
  <c r="C34" i="11"/>
  <c r="C33" i="11"/>
  <c r="C27" i="11"/>
  <c r="C26" i="11"/>
  <c r="C25" i="11"/>
  <c r="C24" i="11"/>
  <c r="C18" i="11"/>
  <c r="C17" i="11"/>
  <c r="C16" i="11"/>
  <c r="H9" i="11"/>
  <c r="H8" i="11"/>
  <c r="H7" i="11"/>
  <c r="H6" i="11"/>
  <c r="C15" i="11"/>
  <c r="C45" i="10"/>
  <c r="F37" i="10"/>
  <c r="C40" i="10"/>
  <c r="C42" i="10" s="1"/>
  <c r="C34" i="10"/>
  <c r="C18" i="10"/>
  <c r="C16" i="10"/>
  <c r="C17" i="10" s="1"/>
  <c r="C15" i="10"/>
  <c r="G6" i="10"/>
  <c r="G7" i="10" s="1"/>
  <c r="G8" i="10" s="1"/>
  <c r="C14" i="10"/>
  <c r="O88" i="12"/>
  <c r="O70" i="12"/>
  <c r="F40" i="16" l="1"/>
  <c r="B41" i="16"/>
  <c r="D40" i="16"/>
  <c r="C43" i="16"/>
  <c r="C96" i="16"/>
  <c r="C93" i="16"/>
  <c r="C94" i="16" s="1"/>
  <c r="C95" i="16" s="1"/>
  <c r="D16" i="16"/>
  <c r="C17" i="16"/>
  <c r="B20" i="16"/>
  <c r="F19" i="16"/>
  <c r="F18" i="15"/>
  <c r="B19" i="15"/>
  <c r="C19" i="15"/>
  <c r="D18" i="15"/>
  <c r="C72" i="15"/>
  <c r="C73" i="15"/>
  <c r="C76" i="15"/>
  <c r="C36" i="14"/>
  <c r="C16" i="14"/>
  <c r="D15" i="14"/>
  <c r="C37" i="14"/>
  <c r="C40" i="14"/>
  <c r="M23" i="13"/>
  <c r="M25" i="13" s="1"/>
  <c r="C26" i="13"/>
  <c r="H25" i="13"/>
  <c r="H34" i="13"/>
  <c r="I15" i="13"/>
  <c r="J15" i="13"/>
  <c r="M34" i="13"/>
  <c r="O17" i="13"/>
  <c r="M29" i="13"/>
  <c r="M20" i="13"/>
  <c r="O15" i="13"/>
  <c r="N17" i="13"/>
  <c r="H29" i="13"/>
  <c r="H35" i="13" s="1"/>
  <c r="I17" i="13"/>
  <c r="J17" i="13"/>
  <c r="H20" i="13"/>
  <c r="C34" i="13"/>
  <c r="C35" i="13" s="1"/>
  <c r="D17" i="13"/>
  <c r="D15" i="13"/>
  <c r="C44" i="10"/>
  <c r="D39" i="10"/>
  <c r="G9" i="10"/>
  <c r="E16" i="8"/>
  <c r="F16" i="8" s="1"/>
  <c r="E14" i="8"/>
  <c r="V28" i="8"/>
  <c r="U28" i="8"/>
  <c r="T28" i="8"/>
  <c r="S28" i="8"/>
  <c r="R28" i="8"/>
  <c r="Q28" i="8"/>
  <c r="V27" i="8"/>
  <c r="U27" i="8"/>
  <c r="T27" i="8"/>
  <c r="S27" i="8"/>
  <c r="R27" i="8"/>
  <c r="Q27" i="8"/>
  <c r="V26" i="8"/>
  <c r="U26" i="8"/>
  <c r="T26" i="8"/>
  <c r="S26" i="8"/>
  <c r="R26" i="8"/>
  <c r="Q26" i="8"/>
  <c r="V25" i="8"/>
  <c r="U25" i="8"/>
  <c r="T25" i="8"/>
  <c r="S25" i="8"/>
  <c r="R25" i="8"/>
  <c r="Q25" i="8"/>
  <c r="V24" i="8"/>
  <c r="U24" i="8"/>
  <c r="T24" i="8"/>
  <c r="S24" i="8"/>
  <c r="R24" i="8"/>
  <c r="Q24" i="8"/>
  <c r="V23" i="8"/>
  <c r="U23" i="8"/>
  <c r="T23" i="8"/>
  <c r="S23" i="8"/>
  <c r="R23" i="8"/>
  <c r="Q23" i="8"/>
  <c r="F14" i="8"/>
  <c r="C15" i="8" s="1"/>
  <c r="I10" i="8"/>
  <c r="B9" i="8"/>
  <c r="I8" i="8"/>
  <c r="B8" i="8"/>
  <c r="B7" i="8"/>
  <c r="B6" i="8"/>
  <c r="B5" i="8"/>
  <c r="L39" i="7"/>
  <c r="L38" i="7"/>
  <c r="L37" i="7"/>
  <c r="L36" i="7"/>
  <c r="L35" i="7"/>
  <c r="L34" i="7"/>
  <c r="L33" i="7"/>
  <c r="L32" i="7"/>
  <c r="C19" i="7"/>
  <c r="F29" i="7" s="1"/>
  <c r="C17" i="7"/>
  <c r="C16" i="7"/>
  <c r="G8" i="7"/>
  <c r="H8" i="7" s="1"/>
  <c r="I8" i="7" s="1"/>
  <c r="N7" i="7"/>
  <c r="I14" i="8" l="1"/>
  <c r="O11" i="8"/>
  <c r="O9" i="8"/>
  <c r="O10" i="8" s="1"/>
  <c r="C44" i="16"/>
  <c r="B42" i="16"/>
  <c r="F41" i="16"/>
  <c r="D41" i="16"/>
  <c r="F20" i="16"/>
  <c r="B21" i="16"/>
  <c r="C18" i="16"/>
  <c r="D17" i="16"/>
  <c r="C101" i="16"/>
  <c r="C97" i="16"/>
  <c r="C20" i="15"/>
  <c r="D19" i="15"/>
  <c r="B20" i="15"/>
  <c r="F19" i="15"/>
  <c r="C74" i="15"/>
  <c r="C75" i="15" s="1"/>
  <c r="C81" i="15"/>
  <c r="C77" i="15"/>
  <c r="C38" i="14"/>
  <c r="C39" i="14" s="1"/>
  <c r="C45" i="14" s="1"/>
  <c r="C46" i="14" s="1"/>
  <c r="C17" i="14"/>
  <c r="D17" i="14" s="1"/>
  <c r="D16" i="14"/>
  <c r="M26" i="13"/>
  <c r="H26" i="13"/>
  <c r="M35" i="13"/>
  <c r="F9" i="7"/>
  <c r="I12" i="8"/>
  <c r="F11" i="8"/>
  <c r="E15" i="8" s="1"/>
  <c r="F15" i="8" s="1"/>
  <c r="I9" i="7"/>
  <c r="J8" i="7"/>
  <c r="I32" i="7"/>
  <c r="G9" i="7"/>
  <c r="H9" i="7"/>
  <c r="F30" i="7"/>
  <c r="O12" i="8" l="1"/>
  <c r="O13" i="8" s="1"/>
  <c r="B43" i="16"/>
  <c r="F42" i="16"/>
  <c r="D42" i="16"/>
  <c r="C45" i="16"/>
  <c r="B22" i="16"/>
  <c r="F21" i="16"/>
  <c r="C19" i="16"/>
  <c r="D18" i="16"/>
  <c r="F20" i="15"/>
  <c r="B21" i="15"/>
  <c r="D20" i="15"/>
  <c r="C21" i="15"/>
  <c r="C41" i="14"/>
  <c r="E16" i="14"/>
  <c r="H16" i="14" s="1"/>
  <c r="D18" i="14"/>
  <c r="F31" i="7"/>
  <c r="F28" i="7"/>
  <c r="I33" i="7"/>
  <c r="J32" i="7"/>
  <c r="K8" i="7"/>
  <c r="J9" i="7"/>
  <c r="C46" i="16" l="1"/>
  <c r="F43" i="16"/>
  <c r="B44" i="16"/>
  <c r="D43" i="16"/>
  <c r="B23" i="16"/>
  <c r="F22" i="16"/>
  <c r="D19" i="16"/>
  <c r="C20" i="16"/>
  <c r="F21" i="15"/>
  <c r="B22" i="15"/>
  <c r="D21" i="15"/>
  <c r="C22" i="15"/>
  <c r="E14" i="14"/>
  <c r="E15" i="14"/>
  <c r="H15" i="14" s="1"/>
  <c r="E17" i="14"/>
  <c r="H17" i="14" s="1"/>
  <c r="L8" i="7"/>
  <c r="K9" i="7"/>
  <c r="I34" i="7"/>
  <c r="J33" i="7"/>
  <c r="F44" i="16" l="1"/>
  <c r="B45" i="16"/>
  <c r="D44" i="16"/>
  <c r="C47" i="16"/>
  <c r="B24" i="16"/>
  <c r="F23" i="16"/>
  <c r="D20" i="16"/>
  <c r="C21" i="16"/>
  <c r="C23" i="15"/>
  <c r="D22" i="15"/>
  <c r="F22" i="15"/>
  <c r="B23" i="15"/>
  <c r="F18" i="14"/>
  <c r="F19" i="14" s="1"/>
  <c r="E18" i="14"/>
  <c r="H14" i="14"/>
  <c r="H18" i="14" s="1"/>
  <c r="J34" i="7"/>
  <c r="I35" i="7"/>
  <c r="L9" i="7"/>
  <c r="M8" i="7"/>
  <c r="M9" i="7" s="1"/>
  <c r="C48" i="16" l="1"/>
  <c r="B46" i="16"/>
  <c r="F45" i="16"/>
  <c r="D45" i="16"/>
  <c r="D21" i="16"/>
  <c r="C22" i="16"/>
  <c r="F24" i="16"/>
  <c r="B25" i="16"/>
  <c r="B24" i="15"/>
  <c r="F23" i="15"/>
  <c r="C24" i="15"/>
  <c r="D23" i="15"/>
  <c r="G12" i="7" a="1"/>
  <c r="G17" i="7" s="1"/>
  <c r="J35" i="7"/>
  <c r="I36" i="7"/>
  <c r="F46" i="16" l="1"/>
  <c r="B47" i="16"/>
  <c r="D46" i="16"/>
  <c r="C49" i="16"/>
  <c r="B26" i="16"/>
  <c r="F25" i="16"/>
  <c r="C23" i="16"/>
  <c r="D22" i="16"/>
  <c r="D24" i="15"/>
  <c r="C25" i="15"/>
  <c r="F24" i="15"/>
  <c r="B25" i="15"/>
  <c r="G19" i="7"/>
  <c r="G12" i="7"/>
  <c r="G14" i="7"/>
  <c r="G15" i="7"/>
  <c r="G13" i="7"/>
  <c r="G16" i="7"/>
  <c r="G20" i="7" s="1"/>
  <c r="G18" i="7"/>
  <c r="J36" i="7"/>
  <c r="I37" i="7"/>
  <c r="G21" i="7" l="1"/>
  <c r="H12" i="7"/>
  <c r="C50" i="16"/>
  <c r="F47" i="16"/>
  <c r="B48" i="16"/>
  <c r="D47" i="16"/>
  <c r="D23" i="16"/>
  <c r="C24" i="16"/>
  <c r="B27" i="16"/>
  <c r="F26" i="16"/>
  <c r="F25" i="15"/>
  <c r="B26" i="15"/>
  <c r="D25" i="15"/>
  <c r="C26" i="15"/>
  <c r="H16" i="7"/>
  <c r="H17" i="7"/>
  <c r="H19" i="7"/>
  <c r="I38" i="7"/>
  <c r="J37" i="7"/>
  <c r="H14" i="7"/>
  <c r="H18" i="7"/>
  <c r="H13" i="7"/>
  <c r="H15" i="7"/>
  <c r="C51" i="16" l="1"/>
  <c r="F48" i="16"/>
  <c r="B49" i="16"/>
  <c r="D48" i="16"/>
  <c r="C25" i="16"/>
  <c r="D24" i="16"/>
  <c r="F27" i="16"/>
  <c r="B28" i="16"/>
  <c r="C27" i="15"/>
  <c r="D26" i="15"/>
  <c r="F26" i="15"/>
  <c r="B27" i="15"/>
  <c r="H20" i="7"/>
  <c r="H21" i="7" s="1"/>
  <c r="I39" i="7"/>
  <c r="J39" i="7" s="1"/>
  <c r="J38" i="7"/>
  <c r="B50" i="16" l="1"/>
  <c r="F49" i="16"/>
  <c r="D49" i="16"/>
  <c r="C52" i="16"/>
  <c r="F28" i="16"/>
  <c r="B29" i="16"/>
  <c r="C26" i="16"/>
  <c r="D25" i="16"/>
  <c r="B28" i="15"/>
  <c r="F27" i="15"/>
  <c r="C28" i="15"/>
  <c r="D27" i="15"/>
  <c r="G22" i="7"/>
  <c r="G23" i="7" s="1"/>
  <c r="J40" i="7"/>
  <c r="K38" i="7" s="1"/>
  <c r="F50" i="16" l="1"/>
  <c r="B51" i="16"/>
  <c r="D50" i="16"/>
  <c r="C53" i="16"/>
  <c r="C27" i="16"/>
  <c r="D26" i="16"/>
  <c r="B30" i="16"/>
  <c r="F29" i="16"/>
  <c r="D28" i="15"/>
  <c r="C29" i="15"/>
  <c r="F28" i="15"/>
  <c r="B29" i="15"/>
  <c r="F33" i="7"/>
  <c r="F34" i="7" s="1"/>
  <c r="G24" i="7"/>
  <c r="N38" i="7"/>
  <c r="M38" i="7"/>
  <c r="K32" i="7"/>
  <c r="K33" i="7"/>
  <c r="K34" i="7"/>
  <c r="K35" i="7"/>
  <c r="K36" i="7"/>
  <c r="K37" i="7"/>
  <c r="K39" i="7"/>
  <c r="F51" i="16" l="1"/>
  <c r="B52" i="16"/>
  <c r="D51" i="16"/>
  <c r="C54" i="16"/>
  <c r="F30" i="16"/>
  <c r="B31" i="16"/>
  <c r="D27" i="16"/>
  <c r="C28" i="16"/>
  <c r="F29" i="15"/>
  <c r="B30" i="15"/>
  <c r="D29" i="15"/>
  <c r="C30" i="15"/>
  <c r="N37" i="7"/>
  <c r="M37" i="7"/>
  <c r="M36" i="7"/>
  <c r="N36" i="7"/>
  <c r="M35" i="7"/>
  <c r="N35" i="7"/>
  <c r="N34" i="7"/>
  <c r="M34" i="7"/>
  <c r="N33" i="7"/>
  <c r="M33" i="7"/>
  <c r="M32" i="7"/>
  <c r="K40" i="7"/>
  <c r="N32" i="7"/>
  <c r="N39" i="7"/>
  <c r="M39" i="7"/>
  <c r="C55" i="16" l="1"/>
  <c r="B53" i="16"/>
  <c r="F52" i="16"/>
  <c r="D52" i="16"/>
  <c r="C29" i="16"/>
  <c r="D28" i="16"/>
  <c r="B32" i="16"/>
  <c r="F31" i="16"/>
  <c r="C31" i="15"/>
  <c r="D30" i="15"/>
  <c r="F30" i="15"/>
  <c r="B31" i="15"/>
  <c r="N40" i="7"/>
  <c r="M40" i="7"/>
  <c r="M41" i="7" s="1"/>
  <c r="F53" i="16" l="1"/>
  <c r="B54" i="16"/>
  <c r="D53" i="16"/>
  <c r="C56" i="16"/>
  <c r="F32" i="16"/>
  <c r="B33" i="16"/>
  <c r="C30" i="16"/>
  <c r="D29" i="16"/>
  <c r="B32" i="15"/>
  <c r="F31" i="15"/>
  <c r="C32" i="15"/>
  <c r="D31" i="15"/>
  <c r="N41" i="7"/>
  <c r="F36" i="7"/>
  <c r="C57" i="16" l="1"/>
  <c r="B55" i="16"/>
  <c r="F54" i="16"/>
  <c r="D54" i="16"/>
  <c r="C31" i="16"/>
  <c r="D30" i="16"/>
  <c r="B34" i="16"/>
  <c r="F33" i="16"/>
  <c r="D32" i="15"/>
  <c r="C33" i="15"/>
  <c r="B33" i="15"/>
  <c r="F32" i="15"/>
  <c r="F55" i="16" l="1"/>
  <c r="B56" i="16"/>
  <c r="D55" i="16"/>
  <c r="C58" i="16"/>
  <c r="F34" i="16"/>
  <c r="B35" i="16"/>
  <c r="D31" i="16"/>
  <c r="C32" i="16"/>
  <c r="F33" i="15"/>
  <c r="B34" i="15"/>
  <c r="D33" i="15"/>
  <c r="C34" i="15"/>
  <c r="C59" i="16" l="1"/>
  <c r="F56" i="16"/>
  <c r="B57" i="16"/>
  <c r="D56" i="16"/>
  <c r="F35" i="16"/>
  <c r="B36" i="16"/>
  <c r="D32" i="16"/>
  <c r="C33" i="16"/>
  <c r="C35" i="15"/>
  <c r="D34" i="15"/>
  <c r="F34" i="15"/>
  <c r="B35" i="15"/>
  <c r="B58" i="16" l="1"/>
  <c r="F57" i="16"/>
  <c r="D57" i="16"/>
  <c r="C60" i="16"/>
  <c r="C34" i="16"/>
  <c r="D33" i="16"/>
  <c r="F36" i="16"/>
  <c r="B37" i="16"/>
  <c r="B36" i="15"/>
  <c r="F35" i="15"/>
  <c r="C36" i="15"/>
  <c r="D35" i="15"/>
  <c r="B59" i="16" l="1"/>
  <c r="F58" i="16"/>
  <c r="D58" i="16"/>
  <c r="B38" i="16"/>
  <c r="F37" i="16"/>
  <c r="D34" i="16"/>
  <c r="C35" i="16"/>
  <c r="D36" i="15"/>
  <c r="C37" i="15"/>
  <c r="B37" i="15"/>
  <c r="F36" i="15"/>
  <c r="F59" i="16" l="1"/>
  <c r="B60" i="16"/>
  <c r="D59" i="16"/>
  <c r="D35" i="16"/>
  <c r="C36" i="16"/>
  <c r="F38" i="16"/>
  <c r="D37" i="15"/>
  <c r="C38" i="15"/>
  <c r="F37" i="15"/>
  <c r="B38" i="15"/>
  <c r="F60" i="16" l="1"/>
  <c r="D60" i="16"/>
  <c r="D36" i="16"/>
  <c r="C37" i="16"/>
  <c r="F38" i="15"/>
  <c r="B39" i="15"/>
  <c r="C39" i="15"/>
  <c r="D38" i="15"/>
  <c r="D37" i="16" l="1"/>
  <c r="C38" i="16"/>
  <c r="B61" i="16"/>
  <c r="C40" i="15"/>
  <c r="D39" i="15"/>
  <c r="B40" i="15"/>
  <c r="F39" i="15"/>
  <c r="B62" i="16" l="1"/>
  <c r="F61" i="16"/>
  <c r="D38" i="16"/>
  <c r="B41" i="15"/>
  <c r="F40" i="15"/>
  <c r="D40" i="15"/>
  <c r="C41" i="15"/>
  <c r="B63" i="16" l="1"/>
  <c r="F62" i="16"/>
  <c r="D41" i="15"/>
  <c r="C42" i="15"/>
  <c r="F41" i="15"/>
  <c r="B42" i="15"/>
  <c r="C61" i="16" l="1"/>
  <c r="B64" i="16"/>
  <c r="F63" i="16"/>
  <c r="D42" i="15"/>
  <c r="C43" i="15"/>
  <c r="F42" i="15"/>
  <c r="B43" i="15"/>
  <c r="F64" i="16" l="1"/>
  <c r="B65" i="16"/>
  <c r="C62" i="16"/>
  <c r="D61" i="16"/>
  <c r="B44" i="15"/>
  <c r="F43" i="15"/>
  <c r="C44" i="15"/>
  <c r="D43" i="15"/>
  <c r="C63" i="16" l="1"/>
  <c r="D62" i="16"/>
  <c r="B66" i="16"/>
  <c r="F65" i="16"/>
  <c r="D44" i="15"/>
  <c r="C45" i="15"/>
  <c r="F44" i="15"/>
  <c r="B45" i="15"/>
  <c r="F66" i="16" l="1"/>
  <c r="B67" i="16"/>
  <c r="D63" i="16"/>
  <c r="C64" i="16"/>
  <c r="F45" i="15"/>
  <c r="B46" i="15"/>
  <c r="D45" i="15"/>
  <c r="C46" i="15"/>
  <c r="C65" i="16" l="1"/>
  <c r="D64" i="16"/>
  <c r="B68" i="16"/>
  <c r="F67" i="16"/>
  <c r="C47" i="15"/>
  <c r="D46" i="15"/>
  <c r="F46" i="15"/>
  <c r="B47" i="15"/>
  <c r="F68" i="16" l="1"/>
  <c r="B69" i="16"/>
  <c r="D65" i="16"/>
  <c r="C66" i="16"/>
  <c r="B48" i="15"/>
  <c r="F47" i="15"/>
  <c r="C48" i="15"/>
  <c r="D47" i="15"/>
  <c r="C67" i="16" l="1"/>
  <c r="D66" i="16"/>
  <c r="B70" i="16"/>
  <c r="F69" i="16"/>
  <c r="D48" i="15"/>
  <c r="C49" i="15"/>
  <c r="F48" i="15"/>
  <c r="B49" i="15"/>
  <c r="B71" i="16" l="1"/>
  <c r="F70" i="16"/>
  <c r="D67" i="16"/>
  <c r="C68" i="16"/>
  <c r="D49" i="15"/>
  <c r="C50" i="15"/>
  <c r="F49" i="15"/>
  <c r="B50" i="15"/>
  <c r="D68" i="16" l="1"/>
  <c r="C69" i="16"/>
  <c r="B72" i="16"/>
  <c r="F71" i="16"/>
  <c r="F50" i="15"/>
  <c r="B51" i="15"/>
  <c r="C51" i="15"/>
  <c r="D50" i="15"/>
  <c r="F72" i="16" l="1"/>
  <c r="B73" i="16"/>
  <c r="C70" i="16"/>
  <c r="D69" i="16"/>
  <c r="B52" i="15"/>
  <c r="F51" i="15"/>
  <c r="C52" i="15"/>
  <c r="D51" i="15"/>
  <c r="C71" i="16" l="1"/>
  <c r="D70" i="16"/>
  <c r="F73" i="16"/>
  <c r="D52" i="15"/>
  <c r="C53" i="15"/>
  <c r="F52" i="15"/>
  <c r="B53" i="15"/>
  <c r="F53" i="15" s="1"/>
  <c r="D71" i="16" l="1"/>
  <c r="C72" i="16"/>
  <c r="D53" i="15"/>
  <c r="C73" i="16" l="1"/>
  <c r="D73" i="16" s="1"/>
  <c r="D72" i="16"/>
  <c r="D54" i="15"/>
  <c r="E53" i="15" s="1"/>
  <c r="H53" i="15" s="1"/>
  <c r="D74" i="16" l="1"/>
  <c r="C80" i="15"/>
  <c r="C82" i="15" s="1"/>
  <c r="E17" i="15"/>
  <c r="H17" i="15" s="1"/>
  <c r="E16" i="15"/>
  <c r="H16" i="15" s="1"/>
  <c r="E18" i="15"/>
  <c r="H18" i="15" s="1"/>
  <c r="E15" i="15"/>
  <c r="H15" i="15" s="1"/>
  <c r="E14" i="15"/>
  <c r="E19" i="15"/>
  <c r="H19" i="15" s="1"/>
  <c r="E20" i="15"/>
  <c r="H20" i="15" s="1"/>
  <c r="E21" i="15"/>
  <c r="H21" i="15" s="1"/>
  <c r="E22" i="15"/>
  <c r="H22" i="15" s="1"/>
  <c r="E23" i="15"/>
  <c r="H23" i="15" s="1"/>
  <c r="E24" i="15"/>
  <c r="H24" i="15" s="1"/>
  <c r="E25" i="15"/>
  <c r="H25" i="15" s="1"/>
  <c r="E26" i="15"/>
  <c r="H26" i="15" s="1"/>
  <c r="E27" i="15"/>
  <c r="H27" i="15" s="1"/>
  <c r="E28" i="15"/>
  <c r="H28" i="15" s="1"/>
  <c r="E29" i="15"/>
  <c r="H29" i="15" s="1"/>
  <c r="E30" i="15"/>
  <c r="H30" i="15" s="1"/>
  <c r="E31" i="15"/>
  <c r="H31" i="15" s="1"/>
  <c r="E32" i="15"/>
  <c r="H32" i="15" s="1"/>
  <c r="E33" i="15"/>
  <c r="H33" i="15" s="1"/>
  <c r="E34" i="15"/>
  <c r="H34" i="15" s="1"/>
  <c r="E35" i="15"/>
  <c r="H35" i="15" s="1"/>
  <c r="E36" i="15"/>
  <c r="H36" i="15" s="1"/>
  <c r="E37" i="15"/>
  <c r="H37" i="15" s="1"/>
  <c r="E38" i="15"/>
  <c r="H38" i="15" s="1"/>
  <c r="E39" i="15"/>
  <c r="H39" i="15" s="1"/>
  <c r="E40" i="15"/>
  <c r="H40" i="15" s="1"/>
  <c r="E41" i="15"/>
  <c r="H41" i="15" s="1"/>
  <c r="E42" i="15"/>
  <c r="H42" i="15" s="1"/>
  <c r="E43" i="15"/>
  <c r="H43" i="15" s="1"/>
  <c r="E44" i="15"/>
  <c r="H44" i="15" s="1"/>
  <c r="E45" i="15"/>
  <c r="H45" i="15" s="1"/>
  <c r="E46" i="15"/>
  <c r="H46" i="15" s="1"/>
  <c r="E47" i="15"/>
  <c r="H47" i="15" s="1"/>
  <c r="E48" i="15"/>
  <c r="H48" i="15" s="1"/>
  <c r="E49" i="15"/>
  <c r="H49" i="15" s="1"/>
  <c r="E50" i="15"/>
  <c r="H50" i="15" s="1"/>
  <c r="E51" i="15"/>
  <c r="H51" i="15" s="1"/>
  <c r="E52" i="15"/>
  <c r="H52" i="15" s="1"/>
  <c r="E39" i="16" l="1"/>
  <c r="H39" i="16" s="1"/>
  <c r="E40" i="16"/>
  <c r="H40" i="16" s="1"/>
  <c r="E41" i="16"/>
  <c r="H41" i="16" s="1"/>
  <c r="E42" i="16"/>
  <c r="H42" i="16" s="1"/>
  <c r="E43" i="16"/>
  <c r="H43" i="16" s="1"/>
  <c r="E44" i="16"/>
  <c r="H44" i="16" s="1"/>
  <c r="E45" i="16"/>
  <c r="H45" i="16" s="1"/>
  <c r="E46" i="16"/>
  <c r="H46" i="16" s="1"/>
  <c r="E47" i="16"/>
  <c r="H47" i="16" s="1"/>
  <c r="E48" i="16"/>
  <c r="H48" i="16" s="1"/>
  <c r="E49" i="16"/>
  <c r="H49" i="16" s="1"/>
  <c r="E50" i="16"/>
  <c r="H50" i="16" s="1"/>
  <c r="E51" i="16"/>
  <c r="H51" i="16" s="1"/>
  <c r="E52" i="16"/>
  <c r="H52" i="16" s="1"/>
  <c r="E53" i="16"/>
  <c r="H53" i="16" s="1"/>
  <c r="E54" i="16"/>
  <c r="H54" i="16" s="1"/>
  <c r="E55" i="16"/>
  <c r="H55" i="16" s="1"/>
  <c r="E56" i="16"/>
  <c r="H56" i="16" s="1"/>
  <c r="E57" i="16"/>
  <c r="H57" i="16" s="1"/>
  <c r="E58" i="16"/>
  <c r="H58" i="16" s="1"/>
  <c r="E59" i="16"/>
  <c r="H59" i="16" s="1"/>
  <c r="E60" i="16"/>
  <c r="H60" i="16" s="1"/>
  <c r="C100" i="16"/>
  <c r="C102" i="16" s="1"/>
  <c r="E14" i="16"/>
  <c r="E15" i="16"/>
  <c r="H15" i="16" s="1"/>
  <c r="E16" i="16"/>
  <c r="H16" i="16" s="1"/>
  <c r="E17" i="16"/>
  <c r="H17" i="16" s="1"/>
  <c r="E18" i="16"/>
  <c r="H18" i="16" s="1"/>
  <c r="E19" i="16"/>
  <c r="H19" i="16" s="1"/>
  <c r="E20" i="16"/>
  <c r="H20" i="16" s="1"/>
  <c r="E21" i="16"/>
  <c r="H21" i="16" s="1"/>
  <c r="E22" i="16"/>
  <c r="H22" i="16" s="1"/>
  <c r="E23" i="16"/>
  <c r="H23" i="16" s="1"/>
  <c r="E24" i="16"/>
  <c r="H24" i="16" s="1"/>
  <c r="E25" i="16"/>
  <c r="H25" i="16" s="1"/>
  <c r="E26" i="16"/>
  <c r="H26" i="16" s="1"/>
  <c r="E27" i="16"/>
  <c r="H27" i="16" s="1"/>
  <c r="E28" i="16"/>
  <c r="H28" i="16" s="1"/>
  <c r="E29" i="16"/>
  <c r="H29" i="16" s="1"/>
  <c r="E30" i="16"/>
  <c r="H30" i="16" s="1"/>
  <c r="E31" i="16"/>
  <c r="H31" i="16" s="1"/>
  <c r="E32" i="16"/>
  <c r="H32" i="16" s="1"/>
  <c r="E33" i="16"/>
  <c r="H33" i="16" s="1"/>
  <c r="E34" i="16"/>
  <c r="H34" i="16" s="1"/>
  <c r="E35" i="16"/>
  <c r="H35" i="16" s="1"/>
  <c r="E36" i="16"/>
  <c r="H36" i="16" s="1"/>
  <c r="E37" i="16"/>
  <c r="H37" i="16" s="1"/>
  <c r="E38" i="16"/>
  <c r="H38" i="16" s="1"/>
  <c r="E61" i="16"/>
  <c r="H61" i="16" s="1"/>
  <c r="E62" i="16"/>
  <c r="H62" i="16" s="1"/>
  <c r="E63" i="16"/>
  <c r="H63" i="16" s="1"/>
  <c r="E64" i="16"/>
  <c r="H64" i="16" s="1"/>
  <c r="E65" i="16"/>
  <c r="H65" i="16" s="1"/>
  <c r="E66" i="16"/>
  <c r="H66" i="16" s="1"/>
  <c r="E67" i="16"/>
  <c r="H67" i="16" s="1"/>
  <c r="E68" i="16"/>
  <c r="H68" i="16" s="1"/>
  <c r="E69" i="16"/>
  <c r="H69" i="16" s="1"/>
  <c r="E70" i="16"/>
  <c r="H70" i="16" s="1"/>
  <c r="E71" i="16"/>
  <c r="H71" i="16" s="1"/>
  <c r="E73" i="16"/>
  <c r="H73" i="16" s="1"/>
  <c r="E72" i="16"/>
  <c r="H72" i="16" s="1"/>
  <c r="H14" i="15"/>
  <c r="H54" i="15" s="1"/>
  <c r="E54" i="15"/>
  <c r="F54" i="15"/>
  <c r="F55" i="15" s="1"/>
  <c r="H14" i="16" l="1"/>
  <c r="H74" i="16" s="1"/>
  <c r="E74" i="16"/>
  <c r="F74" i="16"/>
  <c r="F75" i="1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tc={72CF123F-46A6-48A7-8A4D-3662AA53B854}</author>
  </authors>
  <commentList>
    <comment ref="C17" authorId="0" shapeId="0" xr:uid="{72CF123F-46A6-48A7-8A4D-3662AA53B854}">
      <text>
        <r>
          <rPr>
            <sz val="11"/>
            <color theme="1"/>
            <rFont val="Aptos Narrow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Hay dos alternativas para pagarle al reportador:
1. Volver a colocar el título en reporto. Puede ser el mismo reportador u otro.
2. Vender el título en directo.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tc={EFD52061-96B7-4BE6-8D34-3436C5B251B5}</author>
    <author>tc={3880A4CB-3CF2-4D98-B8D8-C0F89A0992AD}</author>
    <author>tc={A38C64A3-AC90-48AF-9812-DDBE5B339A30}</author>
    <author>tc={38CFA383-9132-486C-B0F9-75659FA840D2}</author>
  </authors>
  <commentList>
    <comment ref="H13" authorId="0" shapeId="0" xr:uid="{EFD52061-96B7-4BE6-8D34-3436C5B251B5}">
      <text>
        <r>
          <rPr>
            <sz val="11"/>
            <color theme="1"/>
            <rFont val="Aptos Narrow"/>
            <family val="2"/>
            <scheme val="minor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Este dato en la práctica ya es de vanidad, porque ya sabemos cuáles son los precios de los bonos cuando aumentan o disminuyen un punto porcentual las tasas de interés.
</t>
        </r>
      </text>
    </comment>
    <comment ref="D18" authorId="1" shapeId="0" xr:uid="{3880A4CB-3CF2-4D98-B8D8-C0F89A0992AD}">
      <text>
        <r>
          <rPr>
            <sz val="11"/>
            <color theme="1"/>
            <rFont val="Aptos Narrow"/>
            <family val="2"/>
            <scheme val="minor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fecha corte de cupón:
1. Tasa mercado &gt; tasa cupón, el bono cotiza bajo par.
2. Tasa mercado = tasa cupón, el bono cotiza a la par.
3. Tasa mercado&lt; tasa cupón, el bono cotiza sobre par. </t>
        </r>
      </text>
    </comment>
    <comment ref="H18" authorId="2" shapeId="0" xr:uid="{A38C64A3-AC90-48AF-9812-DDBE5B339A30}">
      <text>
        <r>
          <rPr>
            <sz val="11"/>
            <color theme="1"/>
            <rFont val="Aptos Narrow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 la sensibilidad de la duración modificada ante cambios de un punto porcentual en las tasas de interés.
También se le conoce como la segunda derivada del precio del bono con respecto a la tasa de interés.
Y también se le conoce como la “gama”.</t>
        </r>
      </text>
    </comment>
    <comment ref="G19" authorId="3" shapeId="0" xr:uid="{38CFA383-9132-486C-B0F9-75659FA840D2}">
      <text>
        <r>
          <rPr>
            <sz val="11"/>
            <color theme="1"/>
            <rFont val="Aptos Narrow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Delta del Bono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tc={9338F395-4421-4646-BFE2-D2AC44DC5C23}</author>
    <author>tc={00C9EC72-8284-4176-A8AC-2C97EC2B4483}</author>
    <author>tc={3B79B0EB-12E7-4A71-9932-97E9430CB0A0}</author>
    <author>tc={5ADE6427-FD29-439E-B1A8-9FF56128F174}</author>
  </authors>
  <commentList>
    <comment ref="H13" authorId="0" shapeId="0" xr:uid="{9338F395-4421-4646-BFE2-D2AC44DC5C23}">
      <text>
        <r>
          <rPr>
            <sz val="11"/>
            <color theme="1"/>
            <rFont val="Aptos Narrow"/>
            <family val="2"/>
            <scheme val="minor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Este dato en la práctica ya es de vanidad, porque ya sabemos cuáles son los precios de los bonos cuando aumentan o disminuyen un punto porcentual las tasas de interés.
</t>
        </r>
      </text>
    </comment>
    <comment ref="D54" authorId="1" shapeId="0" xr:uid="{00C9EC72-8284-4176-A8AC-2C97EC2B4483}">
      <text>
        <r>
          <rPr>
            <sz val="11"/>
            <color theme="1"/>
            <rFont val="Aptos Narrow"/>
            <family val="2"/>
            <scheme val="minor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fecha corte de cupón:
1. Tasa mercado &gt; tasa cupón, el bono cotiza bajo par.
2. Tasa mercado = tasa cupón, el bono cotiza a la par.
3. Tasa mercado&lt; tasa cupón, el bono cotiza sobre par. </t>
        </r>
      </text>
    </comment>
    <comment ref="H54" authorId="2" shapeId="0" xr:uid="{3B79B0EB-12E7-4A71-9932-97E9430CB0A0}">
      <text>
        <r>
          <rPr>
            <sz val="11"/>
            <color theme="1"/>
            <rFont val="Aptos Narrow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 la sensibilidad de la duración modificada ante cambios de un punto porcentual en las tasas de interés.
También se le conoce como la segunda derivada del precio del bono con respecto a la tasa de interés.
Y también se le conoce como la “gama”.</t>
        </r>
      </text>
    </comment>
    <comment ref="G55" authorId="3" shapeId="0" xr:uid="{5ADE6427-FD29-439E-B1A8-9FF56128F174}">
      <text>
        <r>
          <rPr>
            <sz val="11"/>
            <color theme="1"/>
            <rFont val="Aptos Narrow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Delta del Bono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tc={BC6E1DA1-09D6-4169-87B0-475FAE1B7448}</author>
    <author>tc={22F5FDDD-49D8-4204-872D-C4BB29EBAA89}</author>
    <author>tc={B1E08F3B-C6C9-4386-9A83-C798DCD9F2CD}</author>
    <author>tc={5E3CC0E0-70F9-42FD-9ECA-C29C4CC15997}</author>
  </authors>
  <commentList>
    <comment ref="H13" authorId="0" shapeId="0" xr:uid="{BC6E1DA1-09D6-4169-87B0-475FAE1B7448}">
      <text>
        <r>
          <rPr>
            <sz val="11"/>
            <color theme="1"/>
            <rFont val="Aptos Narrow"/>
            <family val="2"/>
            <scheme val="minor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Este dato en la práctica ya es de vanidad, porque ya sabemos cuáles son los precios de los bonos cuando aumentan o disminuyen un punto porcentual las tasas de interés.
</t>
        </r>
      </text>
    </comment>
    <comment ref="D74" authorId="1" shapeId="0" xr:uid="{22F5FDDD-49D8-4204-872D-C4BB29EBAA89}">
      <text>
        <r>
          <rPr>
            <sz val="11"/>
            <color theme="1"/>
            <rFont val="Aptos Narrow"/>
            <family val="2"/>
            <scheme val="minor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fecha corte de cupón:
1. Tasa mercado &gt; tasa cupón, el bono cotiza bajo par.
2. Tasa mercado = tasa cupón, el bono cotiza a la par.
3. Tasa mercado&lt; tasa cupón, el bono cotiza sobre par. </t>
        </r>
      </text>
    </comment>
    <comment ref="H74" authorId="2" shapeId="0" xr:uid="{B1E08F3B-C6C9-4386-9A83-C798DCD9F2CD}">
      <text>
        <r>
          <rPr>
            <sz val="11"/>
            <color theme="1"/>
            <rFont val="Aptos Narrow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 la sensibilidad de la duración modificada ante cambios de un punto porcentual en las tasas de interés.
También se le conoce como la segunda derivada del precio del bono con respecto a la tasa de interés.
Y también se le conoce como la “gama”.</t>
        </r>
      </text>
    </comment>
    <comment ref="G75" authorId="3" shapeId="0" xr:uid="{5E3CC0E0-70F9-42FD-9ECA-C29C4CC15997}">
      <text>
        <r>
          <rPr>
            <sz val="11"/>
            <color theme="1"/>
            <rFont val="Aptos Narrow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Delta del Bono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tc={5307E2A5-C291-4722-A1CD-87EDCD2BF6A0}</author>
    <author>RIESGOYDERIVADOS</author>
  </authors>
  <commentList>
    <comment ref="E8" authorId="0" shapeId="0" xr:uid="{5307E2A5-C291-4722-A1CD-87EDCD2BF6A0}">
      <text>
        <r>
          <rPr>
            <sz val="11"/>
            <color theme="1"/>
            <rFont val="Aptos Narrow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Las sobretasas están establecidas en los prospectos de colocación de los bonos.</t>
        </r>
      </text>
    </comment>
    <comment ref="G9" authorId="1" shapeId="0" xr:uid="{37C3FDF7-9E8F-441C-AA7A-6788FE736409}">
      <text>
        <r>
          <rPr>
            <b/>
            <sz val="9"/>
            <color indexed="81"/>
            <rFont val="Tahoma"/>
            <family val="2"/>
          </rPr>
          <t>Este es el valor de mercado del bono.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1" authorId="1" shapeId="0" xr:uid="{CF52D1AB-8D5A-4B82-9120-D583DC08938D}">
      <text>
        <r>
          <rPr>
            <b/>
            <sz val="9"/>
            <color indexed="81"/>
            <rFont val="Tahoma"/>
            <family val="2"/>
          </rPr>
          <t>La Pérdida Esperada (Expected Loss) es en términos monetarios.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9" authorId="1" shapeId="0" xr:uid="{1807E224-64D4-43D6-99EC-7F54D96709AB}">
      <text>
        <r>
          <rPr>
            <b/>
            <sz val="9"/>
            <color indexed="81"/>
            <rFont val="Tahoma"/>
            <family val="2"/>
          </rPr>
          <t>Es el peor nivel de la tasa de mercado que ocurrirá en 30 días, habiendo 1% de probabilidad que esta tasa sea aún mayor.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RIESGOYDERIVADOS</author>
  </authors>
  <commentList>
    <comment ref="C3" authorId="0" shapeId="0" xr:uid="{0C3B052D-1C59-4EF5-8235-278AD322B161}">
      <text>
        <r>
          <rPr>
            <b/>
            <sz val="9"/>
            <color indexed="81"/>
            <rFont val="Tahoma"/>
            <family val="2"/>
          </rPr>
          <t>Nodos de cotización.</t>
        </r>
      </text>
    </comment>
    <comment ref="F3" authorId="0" shapeId="0" xr:uid="{A6B3E949-29F8-43F8-8A94-D27695913CD4}">
      <text>
        <r>
          <rPr>
            <b/>
            <sz val="9"/>
            <color indexed="81"/>
            <rFont val="Tahoma"/>
            <family val="2"/>
          </rPr>
          <t>1. Expectativa del comportamiento futuro de la tasa de interés.
2. Interpolar tasas de interés. 
3. Valores teóricos de los Forwards de Tasas de interés y futuros de tasas de interés.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2" authorId="0" shapeId="0" xr:uid="{24DA18AF-B4EC-4F22-96F8-B4298F90784F}">
      <text>
        <r>
          <rPr>
            <b/>
            <sz val="9"/>
            <color indexed="81"/>
            <rFont val="Tahoma"/>
            <family val="2"/>
          </rPr>
          <t>Nodos de cotización.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<sst xmlns="http://schemas.openxmlformats.org/spreadsheetml/2006/main" count="591" uniqueCount="341">
  <si>
    <t>Valor Nominal</t>
  </si>
  <si>
    <t>Días por Vencer</t>
  </si>
  <si>
    <t>Plazo (días)</t>
  </si>
  <si>
    <t>Convexidad</t>
  </si>
  <si>
    <t>Tasa de Rendimiento</t>
  </si>
  <si>
    <t>CÁLCULO DEL VALOR EN RIESGO DE MERCADO Y DE CRÉDITO DE UN BONO QUE PAGA CUPONES</t>
  </si>
  <si>
    <t>Datos de Entrada</t>
  </si>
  <si>
    <t>Matriz de Transición en las Calificaciones</t>
  </si>
  <si>
    <t>AAA</t>
  </si>
  <si>
    <t>AA</t>
  </si>
  <si>
    <t>A</t>
  </si>
  <si>
    <t>BBB</t>
  </si>
  <si>
    <t>BB</t>
  </si>
  <si>
    <t>B</t>
  </si>
  <si>
    <t>C</t>
  </si>
  <si>
    <t>D</t>
  </si>
  <si>
    <t>Total</t>
  </si>
  <si>
    <t>Plazo de Cupón</t>
  </si>
  <si>
    <t>Sobretasas</t>
  </si>
  <si>
    <t>Tasa Cupón</t>
  </si>
  <si>
    <t>Tasa Mercado</t>
  </si>
  <si>
    <t>Calificación</t>
  </si>
  <si>
    <t>Volatilidad Anual</t>
  </si>
  <si>
    <t>Horizonte tiempo</t>
  </si>
  <si>
    <t>Nivel de Confianza</t>
  </si>
  <si>
    <t>Valor del Cupón</t>
  </si>
  <si>
    <t>Flujos</t>
  </si>
  <si>
    <t>% Part.</t>
  </si>
  <si>
    <t>Ponderación</t>
  </si>
  <si>
    <t>Duración Modificada</t>
  </si>
  <si>
    <t>Margen de error</t>
  </si>
  <si>
    <t>Valuación</t>
  </si>
  <si>
    <t>Prob. Oc.</t>
  </si>
  <si>
    <t>Precios</t>
  </si>
  <si>
    <t>((P-M)^2)*Prob</t>
  </si>
  <si>
    <t>Número Cupones</t>
  </si>
  <si>
    <t>No. Desv. Estándar</t>
  </si>
  <si>
    <t>Precio Promedio Pond.</t>
  </si>
  <si>
    <t>Varianza</t>
  </si>
  <si>
    <t>Pérdida Esperada</t>
  </si>
  <si>
    <t>Desv. Estand.</t>
  </si>
  <si>
    <t>Pérdida No Esperada</t>
  </si>
  <si>
    <t>Valor en Riesgo</t>
  </si>
  <si>
    <t>VaR de Crédito</t>
  </si>
  <si>
    <t>VaR Relativo</t>
  </si>
  <si>
    <t>VaR = Media + (No. Desv. Est * Desv. Est) * Valor de la Posición</t>
  </si>
  <si>
    <t>Tasa Frontera</t>
  </si>
  <si>
    <t>Cx = n(n+1)/(1 + i)^2</t>
  </si>
  <si>
    <t>Valuación a Tasa Frontera</t>
  </si>
  <si>
    <t>Cálculo de la Duración y Duración Modificada del Bono</t>
  </si>
  <si>
    <t>Metodología de Valuación Total</t>
  </si>
  <si>
    <t>VaR de Mercado</t>
  </si>
  <si>
    <t>No. Periodos</t>
  </si>
  <si>
    <t>V.P. Flujos</t>
  </si>
  <si>
    <t>Dur. Flujos</t>
  </si>
  <si>
    <t>VaR Total</t>
  </si>
  <si>
    <t>Utilizamos la Duración Modificada (Delta)</t>
  </si>
  <si>
    <t>VaR Delta</t>
  </si>
  <si>
    <t>Utilizamos la Dur. Mod. Y Cx (Delta-Gamma)</t>
  </si>
  <si>
    <t>VaR Delta-Gamma</t>
  </si>
  <si>
    <t>Duración Bono</t>
  </si>
  <si>
    <t>TASAS DE INTERÉS FORWARDS Y TASAS ALAMBRADAS</t>
  </si>
  <si>
    <t>Se busca una tasa efectiva de 60 días</t>
  </si>
  <si>
    <t>Plazos</t>
  </si>
  <si>
    <t>Tasas</t>
  </si>
  <si>
    <t>Usos de estas tasas:</t>
  </si>
  <si>
    <t>Tef 32 días</t>
  </si>
  <si>
    <t>Implícitas</t>
  </si>
  <si>
    <t>Tasa Efectiva de 28 días</t>
  </si>
  <si>
    <t>Tasa Efectiva Implícita de 63 días</t>
  </si>
  <si>
    <t>Tasa Alambrada</t>
  </si>
  <si>
    <t>PC</t>
  </si>
  <si>
    <t>Tasa Efectiva de 91 días</t>
  </si>
  <si>
    <t>TC</t>
  </si>
  <si>
    <t>PL</t>
  </si>
  <si>
    <t>TL</t>
  </si>
  <si>
    <t>PB</t>
  </si>
  <si>
    <t>Todo es calculado el día de hoy</t>
  </si>
  <si>
    <t>TB</t>
  </si>
  <si>
    <t>Monto Inicial</t>
  </si>
  <si>
    <t>Plazo</t>
  </si>
  <si>
    <t>Tasa</t>
  </si>
  <si>
    <t>Monto Final</t>
  </si>
  <si>
    <t>TABLA DE TASAS EQUIVALENTES</t>
  </si>
  <si>
    <r>
      <t xml:space="preserve">VaR = 100% - 99% = </t>
    </r>
    <r>
      <rPr>
        <b/>
        <sz val="11"/>
        <color rgb="FFFF0000"/>
        <rFont val="Aptos Narrow"/>
        <family val="2"/>
        <scheme val="minor"/>
      </rPr>
      <t>1%</t>
    </r>
  </si>
  <si>
    <t>OPERACIONES DE COMPRA Y VENTA EN DIRECTO</t>
  </si>
  <si>
    <t>Línea de tiempo de un bono con cupón cero</t>
  </si>
  <si>
    <t>PRLV, Papel Comercial, Aceptación Bancaria, CETES, (T-Bill)</t>
  </si>
  <si>
    <t>Y</t>
  </si>
  <si>
    <t>Ejercicio  (Operación En Directo para Recibir Principal e Intereses)</t>
  </si>
  <si>
    <t>$</t>
  </si>
  <si>
    <r>
      <t xml:space="preserve">Deseamos calcular el </t>
    </r>
    <r>
      <rPr>
        <sz val="11"/>
        <color rgb="FFFF0000"/>
        <rFont val="Aptos Narrow"/>
        <family val="2"/>
        <scheme val="minor"/>
      </rPr>
      <t>valor de mercado</t>
    </r>
    <r>
      <rPr>
        <sz val="11"/>
        <color theme="1"/>
        <rFont val="Aptos Narrow"/>
        <family val="2"/>
        <scheme val="minor"/>
      </rPr>
      <t xml:space="preserve"> de un bono con cupón cero que tiene un valor nominal de</t>
    </r>
  </si>
  <si>
    <t>$100.00, tiene una tasa de rendimiento del 11.20% y tiene 182 días por vencer.</t>
  </si>
  <si>
    <t>+</t>
  </si>
  <si>
    <t>Tasa de Rendimiento de 11.20%</t>
  </si>
  <si>
    <t>Hoy</t>
  </si>
  <si>
    <t>X</t>
  </si>
  <si>
    <t>-</t>
  </si>
  <si>
    <t>Calcular el Valor de Mercado (Precio)</t>
  </si>
  <si>
    <t>Ejercicio  (Operación En Directo con Fines Negociables y también aplica para operaciones para Cobrar y Vender)</t>
  </si>
  <si>
    <r>
      <t xml:space="preserve">Un inversionista </t>
    </r>
    <r>
      <rPr>
        <sz val="11"/>
        <color rgb="FFFF0000"/>
        <rFont val="Aptos Narrow"/>
        <family val="2"/>
        <scheme val="minor"/>
      </rPr>
      <t>compra</t>
    </r>
    <r>
      <rPr>
        <sz val="11"/>
        <color theme="1"/>
        <rFont val="Aptos Narrow"/>
        <family val="2"/>
        <scheme val="minor"/>
      </rPr>
      <t xml:space="preserve"> un bono con cupón cero que tiene una tasa de </t>
    </r>
  </si>
  <si>
    <t>rendimiento del 11.45% con 56 días por vencer. Valor Nominal es de $100.00</t>
  </si>
  <si>
    <t xml:space="preserve">Transcurren 7 días y la tasa de rendimiento disminuyó a 10.45% y el </t>
  </si>
  <si>
    <r>
      <t xml:space="preserve">inversionista decide </t>
    </r>
    <r>
      <rPr>
        <sz val="11"/>
        <color rgb="FFFF0000"/>
        <rFont val="Aptos Narrow"/>
        <family val="2"/>
        <scheme val="minor"/>
      </rPr>
      <t>vender</t>
    </r>
    <r>
      <rPr>
        <sz val="11"/>
        <color theme="1"/>
        <rFont val="Aptos Narrow"/>
        <family val="2"/>
        <scheme val="minor"/>
      </rPr>
      <t xml:space="preserve"> el bono. </t>
    </r>
    <r>
      <rPr>
        <sz val="11"/>
        <color rgb="FF0070C0"/>
        <rFont val="Aptos Narrow"/>
        <family val="2"/>
        <scheme val="minor"/>
      </rPr>
      <t>¿Cuál es el rendimiento anual que obtuvo</t>
    </r>
  </si>
  <si>
    <t>en la operación?</t>
  </si>
  <si>
    <t>OPERACIÓN DE COMPRA Y VENTA EN REPORTO</t>
  </si>
  <si>
    <t>Ejercicio  (Operación en Reporto) "Para inversionistas muy adversos al riesgo".</t>
  </si>
  <si>
    <t>Datos de Entrada (Inputs)</t>
  </si>
  <si>
    <t>Título de Asignación (PRLV)</t>
  </si>
  <si>
    <t>Monto de Inversión</t>
  </si>
  <si>
    <t>1a. Operación del Reporto</t>
  </si>
  <si>
    <t>MERCADO DE DINERO</t>
  </si>
  <si>
    <r>
      <t xml:space="preserve">Mercado de dinero como el lugar donde concurren oferentes y demandantes de </t>
    </r>
    <r>
      <rPr>
        <sz val="11"/>
        <color rgb="FFFF0000"/>
        <rFont val="Aptos Narrow"/>
        <family val="2"/>
        <scheme val="minor"/>
      </rPr>
      <t>instrumentos de deuda.</t>
    </r>
  </si>
  <si>
    <t>Obligaciones son instrumentos de deuda, pero se negocian en el mercado de capitales, en virtud</t>
  </si>
  <si>
    <t>de que tienen susceptibilidad de convertirse en acciones.</t>
  </si>
  <si>
    <t>ELEMENTOS DE LOS INSTRUMENTOS DE DEUDA</t>
  </si>
  <si>
    <t>1. Emisor</t>
  </si>
  <si>
    <t>Gobierno Federal</t>
  </si>
  <si>
    <t>Es considerado una deuda libre de riesgo de contraparte (no tiene calificación)</t>
  </si>
  <si>
    <t>Bancos</t>
  </si>
  <si>
    <t>Empresas Privadas</t>
  </si>
  <si>
    <t>Se tienen que calificar</t>
  </si>
  <si>
    <t>Gobiernos Estatales</t>
  </si>
  <si>
    <t>Gobiernos Municipales</t>
  </si>
  <si>
    <t>2. Monto de Emisión</t>
  </si>
  <si>
    <t>Límite de endeudamiento del Gobierno Federal y lo establece el Congreso de la Unión.</t>
  </si>
  <si>
    <t>Límite de endeudamiento de las empresas es su capacidad de generar flujos de efectivo.</t>
  </si>
  <si>
    <t>Todos los martes son las subastas en la colocación de bonos gubernamentales (CETES, BONDES, Bonos M, etc.)</t>
  </si>
  <si>
    <t>En la publicación de las subastas se establece el monto de la emisión.</t>
  </si>
  <si>
    <t>3. Garantías</t>
  </si>
  <si>
    <t>Gobierno Federal tiene como garantía el flujo que genera la Tesorería de la Federación.</t>
  </si>
  <si>
    <t>Quirografarias</t>
  </si>
  <si>
    <t>Hipotecarias</t>
  </si>
  <si>
    <t>Prendarias</t>
  </si>
  <si>
    <t>Bursatilización de activos (derechos de cobros futuros como son tenencias vehiculares o créditos hipotecarios)</t>
  </si>
  <si>
    <t>4. Valor Nominal (generalmente se paga al vencimiento)</t>
  </si>
  <si>
    <t>10.00 pesos (CETES)</t>
  </si>
  <si>
    <t>100.00 pesos (BONDES)</t>
  </si>
  <si>
    <t>100 UDI´s (UDIBONOS)</t>
  </si>
  <si>
    <t>1,000 Dólares de los Estados Unidos de América (UMS´s)</t>
  </si>
  <si>
    <t>Denominados en dólares</t>
  </si>
  <si>
    <t>Pagan tasa fija en dólares</t>
  </si>
  <si>
    <t>Pagan cupones semestrales</t>
  </si>
  <si>
    <t>En México se pueden comprar cotizándolos con el tipo de cambio FIX.</t>
  </si>
  <si>
    <t>Con fines de cobertura cambiaria.</t>
  </si>
  <si>
    <t>5. Plazo de Vencimiento</t>
  </si>
  <si>
    <t>Corto Plazo (7, 14, 28, 91, 182 y 364 días)</t>
  </si>
  <si>
    <t>Largo Plazo (2, 3, 5, 7, 10, 15, 20 y 30 años)</t>
  </si>
  <si>
    <t>El gobierno federal mexicano emitió deuda a 100 años.</t>
  </si>
  <si>
    <t>6. Rendimiento</t>
  </si>
  <si>
    <t>Ganancias de capital (precio de venta vs precio de compra)</t>
  </si>
  <si>
    <t>Intereses (cupones)</t>
  </si>
  <si>
    <t>Combinación de intereses y ganancias de capital</t>
  </si>
  <si>
    <t>7. Plazo de los intereses (cupones)</t>
  </si>
  <si>
    <t>28, 91 o 182 días</t>
  </si>
  <si>
    <t>Mensuales, trimestrales o semestrales</t>
  </si>
  <si>
    <t>En Estados Unidos son 30, 90 o 180 días (un mes, tres meses, seis meses)</t>
  </si>
  <si>
    <t>8. Amortización (pago del capital o del principal)</t>
  </si>
  <si>
    <t>Al vencimiento (la mayoría paga el principal al vencimiento)</t>
  </si>
  <si>
    <t>Parciales (cada que paga cupón o intereses se paga una parte del capital o del principal)</t>
  </si>
  <si>
    <t>TIPOS DE INSTRUMENTOS DE DEUDA</t>
  </si>
  <si>
    <t>1. Bonos con Cupón Cero (no pagan intereses, su ganancia es a través de ganancia de capital)</t>
  </si>
  <si>
    <t>Son colocados a descuento de su valor nominal.</t>
  </si>
  <si>
    <t>CETES, Aceptaciones Bancarias, PRLV, Papel Comercial, T-Bill).</t>
  </si>
  <si>
    <t>2. Bonos con Cupones Fijos</t>
  </si>
  <si>
    <t>Riesgo para el inversionistas (si la tasa de interés sube, el inversionista recibirá menos intereses).</t>
  </si>
  <si>
    <t>Riesgo para el emisor (si la tasa de interés baja, el emisor pagará más intereses).</t>
  </si>
  <si>
    <t>3. Bonos con Cupones Variables (Flotantes o Revisables)</t>
  </si>
  <si>
    <t>TIIE o CETES</t>
  </si>
  <si>
    <t>Riesgo para el inversionista (cuando hay mucha inflación, se obtenga un rendimiento en términos reales negativo)</t>
  </si>
  <si>
    <t>4. Bonos Indizados a la Inflación (Denominados en UDI´s)</t>
  </si>
  <si>
    <t>El inversionista asegura un rendimiento en términos reales positivos (rendimiento por arriba de la inflación)</t>
  </si>
  <si>
    <t>UDIBONOS</t>
  </si>
  <si>
    <t>PIC-FARAC</t>
  </si>
  <si>
    <t>Certificados Bursátiles</t>
  </si>
  <si>
    <t>OPERACIONES EN EL MERCADO DE DINERO</t>
  </si>
  <si>
    <t>1. Compra-Venta En Directo</t>
  </si>
  <si>
    <t>Riesgo de mercado no hay, porque ya se conoce el rendimiento que se obtendrá hasta el vencimiento.</t>
  </si>
  <si>
    <t>Riesgo de crédito o de contraparte sí hay, porque el emisor puede no pagar los intereses y/o el valor nominal.</t>
  </si>
  <si>
    <t>Riesgo de liquidez no hay, porque no se va a negociar el instrumento financiero.</t>
  </si>
  <si>
    <t>Riesgo de mercado sí hay, porque pueden subir las tasas de interés y vender el bono con pérdidas.</t>
  </si>
  <si>
    <t>Riesgo de crédito o de contraparte sí hay, y es que disminuya la calificación crediticia del emisor.</t>
  </si>
  <si>
    <t>Riesgo de liquidez sí hay, porque puede haber una postura de compra más barata que la postura de venta.</t>
  </si>
  <si>
    <t>Riesgo de mercado sí hay, porque al vender los instrumentos la tasa de interés pudo haber aumentado.</t>
  </si>
  <si>
    <t>Riesgo de crédito o de contraparte sí hay, porque puede disminuir la calificación crediticia del emisor.</t>
  </si>
  <si>
    <t>2. Compra-Venta En Reporto</t>
  </si>
  <si>
    <t>La operación en reporto es una operación colateralizada (títulos asignados sirven como garantía).</t>
  </si>
  <si>
    <t>Tasa de Interés</t>
  </si>
  <si>
    <t>Línea de tiempo de un bono con cupones</t>
  </si>
  <si>
    <t>Largo Plazo (Solvencia) AAA, AA, A, BBB, BB, etc.</t>
  </si>
  <si>
    <t>Corto Plazo (Liquidez) 1, 2, 3 y 4</t>
  </si>
  <si>
    <t>Con Fines de Negociación (instrumentos financieros negociables)</t>
  </si>
  <si>
    <t>Disponibles para la Venta (instrumentos financieros para cobrar y vender)</t>
  </si>
  <si>
    <t>Conservar a Vencimiento (Instrumentos financieros para cobrar principal e intereses)</t>
  </si>
  <si>
    <t>OPERACIONES EN BOLSA</t>
  </si>
  <si>
    <t>Mercado de Capitales</t>
  </si>
  <si>
    <t>Accionario</t>
  </si>
  <si>
    <t>Obligaciones</t>
  </si>
  <si>
    <t>Mercado de Metales</t>
  </si>
  <si>
    <t>Mercado de Dinero (80%)</t>
  </si>
  <si>
    <t>1. Directo</t>
  </si>
  <si>
    <t>2. Reporto (80%)</t>
  </si>
  <si>
    <t>¿CUÁLES SON LOS RIESGOS PARA EL INVERSIONISTA O REPORTADOR?</t>
  </si>
  <si>
    <t>Mercado</t>
  </si>
  <si>
    <t>Crédito</t>
  </si>
  <si>
    <t>Liquidez</t>
  </si>
  <si>
    <t>¿CUÁLES SON LOS RIESGOS PARA EL INT. FIN. O REPORTADO?</t>
  </si>
  <si>
    <t>No hay riesgo (ya se pactó el rendimiento).</t>
  </si>
  <si>
    <t>Que el reportado no pague la cantidad de dinero ni el premio.</t>
  </si>
  <si>
    <t>EL REPORTO ES UNA OPERACIÓN COLATERALIZADA (GARANTÍA)</t>
  </si>
  <si>
    <t>Los títulos asignados sirven como garantía.</t>
  </si>
  <si>
    <t>No hay, porque no se va a negociar el instrumento de deuda.</t>
  </si>
  <si>
    <t>Que al regreso del título las tasas de interés hayan aumentado.</t>
  </si>
  <si>
    <t>Esto hará que el valor de mercado de los títulos baje.</t>
  </si>
  <si>
    <t>No hay.</t>
  </si>
  <si>
    <t>No hay porque no se negocian los títulos en directo.</t>
  </si>
  <si>
    <t>PARA INSTRUMENTOS FINANCIEROS PARA COBRAR PRINCIPAL E INTERESES (CONSERVAR A VENCIMIENTO)</t>
  </si>
  <si>
    <t>Instrumentos Financieros (Valores)</t>
  </si>
  <si>
    <t>Instrumentos Financieros (Neto)</t>
  </si>
  <si>
    <t>Estimaciones Preventivas para Riesgos de Crédito (Pérdida Esperada)</t>
  </si>
  <si>
    <t>ESTOS CÁLCULOS DEL RIESGO DE CRÉDITO SON PARA BONOS QUE NO SEAN EMITIDOS POR EL GOBIERNO FEDERAL</t>
  </si>
  <si>
    <t>SON CÁLCULOS DEL RIESGO DE MERCADO (TASAS DE INTERÉS) INCLUYE BONOS EMITIDOS POR EL GOBIERNO FEDERAL</t>
  </si>
  <si>
    <t>Tasa Forward de 182 días en 182 días.</t>
  </si>
  <si>
    <t>Se usa bajo dos escenarios:</t>
  </si>
  <si>
    <t>1. No hay restricción a la liquidez.</t>
  </si>
  <si>
    <t>2. No hay expectativa de baja ni de alza en la tasa de interés.</t>
  </si>
  <si>
    <t>Si la expectativa es una baja en la tasa de interés, se debe invertir a plazos largos.</t>
  </si>
  <si>
    <t>Si la expectativa es una alza en la tasa de interés, se debe invertir a plazos cortos.</t>
  </si>
  <si>
    <t>Valor de Mercado (Valor Razonable)</t>
  </si>
  <si>
    <t>Producto</t>
  </si>
  <si>
    <t>Descuento</t>
  </si>
  <si>
    <t>Precio</t>
  </si>
  <si>
    <t>Ganancia $</t>
  </si>
  <si>
    <t>Rendimiento</t>
  </si>
  <si>
    <t>Tasa de Descuento Anual</t>
  </si>
  <si>
    <t>Tasa de Descuento Efectiva (182)</t>
  </si>
  <si>
    <t>Datos de Entrada de Compra</t>
  </si>
  <si>
    <t>Valor Mercado (Valor Razonable)</t>
  </si>
  <si>
    <t>Datos de Entrada de Venta</t>
  </si>
  <si>
    <t>Días transcurridos (días que pasaron)</t>
  </si>
  <si>
    <t>Rendimiento Anualizado en la Operación C/V</t>
  </si>
  <si>
    <t>Valor Nominal (Numerador)</t>
  </si>
  <si>
    <t>Tasa de Interés (Denominador)</t>
  </si>
  <si>
    <t>V. Mdo. (Cociente)</t>
  </si>
  <si>
    <t>Explicación matemática</t>
  </si>
  <si>
    <t>Diariamente se valúa el título a costo amortizado (intereses devengados)</t>
  </si>
  <si>
    <t>Ejemplo de un portafolio de instrumentos para cobrar y vender (disponibles para la venta)</t>
  </si>
  <si>
    <t>Inversiones se llevan a cabo el día de hoy 29 de octubre de 2024</t>
  </si>
  <si>
    <t>Monto de la Inversion</t>
  </si>
  <si>
    <t>Nombre del Instr. Financiero</t>
  </si>
  <si>
    <t>Bondes</t>
  </si>
  <si>
    <t>Bonos M</t>
  </si>
  <si>
    <t>Cetes</t>
  </si>
  <si>
    <t>PRLV</t>
  </si>
  <si>
    <t>Certificado Bursátil</t>
  </si>
  <si>
    <t>La tasa de rendimiento subió, debemos vender el bono con la menor duración (menores dias por vencer)</t>
  </si>
  <si>
    <t>La tasa de rendimiento bajó, debemos vender el bono con la mayor duración (mayores días por vencer)</t>
  </si>
  <si>
    <t>Resultado (Ganancia)</t>
  </si>
  <si>
    <t>Monto depositado</t>
  </si>
  <si>
    <t>Número de Títulos</t>
  </si>
  <si>
    <t>Efectivo Disponible</t>
  </si>
  <si>
    <t>2. Premio del reporto</t>
  </si>
  <si>
    <t>3. Precio de salida del reporto (venta)</t>
  </si>
  <si>
    <t>1. Precio de entrada del reporto (compra)</t>
  </si>
  <si>
    <t>4. Tasa de rendimiento de salida del reporto</t>
  </si>
  <si>
    <t>2a. Operación del Reporto</t>
  </si>
  <si>
    <t>3a. Operación del Reporto</t>
  </si>
  <si>
    <t>Venta del PRLV en Directo</t>
  </si>
  <si>
    <t>Precio de Venta en Directo (Pt. Vta. Del Int.)</t>
  </si>
  <si>
    <t>Resultado para el Intermediario Financiero</t>
  </si>
  <si>
    <t>Mesa de BBVA</t>
  </si>
  <si>
    <t>Número de títulos</t>
  </si>
  <si>
    <t>Ganancia</t>
  </si>
  <si>
    <t>Días</t>
  </si>
  <si>
    <t>Ganancia diaria</t>
  </si>
  <si>
    <t>Deudores por Reporto</t>
  </si>
  <si>
    <t>Títulos como colaterales</t>
  </si>
  <si>
    <t>Acreedores en Reporto</t>
  </si>
  <si>
    <t>DURACIÓN, DURACIÓN MODIFICADA Y CONVEXIDAD DE UN BONO CON CUPÓN CERO</t>
  </si>
  <si>
    <t>Tasa de Rend.</t>
  </si>
  <si>
    <t>Duración</t>
  </si>
  <si>
    <t>Tasa Original</t>
  </si>
  <si>
    <t>Valor de Mdo.</t>
  </si>
  <si>
    <t>Tasa Baja 1 Pto. %</t>
  </si>
  <si>
    <t>Tasa Sube 1 Pto. %</t>
  </si>
  <si>
    <t>Valor s/D. Mod.</t>
  </si>
  <si>
    <t>Valor s/CX</t>
  </si>
  <si>
    <t>Expectativa de Baja en la Tasa de Interés</t>
  </si>
  <si>
    <t>Precio de Compra</t>
  </si>
  <si>
    <t>Días Transcurridos</t>
  </si>
  <si>
    <t>Precio de Venta</t>
  </si>
  <si>
    <t>Rend. En la Operación</t>
  </si>
  <si>
    <t>Expectativa de Alza en la Tasa de Interés</t>
  </si>
  <si>
    <t>SPAC</t>
  </si>
  <si>
    <t>CKD´S</t>
  </si>
  <si>
    <t>Fondos de Capital de Riesgo /Privado</t>
  </si>
  <si>
    <t>AMEXCAP</t>
  </si>
  <si>
    <t>Financiamiento a través de Collars (Cap y Floor)</t>
  </si>
  <si>
    <t>FIBRAs</t>
  </si>
  <si>
    <t>Financiamiento Estructurado (bursatilización de activos)</t>
  </si>
  <si>
    <t>DURACIÓN, DURACIÓN MODIFICADA Y CONVEXIDAD DE UN BONO QUE PAGA CUPONES</t>
  </si>
  <si>
    <t>Tasa de Cupón</t>
  </si>
  <si>
    <t>Tasa de Mercado</t>
  </si>
  <si>
    <t>Número de Periodos</t>
  </si>
  <si>
    <t>No. De Periodos</t>
  </si>
  <si>
    <t>Valor del Bono Excel</t>
  </si>
  <si>
    <t>Número de Periodos Completos</t>
  </si>
  <si>
    <t>Días transcurridos último corte de cupón</t>
  </si>
  <si>
    <t>Días por trancurrir próximo corte de cupón</t>
  </si>
  <si>
    <t>Valuación del Bono con Periodos Completos</t>
  </si>
  <si>
    <t>Valor del Cupón Vigente</t>
  </si>
  <si>
    <t>Nuevo Valor Nominal</t>
  </si>
  <si>
    <t>V.P del Nvo. Valor Nominal</t>
  </si>
  <si>
    <t>Precio Sucio</t>
  </si>
  <si>
    <t>Intereses devengados</t>
  </si>
  <si>
    <t>Precio Limpio</t>
  </si>
  <si>
    <t>Duración "Ceros"</t>
  </si>
  <si>
    <t>Dur. Modif.</t>
  </si>
  <si>
    <t>LAS TASAS DE INTERÉS BAJARÁN EN EL FUTURO</t>
  </si>
  <si>
    <t>Compra</t>
  </si>
  <si>
    <t>Venta</t>
  </si>
  <si>
    <t>Cupón</t>
  </si>
  <si>
    <t>Rendimiento Anual en la Operación</t>
  </si>
  <si>
    <t>Duración 1er</t>
  </si>
  <si>
    <t>Duración 2do</t>
  </si>
  <si>
    <t>Duración Port.</t>
  </si>
  <si>
    <t>1 er paso. Buscar la tasa de interés forward 28-91</t>
  </si>
  <si>
    <t>Tasa efectiva de 63 días</t>
  </si>
  <si>
    <t>2do paso. Buscar la tasa equivalente de 32 días</t>
  </si>
  <si>
    <t>Tasa efectiva de 32 días</t>
  </si>
  <si>
    <t>3er paso. Buscar la tasa efectiva de 28 días</t>
  </si>
  <si>
    <t>Tasa efectiva de 28 días</t>
  </si>
  <si>
    <t>4to paso. Sumar la tasa de 28 días la de 32 días.</t>
  </si>
  <si>
    <t>Tasa efectiva de 60 días</t>
  </si>
  <si>
    <t>5to paso. Anualizar la tasa de interés efectiva de 60 días</t>
  </si>
  <si>
    <t>Monto inicial</t>
  </si>
  <si>
    <t>tasa</t>
  </si>
  <si>
    <t>plazo (días)</t>
  </si>
  <si>
    <t>Tasa de Rendimiento (Tasa de Interés)</t>
  </si>
  <si>
    <t>Tasa Equivalente de 7 a 28 días</t>
  </si>
  <si>
    <t>La tasa de rendimiento quedó igual, debemos vender el bono con el menor rendimiento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</si>
</sst>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_-* #,##0.0000_-;\-* #,##0.0000_-;_-* &quot;-&quot;??_-;_-@_-"/>
    <numFmt numFmtId="166" formatCode="_-* #,##0.000000_-;\-* #,##0.000000_-;_-* &quot;-&quot;??_-;_-@_-"/>
    <numFmt numFmtId="167" formatCode="0.000000"/>
    <numFmt numFmtId="168" formatCode="0.0000%"/>
    <numFmt numFmtId="169" formatCode="0.0%"/>
    <numFmt numFmtId="170" formatCode="0.000000%"/>
    <numFmt numFmtId="171" formatCode="0.0000000000000000%"/>
    <numFmt numFmtId="172" formatCode="_-&quot;$&quot;* #,##0.000000_-;\-&quot;$&quot;* #,##0.000000_-;_-&quot;$&quot;* &quot;-&quot;??_-;_-@_-"/>
    <numFmt numFmtId="173" formatCode="#,##0.000000;[Red]\-#,##0.000000"/>
    <numFmt numFmtId="174" formatCode="0.0"/>
    <numFmt numFmtId="175" formatCode="&quot;$&quot;#,##0.000000;[Red]\-&quot;$&quot;#,##0.000000"/>
    <numFmt numFmtId="176" formatCode="0.000%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0070C0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1"/>
      <name val="Aptos Narrow"/>
      <family val="2"/>
      <scheme val="minor"/>
    </font>
    <font>
      <b/>
      <sz val="11"/>
      <color rgb="FF0070C0"/>
      <name val="Aptos Narrow"/>
      <family val="2"/>
      <scheme val="minor"/>
    </font>
    <font>
      <b/>
      <sz val="11"/>
      <color theme="4" tint="-0.499984740745262"/>
      <name val="Aptos Narrow"/>
      <family val="2"/>
      <scheme val="minor"/>
    </font>
    <font>
      <sz val="11"/>
      <name val="Aptos Narrow"/>
      <family val="2"/>
      <scheme val="minor"/>
    </font>
    <font>
      <b/>
      <sz val="16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1"/>
      <color rgb="FF002060"/>
      <name val="Aptos Narrow"/>
      <family val="2"/>
      <scheme val="minor"/>
    </font>
    <font>
      <b/>
      <sz val="16"/>
      <color rgb="FFFF0000"/>
      <name val="Aptos Narrow"/>
      <family val="2"/>
      <scheme val="minor"/>
    </font>
    <font>
      <b/>
      <sz val="18"/>
      <color rgb="FFFF0000"/>
      <name val="Aptos Narrow"/>
      <family val="2"/>
      <scheme val="minor"/>
    </font>
    <font>
      <b/>
      <sz val="11"/>
      <color rgb="FF002060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73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/>
    <xf numFmtId="10" fontId="0" fillId="0" borderId="0" xfId="0" applyNumberFormat="1"/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8" xfId="1" applyNumberFormat="1" applyFont="1" applyBorder="1"/>
    <xf numFmtId="43" fontId="0" fillId="0" borderId="0" xfId="0" applyNumberFormat="1"/>
    <xf numFmtId="166" fontId="0" fillId="0" borderId="0" xfId="1" applyNumberFormat="1" applyFont="1"/>
    <xf numFmtId="165" fontId="0" fillId="0" borderId="0" xfId="0" applyNumberFormat="1"/>
    <xf numFmtId="166" fontId="0" fillId="0" borderId="0" xfId="0" applyNumberFormat="1"/>
    <xf numFmtId="10" fontId="0" fillId="0" borderId="0" xfId="2" applyNumberFormat="1" applyFont="1"/>
    <xf numFmtId="164" fontId="0" fillId="0" borderId="0" xfId="0" applyNumberFormat="1"/>
    <xf numFmtId="168" fontId="0" fillId="0" borderId="0" xfId="2" applyNumberFormat="1" applyFont="1"/>
    <xf numFmtId="0" fontId="3" fillId="0" borderId="0" xfId="0" applyFont="1" applyAlignment="1">
      <alignment horizontal="center"/>
    </xf>
    <xf numFmtId="0" fontId="0" fillId="0" borderId="1" xfId="0" applyBorder="1"/>
    <xf numFmtId="0" fontId="3" fillId="0" borderId="0" xfId="0" applyFont="1"/>
    <xf numFmtId="43" fontId="0" fillId="0" borderId="2" xfId="1" applyFont="1" applyBorder="1"/>
    <xf numFmtId="169" fontId="0" fillId="0" borderId="0" xfId="2" applyNumberFormat="1" applyFont="1" applyAlignment="1">
      <alignment horizontal="center"/>
    </xf>
    <xf numFmtId="169" fontId="0" fillId="0" borderId="0" xfId="2" applyNumberFormat="1" applyFont="1"/>
    <xf numFmtId="10" fontId="0" fillId="0" borderId="0" xfId="2" applyNumberFormat="1" applyFont="1" applyAlignment="1">
      <alignment horizontal="center"/>
    </xf>
    <xf numFmtId="10" fontId="0" fillId="0" borderId="0" xfId="2" applyNumberFormat="1" applyFont="1" applyFill="1" applyAlignment="1">
      <alignment horizontal="center"/>
    </xf>
    <xf numFmtId="10" fontId="0" fillId="0" borderId="4" xfId="0" applyNumberFormat="1" applyBorder="1"/>
    <xf numFmtId="0" fontId="0" fillId="0" borderId="0" xfId="0" applyAlignment="1">
      <alignment horizontal="left"/>
    </xf>
    <xf numFmtId="9" fontId="0" fillId="0" borderId="4" xfId="0" applyNumberFormat="1" applyBorder="1"/>
    <xf numFmtId="9" fontId="0" fillId="0" borderId="6" xfId="0" applyNumberFormat="1" applyBorder="1"/>
    <xf numFmtId="0" fontId="4" fillId="0" borderId="0" xfId="0" applyFont="1" applyAlignment="1">
      <alignment horizontal="center"/>
    </xf>
    <xf numFmtId="167" fontId="4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43" fontId="0" fillId="0" borderId="0" xfId="0" applyNumberFormat="1" applyAlignment="1">
      <alignment horizontal="center"/>
    </xf>
    <xf numFmtId="167" fontId="4" fillId="2" borderId="0" xfId="0" applyNumberFormat="1" applyFont="1" applyFill="1" applyAlignment="1">
      <alignment horizontal="center"/>
    </xf>
    <xf numFmtId="166" fontId="0" fillId="0" borderId="0" xfId="1" applyNumberFormat="1" applyFont="1" applyAlignment="1">
      <alignment horizontal="center"/>
    </xf>
    <xf numFmtId="43" fontId="0" fillId="0" borderId="0" xfId="1" applyFont="1" applyAlignment="1">
      <alignment horizontal="center"/>
    </xf>
    <xf numFmtId="166" fontId="3" fillId="0" borderId="0" xfId="0" applyNumberFormat="1" applyFont="1" applyAlignment="1">
      <alignment horizontal="center"/>
    </xf>
    <xf numFmtId="10" fontId="3" fillId="0" borderId="0" xfId="2" applyNumberFormat="1" applyFont="1" applyAlignment="1">
      <alignment horizontal="center"/>
    </xf>
    <xf numFmtId="0" fontId="6" fillId="0" borderId="0" xfId="0" applyFont="1" applyAlignment="1">
      <alignment horizontal="left"/>
    </xf>
    <xf numFmtId="167" fontId="0" fillId="0" borderId="0" xfId="0" applyNumberFormat="1" applyAlignment="1">
      <alignment horizontal="center"/>
    </xf>
    <xf numFmtId="0" fontId="0" fillId="0" borderId="11" xfId="0" applyBorder="1"/>
    <xf numFmtId="168" fontId="0" fillId="0" borderId="2" xfId="2" applyNumberFormat="1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166" fontId="0" fillId="0" borderId="4" xfId="1" applyNumberFormat="1" applyFont="1" applyBorder="1" applyAlignment="1">
      <alignment horizontal="center" vertical="center"/>
    </xf>
    <xf numFmtId="0" fontId="3" fillId="0" borderId="9" xfId="0" applyFont="1" applyBorder="1"/>
    <xf numFmtId="165" fontId="0" fillId="0" borderId="0" xfId="1" applyNumberFormat="1" applyFont="1" applyAlignment="1">
      <alignment horizontal="center"/>
    </xf>
    <xf numFmtId="165" fontId="0" fillId="0" borderId="0" xfId="1" applyNumberFormat="1" applyFont="1"/>
    <xf numFmtId="0" fontId="0" fillId="2" borderId="0" xfId="0" applyFill="1"/>
    <xf numFmtId="166" fontId="4" fillId="2" borderId="10" xfId="0" applyNumberFormat="1" applyFont="1" applyFill="1" applyBorder="1" applyAlignment="1">
      <alignment horizontal="center"/>
    </xf>
    <xf numFmtId="10" fontId="3" fillId="0" borderId="10" xfId="0" applyNumberFormat="1" applyFont="1" applyBorder="1" applyAlignment="1">
      <alignment horizontal="center"/>
    </xf>
    <xf numFmtId="165" fontId="3" fillId="0" borderId="10" xfId="0" applyNumberFormat="1" applyFont="1" applyBorder="1"/>
    <xf numFmtId="165" fontId="3" fillId="0" borderId="0" xfId="1" applyNumberFormat="1" applyFont="1"/>
    <xf numFmtId="165" fontId="3" fillId="0" borderId="0" xfId="0" applyNumberFormat="1" applyFont="1"/>
    <xf numFmtId="168" fontId="0" fillId="4" borderId="0" xfId="2" applyNumberFormat="1" applyFont="1" applyFill="1"/>
    <xf numFmtId="0" fontId="0" fillId="4" borderId="0" xfId="0" applyFill="1" applyAlignment="1">
      <alignment horizontal="center"/>
    </xf>
    <xf numFmtId="0" fontId="4" fillId="0" borderId="7" xfId="0" applyFont="1" applyBorder="1" applyAlignment="1">
      <alignment horizontal="center"/>
    </xf>
    <xf numFmtId="168" fontId="4" fillId="0" borderId="8" xfId="2" applyNumberFormat="1" applyFont="1" applyBorder="1" applyAlignment="1">
      <alignment horizontal="center"/>
    </xf>
    <xf numFmtId="171" fontId="0" fillId="0" borderId="0" xfId="0" applyNumberFormat="1"/>
    <xf numFmtId="164" fontId="0" fillId="0" borderId="1" xfId="1" applyNumberFormat="1" applyFont="1" applyBorder="1"/>
    <xf numFmtId="0" fontId="0" fillId="0" borderId="11" xfId="0" applyBorder="1" applyAlignment="1">
      <alignment horizontal="center"/>
    </xf>
    <xf numFmtId="168" fontId="0" fillId="0" borderId="11" xfId="0" applyNumberFormat="1" applyBorder="1"/>
    <xf numFmtId="164" fontId="0" fillId="0" borderId="2" xfId="1" applyNumberFormat="1" applyFont="1" applyBorder="1"/>
    <xf numFmtId="164" fontId="0" fillId="2" borderId="5" xfId="0" applyNumberFormat="1" applyFill="1" applyBorder="1"/>
    <xf numFmtId="0" fontId="0" fillId="2" borderId="9" xfId="0" applyFill="1" applyBorder="1" applyAlignment="1">
      <alignment horizontal="center"/>
    </xf>
    <xf numFmtId="168" fontId="0" fillId="2" borderId="9" xfId="0" applyNumberFormat="1" applyFill="1" applyBorder="1"/>
    <xf numFmtId="164" fontId="0" fillId="2" borderId="6" xfId="1" applyNumberFormat="1" applyFont="1" applyFill="1" applyBorder="1"/>
    <xf numFmtId="164" fontId="0" fillId="0" borderId="7" xfId="1" applyNumberFormat="1" applyFont="1" applyBorder="1"/>
    <xf numFmtId="0" fontId="0" fillId="0" borderId="12" xfId="0" applyBorder="1" applyAlignment="1">
      <alignment horizontal="center"/>
    </xf>
    <xf numFmtId="168" fontId="0" fillId="0" borderId="12" xfId="0" applyNumberFormat="1" applyBorder="1"/>
    <xf numFmtId="168" fontId="3" fillId="0" borderId="0" xfId="2" applyNumberFormat="1" applyFont="1"/>
    <xf numFmtId="168" fontId="0" fillId="2" borderId="1" xfId="2" applyNumberFormat="1" applyFont="1" applyFill="1" applyBorder="1"/>
    <xf numFmtId="168" fontId="0" fillId="0" borderId="11" xfId="2" applyNumberFormat="1" applyFont="1" applyBorder="1"/>
    <xf numFmtId="168" fontId="0" fillId="0" borderId="2" xfId="2" applyNumberFormat="1" applyFont="1" applyBorder="1"/>
    <xf numFmtId="168" fontId="0" fillId="0" borderId="3" xfId="2" applyNumberFormat="1" applyFont="1" applyBorder="1"/>
    <xf numFmtId="168" fontId="0" fillId="2" borderId="0" xfId="2" applyNumberFormat="1" applyFont="1" applyFill="1" applyBorder="1"/>
    <xf numFmtId="168" fontId="0" fillId="0" borderId="0" xfId="2" applyNumberFormat="1" applyFont="1" applyBorder="1"/>
    <xf numFmtId="168" fontId="0" fillId="0" borderId="4" xfId="2" applyNumberFormat="1" applyFont="1" applyBorder="1"/>
    <xf numFmtId="168" fontId="0" fillId="0" borderId="5" xfId="2" applyNumberFormat="1" applyFont="1" applyBorder="1"/>
    <xf numFmtId="168" fontId="0" fillId="0" borderId="9" xfId="2" applyNumberFormat="1" applyFont="1" applyBorder="1"/>
    <xf numFmtId="168" fontId="0" fillId="2" borderId="6" xfId="2" applyNumberFormat="1" applyFont="1" applyFill="1" applyBorder="1"/>
    <xf numFmtId="0" fontId="5" fillId="0" borderId="0" xfId="0" applyFont="1"/>
    <xf numFmtId="0" fontId="10" fillId="0" borderId="0" xfId="0" applyFont="1" applyAlignment="1">
      <alignment horizontal="center"/>
    </xf>
    <xf numFmtId="172" fontId="0" fillId="0" borderId="0" xfId="3" applyNumberFormat="1" applyFont="1" applyAlignment="1">
      <alignment horizontal="center"/>
    </xf>
    <xf numFmtId="172" fontId="3" fillId="0" borderId="0" xfId="3" applyNumberFormat="1" applyFont="1" applyAlignment="1">
      <alignment horizontal="center"/>
    </xf>
    <xf numFmtId="169" fontId="0" fillId="2" borderId="0" xfId="2" applyNumberFormat="1" applyFont="1" applyFill="1" applyAlignment="1">
      <alignment horizontal="center"/>
    </xf>
    <xf numFmtId="164" fontId="0" fillId="2" borderId="4" xfId="1" applyNumberFormat="1" applyFont="1" applyFill="1" applyBorder="1"/>
    <xf numFmtId="10" fontId="0" fillId="2" borderId="6" xfId="0" applyNumberFormat="1" applyFill="1" applyBorder="1"/>
    <xf numFmtId="172" fontId="0" fillId="2" borderId="0" xfId="3" applyNumberFormat="1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/>
    <xf numFmtId="0" fontId="12" fillId="0" borderId="0" xfId="0" applyFont="1"/>
    <xf numFmtId="168" fontId="12" fillId="0" borderId="0" xfId="2" applyNumberFormat="1" applyFont="1"/>
    <xf numFmtId="0" fontId="12" fillId="0" borderId="0" xfId="0" applyFont="1" applyAlignment="1">
      <alignment horizontal="center"/>
    </xf>
    <xf numFmtId="170" fontId="12" fillId="0" borderId="0" xfId="2" applyNumberFormat="1" applyFont="1" applyFill="1" applyBorder="1"/>
    <xf numFmtId="168" fontId="12" fillId="0" borderId="0" xfId="2" applyNumberFormat="1" applyFont="1" applyFill="1" applyBorder="1"/>
    <xf numFmtId="168" fontId="12" fillId="0" borderId="0" xfId="0" applyNumberFormat="1" applyFont="1"/>
    <xf numFmtId="0" fontId="15" fillId="0" borderId="0" xfId="0" applyFont="1"/>
    <xf numFmtId="0" fontId="2" fillId="0" borderId="0" xfId="0" applyFont="1"/>
    <xf numFmtId="0" fontId="17" fillId="0" borderId="0" xfId="0" applyFont="1"/>
    <xf numFmtId="0" fontId="4" fillId="0" borderId="0" xfId="0" applyFont="1" applyAlignment="1">
      <alignment horizontal="left"/>
    </xf>
    <xf numFmtId="10" fontId="12" fillId="0" borderId="0" xfId="2" applyNumberFormat="1" applyFont="1" applyFill="1" applyBorder="1" applyAlignment="1">
      <alignment horizontal="left"/>
    </xf>
    <xf numFmtId="168" fontId="12" fillId="0" borderId="0" xfId="2" applyNumberFormat="1" applyFont="1" applyFill="1" applyBorder="1" applyAlignment="1">
      <alignment horizontal="left"/>
    </xf>
    <xf numFmtId="43" fontId="0" fillId="0" borderId="4" xfId="1" applyFont="1" applyFill="1" applyBorder="1"/>
    <xf numFmtId="10" fontId="0" fillId="0" borderId="6" xfId="0" applyNumberFormat="1" applyBorder="1"/>
    <xf numFmtId="0" fontId="0" fillId="0" borderId="7" xfId="0" applyBorder="1"/>
    <xf numFmtId="43" fontId="0" fillId="0" borderId="8" xfId="1" applyFont="1" applyFill="1" applyBorder="1"/>
    <xf numFmtId="10" fontId="12" fillId="0" borderId="6" xfId="0" applyNumberFormat="1" applyFont="1" applyBorder="1"/>
    <xf numFmtId="170" fontId="12" fillId="0" borderId="0" xfId="2" applyNumberFormat="1" applyFont="1" applyBorder="1"/>
    <xf numFmtId="0" fontId="12" fillId="0" borderId="0" xfId="0" applyFont="1" applyAlignment="1">
      <alignment horizontal="left"/>
    </xf>
    <xf numFmtId="10" fontId="12" fillId="0" borderId="0" xfId="2" applyNumberFormat="1" applyFont="1" applyBorder="1"/>
    <xf numFmtId="49" fontId="12" fillId="0" borderId="0" xfId="0" applyNumberFormat="1" applyFont="1"/>
    <xf numFmtId="168" fontId="12" fillId="0" borderId="0" xfId="2" applyNumberFormat="1" applyFont="1" applyBorder="1"/>
    <xf numFmtId="168" fontId="0" fillId="0" borderId="0" xfId="2" applyNumberFormat="1" applyFont="1" applyFill="1"/>
    <xf numFmtId="9" fontId="0" fillId="2" borderId="0" xfId="0" applyNumberFormat="1" applyFill="1"/>
    <xf numFmtId="10" fontId="0" fillId="2" borderId="0" xfId="2" applyNumberFormat="1" applyFont="1" applyFill="1"/>
    <xf numFmtId="168" fontId="0" fillId="0" borderId="0" xfId="0" applyNumberFormat="1"/>
    <xf numFmtId="166" fontId="2" fillId="0" borderId="0" xfId="1" applyNumberFormat="1" applyFont="1"/>
    <xf numFmtId="164" fontId="0" fillId="0" borderId="0" xfId="1" applyNumberFormat="1" applyFont="1"/>
    <xf numFmtId="164" fontId="0" fillId="0" borderId="0" xfId="1" applyNumberFormat="1" applyFont="1" applyAlignment="1">
      <alignment horizontal="center"/>
    </xf>
    <xf numFmtId="164" fontId="0" fillId="2" borderId="0" xfId="1" applyNumberFormat="1" applyFont="1" applyFill="1" applyAlignment="1">
      <alignment horizontal="center"/>
    </xf>
    <xf numFmtId="10" fontId="0" fillId="2" borderId="0" xfId="0" applyNumberFormat="1" applyFill="1"/>
    <xf numFmtId="164" fontId="0" fillId="5" borderId="0" xfId="1" applyNumberFormat="1" applyFont="1" applyFill="1" applyAlignment="1">
      <alignment horizontal="center"/>
    </xf>
    <xf numFmtId="0" fontId="0" fillId="5" borderId="0" xfId="0" applyFill="1"/>
    <xf numFmtId="10" fontId="0" fillId="5" borderId="0" xfId="0" applyNumberFormat="1" applyFill="1"/>
    <xf numFmtId="43" fontId="0" fillId="5" borderId="0" xfId="0" applyNumberFormat="1" applyFill="1"/>
    <xf numFmtId="0" fontId="4" fillId="0" borderId="0" xfId="0" applyFont="1"/>
    <xf numFmtId="173" fontId="4" fillId="0" borderId="0" xfId="1" applyNumberFormat="1" applyFont="1"/>
    <xf numFmtId="164" fontId="0" fillId="2" borderId="0" xfId="0" applyNumberFormat="1" applyFill="1"/>
    <xf numFmtId="168" fontId="0" fillId="2" borderId="0" xfId="0" applyNumberFormat="1" applyFill="1"/>
    <xf numFmtId="174" fontId="0" fillId="0" borderId="2" xfId="0" applyNumberFormat="1" applyBorder="1"/>
    <xf numFmtId="167" fontId="0" fillId="0" borderId="0" xfId="0" applyNumberFormat="1"/>
    <xf numFmtId="2" fontId="0" fillId="0" borderId="0" xfId="0" applyNumberFormat="1"/>
    <xf numFmtId="10" fontId="4" fillId="0" borderId="0" xfId="2" applyNumberFormat="1" applyFont="1"/>
    <xf numFmtId="166" fontId="0" fillId="0" borderId="0" xfId="1" applyNumberFormat="1" applyFont="1" applyFill="1"/>
    <xf numFmtId="166" fontId="3" fillId="0" borderId="10" xfId="0" applyNumberFormat="1" applyFont="1" applyBorder="1"/>
    <xf numFmtId="175" fontId="0" fillId="0" borderId="0" xfId="0" applyNumberFormat="1"/>
    <xf numFmtId="0" fontId="0" fillId="2" borderId="5" xfId="0" applyFill="1" applyBorder="1"/>
    <xf numFmtId="167" fontId="4" fillId="0" borderId="0" xfId="0" applyNumberFormat="1" applyFont="1"/>
    <xf numFmtId="176" fontId="0" fillId="0" borderId="0" xfId="2" applyNumberFormat="1" applyFont="1"/>
    <xf numFmtId="168" fontId="3" fillId="0" borderId="10" xfId="0" applyNumberFormat="1" applyFont="1" applyBorder="1"/>
    <xf numFmtId="167" fontId="3" fillId="0" borderId="0" xfId="0" applyNumberFormat="1" applyFont="1"/>
    <xf numFmtId="167" fontId="19" fillId="0" borderId="0" xfId="0" applyNumberFormat="1" applyFont="1"/>
    <xf numFmtId="0" fontId="19" fillId="0" borderId="0" xfId="0" applyFont="1"/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10" fontId="3" fillId="0" borderId="0" xfId="2" applyNumberFormat="1" applyFont="1"/>
    <xf numFmtId="0" fontId="0" fillId="0" borderId="10" xfId="0" applyBorder="1"/>
    <xf numFmtId="172" fontId="0" fillId="0" borderId="0" xfId="0" applyNumberFormat="1" applyAlignment="1">
      <alignment horizontal="center"/>
    </xf>
    <xf numFmtId="172" fontId="3" fillId="0" borderId="6" xfId="3" applyNumberFormat="1" applyFont="1" applyBorder="1" applyAlignment="1">
      <alignment horizontal="center"/>
    </xf>
    <xf numFmtId="168" fontId="0" fillId="0" borderId="0" xfId="2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14" fillId="3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3" fillId="3" borderId="0" xfId="0" applyFont="1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8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9" xfId="0" applyFont="1" applyBorder="1" applyAlignment="1">
      <alignment horizontal="center"/>
    </xf>
    <xf numFmtId="0" fontId="16" fillId="3" borderId="0" xfId="0" applyFont="1" applyFill="1" applyAlignment="1">
      <alignment horizontal="center"/>
    </xf>
    <xf numFmtId="0" fontId="0" fillId="6" borderId="0" xfId="0" applyFill="1"/>
  </cellXfs>
  <cellStyles count="4">
    <cellStyle name="Millares" xfId="1" builtinId="3"/>
    <cellStyle name="Moneda" xfId="3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12</xdr:row>
      <xdr:rowOff>27214</xdr:rowOff>
    </xdr:from>
    <xdr:to>
      <xdr:col>5</xdr:col>
      <xdr:colOff>315685</xdr:colOff>
      <xdr:row>15</xdr:row>
      <xdr:rowOff>163286</xdr:rowOff>
    </xdr:to>
    <xdr:sp macro="" textlink="">
      <xdr:nvSpPr>
        <xdr:cNvPr id="2" name="Cerrar llave 1">
          <a:extLst>
            <a:ext uri="{FF2B5EF4-FFF2-40B4-BE49-F238E27FC236}">
              <a16:creationId xmlns:a16="http://schemas.microsoft.com/office/drawing/2014/main" id="{2BCEB9B1-0183-458D-8CDE-E6A77202EA35}"/>
            </a:ext>
          </a:extLst>
        </xdr:cNvPr>
        <xdr:cNvSpPr/>
      </xdr:nvSpPr>
      <xdr:spPr>
        <a:xfrm>
          <a:off x="3962400" y="2221774"/>
          <a:ext cx="315685" cy="684712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0</xdr:colOff>
      <xdr:row>56</xdr:row>
      <xdr:rowOff>7620</xdr:rowOff>
    </xdr:from>
    <xdr:to>
      <xdr:col>14</xdr:col>
      <xdr:colOff>7620</xdr:colOff>
      <xdr:row>70</xdr:row>
      <xdr:rowOff>158750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3A2E6E17-1F29-410A-86E7-3C63ECD94BBE}"/>
            </a:ext>
          </a:extLst>
        </xdr:cNvPr>
        <xdr:cNvCxnSpPr/>
      </xdr:nvCxnSpPr>
      <xdr:spPr>
        <a:xfrm flipH="1">
          <a:off x="11353800" y="10248900"/>
          <a:ext cx="7620" cy="2711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2540</xdr:colOff>
      <xdr:row>63</xdr:row>
      <xdr:rowOff>88900</xdr:rowOff>
    </xdr:from>
    <xdr:to>
      <xdr:col>20</xdr:col>
      <xdr:colOff>307340</xdr:colOff>
      <xdr:row>63</xdr:row>
      <xdr:rowOff>95250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24F21502-2C26-468C-B6D3-3A3A4D937445}"/>
            </a:ext>
          </a:extLst>
        </xdr:cNvPr>
        <xdr:cNvCxnSpPr/>
      </xdr:nvCxnSpPr>
      <xdr:spPr>
        <a:xfrm>
          <a:off x="11356340" y="11610340"/>
          <a:ext cx="5059680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82550</xdr:colOff>
      <xdr:row>63</xdr:row>
      <xdr:rowOff>146050</xdr:rowOff>
    </xdr:from>
    <xdr:to>
      <xdr:col>14</xdr:col>
      <xdr:colOff>88900</xdr:colOff>
      <xdr:row>68</xdr:row>
      <xdr:rowOff>38100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CB1D026F-9EC5-4D51-B5B4-A475317DA4F6}"/>
            </a:ext>
          </a:extLst>
        </xdr:cNvPr>
        <xdr:cNvCxnSpPr/>
      </xdr:nvCxnSpPr>
      <xdr:spPr>
        <a:xfrm>
          <a:off x="12686030" y="2653030"/>
          <a:ext cx="6350" cy="8064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88900</xdr:colOff>
      <xdr:row>63</xdr:row>
      <xdr:rowOff>158750</xdr:rowOff>
    </xdr:from>
    <xdr:to>
      <xdr:col>18</xdr:col>
      <xdr:colOff>501650</xdr:colOff>
      <xdr:row>63</xdr:row>
      <xdr:rowOff>165100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2DB17B39-F31A-486B-9784-FA8E250FDD6B}"/>
            </a:ext>
          </a:extLst>
        </xdr:cNvPr>
        <xdr:cNvCxnSpPr/>
      </xdr:nvCxnSpPr>
      <xdr:spPr>
        <a:xfrm flipV="1">
          <a:off x="12692380" y="2665730"/>
          <a:ext cx="3613150" cy="63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482600</xdr:colOff>
      <xdr:row>57</xdr:row>
      <xdr:rowOff>171450</xdr:rowOff>
    </xdr:from>
    <xdr:to>
      <xdr:col>18</xdr:col>
      <xdr:colOff>501650</xdr:colOff>
      <xdr:row>63</xdr:row>
      <xdr:rowOff>152400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B86A5DF1-0566-48B7-9C2B-906C953640FF}"/>
            </a:ext>
          </a:extLst>
        </xdr:cNvPr>
        <xdr:cNvCxnSpPr/>
      </xdr:nvCxnSpPr>
      <xdr:spPr>
        <a:xfrm flipH="1" flipV="1">
          <a:off x="16286480" y="1535430"/>
          <a:ext cx="19050" cy="11239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58</xdr:row>
      <xdr:rowOff>19050</xdr:rowOff>
    </xdr:from>
    <xdr:to>
      <xdr:col>18</xdr:col>
      <xdr:colOff>463550</xdr:colOff>
      <xdr:row>58</xdr:row>
      <xdr:rowOff>25400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F038C291-F53F-4BF4-95F2-B6D109D5041D}"/>
            </a:ext>
          </a:extLst>
        </xdr:cNvPr>
        <xdr:cNvCxnSpPr/>
      </xdr:nvCxnSpPr>
      <xdr:spPr>
        <a:xfrm flipH="1">
          <a:off x="12603480" y="1611630"/>
          <a:ext cx="3663950" cy="6350"/>
        </a:xfrm>
        <a:prstGeom prst="line">
          <a:avLst/>
        </a:prstGeom>
        <a:ln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74</xdr:row>
      <xdr:rowOff>20782</xdr:rowOff>
    </xdr:from>
    <xdr:to>
      <xdr:col>14</xdr:col>
      <xdr:colOff>6927</xdr:colOff>
      <xdr:row>88</xdr:row>
      <xdr:rowOff>187037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EBECE28B-C314-40EF-A927-5405CB365BB0}"/>
            </a:ext>
          </a:extLst>
        </xdr:cNvPr>
        <xdr:cNvCxnSpPr/>
      </xdr:nvCxnSpPr>
      <xdr:spPr>
        <a:xfrm>
          <a:off x="11498580" y="615142"/>
          <a:ext cx="6927" cy="269609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893619</xdr:colOff>
      <xdr:row>82</xdr:row>
      <xdr:rowOff>13854</xdr:rowOff>
    </xdr:from>
    <xdr:to>
      <xdr:col>19</xdr:col>
      <xdr:colOff>221672</xdr:colOff>
      <xdr:row>82</xdr:row>
      <xdr:rowOff>13854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5E773EDE-90B2-4489-B976-072ACB6C3D22}"/>
            </a:ext>
          </a:extLst>
        </xdr:cNvPr>
        <xdr:cNvCxnSpPr/>
      </xdr:nvCxnSpPr>
      <xdr:spPr>
        <a:xfrm flipH="1">
          <a:off x="11493039" y="1995054"/>
          <a:ext cx="4258193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55419</xdr:colOff>
      <xdr:row>82</xdr:row>
      <xdr:rowOff>69272</xdr:rowOff>
    </xdr:from>
    <xdr:to>
      <xdr:col>14</xdr:col>
      <xdr:colOff>69273</xdr:colOff>
      <xdr:row>86</xdr:row>
      <xdr:rowOff>187037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FF767D29-A600-48B0-B663-FAD8F93B56EE}"/>
            </a:ext>
          </a:extLst>
        </xdr:cNvPr>
        <xdr:cNvCxnSpPr/>
      </xdr:nvCxnSpPr>
      <xdr:spPr>
        <a:xfrm>
          <a:off x="11553999" y="2050472"/>
          <a:ext cx="13854" cy="879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55418</xdr:colOff>
      <xdr:row>82</xdr:row>
      <xdr:rowOff>83127</xdr:rowOff>
    </xdr:from>
    <xdr:to>
      <xdr:col>18</xdr:col>
      <xdr:colOff>13854</xdr:colOff>
      <xdr:row>82</xdr:row>
      <xdr:rowOff>96981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EB53B838-E702-4230-AF40-084B8781FBC1}"/>
            </a:ext>
          </a:extLst>
        </xdr:cNvPr>
        <xdr:cNvCxnSpPr/>
      </xdr:nvCxnSpPr>
      <xdr:spPr>
        <a:xfrm>
          <a:off x="11553998" y="2064327"/>
          <a:ext cx="3196936" cy="138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77</xdr:row>
      <xdr:rowOff>159327</xdr:rowOff>
    </xdr:from>
    <xdr:to>
      <xdr:col>15</xdr:col>
      <xdr:colOff>13855</xdr:colOff>
      <xdr:row>82</xdr:row>
      <xdr:rowOff>96981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04673651-954A-4FF5-B096-C147A2B5CAD3}"/>
            </a:ext>
          </a:extLst>
        </xdr:cNvPr>
        <xdr:cNvCxnSpPr/>
      </xdr:nvCxnSpPr>
      <xdr:spPr>
        <a:xfrm flipH="1" flipV="1">
          <a:off x="12336780" y="1325187"/>
          <a:ext cx="13855" cy="7529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6928</xdr:colOff>
      <xdr:row>77</xdr:row>
      <xdr:rowOff>173182</xdr:rowOff>
    </xdr:from>
    <xdr:to>
      <xdr:col>16</xdr:col>
      <xdr:colOff>13855</xdr:colOff>
      <xdr:row>82</xdr:row>
      <xdr:rowOff>76200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DE90F9D3-7158-43DB-9309-B759CCF28E75}"/>
            </a:ext>
          </a:extLst>
        </xdr:cNvPr>
        <xdr:cNvCxnSpPr/>
      </xdr:nvCxnSpPr>
      <xdr:spPr>
        <a:xfrm flipH="1" flipV="1">
          <a:off x="13159048" y="1339042"/>
          <a:ext cx="6927" cy="7183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78</xdr:row>
      <xdr:rowOff>0</xdr:rowOff>
    </xdr:from>
    <xdr:to>
      <xdr:col>17</xdr:col>
      <xdr:colOff>6927</xdr:colOff>
      <xdr:row>82</xdr:row>
      <xdr:rowOff>83127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4A1585CB-8A25-4D36-ACDF-EF981101EC49}"/>
            </a:ext>
          </a:extLst>
        </xdr:cNvPr>
        <xdr:cNvCxnSpPr/>
      </xdr:nvCxnSpPr>
      <xdr:spPr>
        <a:xfrm flipH="1" flipV="1">
          <a:off x="13944600" y="1348740"/>
          <a:ext cx="6927" cy="7155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775855</xdr:colOff>
      <xdr:row>77</xdr:row>
      <xdr:rowOff>173182</xdr:rowOff>
    </xdr:from>
    <xdr:to>
      <xdr:col>18</xdr:col>
      <xdr:colOff>0</xdr:colOff>
      <xdr:row>82</xdr:row>
      <xdr:rowOff>110836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DCF5383D-0F50-4233-883F-B450C9998680}"/>
            </a:ext>
          </a:extLst>
        </xdr:cNvPr>
        <xdr:cNvCxnSpPr/>
      </xdr:nvCxnSpPr>
      <xdr:spPr>
        <a:xfrm flipH="1" flipV="1">
          <a:off x="14720455" y="1339042"/>
          <a:ext cx="16625" cy="7529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782782</xdr:colOff>
      <xdr:row>75</xdr:row>
      <xdr:rowOff>20782</xdr:rowOff>
    </xdr:from>
    <xdr:to>
      <xdr:col>18</xdr:col>
      <xdr:colOff>0</xdr:colOff>
      <xdr:row>78</xdr:row>
      <xdr:rowOff>83127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6F70D7FB-7AD4-4E83-8645-4014C13E375C}"/>
            </a:ext>
          </a:extLst>
        </xdr:cNvPr>
        <xdr:cNvCxnSpPr/>
      </xdr:nvCxnSpPr>
      <xdr:spPr>
        <a:xfrm flipH="1" flipV="1">
          <a:off x="14727382" y="813262"/>
          <a:ext cx="9698" cy="6186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893618</xdr:colOff>
      <xdr:row>77</xdr:row>
      <xdr:rowOff>173182</xdr:rowOff>
    </xdr:from>
    <xdr:to>
      <xdr:col>17</xdr:col>
      <xdr:colOff>755073</xdr:colOff>
      <xdr:row>78</xdr:row>
      <xdr:rowOff>20782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3A07D45F-C9BD-4803-9C5C-7FCB933220DE}"/>
            </a:ext>
          </a:extLst>
        </xdr:cNvPr>
        <xdr:cNvCxnSpPr/>
      </xdr:nvCxnSpPr>
      <xdr:spPr>
        <a:xfrm flipH="1" flipV="1">
          <a:off x="11493038" y="1339042"/>
          <a:ext cx="3206635" cy="3048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20781</xdr:colOff>
      <xdr:row>75</xdr:row>
      <xdr:rowOff>27709</xdr:rowOff>
    </xdr:from>
    <xdr:to>
      <xdr:col>17</xdr:col>
      <xdr:colOff>782781</xdr:colOff>
      <xdr:row>75</xdr:row>
      <xdr:rowOff>55418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4211487B-10CE-4B12-A38F-A7A2B6CA0533}"/>
            </a:ext>
          </a:extLst>
        </xdr:cNvPr>
        <xdr:cNvCxnSpPr/>
      </xdr:nvCxnSpPr>
      <xdr:spPr>
        <a:xfrm flipH="1" flipV="1">
          <a:off x="11519361" y="820189"/>
          <a:ext cx="3208020" cy="2770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0</xdr:colOff>
      <xdr:row>109</xdr:row>
      <xdr:rowOff>30480</xdr:rowOff>
    </xdr:from>
    <xdr:to>
      <xdr:col>13</xdr:col>
      <xdr:colOff>37220</xdr:colOff>
      <xdr:row>135</xdr:row>
      <xdr:rowOff>102800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C1FB1135-67B3-AEB6-1322-6449BE560F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77440" y="19964400"/>
          <a:ext cx="8137280" cy="4827200"/>
        </a:xfrm>
        <a:prstGeom prst="rect">
          <a:avLst/>
        </a:prstGeom>
      </xdr:spPr>
    </xdr:pic>
    <xdr:clientData/>
  </xdr:twoCellAnchor>
  <xdr:twoCellAnchor>
    <xdr:from>
      <xdr:col>15</xdr:col>
      <xdr:colOff>755073</xdr:colOff>
      <xdr:row>108</xdr:row>
      <xdr:rowOff>6928</xdr:rowOff>
    </xdr:from>
    <xdr:to>
      <xdr:col>16</xdr:col>
      <xdr:colOff>755073</xdr:colOff>
      <xdr:row>115</xdr:row>
      <xdr:rowOff>13855</xdr:rowOff>
    </xdr:to>
    <xdr:sp macro="" textlink="">
      <xdr:nvSpPr>
        <xdr:cNvPr id="3" name="Abrir llave 2">
          <a:extLst>
            <a:ext uri="{FF2B5EF4-FFF2-40B4-BE49-F238E27FC236}">
              <a16:creationId xmlns:a16="http://schemas.microsoft.com/office/drawing/2014/main" id="{6D7341CC-CE0E-5348-6CA6-FE5AE1636A2A}"/>
            </a:ext>
          </a:extLst>
        </xdr:cNvPr>
        <xdr:cNvSpPr/>
      </xdr:nvSpPr>
      <xdr:spPr>
        <a:xfrm>
          <a:off x="12870873" y="19548764"/>
          <a:ext cx="789709" cy="1267691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581891</xdr:colOff>
      <xdr:row>107</xdr:row>
      <xdr:rowOff>6928</xdr:rowOff>
    </xdr:from>
    <xdr:to>
      <xdr:col>19</xdr:col>
      <xdr:colOff>20782</xdr:colOff>
      <xdr:row>110</xdr:row>
      <xdr:rowOff>48490</xdr:rowOff>
    </xdr:to>
    <xdr:sp macro="" textlink="">
      <xdr:nvSpPr>
        <xdr:cNvPr id="4" name="Abrir llave 3">
          <a:extLst>
            <a:ext uri="{FF2B5EF4-FFF2-40B4-BE49-F238E27FC236}">
              <a16:creationId xmlns:a16="http://schemas.microsoft.com/office/drawing/2014/main" id="{6FF6745B-8A8E-DDED-2818-18E8EE344681}"/>
            </a:ext>
          </a:extLst>
        </xdr:cNvPr>
        <xdr:cNvSpPr/>
      </xdr:nvSpPr>
      <xdr:spPr>
        <a:xfrm>
          <a:off x="15066818" y="19368655"/>
          <a:ext cx="228600" cy="581890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1386840</xdr:colOff>
      <xdr:row>39</xdr:row>
      <xdr:rowOff>30480</xdr:rowOff>
    </xdr:from>
    <xdr:to>
      <xdr:col>7</xdr:col>
      <xdr:colOff>645160</xdr:colOff>
      <xdr:row>39</xdr:row>
      <xdr:rowOff>71120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1AD1DA17-C226-356E-DB65-254978132263}"/>
            </a:ext>
          </a:extLst>
        </xdr:cNvPr>
        <xdr:cNvCxnSpPr/>
      </xdr:nvCxnSpPr>
      <xdr:spPr>
        <a:xfrm>
          <a:off x="8818880" y="7259320"/>
          <a:ext cx="2727960" cy="406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400050</xdr:colOff>
      <xdr:row>30</xdr:row>
      <xdr:rowOff>107950</xdr:rowOff>
    </xdr:from>
    <xdr:to>
      <xdr:col>4</xdr:col>
      <xdr:colOff>0</xdr:colOff>
      <xdr:row>30</xdr:row>
      <xdr:rowOff>107950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C91567BB-5FD6-4459-950B-4BA831AB17EC}"/>
            </a:ext>
          </a:extLst>
        </xdr:cNvPr>
        <xdr:cNvCxnSpPr/>
      </xdr:nvCxnSpPr>
      <xdr:spPr>
        <a:xfrm>
          <a:off x="3158490" y="5358130"/>
          <a:ext cx="39243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6927</xdr:colOff>
      <xdr:row>5</xdr:row>
      <xdr:rowOff>187036</xdr:rowOff>
    </xdr:from>
    <xdr:to>
      <xdr:col>16</xdr:col>
      <xdr:colOff>6928</xdr:colOff>
      <xdr:row>6</xdr:row>
      <xdr:rowOff>6927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BBD4A9ED-78B6-4DCF-AED7-A9841EF8E93F}"/>
            </a:ext>
          </a:extLst>
        </xdr:cNvPr>
        <xdr:cNvCxnSpPr/>
      </xdr:nvCxnSpPr>
      <xdr:spPr>
        <a:xfrm flipV="1">
          <a:off x="9943407" y="1185256"/>
          <a:ext cx="4754881" cy="1039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6927</xdr:colOff>
      <xdr:row>2</xdr:row>
      <xdr:rowOff>173182</xdr:rowOff>
    </xdr:from>
    <xdr:to>
      <xdr:col>13</xdr:col>
      <xdr:colOff>41564</xdr:colOff>
      <xdr:row>2</xdr:row>
      <xdr:rowOff>173182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71053063-5409-4102-82C2-EAAC599FB11F}"/>
            </a:ext>
          </a:extLst>
        </xdr:cNvPr>
        <xdr:cNvCxnSpPr/>
      </xdr:nvCxnSpPr>
      <xdr:spPr>
        <a:xfrm>
          <a:off x="9943407" y="622762"/>
          <a:ext cx="241207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27709</xdr:colOff>
      <xdr:row>2</xdr:row>
      <xdr:rowOff>166255</xdr:rowOff>
    </xdr:from>
    <xdr:to>
      <xdr:col>16</xdr:col>
      <xdr:colOff>13855</xdr:colOff>
      <xdr:row>2</xdr:row>
      <xdr:rowOff>166255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6E044F48-BFBE-4C84-A895-E510D1B7A4F1}"/>
            </a:ext>
          </a:extLst>
        </xdr:cNvPr>
        <xdr:cNvCxnSpPr/>
      </xdr:nvCxnSpPr>
      <xdr:spPr>
        <a:xfrm>
          <a:off x="12341629" y="615835"/>
          <a:ext cx="2363586" cy="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6927</xdr:colOff>
      <xdr:row>0</xdr:row>
      <xdr:rowOff>256309</xdr:rowOff>
    </xdr:from>
    <xdr:to>
      <xdr:col>14</xdr:col>
      <xdr:colOff>166255</xdr:colOff>
      <xdr:row>0</xdr:row>
      <xdr:rowOff>263236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D8BC049B-B637-4809-8B09-2BD51A0F7F68}"/>
            </a:ext>
          </a:extLst>
        </xdr:cNvPr>
        <xdr:cNvCxnSpPr/>
      </xdr:nvCxnSpPr>
      <xdr:spPr>
        <a:xfrm>
          <a:off x="9943407" y="256309"/>
          <a:ext cx="3329248" cy="692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645223</xdr:colOff>
      <xdr:row>2</xdr:row>
      <xdr:rowOff>0</xdr:rowOff>
    </xdr:from>
    <xdr:to>
      <xdr:col>14</xdr:col>
      <xdr:colOff>56405</xdr:colOff>
      <xdr:row>2</xdr:row>
      <xdr:rowOff>13854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0E326102-D532-4520-971B-460201F48CDD}"/>
            </a:ext>
          </a:extLst>
        </xdr:cNvPr>
        <xdr:cNvCxnSpPr/>
      </xdr:nvCxnSpPr>
      <xdr:spPr>
        <a:xfrm flipV="1">
          <a:off x="12166663" y="449580"/>
          <a:ext cx="996142" cy="13854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775854</xdr:colOff>
      <xdr:row>3</xdr:row>
      <xdr:rowOff>124691</xdr:rowOff>
    </xdr:from>
    <xdr:to>
      <xdr:col>12</xdr:col>
      <xdr:colOff>782782</xdr:colOff>
      <xdr:row>5</xdr:row>
      <xdr:rowOff>159327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0BDE5D28-C6F5-4FA9-8C03-F1A76FB921E4}"/>
            </a:ext>
          </a:extLst>
        </xdr:cNvPr>
        <xdr:cNvCxnSpPr/>
      </xdr:nvCxnSpPr>
      <xdr:spPr>
        <a:xfrm flipV="1">
          <a:off x="12297294" y="757151"/>
          <a:ext cx="6928" cy="4003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768927</xdr:colOff>
      <xdr:row>3</xdr:row>
      <xdr:rowOff>152400</xdr:rowOff>
    </xdr:from>
    <xdr:to>
      <xdr:col>15</xdr:col>
      <xdr:colOff>775855</xdr:colOff>
      <xdr:row>5</xdr:row>
      <xdr:rowOff>180109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985B83CC-4EBB-446E-A988-D363AB145C11}"/>
            </a:ext>
          </a:extLst>
        </xdr:cNvPr>
        <xdr:cNvCxnSpPr/>
      </xdr:nvCxnSpPr>
      <xdr:spPr>
        <a:xfrm flipH="1" flipV="1">
          <a:off x="14667807" y="784860"/>
          <a:ext cx="6928" cy="3934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27709</xdr:colOff>
      <xdr:row>4</xdr:row>
      <xdr:rowOff>6927</xdr:rowOff>
    </xdr:from>
    <xdr:to>
      <xdr:col>15</xdr:col>
      <xdr:colOff>734321</xdr:colOff>
      <xdr:row>4</xdr:row>
      <xdr:rowOff>117764</xdr:rowOff>
    </xdr:to>
    <xdr:sp macro="" textlink="">
      <xdr:nvSpPr>
        <xdr:cNvPr id="9" name="Forma libre: forma 8">
          <a:extLst>
            <a:ext uri="{FF2B5EF4-FFF2-40B4-BE49-F238E27FC236}">
              <a16:creationId xmlns:a16="http://schemas.microsoft.com/office/drawing/2014/main" id="{6E1DEFF6-D2D3-4B72-BC95-C1B8B3122E6D}"/>
            </a:ext>
          </a:extLst>
        </xdr:cNvPr>
        <xdr:cNvSpPr/>
      </xdr:nvSpPr>
      <xdr:spPr>
        <a:xfrm>
          <a:off x="12341629" y="822267"/>
          <a:ext cx="2291572" cy="110837"/>
        </a:xfrm>
        <a:custGeom>
          <a:avLst/>
          <a:gdLst>
            <a:gd name="connsiteX0" fmla="*/ 0 w 2286030"/>
            <a:gd name="connsiteY0" fmla="*/ 0 h 110837"/>
            <a:gd name="connsiteX1" fmla="*/ 27709 w 2286030"/>
            <a:gd name="connsiteY1" fmla="*/ 34637 h 110837"/>
            <a:gd name="connsiteX2" fmla="*/ 48491 w 2286030"/>
            <a:gd name="connsiteY2" fmla="*/ 41564 h 110837"/>
            <a:gd name="connsiteX3" fmla="*/ 83127 w 2286030"/>
            <a:gd name="connsiteY3" fmla="*/ 55418 h 110837"/>
            <a:gd name="connsiteX4" fmla="*/ 103909 w 2286030"/>
            <a:gd name="connsiteY4" fmla="*/ 62346 h 110837"/>
            <a:gd name="connsiteX5" fmla="*/ 131618 w 2286030"/>
            <a:gd name="connsiteY5" fmla="*/ 76200 h 110837"/>
            <a:gd name="connsiteX6" fmla="*/ 173182 w 2286030"/>
            <a:gd name="connsiteY6" fmla="*/ 83127 h 110837"/>
            <a:gd name="connsiteX7" fmla="*/ 200891 w 2286030"/>
            <a:gd name="connsiteY7" fmla="*/ 90055 h 110837"/>
            <a:gd name="connsiteX8" fmla="*/ 221673 w 2286030"/>
            <a:gd name="connsiteY8" fmla="*/ 96982 h 110837"/>
            <a:gd name="connsiteX9" fmla="*/ 471055 w 2286030"/>
            <a:gd name="connsiteY9" fmla="*/ 103909 h 110837"/>
            <a:gd name="connsiteX10" fmla="*/ 602673 w 2286030"/>
            <a:gd name="connsiteY10" fmla="*/ 110837 h 110837"/>
            <a:gd name="connsiteX11" fmla="*/ 2098964 w 2286030"/>
            <a:gd name="connsiteY11" fmla="*/ 103909 h 110837"/>
            <a:gd name="connsiteX12" fmla="*/ 2126673 w 2286030"/>
            <a:gd name="connsiteY12" fmla="*/ 96982 h 110837"/>
            <a:gd name="connsiteX13" fmla="*/ 2147455 w 2286030"/>
            <a:gd name="connsiteY13" fmla="*/ 83127 h 110837"/>
            <a:gd name="connsiteX14" fmla="*/ 2175164 w 2286030"/>
            <a:gd name="connsiteY14" fmla="*/ 76200 h 110837"/>
            <a:gd name="connsiteX15" fmla="*/ 2195945 w 2286030"/>
            <a:gd name="connsiteY15" fmla="*/ 69273 h 110837"/>
            <a:gd name="connsiteX16" fmla="*/ 2216727 w 2286030"/>
            <a:gd name="connsiteY16" fmla="*/ 55418 h 110837"/>
            <a:gd name="connsiteX17" fmla="*/ 2244436 w 2286030"/>
            <a:gd name="connsiteY17" fmla="*/ 48491 h 110837"/>
            <a:gd name="connsiteX18" fmla="*/ 2258291 w 2286030"/>
            <a:gd name="connsiteY18" fmla="*/ 27709 h 110837"/>
            <a:gd name="connsiteX19" fmla="*/ 2286000 w 2286030"/>
            <a:gd name="connsiteY19" fmla="*/ 6927 h 11083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</a:cxnLst>
          <a:rect l="l" t="t" r="r" b="b"/>
          <a:pathLst>
            <a:path w="2286030" h="110837">
              <a:moveTo>
                <a:pt x="0" y="0"/>
              </a:moveTo>
              <a:cubicBezTo>
                <a:pt x="9236" y="11546"/>
                <a:pt x="16483" y="25015"/>
                <a:pt x="27709" y="34637"/>
              </a:cubicBezTo>
              <a:cubicBezTo>
                <a:pt x="33253" y="39389"/>
                <a:pt x="41654" y="39000"/>
                <a:pt x="48491" y="41564"/>
              </a:cubicBezTo>
              <a:cubicBezTo>
                <a:pt x="60134" y="45930"/>
                <a:pt x="71484" y="51052"/>
                <a:pt x="83127" y="55418"/>
              </a:cubicBezTo>
              <a:cubicBezTo>
                <a:pt x="89964" y="57982"/>
                <a:pt x="97197" y="59470"/>
                <a:pt x="103909" y="62346"/>
              </a:cubicBezTo>
              <a:cubicBezTo>
                <a:pt x="113401" y="66414"/>
                <a:pt x="121727" y="73233"/>
                <a:pt x="131618" y="76200"/>
              </a:cubicBezTo>
              <a:cubicBezTo>
                <a:pt x="145071" y="80236"/>
                <a:pt x="159409" y="80372"/>
                <a:pt x="173182" y="83127"/>
              </a:cubicBezTo>
              <a:cubicBezTo>
                <a:pt x="182518" y="84994"/>
                <a:pt x="191737" y="87439"/>
                <a:pt x="200891" y="90055"/>
              </a:cubicBezTo>
              <a:cubicBezTo>
                <a:pt x="207912" y="92061"/>
                <a:pt x="214381" y="96608"/>
                <a:pt x="221673" y="96982"/>
              </a:cubicBezTo>
              <a:cubicBezTo>
                <a:pt x="304723" y="101241"/>
                <a:pt x="387951" y="100887"/>
                <a:pt x="471055" y="103909"/>
              </a:cubicBezTo>
              <a:cubicBezTo>
                <a:pt x="514959" y="105506"/>
                <a:pt x="558800" y="108528"/>
                <a:pt x="602673" y="110837"/>
              </a:cubicBezTo>
              <a:lnTo>
                <a:pt x="2098964" y="103909"/>
              </a:lnTo>
              <a:cubicBezTo>
                <a:pt x="2108484" y="103822"/>
                <a:pt x="2117922" y="100732"/>
                <a:pt x="2126673" y="96982"/>
              </a:cubicBezTo>
              <a:cubicBezTo>
                <a:pt x="2134325" y="93702"/>
                <a:pt x="2139803" y="86407"/>
                <a:pt x="2147455" y="83127"/>
              </a:cubicBezTo>
              <a:cubicBezTo>
                <a:pt x="2156206" y="79377"/>
                <a:pt x="2166010" y="78815"/>
                <a:pt x="2175164" y="76200"/>
              </a:cubicBezTo>
              <a:cubicBezTo>
                <a:pt x="2182185" y="74194"/>
                <a:pt x="2189018" y="71582"/>
                <a:pt x="2195945" y="69273"/>
              </a:cubicBezTo>
              <a:cubicBezTo>
                <a:pt x="2202872" y="64655"/>
                <a:pt x="2209075" y="58698"/>
                <a:pt x="2216727" y="55418"/>
              </a:cubicBezTo>
              <a:cubicBezTo>
                <a:pt x="2225478" y="51668"/>
                <a:pt x="2236514" y="53772"/>
                <a:pt x="2244436" y="48491"/>
              </a:cubicBezTo>
              <a:cubicBezTo>
                <a:pt x="2251363" y="43873"/>
                <a:pt x="2251895" y="33039"/>
                <a:pt x="2258291" y="27709"/>
              </a:cubicBezTo>
              <a:cubicBezTo>
                <a:pt x="2288066" y="2897"/>
                <a:pt x="2286000" y="26401"/>
                <a:pt x="2286000" y="6927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Gabriel Malpica Mora" id="{3EE3D959-DB2B-4EB7-ACF9-66E373F19809}" userId="4ff2196610546aad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7" dT="2024-10-29T23:43:42.20" personId="{3EE3D959-DB2B-4EB7-ACF9-66E373F19809}" id="{72CF123F-46A6-48A7-8A4D-3662AA53B854}">
    <text>Hay dos alternativas para pagarle al reportador:
1. Volver a colocar el título en reporto. Puede ser el mismo reportador u otro.
2. Vender el título en directo.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3" dT="2024-11-12T01:18:22.16" personId="{3EE3D959-DB2B-4EB7-ACF9-66E373F19809}" id="{EFD52061-96B7-4BE6-8D34-3436C5B251B5}">
    <text xml:space="preserve">Este dato en la práctica ya es de vanidad, porque ya sabemos cuáles son los precios de los bonos cuando aumentan o disminuyen un punto porcentual las tasas de interés.
</text>
  </threadedComment>
  <threadedComment ref="D18" dT="2024-11-05T03:14:00.19" personId="{3EE3D959-DB2B-4EB7-ACF9-66E373F19809}" id="{3880A4CB-3CF2-4D98-B8D8-C0F89A0992AD}">
    <text xml:space="preserve">En fecha corte de cupón:
1. Tasa mercado &gt; tasa cupón, el bono cotiza bajo par.
2. Tasa mercado = tasa cupón, el bono cotiza a la par.
3. Tasa mercado&lt; tasa cupón, el bono cotiza sobre par. </text>
  </threadedComment>
  <threadedComment ref="H18" dT="2024-11-12T01:28:02.81" personId="{3EE3D959-DB2B-4EB7-ACF9-66E373F19809}" id="{A38C64A3-AC90-48AF-9812-DDBE5B339A30}">
    <text>Es la sensibilidad de la duración modificada ante cambios de un punto porcentual en las tasas de interés.
También se le conoce como la segunda derivada del precio del bono con respecto a la tasa de interés.
Y también se le conoce como la “gama”.</text>
  </threadedComment>
  <threadedComment ref="G19" dT="2024-11-12T01:16:58.44" personId="{3EE3D959-DB2B-4EB7-ACF9-66E373F19809}" id="{38CFA383-9132-486C-B0F9-75659FA840D2}">
    <text>Delta del Bono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H13" dT="2024-11-12T01:18:22.16" personId="{3EE3D959-DB2B-4EB7-ACF9-66E373F19809}" id="{9338F395-4421-4646-BFE2-D2AC44DC5C23}">
    <text xml:space="preserve">Este dato en la práctica ya es de vanidad, porque ya sabemos cuáles son los precios de los bonos cuando aumentan o disminuyen un punto porcentual las tasas de interés.
</text>
  </threadedComment>
  <threadedComment ref="D54" dT="2024-11-05T03:14:00.19" personId="{3EE3D959-DB2B-4EB7-ACF9-66E373F19809}" id="{00C9EC72-8284-4176-A8AC-2C97EC2B4483}">
    <text xml:space="preserve">En fecha corte de cupón:
1. Tasa mercado &gt; tasa cupón, el bono cotiza bajo par.
2. Tasa mercado = tasa cupón, el bono cotiza a la par.
3. Tasa mercado&lt; tasa cupón, el bono cotiza sobre par. </text>
  </threadedComment>
  <threadedComment ref="H54" dT="2024-11-12T01:28:02.81" personId="{3EE3D959-DB2B-4EB7-ACF9-66E373F19809}" id="{3B79B0EB-12E7-4A71-9932-97E9430CB0A0}">
    <text>Es la sensibilidad de la duración modificada ante cambios de un punto porcentual en las tasas de interés.
También se le conoce como la segunda derivada del precio del bono con respecto a la tasa de interés.
Y también se le conoce como la “gama”.</text>
  </threadedComment>
  <threadedComment ref="G55" dT="2024-11-12T01:16:58.44" personId="{3EE3D959-DB2B-4EB7-ACF9-66E373F19809}" id="{5ADE6427-FD29-439E-B1A8-9FF56128F174}">
    <text>Delta del Bono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H13" dT="2024-11-12T01:18:22.16" personId="{3EE3D959-DB2B-4EB7-ACF9-66E373F19809}" id="{BC6E1DA1-09D6-4169-87B0-475FAE1B7448}">
    <text xml:space="preserve">Este dato en la práctica ya es de vanidad, porque ya sabemos cuáles son los precios de los bonos cuando aumentan o disminuyen un punto porcentual las tasas de interés.
</text>
  </threadedComment>
  <threadedComment ref="D74" dT="2024-11-05T03:14:00.19" personId="{3EE3D959-DB2B-4EB7-ACF9-66E373F19809}" id="{22F5FDDD-49D8-4204-872D-C4BB29EBAA89}">
    <text xml:space="preserve">En fecha corte de cupón:
1. Tasa mercado &gt; tasa cupón, el bono cotiza bajo par.
2. Tasa mercado = tasa cupón, el bono cotiza a la par.
3. Tasa mercado&lt; tasa cupón, el bono cotiza sobre par. </text>
  </threadedComment>
  <threadedComment ref="H74" dT="2024-11-12T01:28:02.81" personId="{3EE3D959-DB2B-4EB7-ACF9-66E373F19809}" id="{B1E08F3B-C6C9-4386-9A83-C798DCD9F2CD}">
    <text>Es la sensibilidad de la duración modificada ante cambios de un punto porcentual en las tasas de interés.
También se le conoce como la segunda derivada del precio del bono con respecto a la tasa de interés.
Y también se le conoce como la “gama”.</text>
  </threadedComment>
  <threadedComment ref="G75" dT="2024-11-12T01:16:58.44" personId="{3EE3D959-DB2B-4EB7-ACF9-66E373F19809}" id="{5E3CC0E0-70F9-42FD-9ECA-C29C4CC15997}">
    <text>Delta del Bono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E8" dT="2024-05-09T22:45:27.60" personId="{3EE3D959-DB2B-4EB7-ACF9-66E373F19809}" id="{5307E2A5-C291-4722-A1CD-87EDCD2BF6A0}">
    <text>Las sobretasas están establecidas en los prospectos de colocación de los bonos.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8EA13-5CE4-4CF8-BD2E-83FDD763FFEA}">
  <dimension ref="C2:T146"/>
  <sheetViews>
    <sheetView topLeftCell="A129" zoomScale="120" zoomScaleNormal="120" workbookViewId="0">
      <selection activeCell="D149" sqref="D149"/>
    </sheetView>
  </sheetViews>
  <sheetFormatPr baseColWidth="10" defaultRowHeight="14.4" x14ac:dyDescent="0.3"/>
  <cols>
    <col min="9" max="9" width="14.109375" customWidth="1"/>
    <col min="14" max="14" width="12.77734375" customWidth="1"/>
  </cols>
  <sheetData>
    <row r="2" spans="3:10" ht="21" x14ac:dyDescent="0.4">
      <c r="C2" s="151" t="s">
        <v>111</v>
      </c>
      <c r="D2" s="151"/>
      <c r="E2" s="151"/>
      <c r="F2" s="151"/>
      <c r="G2" s="151"/>
      <c r="H2" s="151"/>
      <c r="I2" s="151"/>
      <c r="J2" s="151"/>
    </row>
    <row r="4" spans="3:10" x14ac:dyDescent="0.3">
      <c r="C4" t="s">
        <v>112</v>
      </c>
    </row>
    <row r="6" spans="3:10" x14ac:dyDescent="0.3">
      <c r="C6" t="s">
        <v>113</v>
      </c>
    </row>
    <row r="7" spans="3:10" x14ac:dyDescent="0.3">
      <c r="C7" t="s">
        <v>114</v>
      </c>
    </row>
    <row r="9" spans="3:10" x14ac:dyDescent="0.3">
      <c r="C9" s="18" t="s">
        <v>115</v>
      </c>
    </row>
    <row r="11" spans="3:10" x14ac:dyDescent="0.3">
      <c r="C11" t="s">
        <v>116</v>
      </c>
    </row>
    <row r="12" spans="3:10" x14ac:dyDescent="0.3">
      <c r="D12" t="s">
        <v>117</v>
      </c>
      <c r="G12" t="s">
        <v>118</v>
      </c>
    </row>
    <row r="13" spans="3:10" x14ac:dyDescent="0.3">
      <c r="D13" t="s">
        <v>119</v>
      </c>
    </row>
    <row r="14" spans="3:10" x14ac:dyDescent="0.3">
      <c r="D14" t="s">
        <v>120</v>
      </c>
      <c r="G14" t="s">
        <v>121</v>
      </c>
    </row>
    <row r="15" spans="3:10" x14ac:dyDescent="0.3">
      <c r="D15" t="s">
        <v>122</v>
      </c>
      <c r="G15" s="89" t="s">
        <v>189</v>
      </c>
    </row>
    <row r="16" spans="3:10" x14ac:dyDescent="0.3">
      <c r="D16" t="s">
        <v>123</v>
      </c>
      <c r="G16" s="89" t="s">
        <v>190</v>
      </c>
    </row>
    <row r="18" spans="3:4" x14ac:dyDescent="0.3">
      <c r="C18" t="s">
        <v>124</v>
      </c>
    </row>
    <row r="19" spans="3:4" x14ac:dyDescent="0.3">
      <c r="D19" t="s">
        <v>125</v>
      </c>
    </row>
    <row r="20" spans="3:4" x14ac:dyDescent="0.3">
      <c r="D20" t="s">
        <v>126</v>
      </c>
    </row>
    <row r="22" spans="3:4" x14ac:dyDescent="0.3">
      <c r="D22" t="s">
        <v>127</v>
      </c>
    </row>
    <row r="23" spans="3:4" x14ac:dyDescent="0.3">
      <c r="D23" t="s">
        <v>128</v>
      </c>
    </row>
    <row r="25" spans="3:4" x14ac:dyDescent="0.3">
      <c r="C25" t="s">
        <v>129</v>
      </c>
    </row>
    <row r="26" spans="3:4" x14ac:dyDescent="0.3">
      <c r="D26" t="s">
        <v>130</v>
      </c>
    </row>
    <row r="27" spans="3:4" x14ac:dyDescent="0.3">
      <c r="D27" t="s">
        <v>131</v>
      </c>
    </row>
    <row r="28" spans="3:4" x14ac:dyDescent="0.3">
      <c r="D28" t="s">
        <v>132</v>
      </c>
    </row>
    <row r="29" spans="3:4" x14ac:dyDescent="0.3">
      <c r="D29" t="s">
        <v>133</v>
      </c>
    </row>
    <row r="30" spans="3:4" x14ac:dyDescent="0.3">
      <c r="D30" s="89" t="s">
        <v>134</v>
      </c>
    </row>
    <row r="32" spans="3:4" x14ac:dyDescent="0.3">
      <c r="C32" t="s">
        <v>135</v>
      </c>
    </row>
    <row r="34" spans="3:5" x14ac:dyDescent="0.3">
      <c r="D34" t="s">
        <v>136</v>
      </c>
    </row>
    <row r="35" spans="3:5" x14ac:dyDescent="0.3">
      <c r="D35" t="s">
        <v>137</v>
      </c>
    </row>
    <row r="36" spans="3:5" x14ac:dyDescent="0.3">
      <c r="D36" t="s">
        <v>138</v>
      </c>
    </row>
    <row r="37" spans="3:5" x14ac:dyDescent="0.3">
      <c r="D37" t="s">
        <v>139</v>
      </c>
    </row>
    <row r="38" spans="3:5" x14ac:dyDescent="0.3">
      <c r="E38" t="s">
        <v>140</v>
      </c>
    </row>
    <row r="39" spans="3:5" x14ac:dyDescent="0.3">
      <c r="E39" t="s">
        <v>141</v>
      </c>
    </row>
    <row r="40" spans="3:5" x14ac:dyDescent="0.3">
      <c r="E40" t="s">
        <v>142</v>
      </c>
    </row>
    <row r="41" spans="3:5" x14ac:dyDescent="0.3">
      <c r="E41" t="s">
        <v>143</v>
      </c>
    </row>
    <row r="42" spans="3:5" x14ac:dyDescent="0.3">
      <c r="E42" t="s">
        <v>144</v>
      </c>
    </row>
    <row r="44" spans="3:5" x14ac:dyDescent="0.3">
      <c r="C44" t="s">
        <v>145</v>
      </c>
    </row>
    <row r="45" spans="3:5" x14ac:dyDescent="0.3">
      <c r="D45" t="s">
        <v>146</v>
      </c>
    </row>
    <row r="46" spans="3:5" x14ac:dyDescent="0.3">
      <c r="D46" t="s">
        <v>147</v>
      </c>
    </row>
    <row r="47" spans="3:5" x14ac:dyDescent="0.3">
      <c r="D47" t="s">
        <v>148</v>
      </c>
    </row>
    <row r="49" spans="3:20" x14ac:dyDescent="0.3">
      <c r="C49" t="s">
        <v>149</v>
      </c>
    </row>
    <row r="50" spans="3:20" x14ac:dyDescent="0.3">
      <c r="D50" t="s">
        <v>150</v>
      </c>
    </row>
    <row r="51" spans="3:20" x14ac:dyDescent="0.3">
      <c r="D51" t="s">
        <v>151</v>
      </c>
    </row>
    <row r="52" spans="3:20" x14ac:dyDescent="0.3">
      <c r="D52" t="s">
        <v>152</v>
      </c>
    </row>
    <row r="54" spans="3:20" x14ac:dyDescent="0.3">
      <c r="C54" t="s">
        <v>153</v>
      </c>
    </row>
    <row r="55" spans="3:20" x14ac:dyDescent="0.3">
      <c r="D55" t="s">
        <v>154</v>
      </c>
      <c r="N55" s="150" t="s">
        <v>86</v>
      </c>
      <c r="O55" s="150"/>
      <c r="P55" s="150"/>
      <c r="Q55" s="150"/>
      <c r="R55" s="150"/>
      <c r="S55" s="150"/>
      <c r="T55" s="150"/>
    </row>
    <row r="56" spans="3:20" x14ac:dyDescent="0.3">
      <c r="D56" t="s">
        <v>155</v>
      </c>
    </row>
    <row r="57" spans="3:20" x14ac:dyDescent="0.3">
      <c r="D57" t="s">
        <v>156</v>
      </c>
      <c r="N57" s="1" t="s">
        <v>88</v>
      </c>
    </row>
    <row r="58" spans="3:20" x14ac:dyDescent="0.3">
      <c r="N58" s="1" t="s">
        <v>90</v>
      </c>
    </row>
    <row r="59" spans="3:20" x14ac:dyDescent="0.3">
      <c r="C59" t="s">
        <v>157</v>
      </c>
      <c r="N59" s="2">
        <v>100</v>
      </c>
    </row>
    <row r="60" spans="3:20" x14ac:dyDescent="0.3">
      <c r="D60" t="s">
        <v>158</v>
      </c>
    </row>
    <row r="61" spans="3:20" x14ac:dyDescent="0.3">
      <c r="D61" t="s">
        <v>159</v>
      </c>
      <c r="N61" s="1" t="s">
        <v>93</v>
      </c>
      <c r="P61" t="s">
        <v>94</v>
      </c>
    </row>
    <row r="63" spans="3:20" x14ac:dyDescent="0.3">
      <c r="O63" t="s">
        <v>95</v>
      </c>
    </row>
    <row r="64" spans="3:20" x14ac:dyDescent="0.3">
      <c r="C64" s="18" t="s">
        <v>160</v>
      </c>
    </row>
    <row r="65" spans="3:20" x14ac:dyDescent="0.3">
      <c r="Q65" s="149" t="s">
        <v>1</v>
      </c>
      <c r="R65" s="149"/>
      <c r="S65" s="87">
        <v>182</v>
      </c>
      <c r="T65" s="1" t="s">
        <v>96</v>
      </c>
    </row>
    <row r="66" spans="3:20" x14ac:dyDescent="0.3">
      <c r="C66" t="s">
        <v>161</v>
      </c>
    </row>
    <row r="67" spans="3:20" x14ac:dyDescent="0.3">
      <c r="D67" t="s">
        <v>162</v>
      </c>
      <c r="N67" s="1" t="s">
        <v>97</v>
      </c>
    </row>
    <row r="68" spans="3:20" x14ac:dyDescent="0.3">
      <c r="D68" t="s">
        <v>163</v>
      </c>
    </row>
    <row r="69" spans="3:20" x14ac:dyDescent="0.3">
      <c r="O69" t="s">
        <v>98</v>
      </c>
    </row>
    <row r="70" spans="3:20" x14ac:dyDescent="0.3">
      <c r="C70" t="s">
        <v>164</v>
      </c>
      <c r="O70" s="12">
        <f>-I68</f>
        <v>0</v>
      </c>
    </row>
    <row r="71" spans="3:20" x14ac:dyDescent="0.3">
      <c r="D71" t="s">
        <v>165</v>
      </c>
    </row>
    <row r="72" spans="3:20" x14ac:dyDescent="0.3">
      <c r="D72" t="s">
        <v>166</v>
      </c>
    </row>
    <row r="73" spans="3:20" x14ac:dyDescent="0.3">
      <c r="N73" s="150" t="s">
        <v>188</v>
      </c>
      <c r="O73" s="150"/>
      <c r="P73" s="150"/>
      <c r="Q73" s="150"/>
      <c r="R73" s="150"/>
      <c r="S73" s="150"/>
      <c r="T73" s="150"/>
    </row>
    <row r="74" spans="3:20" x14ac:dyDescent="0.3">
      <c r="C74" t="s">
        <v>167</v>
      </c>
      <c r="N74" s="16" t="s">
        <v>88</v>
      </c>
    </row>
    <row r="75" spans="3:20" x14ac:dyDescent="0.3">
      <c r="D75" t="s">
        <v>168</v>
      </c>
      <c r="N75" s="1" t="s">
        <v>90</v>
      </c>
    </row>
    <row r="76" spans="3:20" x14ac:dyDescent="0.3">
      <c r="D76" t="s">
        <v>169</v>
      </c>
      <c r="N76" s="2">
        <v>100</v>
      </c>
    </row>
    <row r="77" spans="3:20" x14ac:dyDescent="0.3">
      <c r="O77" s="149" t="s">
        <v>187</v>
      </c>
      <c r="P77" s="149"/>
      <c r="Q77" s="3">
        <v>0.112</v>
      </c>
    </row>
    <row r="78" spans="3:20" x14ac:dyDescent="0.3">
      <c r="C78" t="s">
        <v>170</v>
      </c>
      <c r="N78">
        <v>5.7127780000000001</v>
      </c>
    </row>
    <row r="79" spans="3:20" x14ac:dyDescent="0.3">
      <c r="D79" t="s">
        <v>171</v>
      </c>
      <c r="N79" s="1" t="s">
        <v>93</v>
      </c>
    </row>
    <row r="80" spans="3:20" x14ac:dyDescent="0.3">
      <c r="E80" t="s">
        <v>172</v>
      </c>
    </row>
    <row r="81" spans="3:19" x14ac:dyDescent="0.3">
      <c r="E81" t="s">
        <v>173</v>
      </c>
      <c r="O81" t="s">
        <v>95</v>
      </c>
    </row>
    <row r="82" spans="3:19" x14ac:dyDescent="0.3">
      <c r="E82" t="s">
        <v>174</v>
      </c>
    </row>
    <row r="84" spans="3:19" x14ac:dyDescent="0.3">
      <c r="O84">
        <v>182</v>
      </c>
      <c r="P84">
        <v>364</v>
      </c>
      <c r="Q84">
        <v>546</v>
      </c>
      <c r="R84">
        <v>728</v>
      </c>
      <c r="S84" s="16" t="s">
        <v>96</v>
      </c>
    </row>
    <row r="85" spans="3:19" x14ac:dyDescent="0.3">
      <c r="C85" s="18" t="s">
        <v>175</v>
      </c>
      <c r="O85" s="149" t="s">
        <v>1</v>
      </c>
      <c r="P85" s="149"/>
      <c r="Q85" s="149"/>
      <c r="R85" s="149"/>
    </row>
    <row r="86" spans="3:19" x14ac:dyDescent="0.3">
      <c r="N86" s="1" t="s">
        <v>97</v>
      </c>
    </row>
    <row r="87" spans="3:19" x14ac:dyDescent="0.3">
      <c r="C87" t="s">
        <v>176</v>
      </c>
    </row>
    <row r="88" spans="3:19" x14ac:dyDescent="0.3">
      <c r="O88" s="12">
        <f>J93</f>
        <v>0</v>
      </c>
    </row>
    <row r="89" spans="3:19" x14ac:dyDescent="0.3">
      <c r="D89" s="18" t="s">
        <v>193</v>
      </c>
    </row>
    <row r="90" spans="3:19" x14ac:dyDescent="0.3">
      <c r="E90" t="s">
        <v>177</v>
      </c>
    </row>
    <row r="91" spans="3:19" x14ac:dyDescent="0.3">
      <c r="E91" t="s">
        <v>178</v>
      </c>
    </row>
    <row r="92" spans="3:19" x14ac:dyDescent="0.3">
      <c r="E92" t="s">
        <v>179</v>
      </c>
    </row>
    <row r="93" spans="3:19" x14ac:dyDescent="0.3">
      <c r="P93" s="13"/>
    </row>
    <row r="94" spans="3:19" x14ac:dyDescent="0.3">
      <c r="D94" s="18" t="s">
        <v>191</v>
      </c>
      <c r="P94" s="13"/>
    </row>
    <row r="95" spans="3:19" x14ac:dyDescent="0.3">
      <c r="E95" t="s">
        <v>180</v>
      </c>
      <c r="P95" s="13"/>
    </row>
    <row r="96" spans="3:19" x14ac:dyDescent="0.3">
      <c r="E96" t="s">
        <v>181</v>
      </c>
      <c r="P96" s="13"/>
    </row>
    <row r="97" spans="3:20" x14ac:dyDescent="0.3">
      <c r="E97" t="s">
        <v>182</v>
      </c>
      <c r="P97" s="13"/>
    </row>
    <row r="98" spans="3:20" x14ac:dyDescent="0.3">
      <c r="P98" s="13"/>
    </row>
    <row r="99" spans="3:20" x14ac:dyDescent="0.3">
      <c r="D99" s="18" t="s">
        <v>192</v>
      </c>
    </row>
    <row r="100" spans="3:20" x14ac:dyDescent="0.3">
      <c r="E100" t="s">
        <v>183</v>
      </c>
    </row>
    <row r="101" spans="3:20" x14ac:dyDescent="0.3">
      <c r="E101" t="s">
        <v>184</v>
      </c>
    </row>
    <row r="102" spans="3:20" x14ac:dyDescent="0.3">
      <c r="E102" t="s">
        <v>182</v>
      </c>
    </row>
    <row r="104" spans="3:20" x14ac:dyDescent="0.3">
      <c r="C104" t="s">
        <v>185</v>
      </c>
    </row>
    <row r="106" spans="3:20" x14ac:dyDescent="0.3">
      <c r="D106" t="s">
        <v>186</v>
      </c>
    </row>
    <row r="108" spans="3:20" x14ac:dyDescent="0.3">
      <c r="T108" t="s">
        <v>196</v>
      </c>
    </row>
    <row r="109" spans="3:20" x14ac:dyDescent="0.3">
      <c r="R109" t="s">
        <v>195</v>
      </c>
    </row>
    <row r="110" spans="3:20" x14ac:dyDescent="0.3">
      <c r="T110" t="s">
        <v>197</v>
      </c>
    </row>
    <row r="112" spans="3:20" x14ac:dyDescent="0.3">
      <c r="O112" t="s">
        <v>194</v>
      </c>
      <c r="R112" t="s">
        <v>199</v>
      </c>
      <c r="T112" t="s">
        <v>200</v>
      </c>
    </row>
    <row r="113" spans="18:20" x14ac:dyDescent="0.3">
      <c r="T113" t="s">
        <v>201</v>
      </c>
    </row>
    <row r="115" spans="18:20" x14ac:dyDescent="0.3">
      <c r="R115" t="s">
        <v>198</v>
      </c>
    </row>
    <row r="139" spans="3:11" x14ac:dyDescent="0.3">
      <c r="C139" s="18" t="s">
        <v>202</v>
      </c>
      <c r="J139" s="18" t="s">
        <v>206</v>
      </c>
    </row>
    <row r="141" spans="3:11" x14ac:dyDescent="0.3">
      <c r="C141" s="172" t="s">
        <v>203</v>
      </c>
      <c r="D141" t="s">
        <v>207</v>
      </c>
      <c r="J141" t="s">
        <v>203</v>
      </c>
      <c r="K141" t="s">
        <v>212</v>
      </c>
    </row>
    <row r="142" spans="3:11" x14ac:dyDescent="0.3">
      <c r="K142" t="s">
        <v>213</v>
      </c>
    </row>
    <row r="143" spans="3:11" x14ac:dyDescent="0.3">
      <c r="C143" t="s">
        <v>204</v>
      </c>
      <c r="D143" t="s">
        <v>208</v>
      </c>
      <c r="J143" s="172" t="s">
        <v>204</v>
      </c>
      <c r="K143" t="s">
        <v>214</v>
      </c>
    </row>
    <row r="144" spans="3:11" x14ac:dyDescent="0.3">
      <c r="D144" s="96" t="s">
        <v>209</v>
      </c>
    </row>
    <row r="145" spans="3:11" x14ac:dyDescent="0.3">
      <c r="D145" s="96" t="s">
        <v>210</v>
      </c>
      <c r="J145" s="172" t="s">
        <v>205</v>
      </c>
      <c r="K145" t="s">
        <v>215</v>
      </c>
    </row>
    <row r="146" spans="3:11" x14ac:dyDescent="0.3">
      <c r="C146" s="172" t="s">
        <v>205</v>
      </c>
      <c r="D146" t="s">
        <v>211</v>
      </c>
    </row>
  </sheetData>
  <mergeCells count="6">
    <mergeCell ref="O85:R85"/>
    <mergeCell ref="N73:T73"/>
    <mergeCell ref="C2:J2"/>
    <mergeCell ref="N55:T55"/>
    <mergeCell ref="Q65:R65"/>
    <mergeCell ref="O77:P7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76CF2-1DD2-4EC0-A944-0B8E1E98C495}">
  <sheetPr>
    <pageSetUpPr fitToPage="1"/>
  </sheetPr>
  <dimension ref="B1:H62"/>
  <sheetViews>
    <sheetView showGridLines="0" tabSelected="1" topLeftCell="A44" zoomScale="120" zoomScaleNormal="120" workbookViewId="0">
      <selection activeCell="B61" sqref="B61"/>
    </sheetView>
  </sheetViews>
  <sheetFormatPr baseColWidth="10" defaultRowHeight="14.4" x14ac:dyDescent="0.3"/>
  <cols>
    <col min="2" max="2" width="37.44140625" customWidth="1"/>
    <col min="3" max="3" width="25" customWidth="1"/>
    <col min="4" max="4" width="35.5546875" customWidth="1"/>
    <col min="5" max="5" width="27.44140625" customWidth="1"/>
  </cols>
  <sheetData>
    <row r="1" spans="2:7" ht="25.8" x14ac:dyDescent="0.5">
      <c r="B1" s="152" t="s">
        <v>85</v>
      </c>
      <c r="C1" s="152"/>
      <c r="D1" s="152"/>
      <c r="E1" s="152"/>
    </row>
    <row r="2" spans="2:7" x14ac:dyDescent="0.3">
      <c r="C2" s="13"/>
    </row>
    <row r="3" spans="2:7" x14ac:dyDescent="0.3">
      <c r="C3" s="13"/>
    </row>
    <row r="4" spans="2:7" x14ac:dyDescent="0.3">
      <c r="F4" t="s">
        <v>229</v>
      </c>
      <c r="G4" s="2">
        <v>100</v>
      </c>
    </row>
    <row r="5" spans="2:7" x14ac:dyDescent="0.3">
      <c r="B5" s="153" t="s">
        <v>87</v>
      </c>
      <c r="C5" s="153"/>
      <c r="F5" s="46" t="s">
        <v>230</v>
      </c>
      <c r="G5" s="112">
        <v>0.1</v>
      </c>
    </row>
    <row r="6" spans="2:7" ht="18" x14ac:dyDescent="0.35">
      <c r="B6" s="79" t="s">
        <v>89</v>
      </c>
      <c r="F6" t="s">
        <v>231</v>
      </c>
      <c r="G6" s="9">
        <f>G4*(1-G5)</f>
        <v>90</v>
      </c>
    </row>
    <row r="7" spans="2:7" x14ac:dyDescent="0.3">
      <c r="B7" t="s">
        <v>91</v>
      </c>
      <c r="F7" t="s">
        <v>232</v>
      </c>
      <c r="G7" s="9">
        <f>G4-G6</f>
        <v>10</v>
      </c>
    </row>
    <row r="8" spans="2:7" x14ac:dyDescent="0.3">
      <c r="B8" t="s">
        <v>92</v>
      </c>
      <c r="F8" s="46" t="s">
        <v>233</v>
      </c>
      <c r="G8" s="113">
        <f>G7/G6</f>
        <v>0.1111111111111111</v>
      </c>
    </row>
    <row r="9" spans="2:7" x14ac:dyDescent="0.3">
      <c r="F9" t="s">
        <v>233</v>
      </c>
      <c r="G9" s="13">
        <f>G4/G6-1</f>
        <v>0.11111111111111116</v>
      </c>
    </row>
    <row r="10" spans="2:7" x14ac:dyDescent="0.3">
      <c r="B10" t="s">
        <v>0</v>
      </c>
      <c r="C10" s="2">
        <v>100</v>
      </c>
    </row>
    <row r="11" spans="2:7" x14ac:dyDescent="0.3">
      <c r="B11" t="s">
        <v>1</v>
      </c>
      <c r="C11">
        <v>182</v>
      </c>
    </row>
    <row r="12" spans="2:7" x14ac:dyDescent="0.3">
      <c r="B12" t="s">
        <v>4</v>
      </c>
      <c r="C12" s="3">
        <v>0.112</v>
      </c>
    </row>
    <row r="13" spans="2:7" x14ac:dyDescent="0.3">
      <c r="C13" s="3"/>
    </row>
    <row r="14" spans="2:7" x14ac:dyDescent="0.3">
      <c r="B14" s="96" t="s">
        <v>228</v>
      </c>
      <c r="C14" s="115">
        <f>C10/(1+(C12*(C11/360)))</f>
        <v>94.641204677378653</v>
      </c>
    </row>
    <row r="15" spans="2:7" x14ac:dyDescent="0.3">
      <c r="B15" t="s">
        <v>234</v>
      </c>
      <c r="C15" s="114">
        <f>C12/(1+(C12*(C11/360)))</f>
        <v>0.1059981492386641</v>
      </c>
    </row>
    <row r="16" spans="2:7" x14ac:dyDescent="0.3">
      <c r="B16" t="s">
        <v>235</v>
      </c>
      <c r="C16" s="114">
        <f>C15*(182/360)</f>
        <v>5.3587953226213514E-2</v>
      </c>
    </row>
    <row r="17" spans="2:4" x14ac:dyDescent="0.3">
      <c r="B17" s="96" t="s">
        <v>228</v>
      </c>
      <c r="C17" s="115">
        <f>C10*(1-C16)</f>
        <v>94.641204677378639</v>
      </c>
    </row>
    <row r="18" spans="2:4" x14ac:dyDescent="0.3">
      <c r="B18" s="96" t="s">
        <v>228</v>
      </c>
      <c r="C18" s="10">
        <f>ABS(PV((C12*(C11/360)),1,0,C10))</f>
        <v>94.641204677378653</v>
      </c>
    </row>
    <row r="20" spans="2:4" x14ac:dyDescent="0.3">
      <c r="B20" t="s">
        <v>245</v>
      </c>
    </row>
    <row r="22" spans="2:4" ht="15" customHeight="1" x14ac:dyDescent="0.3">
      <c r="D22" s="30"/>
    </row>
    <row r="23" spans="2:4" ht="18" x14ac:dyDescent="0.35">
      <c r="B23" s="79" t="s">
        <v>99</v>
      </c>
    </row>
    <row r="24" spans="2:4" x14ac:dyDescent="0.3">
      <c r="B24" t="s">
        <v>100</v>
      </c>
    </row>
    <row r="25" spans="2:4" x14ac:dyDescent="0.3">
      <c r="B25" t="s">
        <v>101</v>
      </c>
    </row>
    <row r="26" spans="2:4" x14ac:dyDescent="0.3">
      <c r="B26" t="s">
        <v>102</v>
      </c>
    </row>
    <row r="27" spans="2:4" x14ac:dyDescent="0.3">
      <c r="B27" t="s">
        <v>103</v>
      </c>
    </row>
    <row r="28" spans="2:4" x14ac:dyDescent="0.3">
      <c r="B28" s="88" t="s">
        <v>104</v>
      </c>
    </row>
    <row r="30" spans="2:4" ht="15" thickBot="1" x14ac:dyDescent="0.35">
      <c r="B30" s="154" t="s">
        <v>236</v>
      </c>
      <c r="C30" s="154"/>
    </row>
    <row r="31" spans="2:4" x14ac:dyDescent="0.3">
      <c r="B31" t="s">
        <v>0</v>
      </c>
      <c r="C31">
        <v>100</v>
      </c>
    </row>
    <row r="32" spans="2:4" x14ac:dyDescent="0.3">
      <c r="B32" t="s">
        <v>1</v>
      </c>
      <c r="C32">
        <v>56</v>
      </c>
    </row>
    <row r="33" spans="2:8" x14ac:dyDescent="0.3">
      <c r="B33" t="s">
        <v>4</v>
      </c>
      <c r="C33" s="3">
        <v>0.1145</v>
      </c>
    </row>
    <row r="34" spans="2:8" ht="15" thickBot="1" x14ac:dyDescent="0.35">
      <c r="B34" t="s">
        <v>237</v>
      </c>
      <c r="C34" s="10">
        <f>C31/(1+(C33*(C32/360)))</f>
        <v>98.250057312533443</v>
      </c>
      <c r="E34" s="154" t="s">
        <v>244</v>
      </c>
      <c r="F34" s="154"/>
    </row>
    <row r="35" spans="2:8" x14ac:dyDescent="0.3">
      <c r="E35" t="s">
        <v>241</v>
      </c>
      <c r="F35" s="2">
        <v>100</v>
      </c>
    </row>
    <row r="36" spans="2:8" x14ac:dyDescent="0.3">
      <c r="E36" t="s">
        <v>242</v>
      </c>
      <c r="F36">
        <v>5</v>
      </c>
    </row>
    <row r="37" spans="2:8" ht="15" thickBot="1" x14ac:dyDescent="0.35">
      <c r="B37" s="154" t="s">
        <v>238</v>
      </c>
      <c r="C37" s="154"/>
      <c r="E37" t="s">
        <v>243</v>
      </c>
      <c r="F37" s="9">
        <f>F35/F36</f>
        <v>20</v>
      </c>
    </row>
    <row r="38" spans="2:8" x14ac:dyDescent="0.3">
      <c r="B38" t="s">
        <v>0</v>
      </c>
      <c r="C38">
        <v>100</v>
      </c>
    </row>
    <row r="39" spans="2:8" x14ac:dyDescent="0.3">
      <c r="B39" t="s">
        <v>239</v>
      </c>
      <c r="C39">
        <v>7</v>
      </c>
      <c r="D39" s="12">
        <f>C34</f>
        <v>98.250057312533443</v>
      </c>
      <c r="E39" s="12">
        <v>98.250057312533443</v>
      </c>
      <c r="H39">
        <v>100</v>
      </c>
    </row>
    <row r="40" spans="2:8" x14ac:dyDescent="0.3">
      <c r="B40" t="s">
        <v>1</v>
      </c>
      <c r="C40">
        <f>C32-C39</f>
        <v>49</v>
      </c>
    </row>
    <row r="41" spans="2:8" x14ac:dyDescent="0.3">
      <c r="B41" t="s">
        <v>4</v>
      </c>
      <c r="C41" s="3">
        <v>0.1045</v>
      </c>
    </row>
    <row r="42" spans="2:8" x14ac:dyDescent="0.3">
      <c r="B42" t="s">
        <v>237</v>
      </c>
      <c r="C42" s="10">
        <f>C38/(1+(C41*(C40/360)))</f>
        <v>98.597586276311517</v>
      </c>
    </row>
    <row r="44" spans="2:8" x14ac:dyDescent="0.3">
      <c r="B44" t="s">
        <v>240</v>
      </c>
      <c r="C44" s="13">
        <f>(C42/C34-1)*(360/C39)</f>
        <v>0.18191254667978488</v>
      </c>
    </row>
    <row r="45" spans="2:8" x14ac:dyDescent="0.3">
      <c r="B45" t="s">
        <v>257</v>
      </c>
      <c r="C45" s="12">
        <f>C42-C34</f>
        <v>0.34752896377807474</v>
      </c>
    </row>
    <row r="46" spans="2:8" x14ac:dyDescent="0.3">
      <c r="B46" t="s">
        <v>240</v>
      </c>
      <c r="C46" s="13">
        <f>(C45/C34)*(360/C39)</f>
        <v>0.18191254667978846</v>
      </c>
    </row>
    <row r="49" spans="2:5" x14ac:dyDescent="0.3">
      <c r="B49" t="s">
        <v>246</v>
      </c>
    </row>
    <row r="50" spans="2:5" x14ac:dyDescent="0.3">
      <c r="B50" t="s">
        <v>247</v>
      </c>
    </row>
    <row r="52" spans="2:5" x14ac:dyDescent="0.3">
      <c r="B52" s="16" t="s">
        <v>248</v>
      </c>
      <c r="C52" s="16" t="s">
        <v>249</v>
      </c>
      <c r="D52" s="16" t="s">
        <v>1</v>
      </c>
      <c r="E52" s="16" t="s">
        <v>4</v>
      </c>
    </row>
    <row r="53" spans="2:5" x14ac:dyDescent="0.3">
      <c r="B53" s="117">
        <v>2500000</v>
      </c>
      <c r="C53" t="s">
        <v>250</v>
      </c>
      <c r="D53">
        <v>92</v>
      </c>
      <c r="E53" s="3">
        <v>0.1045</v>
      </c>
    </row>
    <row r="54" spans="2:5" x14ac:dyDescent="0.3">
      <c r="B54" s="117">
        <v>3750000</v>
      </c>
      <c r="C54" t="s">
        <v>251</v>
      </c>
      <c r="D54">
        <v>320</v>
      </c>
      <c r="E54" s="3">
        <v>0.11020000000000001</v>
      </c>
    </row>
    <row r="55" spans="2:5" x14ac:dyDescent="0.3">
      <c r="B55" s="118">
        <v>1945000</v>
      </c>
      <c r="C55" s="46" t="s">
        <v>252</v>
      </c>
      <c r="D55" s="46">
        <v>35</v>
      </c>
      <c r="E55" s="119">
        <v>0.10349999999999999</v>
      </c>
    </row>
    <row r="56" spans="2:5" x14ac:dyDescent="0.3">
      <c r="B56" s="117">
        <v>6587000</v>
      </c>
      <c r="C56" t="s">
        <v>253</v>
      </c>
      <c r="D56">
        <v>185</v>
      </c>
      <c r="E56" s="3">
        <v>0.1055</v>
      </c>
    </row>
    <row r="57" spans="2:5" x14ac:dyDescent="0.3">
      <c r="B57" s="120">
        <v>3666666</v>
      </c>
      <c r="C57" s="121" t="s">
        <v>254</v>
      </c>
      <c r="D57" s="121">
        <v>1658</v>
      </c>
      <c r="E57" s="122">
        <v>0.113</v>
      </c>
    </row>
    <row r="58" spans="2:5" x14ac:dyDescent="0.3">
      <c r="B58" s="117"/>
    </row>
    <row r="60" spans="2:5" x14ac:dyDescent="0.3">
      <c r="B60" s="46" t="s">
        <v>340</v>
      </c>
    </row>
    <row r="61" spans="2:5" x14ac:dyDescent="0.3">
      <c r="B61" s="46" t="s">
        <v>255</v>
      </c>
    </row>
    <row r="62" spans="2:5" x14ac:dyDescent="0.3">
      <c r="B62" s="121" t="s">
        <v>256</v>
      </c>
    </row>
  </sheetData>
  <mergeCells count="5">
    <mergeCell ref="B1:E1"/>
    <mergeCell ref="B5:C5"/>
    <mergeCell ref="B30:C30"/>
    <mergeCell ref="B37:C37"/>
    <mergeCell ref="E34:F34"/>
  </mergeCells>
  <pageMargins left="0.70866141732283472" right="0.70866141732283472" top="0.74803149606299213" bottom="0.74803149606299213" header="0.31496062992125984" footer="0.31496062992125984"/>
  <pageSetup scale="57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1D09-93E4-4577-B9BC-A11A2E59FBAF}">
  <sheetPr>
    <pageSetUpPr fitToPage="1"/>
  </sheetPr>
  <dimension ref="B1:H54"/>
  <sheetViews>
    <sheetView showGridLines="0" topLeftCell="A27" zoomScale="130" zoomScaleNormal="130" workbookViewId="0">
      <selection activeCell="E2" sqref="E2"/>
    </sheetView>
  </sheetViews>
  <sheetFormatPr baseColWidth="10" defaultRowHeight="14.4" x14ac:dyDescent="0.3"/>
  <cols>
    <col min="2" max="2" width="37.44140625" customWidth="1"/>
    <col min="3" max="3" width="23.77734375" customWidth="1"/>
    <col min="8" max="8" width="13" bestFit="1" customWidth="1"/>
  </cols>
  <sheetData>
    <row r="1" spans="2:8" ht="21" x14ac:dyDescent="0.4">
      <c r="B1" s="157" t="s">
        <v>105</v>
      </c>
      <c r="C1" s="157"/>
    </row>
    <row r="3" spans="2:8" x14ac:dyDescent="0.3">
      <c r="B3" s="18" t="s">
        <v>106</v>
      </c>
    </row>
    <row r="4" spans="2:8" ht="5.25" customHeight="1" x14ac:dyDescent="0.3"/>
    <row r="5" spans="2:8" ht="15" thickBot="1" x14ac:dyDescent="0.35">
      <c r="B5" s="149" t="s">
        <v>107</v>
      </c>
      <c r="C5" s="149"/>
    </row>
    <row r="6" spans="2:8" x14ac:dyDescent="0.3">
      <c r="B6" s="155" t="s">
        <v>108</v>
      </c>
      <c r="C6" s="156"/>
      <c r="F6" t="s">
        <v>258</v>
      </c>
      <c r="H6" s="9">
        <f>C13</f>
        <v>2000000</v>
      </c>
    </row>
    <row r="7" spans="2:8" x14ac:dyDescent="0.3">
      <c r="B7" s="5" t="s">
        <v>0</v>
      </c>
      <c r="C7" s="101">
        <v>100</v>
      </c>
      <c r="F7" t="s">
        <v>259</v>
      </c>
      <c r="H7" s="116">
        <f>ROUNDDOWN((H6/C15),0)</f>
        <v>20535</v>
      </c>
    </row>
    <row r="8" spans="2:8" x14ac:dyDescent="0.3">
      <c r="B8" s="5" t="s">
        <v>1</v>
      </c>
      <c r="C8" s="6">
        <v>91</v>
      </c>
      <c r="F8" t="s">
        <v>109</v>
      </c>
      <c r="H8" s="2">
        <f>H7*C15</f>
        <v>1999913.4306877393</v>
      </c>
    </row>
    <row r="9" spans="2:8" ht="15" thickBot="1" x14ac:dyDescent="0.35">
      <c r="B9" s="7" t="s">
        <v>4</v>
      </c>
      <c r="C9" s="105">
        <v>0.106</v>
      </c>
      <c r="F9" s="121" t="s">
        <v>260</v>
      </c>
      <c r="G9" s="121"/>
      <c r="H9" s="123">
        <f>H6-H8</f>
        <v>86.569312260719016</v>
      </c>
    </row>
    <row r="10" spans="2:8" x14ac:dyDescent="0.3">
      <c r="B10" s="158" t="s">
        <v>110</v>
      </c>
      <c r="C10" s="159"/>
    </row>
    <row r="11" spans="2:8" x14ac:dyDescent="0.3">
      <c r="B11" s="5" t="s">
        <v>2</v>
      </c>
      <c r="C11" s="6">
        <v>28</v>
      </c>
    </row>
    <row r="12" spans="2:8" ht="15" thickBot="1" x14ac:dyDescent="0.35">
      <c r="B12" s="7" t="s">
        <v>4</v>
      </c>
      <c r="C12" s="102">
        <v>0.104</v>
      </c>
    </row>
    <row r="13" spans="2:8" ht="15" customHeight="1" thickBot="1" x14ac:dyDescent="0.35">
      <c r="B13" s="103" t="s">
        <v>109</v>
      </c>
      <c r="C13" s="104">
        <v>2000000</v>
      </c>
    </row>
    <row r="15" spans="2:8" x14ac:dyDescent="0.3">
      <c r="B15" t="s">
        <v>263</v>
      </c>
      <c r="C15" s="12">
        <f>C7/(1+(C9*(C8/360)))</f>
        <v>97.390476293534903</v>
      </c>
    </row>
    <row r="16" spans="2:8" x14ac:dyDescent="0.3">
      <c r="B16" t="s">
        <v>261</v>
      </c>
      <c r="C16" s="12">
        <f>C15*C12*(C11/360)</f>
        <v>0.78778074157437128</v>
      </c>
    </row>
    <row r="17" spans="2:3" x14ac:dyDescent="0.3">
      <c r="B17" t="s">
        <v>262</v>
      </c>
      <c r="C17" s="12">
        <f>C15+C16</f>
        <v>98.178257035109269</v>
      </c>
    </row>
    <row r="18" spans="2:3" x14ac:dyDescent="0.3">
      <c r="B18" t="s">
        <v>264</v>
      </c>
      <c r="C18" s="15">
        <f>(C7/C17-1)*(360/(C8-C11))</f>
        <v>0.10603121417864411</v>
      </c>
    </row>
    <row r="19" spans="2:3" ht="15" thickBot="1" x14ac:dyDescent="0.35"/>
    <row r="20" spans="2:3" x14ac:dyDescent="0.3">
      <c r="B20" s="155" t="s">
        <v>265</v>
      </c>
      <c r="C20" s="156"/>
    </row>
    <row r="21" spans="2:3" x14ac:dyDescent="0.3">
      <c r="B21" s="5" t="s">
        <v>2</v>
      </c>
      <c r="C21" s="6">
        <v>11</v>
      </c>
    </row>
    <row r="22" spans="2:3" ht="15" thickBot="1" x14ac:dyDescent="0.35">
      <c r="B22" s="7" t="s">
        <v>4</v>
      </c>
      <c r="C22" s="102">
        <v>0.10249999999999999</v>
      </c>
    </row>
    <row r="24" spans="2:3" x14ac:dyDescent="0.3">
      <c r="B24" t="s">
        <v>263</v>
      </c>
      <c r="C24" s="12">
        <f>C17</f>
        <v>98.178257035109269</v>
      </c>
    </row>
    <row r="25" spans="2:3" x14ac:dyDescent="0.3">
      <c r="B25" t="s">
        <v>261</v>
      </c>
      <c r="C25" s="12">
        <f>C24*C22*(C21/360)</f>
        <v>0.30748884668634918</v>
      </c>
    </row>
    <row r="26" spans="2:3" x14ac:dyDescent="0.3">
      <c r="B26" t="s">
        <v>262</v>
      </c>
      <c r="C26" s="12">
        <f>C24+C25</f>
        <v>98.485745881795623</v>
      </c>
    </row>
    <row r="27" spans="2:3" x14ac:dyDescent="0.3">
      <c r="B27" t="s">
        <v>264</v>
      </c>
      <c r="C27" s="15">
        <f>(C7/C26-1)*(360/(C8-C11-C21))</f>
        <v>0.10644482252281558</v>
      </c>
    </row>
    <row r="28" spans="2:3" ht="15" thickBot="1" x14ac:dyDescent="0.35"/>
    <row r="29" spans="2:3" x14ac:dyDescent="0.3">
      <c r="B29" s="155" t="s">
        <v>266</v>
      </c>
      <c r="C29" s="156"/>
    </row>
    <row r="30" spans="2:3" x14ac:dyDescent="0.3">
      <c r="B30" s="5" t="s">
        <v>2</v>
      </c>
      <c r="C30" s="6">
        <v>28</v>
      </c>
    </row>
    <row r="31" spans="2:3" ht="15" thickBot="1" x14ac:dyDescent="0.35">
      <c r="B31" s="7" t="s">
        <v>4</v>
      </c>
      <c r="C31" s="102">
        <v>0.1028</v>
      </c>
    </row>
    <row r="33" spans="2:3" x14ac:dyDescent="0.3">
      <c r="B33" t="s">
        <v>263</v>
      </c>
      <c r="C33" s="12">
        <f>C26</f>
        <v>98.485745881795623</v>
      </c>
    </row>
    <row r="34" spans="2:3" x14ac:dyDescent="0.3">
      <c r="B34" t="s">
        <v>261</v>
      </c>
      <c r="C34" s="12">
        <f>C33*C31*(C30/360)</f>
        <v>0.78744825262822371</v>
      </c>
    </row>
    <row r="35" spans="2:3" x14ac:dyDescent="0.3">
      <c r="B35" t="s">
        <v>262</v>
      </c>
      <c r="C35" s="12">
        <f>C33+C34</f>
        <v>99.273194134423846</v>
      </c>
    </row>
    <row r="36" spans="2:3" x14ac:dyDescent="0.3">
      <c r="B36" t="s">
        <v>264</v>
      </c>
      <c r="C36" s="15">
        <f>(C7/C35-1)*(360/(C8-C11-C21-C30))</f>
        <v>0.10981905114164081</v>
      </c>
    </row>
    <row r="38" spans="2:3" x14ac:dyDescent="0.3">
      <c r="B38" t="s">
        <v>267</v>
      </c>
    </row>
    <row r="39" spans="2:3" x14ac:dyDescent="0.3">
      <c r="B39" t="s">
        <v>1</v>
      </c>
      <c r="C39">
        <f>C8-C11-C21-C30</f>
        <v>24</v>
      </c>
    </row>
    <row r="40" spans="2:3" x14ac:dyDescent="0.3">
      <c r="B40" t="s">
        <v>4</v>
      </c>
      <c r="C40" s="127">
        <v>0.104</v>
      </c>
    </row>
    <row r="41" spans="2:3" x14ac:dyDescent="0.3">
      <c r="B41" t="s">
        <v>268</v>
      </c>
      <c r="C41" s="10">
        <f>C7/(1+(C40*(C39/360)))</f>
        <v>99.311440677966118</v>
      </c>
    </row>
    <row r="42" spans="2:3" x14ac:dyDescent="0.3">
      <c r="B42" s="124" t="s">
        <v>269</v>
      </c>
      <c r="C42" s="125">
        <f>C41-C35</f>
        <v>3.8246543542271638E-2</v>
      </c>
    </row>
    <row r="44" spans="2:3" x14ac:dyDescent="0.3">
      <c r="B44" t="s">
        <v>270</v>
      </c>
      <c r="C44" s="116">
        <v>1300000000000</v>
      </c>
    </row>
    <row r="45" spans="2:3" x14ac:dyDescent="0.3">
      <c r="B45" t="s">
        <v>271</v>
      </c>
      <c r="C45" s="14">
        <f>C44/100</f>
        <v>13000000000</v>
      </c>
    </row>
    <row r="46" spans="2:3" x14ac:dyDescent="0.3">
      <c r="B46" t="s">
        <v>272</v>
      </c>
      <c r="C46" s="14">
        <f>C45*C42</f>
        <v>497205066.04953128</v>
      </c>
    </row>
    <row r="47" spans="2:3" x14ac:dyDescent="0.3">
      <c r="B47" t="s">
        <v>273</v>
      </c>
      <c r="C47">
        <f>C8-C39</f>
        <v>67</v>
      </c>
    </row>
    <row r="48" spans="2:3" x14ac:dyDescent="0.3">
      <c r="B48" s="46" t="s">
        <v>274</v>
      </c>
      <c r="C48" s="126">
        <f>C46/C47</f>
        <v>7420971.1350676315</v>
      </c>
    </row>
    <row r="50" spans="2:4" x14ac:dyDescent="0.3">
      <c r="C50" t="s">
        <v>276</v>
      </c>
    </row>
    <row r="53" spans="2:4" x14ac:dyDescent="0.3">
      <c r="D53" t="s">
        <v>277</v>
      </c>
    </row>
    <row r="54" spans="2:4" x14ac:dyDescent="0.3">
      <c r="B54" t="s">
        <v>275</v>
      </c>
    </row>
  </sheetData>
  <mergeCells count="6">
    <mergeCell ref="B29:C29"/>
    <mergeCell ref="B1:C1"/>
    <mergeCell ref="B5:C5"/>
    <mergeCell ref="B6:C6"/>
    <mergeCell ref="B10:C10"/>
    <mergeCell ref="B20:C20"/>
  </mergeCells>
  <pageMargins left="0.70866141732283472" right="0.70866141732283472" top="0.74803149606299213" bottom="0.74803149606299213" header="0.31496062992125984" footer="0.31496062992125984"/>
  <pageSetup scale="57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585A0-941A-4269-85FA-BADB7551EF36}">
  <dimension ref="A2:O43"/>
  <sheetViews>
    <sheetView topLeftCell="A4" zoomScale="75" zoomScaleNormal="180" workbookViewId="0">
      <selection activeCell="B44" sqref="B44"/>
    </sheetView>
  </sheetViews>
  <sheetFormatPr baseColWidth="10" defaultRowHeight="14.4" x14ac:dyDescent="0.3"/>
  <cols>
    <col min="2" max="2" width="20.88671875" customWidth="1"/>
    <col min="3" max="3" width="14.88671875" customWidth="1"/>
    <col min="4" max="4" width="13.33203125" hidden="1" customWidth="1"/>
    <col min="5" max="5" width="0" hidden="1" customWidth="1"/>
    <col min="6" max="6" width="5.33203125" customWidth="1"/>
    <col min="7" max="7" width="21.5546875" customWidth="1"/>
    <col min="8" max="8" width="15.44140625" customWidth="1"/>
    <col min="9" max="10" width="0" hidden="1" customWidth="1"/>
    <col min="11" max="11" width="6.44140625" customWidth="1"/>
    <col min="12" max="12" width="23.21875" customWidth="1"/>
    <col min="13" max="13" width="15.21875" customWidth="1"/>
    <col min="14" max="14" width="13.5546875" bestFit="1" customWidth="1"/>
  </cols>
  <sheetData>
    <row r="2" spans="2:15" x14ac:dyDescent="0.3">
      <c r="B2" s="150" t="s">
        <v>278</v>
      </c>
      <c r="C2" s="150"/>
      <c r="D2" s="150"/>
      <c r="E2" s="150"/>
      <c r="F2" s="150"/>
      <c r="G2" s="150"/>
      <c r="H2" s="150"/>
      <c r="I2" s="150"/>
    </row>
    <row r="3" spans="2:15" x14ac:dyDescent="0.3">
      <c r="B3" s="16"/>
      <c r="C3" s="16"/>
      <c r="D3" s="16"/>
      <c r="E3" s="16"/>
      <c r="F3" s="16"/>
      <c r="G3" s="16"/>
      <c r="H3" s="16"/>
      <c r="I3" s="16"/>
    </row>
    <row r="4" spans="2:15" ht="15" thickBot="1" x14ac:dyDescent="0.35">
      <c r="B4" s="150" t="s">
        <v>6</v>
      </c>
      <c r="C4" s="150"/>
      <c r="G4" s="150" t="s">
        <v>6</v>
      </c>
      <c r="H4" s="150"/>
      <c r="L4" s="150" t="s">
        <v>6</v>
      </c>
      <c r="M4" s="150"/>
    </row>
    <row r="5" spans="2:15" x14ac:dyDescent="0.3">
      <c r="B5" s="17" t="s">
        <v>0</v>
      </c>
      <c r="C5" s="128">
        <v>100</v>
      </c>
      <c r="G5" s="17" t="s">
        <v>0</v>
      </c>
      <c r="H5" s="128">
        <v>100</v>
      </c>
      <c r="L5" s="17" t="s">
        <v>0</v>
      </c>
      <c r="M5" s="128">
        <v>100</v>
      </c>
    </row>
    <row r="6" spans="2:15" x14ac:dyDescent="0.3">
      <c r="B6" s="5" t="s">
        <v>1</v>
      </c>
      <c r="C6" s="6">
        <v>91</v>
      </c>
      <c r="G6" s="5" t="s">
        <v>1</v>
      </c>
      <c r="H6" s="6">
        <v>182</v>
      </c>
      <c r="L6" s="5" t="s">
        <v>1</v>
      </c>
      <c r="M6" s="6">
        <v>364</v>
      </c>
    </row>
    <row r="7" spans="2:15" ht="15" thickBot="1" x14ac:dyDescent="0.35">
      <c r="B7" s="7" t="s">
        <v>279</v>
      </c>
      <c r="C7" s="102">
        <v>0.105</v>
      </c>
      <c r="G7" s="7" t="s">
        <v>279</v>
      </c>
      <c r="H7" s="102">
        <v>0.105</v>
      </c>
      <c r="L7" s="7" t="s">
        <v>279</v>
      </c>
      <c r="M7" s="102">
        <v>0.105</v>
      </c>
    </row>
    <row r="9" spans="2:15" x14ac:dyDescent="0.3">
      <c r="B9" t="s">
        <v>280</v>
      </c>
      <c r="C9" s="45">
        <f>C6/360</f>
        <v>0.25277777777777777</v>
      </c>
      <c r="G9" t="s">
        <v>280</v>
      </c>
      <c r="H9" s="45">
        <f>H6/360</f>
        <v>0.50555555555555554</v>
      </c>
      <c r="L9" t="s">
        <v>280</v>
      </c>
      <c r="M9" s="45">
        <f>M6/360</f>
        <v>1.0111111111111111</v>
      </c>
    </row>
    <row r="10" spans="2:15" x14ac:dyDescent="0.3">
      <c r="B10" t="s">
        <v>29</v>
      </c>
      <c r="C10" s="11">
        <f>C9/(1+(C7*(C6/360)))</f>
        <v>0.24624210198752552</v>
      </c>
      <c r="G10" t="s">
        <v>29</v>
      </c>
      <c r="H10" s="11">
        <f>H9/(1+(H7*(H6/360)))</f>
        <v>0.48007174698636274</v>
      </c>
      <c r="L10" t="s">
        <v>29</v>
      </c>
      <c r="M10" s="11">
        <f>M9/(1+(M7*(M6/360)))</f>
        <v>0.91406760082366523</v>
      </c>
    </row>
    <row r="11" spans="2:15" hidden="1" x14ac:dyDescent="0.3">
      <c r="B11" t="s">
        <v>3</v>
      </c>
      <c r="C11" s="11">
        <f>2/(1+(C7*(C6/360)))^2</f>
        <v>1.8979153227252861</v>
      </c>
      <c r="G11" t="s">
        <v>3</v>
      </c>
      <c r="H11" s="11">
        <f>2/(1+(H7*(H6/360)))^2</f>
        <v>1.8034517051194399</v>
      </c>
      <c r="L11" t="s">
        <v>3</v>
      </c>
      <c r="M11" s="11">
        <f>2/(1+(M7*(M6/360)))^2</f>
        <v>1.634514814368266</v>
      </c>
    </row>
    <row r="12" spans="2:15" hidden="1" x14ac:dyDescent="0.3">
      <c r="B12" t="s">
        <v>30</v>
      </c>
      <c r="C12" s="12">
        <f>(C11/((360/C6)^2))*1/2*1%</f>
        <v>6.063517279123493E-4</v>
      </c>
      <c r="G12" t="s">
        <v>30</v>
      </c>
      <c r="H12" s="12">
        <f>(H11/((360/H6)^2))*1/2*1%</f>
        <v>2.304688822545383E-3</v>
      </c>
      <c r="L12" t="s">
        <v>30</v>
      </c>
      <c r="M12" s="12">
        <f>(M11/((360/M6)^2))*1/2*1%</f>
        <v>8.3551957887553156E-3</v>
      </c>
    </row>
    <row r="13" spans="2:15" hidden="1" x14ac:dyDescent="0.3"/>
    <row r="14" spans="2:15" hidden="1" x14ac:dyDescent="0.3">
      <c r="C14" t="s">
        <v>282</v>
      </c>
      <c r="D14" t="s">
        <v>285</v>
      </c>
      <c r="E14" t="s">
        <v>286</v>
      </c>
      <c r="H14" t="s">
        <v>282</v>
      </c>
      <c r="I14" t="s">
        <v>285</v>
      </c>
      <c r="J14" t="s">
        <v>286</v>
      </c>
      <c r="M14" t="s">
        <v>282</v>
      </c>
      <c r="N14" t="s">
        <v>285</v>
      </c>
      <c r="O14" t="s">
        <v>286</v>
      </c>
    </row>
    <row r="15" spans="2:15" hidden="1" x14ac:dyDescent="0.3">
      <c r="B15" t="s">
        <v>283</v>
      </c>
      <c r="C15" s="10">
        <f>C5/(1+((C7-1%)*(C6/360)))</f>
        <v>97.654925470303425</v>
      </c>
      <c r="D15" s="10">
        <f>C16*(1+(C10/100))</f>
        <v>97.654333337975416</v>
      </c>
      <c r="E15">
        <f>C16*(1+((C10+C12)/100))</f>
        <v>97.654924012224299</v>
      </c>
      <c r="G15" t="s">
        <v>283</v>
      </c>
      <c r="H15" s="10">
        <f>H5/(1+((H7-1%)*(H6/360)))</f>
        <v>95.41731824326115</v>
      </c>
      <c r="I15" s="10">
        <f>H16*(1+(H10/100))</f>
        <v>95.415119170992824</v>
      </c>
      <c r="J15">
        <f>H16*(1+((H10+H12)/100))</f>
        <v>95.417307686136496</v>
      </c>
      <c r="L15" t="s">
        <v>283</v>
      </c>
      <c r="M15" s="10">
        <f>M5/(1+((M7-1%)*(M6/360)))</f>
        <v>91.236251203811648</v>
      </c>
      <c r="N15" s="10">
        <f>M16*(1+(M10/100))</f>
        <v>91.228628236393249</v>
      </c>
      <c r="O15">
        <f>M16*(1+((M10+M12)/100))</f>
        <v>91.236181524736239</v>
      </c>
    </row>
    <row r="16" spans="2:15" hidden="1" x14ac:dyDescent="0.3">
      <c r="B16" s="96" t="s">
        <v>281</v>
      </c>
      <c r="C16" s="115">
        <f>C5/(1+(C7*(C6/360)))</f>
        <v>97.414457929130975</v>
      </c>
      <c r="D16" s="10"/>
      <c r="G16" s="96" t="s">
        <v>281</v>
      </c>
      <c r="H16" s="115">
        <f>H5/(1+(H7*(H6/360)))</f>
        <v>94.959246656643188</v>
      </c>
      <c r="I16" s="10"/>
      <c r="L16" s="96" t="s">
        <v>281</v>
      </c>
      <c r="M16" s="115">
        <f>M5/(1+(M7*(M6/360)))</f>
        <v>90.402290191351511</v>
      </c>
      <c r="N16" s="10"/>
    </row>
    <row r="17" spans="2:15" hidden="1" x14ac:dyDescent="0.3">
      <c r="B17" t="s">
        <v>284</v>
      </c>
      <c r="C17" s="129">
        <f>C5/(1+((C7+1%)*(C6/360)))</f>
        <v>97.175171743619515</v>
      </c>
      <c r="D17" s="10">
        <f>C16*(1-(C10/100))</f>
        <v>97.174582520286535</v>
      </c>
      <c r="E17" s="12">
        <f>C16*(1+((-C10+C12)/100))</f>
        <v>97.175173194535418</v>
      </c>
      <c r="G17" t="s">
        <v>284</v>
      </c>
      <c r="H17" s="129">
        <f>H5/(1+((H7+1%)*(H6/360)))</f>
        <v>94.505552201191819</v>
      </c>
      <c r="I17" s="10">
        <f>H16*(1-(H10/100))</f>
        <v>94.503374142293552</v>
      </c>
      <c r="J17" s="12">
        <f>H16*(1+((-H10+H12)/100))</f>
        <v>94.505562657437224</v>
      </c>
      <c r="L17" t="s">
        <v>284</v>
      </c>
      <c r="M17" s="129">
        <f>M5/(1+((M7+1%)*(M6/360)))</f>
        <v>89.583437017866927</v>
      </c>
      <c r="N17" s="10">
        <f>M16*(1-(M10/100))</f>
        <v>89.575952146309774</v>
      </c>
      <c r="O17" s="12">
        <f>M16*(1+((-M10+M12)/100))</f>
        <v>89.583505434652778</v>
      </c>
    </row>
    <row r="19" spans="2:15" ht="15" thickBot="1" x14ac:dyDescent="0.35">
      <c r="B19" s="160" t="s">
        <v>287</v>
      </c>
      <c r="C19" s="160"/>
      <c r="G19" s="160" t="s">
        <v>287</v>
      </c>
      <c r="H19" s="160"/>
      <c r="L19" s="160" t="s">
        <v>287</v>
      </c>
      <c r="M19" s="160"/>
    </row>
    <row r="20" spans="2:15" x14ac:dyDescent="0.3">
      <c r="B20" t="s">
        <v>288</v>
      </c>
      <c r="C20" s="12">
        <f>C16</f>
        <v>97.414457929130975</v>
      </c>
      <c r="G20" t="s">
        <v>288</v>
      </c>
      <c r="H20" s="12">
        <f>H16</f>
        <v>94.959246656643188</v>
      </c>
      <c r="L20" t="s">
        <v>288</v>
      </c>
      <c r="M20" s="12">
        <f>M16</f>
        <v>90.402290191351511</v>
      </c>
    </row>
    <row r="21" spans="2:15" x14ac:dyDescent="0.3">
      <c r="B21" s="46" t="s">
        <v>289</v>
      </c>
      <c r="C21" s="46">
        <v>7</v>
      </c>
      <c r="G21" t="s">
        <v>289</v>
      </c>
      <c r="H21">
        <f>C21</f>
        <v>7</v>
      </c>
      <c r="L21" t="s">
        <v>289</v>
      </c>
      <c r="M21">
        <f>H21</f>
        <v>7</v>
      </c>
    </row>
    <row r="22" spans="2:15" x14ac:dyDescent="0.3">
      <c r="B22" t="s">
        <v>0</v>
      </c>
      <c r="C22" s="130">
        <f>C5</f>
        <v>100</v>
      </c>
      <c r="G22" t="s">
        <v>0</v>
      </c>
      <c r="H22" s="130">
        <f>H5</f>
        <v>100</v>
      </c>
      <c r="L22" t="s">
        <v>0</v>
      </c>
      <c r="M22" s="130">
        <f>M5</f>
        <v>100</v>
      </c>
    </row>
    <row r="23" spans="2:15" x14ac:dyDescent="0.3">
      <c r="B23" t="s">
        <v>1</v>
      </c>
      <c r="C23">
        <f>C6-C21</f>
        <v>84</v>
      </c>
      <c r="G23" t="s">
        <v>1</v>
      </c>
      <c r="H23">
        <f>H6-H21</f>
        <v>175</v>
      </c>
      <c r="L23" t="s">
        <v>1</v>
      </c>
      <c r="M23">
        <f>M6-M21</f>
        <v>357</v>
      </c>
    </row>
    <row r="24" spans="2:15" x14ac:dyDescent="0.3">
      <c r="B24" s="46" t="s">
        <v>4</v>
      </c>
      <c r="C24" s="119">
        <v>0.1</v>
      </c>
      <c r="G24" t="s">
        <v>4</v>
      </c>
      <c r="H24" s="3">
        <f>C24</f>
        <v>0.1</v>
      </c>
      <c r="L24" t="s">
        <v>4</v>
      </c>
      <c r="M24" s="3">
        <f>H24</f>
        <v>0.1</v>
      </c>
    </row>
    <row r="25" spans="2:15" x14ac:dyDescent="0.3">
      <c r="B25" t="s">
        <v>290</v>
      </c>
      <c r="C25" s="10">
        <f>C22/(1+(C24*(C23/360)))</f>
        <v>97.719869706840385</v>
      </c>
      <c r="G25" t="s">
        <v>290</v>
      </c>
      <c r="H25" s="10">
        <f>H22/(1+(H24*(H23/360)))</f>
        <v>95.364238410596016</v>
      </c>
      <c r="L25" t="s">
        <v>290</v>
      </c>
      <c r="M25" s="10">
        <f>M22/(1+(M24*(M23/360)))</f>
        <v>90.978013646702053</v>
      </c>
    </row>
    <row r="26" spans="2:15" x14ac:dyDescent="0.3">
      <c r="B26" s="124" t="s">
        <v>291</v>
      </c>
      <c r="C26" s="131">
        <f>(C25/C20-1)*(360/C21)</f>
        <v>0.16123778501628702</v>
      </c>
      <c r="G26" s="124" t="s">
        <v>291</v>
      </c>
      <c r="H26" s="131">
        <f>(H25/H20-1)*(360/H21)</f>
        <v>0.21933774834436245</v>
      </c>
      <c r="L26" s="124" t="s">
        <v>291</v>
      </c>
      <c r="M26" s="131">
        <f>(M25/M20-1)*(360/M21)</f>
        <v>0.32752084912813118</v>
      </c>
    </row>
    <row r="28" spans="2:15" ht="15" thickBot="1" x14ac:dyDescent="0.35">
      <c r="B28" s="160" t="s">
        <v>292</v>
      </c>
      <c r="C28" s="160"/>
      <c r="G28" s="160" t="s">
        <v>292</v>
      </c>
      <c r="H28" s="160"/>
      <c r="L28" s="160" t="s">
        <v>292</v>
      </c>
      <c r="M28" s="160"/>
    </row>
    <row r="29" spans="2:15" x14ac:dyDescent="0.3">
      <c r="B29" t="s">
        <v>288</v>
      </c>
      <c r="C29" s="12">
        <f>C16</f>
        <v>97.414457929130975</v>
      </c>
      <c r="G29" t="s">
        <v>288</v>
      </c>
      <c r="H29" s="12">
        <f>H16</f>
        <v>94.959246656643188</v>
      </c>
      <c r="L29" t="s">
        <v>288</v>
      </c>
      <c r="M29" s="12">
        <f>M16</f>
        <v>90.402290191351511</v>
      </c>
    </row>
    <row r="30" spans="2:15" x14ac:dyDescent="0.3">
      <c r="B30" t="s">
        <v>289</v>
      </c>
      <c r="C30">
        <f>C21</f>
        <v>7</v>
      </c>
      <c r="G30" t="s">
        <v>289</v>
      </c>
      <c r="H30">
        <f>H21</f>
        <v>7</v>
      </c>
      <c r="L30" t="s">
        <v>289</v>
      </c>
      <c r="M30">
        <f>M21</f>
        <v>7</v>
      </c>
    </row>
    <row r="31" spans="2:15" x14ac:dyDescent="0.3">
      <c r="B31" t="s">
        <v>0</v>
      </c>
      <c r="C31" s="130">
        <f>C5</f>
        <v>100</v>
      </c>
      <c r="G31" t="s">
        <v>0</v>
      </c>
      <c r="H31" s="130">
        <f>H5</f>
        <v>100</v>
      </c>
      <c r="L31" t="s">
        <v>0</v>
      </c>
      <c r="M31" s="130">
        <f>M5</f>
        <v>100</v>
      </c>
    </row>
    <row r="32" spans="2:15" x14ac:dyDescent="0.3">
      <c r="B32" t="s">
        <v>1</v>
      </c>
      <c r="C32">
        <f>C6-C30</f>
        <v>84</v>
      </c>
      <c r="G32" t="s">
        <v>1</v>
      </c>
      <c r="H32">
        <f>H6-H30</f>
        <v>175</v>
      </c>
      <c r="L32" t="s">
        <v>1</v>
      </c>
      <c r="M32">
        <f>M6-M30</f>
        <v>357</v>
      </c>
    </row>
    <row r="33" spans="1:13" x14ac:dyDescent="0.3">
      <c r="B33" s="46" t="s">
        <v>4</v>
      </c>
      <c r="C33" s="119">
        <v>0.11</v>
      </c>
      <c r="G33" t="s">
        <v>4</v>
      </c>
      <c r="H33" s="3">
        <f>C33</f>
        <v>0.11</v>
      </c>
      <c r="L33" t="s">
        <v>4</v>
      </c>
      <c r="M33" s="3">
        <f>H33</f>
        <v>0.11</v>
      </c>
    </row>
    <row r="34" spans="1:13" x14ac:dyDescent="0.3">
      <c r="B34" t="s">
        <v>290</v>
      </c>
      <c r="C34" s="10">
        <f>C31/(1+(C33*(C32/360)))</f>
        <v>97.497562560935975</v>
      </c>
      <c r="G34" t="s">
        <v>290</v>
      </c>
      <c r="H34" s="132">
        <f>H31/(1+(H33*(H32/360)))</f>
        <v>94.924192485168106</v>
      </c>
      <c r="L34" t="s">
        <v>290</v>
      </c>
      <c r="M34" s="132">
        <f>M31/(1+(M33*(M32/360)))</f>
        <v>90.164550304305351</v>
      </c>
    </row>
    <row r="35" spans="1:13" x14ac:dyDescent="0.3">
      <c r="B35" s="124" t="s">
        <v>291</v>
      </c>
      <c r="C35" s="131">
        <f>(C34/C29-1)*(360/C30)</f>
        <v>4.3873903152422046E-2</v>
      </c>
      <c r="G35" s="124" t="s">
        <v>291</v>
      </c>
      <c r="H35" s="131">
        <f>(H34/H29-1)*(360/H30)</f>
        <v>-1.8984838497025768E-2</v>
      </c>
      <c r="L35" s="124" t="s">
        <v>291</v>
      </c>
      <c r="M35" s="131">
        <f>(M34/M29-1)*(360/M30)</f>
        <v>-0.13524682545646158</v>
      </c>
    </row>
    <row r="38" spans="1:13" x14ac:dyDescent="0.3">
      <c r="A38">
        <v>1</v>
      </c>
      <c r="B38" t="s">
        <v>293</v>
      </c>
    </row>
    <row r="39" spans="1:13" x14ac:dyDescent="0.3">
      <c r="A39">
        <v>2</v>
      </c>
      <c r="B39" t="s">
        <v>294</v>
      </c>
    </row>
    <row r="40" spans="1:13" x14ac:dyDescent="0.3">
      <c r="A40">
        <v>3</v>
      </c>
      <c r="B40" t="s">
        <v>295</v>
      </c>
      <c r="F40" t="s">
        <v>296</v>
      </c>
    </row>
    <row r="41" spans="1:13" x14ac:dyDescent="0.3">
      <c r="A41">
        <v>4</v>
      </c>
      <c r="B41" t="s">
        <v>297</v>
      </c>
    </row>
    <row r="42" spans="1:13" x14ac:dyDescent="0.3">
      <c r="A42">
        <v>5</v>
      </c>
      <c r="B42" t="s">
        <v>298</v>
      </c>
    </row>
    <row r="43" spans="1:13" x14ac:dyDescent="0.3">
      <c r="A43">
        <v>6</v>
      </c>
      <c r="B43" t="s">
        <v>299</v>
      </c>
    </row>
  </sheetData>
  <mergeCells count="10">
    <mergeCell ref="L4:M4"/>
    <mergeCell ref="L19:M19"/>
    <mergeCell ref="L28:M28"/>
    <mergeCell ref="B2:I2"/>
    <mergeCell ref="B4:C4"/>
    <mergeCell ref="B19:C19"/>
    <mergeCell ref="B28:C28"/>
    <mergeCell ref="G4:H4"/>
    <mergeCell ref="G19:H19"/>
    <mergeCell ref="G28:H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EDA70-AA3A-44F7-BFD8-926E160F201B}">
  <dimension ref="B1:I46"/>
  <sheetViews>
    <sheetView topLeftCell="A36" zoomScale="150" zoomScaleNormal="150" workbookViewId="0">
      <selection activeCell="C46" sqref="C46"/>
    </sheetView>
  </sheetViews>
  <sheetFormatPr baseColWidth="10" defaultRowHeight="14.4" x14ac:dyDescent="0.3"/>
  <cols>
    <col min="2" max="2" width="37.44140625" customWidth="1"/>
    <col min="3" max="3" width="17.88671875" customWidth="1"/>
    <col min="4" max="4" width="13.5546875" customWidth="1"/>
    <col min="6" max="6" width="15.44140625" bestFit="1" customWidth="1"/>
    <col min="7" max="7" width="11.88671875" bestFit="1" customWidth="1"/>
  </cols>
  <sheetData>
    <row r="1" spans="2:9" x14ac:dyDescent="0.3">
      <c r="B1" s="150" t="s">
        <v>300</v>
      </c>
      <c r="C1" s="150"/>
      <c r="D1" s="150"/>
      <c r="E1" s="150"/>
      <c r="F1" s="150"/>
      <c r="G1" s="150"/>
      <c r="H1" s="150"/>
      <c r="I1" s="150"/>
    </row>
    <row r="3" spans="2:9" ht="15" thickBot="1" x14ac:dyDescent="0.35">
      <c r="B3" s="150" t="s">
        <v>6</v>
      </c>
      <c r="C3" s="150"/>
    </row>
    <row r="4" spans="2:9" x14ac:dyDescent="0.3">
      <c r="B4" s="17" t="s">
        <v>0</v>
      </c>
      <c r="C4" s="19">
        <v>100</v>
      </c>
    </row>
    <row r="5" spans="2:9" x14ac:dyDescent="0.3">
      <c r="B5" s="5" t="s">
        <v>1</v>
      </c>
      <c r="C5" s="6">
        <v>720</v>
      </c>
    </row>
    <row r="6" spans="2:9" x14ac:dyDescent="0.3">
      <c r="B6" s="5" t="s">
        <v>17</v>
      </c>
      <c r="C6" s="6">
        <v>180</v>
      </c>
    </row>
    <row r="7" spans="2:9" x14ac:dyDescent="0.3">
      <c r="B7" s="5" t="s">
        <v>301</v>
      </c>
      <c r="C7" s="24">
        <v>0.108</v>
      </c>
    </row>
    <row r="8" spans="2:9" ht="15" thickBot="1" x14ac:dyDescent="0.35">
      <c r="B8" s="135" t="s">
        <v>302</v>
      </c>
      <c r="C8" s="85">
        <v>0.1085</v>
      </c>
    </row>
    <row r="10" spans="2:9" x14ac:dyDescent="0.3">
      <c r="B10" t="s">
        <v>303</v>
      </c>
      <c r="C10" s="2">
        <f>C5/C6</f>
        <v>4</v>
      </c>
    </row>
    <row r="11" spans="2:9" x14ac:dyDescent="0.3">
      <c r="B11" t="s">
        <v>25</v>
      </c>
      <c r="C11" s="12">
        <f>C4*C7*(C6/360)</f>
        <v>5.4</v>
      </c>
    </row>
    <row r="13" spans="2:9" x14ac:dyDescent="0.3">
      <c r="B13" s="16" t="s">
        <v>304</v>
      </c>
      <c r="C13" s="16" t="s">
        <v>26</v>
      </c>
      <c r="D13" s="16" t="s">
        <v>53</v>
      </c>
      <c r="E13" s="16" t="s">
        <v>27</v>
      </c>
      <c r="F13" s="16" t="s">
        <v>316</v>
      </c>
      <c r="H13" s="16" t="s">
        <v>3</v>
      </c>
    </row>
    <row r="14" spans="2:9" x14ac:dyDescent="0.3">
      <c r="B14" s="1">
        <v>1</v>
      </c>
      <c r="C14" s="12">
        <f>C11</f>
        <v>5.4</v>
      </c>
      <c r="D14" s="12">
        <f>C14/(1+($C$8*($C$6/360)))^B14</f>
        <v>5.1221247332226705</v>
      </c>
      <c r="E14" s="15">
        <f>D14/$D$18</f>
        <v>5.126624912172157E-2</v>
      </c>
      <c r="F14" s="2">
        <f>($C$6*B14)/360</f>
        <v>0.5</v>
      </c>
      <c r="H14" s="129">
        <f>(B14*(B14+1))*E14</f>
        <v>0.10253249824344314</v>
      </c>
    </row>
    <row r="15" spans="2:9" x14ac:dyDescent="0.3">
      <c r="B15" s="1">
        <f>B14+1</f>
        <v>2</v>
      </c>
      <c r="C15" s="12">
        <f>C14</f>
        <v>5.4</v>
      </c>
      <c r="D15" s="12">
        <f t="shared" ref="D15:D17" si="0">C15/(1+($C$8*($C$6/360)))^B15</f>
        <v>4.8585484782761883</v>
      </c>
      <c r="E15" s="15">
        <f t="shared" ref="E15:E17" si="1">D15/$D$18</f>
        <v>4.8628170852949092E-2</v>
      </c>
      <c r="F15" s="2">
        <f>($C$6*B15)/360</f>
        <v>1</v>
      </c>
      <c r="H15" s="129">
        <f t="shared" ref="H15:H17" si="2">(B15*(B15+1))*E15</f>
        <v>0.29176902511769454</v>
      </c>
    </row>
    <row r="16" spans="2:9" x14ac:dyDescent="0.3">
      <c r="B16" s="1">
        <f t="shared" ref="B16:B17" si="3">B15+1</f>
        <v>3</v>
      </c>
      <c r="C16" s="12">
        <f t="shared" ref="C16" si="4">C15</f>
        <v>5.4</v>
      </c>
      <c r="D16" s="12">
        <f t="shared" si="0"/>
        <v>4.6085354311370059</v>
      </c>
      <c r="E16" s="15">
        <f t="shared" si="1"/>
        <v>4.6125843825420051E-2</v>
      </c>
      <c r="F16" s="2">
        <f>($C$6*B16)/360</f>
        <v>1.5</v>
      </c>
      <c r="H16" s="129">
        <f t="shared" si="2"/>
        <v>0.55351012590504056</v>
      </c>
    </row>
    <row r="17" spans="2:9" x14ac:dyDescent="0.3">
      <c r="B17" s="1">
        <f t="shared" si="3"/>
        <v>4</v>
      </c>
      <c r="C17" s="12">
        <f>C16+C4</f>
        <v>105.4</v>
      </c>
      <c r="D17" s="12">
        <f t="shared" si="0"/>
        <v>85.32301081896739</v>
      </c>
      <c r="E17" s="15">
        <f t="shared" si="1"/>
        <v>0.8539797361999093</v>
      </c>
      <c r="F17" s="2">
        <f>($C$6*B17)/360</f>
        <v>2</v>
      </c>
      <c r="H17" s="129">
        <f t="shared" si="2"/>
        <v>17.079594723998184</v>
      </c>
    </row>
    <row r="18" spans="2:9" ht="15" thickBot="1" x14ac:dyDescent="0.35">
      <c r="D18" s="133">
        <f>SUM(D14:D17)</f>
        <v>99.912219461603257</v>
      </c>
      <c r="E18" s="138">
        <f>SUM(E14:E17)</f>
        <v>1</v>
      </c>
      <c r="F18" s="50">
        <f>SUMPRODUCT(E14:E17,F14:F17)</f>
        <v>1.8514095335517586</v>
      </c>
      <c r="G18" s="18" t="s">
        <v>280</v>
      </c>
      <c r="H18" s="139">
        <f>SUM(H14:H17)/(1+(C8*(C6/360)))^2</f>
        <v>16.219819963350005</v>
      </c>
      <c r="I18" s="18" t="s">
        <v>3</v>
      </c>
    </row>
    <row r="19" spans="2:9" x14ac:dyDescent="0.3">
      <c r="B19" t="s">
        <v>305</v>
      </c>
      <c r="C19" s="134">
        <f>PV((C8*(C6/360)),C10,C11,C4)</f>
        <v>-99.912219461603229</v>
      </c>
      <c r="F19" s="51">
        <f>F18/(1+(C8*(C6/360)))</f>
        <v>1.7561389931721687</v>
      </c>
      <c r="G19" s="18" t="s">
        <v>317</v>
      </c>
    </row>
    <row r="21" spans="2:9" x14ac:dyDescent="0.3">
      <c r="B21" s="161" t="s">
        <v>318</v>
      </c>
      <c r="C21" s="161"/>
    </row>
    <row r="22" spans="2:9" x14ac:dyDescent="0.3">
      <c r="B22" s="143" t="s">
        <v>289</v>
      </c>
      <c r="C22" s="142">
        <v>35</v>
      </c>
    </row>
    <row r="24" spans="2:9" ht="15" thickBot="1" x14ac:dyDescent="0.35">
      <c r="B24" s="150" t="s">
        <v>6</v>
      </c>
      <c r="C24" s="150"/>
    </row>
    <row r="25" spans="2:9" x14ac:dyDescent="0.3">
      <c r="B25" s="17" t="s">
        <v>0</v>
      </c>
      <c r="C25" s="19">
        <f>C4</f>
        <v>100</v>
      </c>
    </row>
    <row r="26" spans="2:9" x14ac:dyDescent="0.3">
      <c r="B26" s="5" t="s">
        <v>1</v>
      </c>
      <c r="C26" s="6">
        <f>C5-C22</f>
        <v>685</v>
      </c>
    </row>
    <row r="27" spans="2:9" x14ac:dyDescent="0.3">
      <c r="B27" s="5" t="s">
        <v>17</v>
      </c>
      <c r="C27" s="6">
        <f>C6</f>
        <v>180</v>
      </c>
    </row>
    <row r="28" spans="2:9" x14ac:dyDescent="0.3">
      <c r="B28" s="5" t="s">
        <v>301</v>
      </c>
      <c r="C28" s="24">
        <f>C7</f>
        <v>0.108</v>
      </c>
    </row>
    <row r="29" spans="2:9" ht="15" thickBot="1" x14ac:dyDescent="0.35">
      <c r="B29" s="135" t="s">
        <v>302</v>
      </c>
      <c r="C29" s="85">
        <v>0.10349999999999999</v>
      </c>
    </row>
    <row r="31" spans="2:9" x14ac:dyDescent="0.3">
      <c r="B31" t="s">
        <v>306</v>
      </c>
      <c r="C31" s="2">
        <f>ROUNDDOWN((C26/C27),0)</f>
        <v>3</v>
      </c>
    </row>
    <row r="32" spans="2:9" x14ac:dyDescent="0.3">
      <c r="B32" t="s">
        <v>25</v>
      </c>
      <c r="C32" s="12">
        <f>C25*C28*(C27/360)</f>
        <v>5.4</v>
      </c>
      <c r="F32" t="s">
        <v>319</v>
      </c>
      <c r="G32" s="10">
        <v>105.30154705352278</v>
      </c>
    </row>
    <row r="33" spans="2:7" x14ac:dyDescent="0.3">
      <c r="B33" t="s">
        <v>307</v>
      </c>
      <c r="C33" s="14">
        <f>((C31+1)*C27)-C26</f>
        <v>35</v>
      </c>
      <c r="F33" t="s">
        <v>320</v>
      </c>
      <c r="G33" s="10">
        <v>99.932457367395216</v>
      </c>
    </row>
    <row r="34" spans="2:7" x14ac:dyDescent="0.3">
      <c r="B34" t="s">
        <v>308</v>
      </c>
      <c r="C34" s="14">
        <f>C27-C33</f>
        <v>145</v>
      </c>
      <c r="F34" t="s">
        <v>321</v>
      </c>
      <c r="G34" s="12">
        <f>C32</f>
        <v>5.4</v>
      </c>
    </row>
    <row r="35" spans="2:7" x14ac:dyDescent="0.3">
      <c r="F35" t="s">
        <v>233</v>
      </c>
      <c r="G35" s="15">
        <f>(((G33+G34)/G32)-1)*360</f>
        <v>0.10567473418433337</v>
      </c>
    </row>
    <row r="36" spans="2:7" x14ac:dyDescent="0.3">
      <c r="B36" t="s">
        <v>309</v>
      </c>
      <c r="C36" s="129">
        <f>ABS(PV((C29*(C27/360)),C31,C32,C25))</f>
        <v>100.61072709591568</v>
      </c>
    </row>
    <row r="37" spans="2:7" x14ac:dyDescent="0.3">
      <c r="B37" t="s">
        <v>310</v>
      </c>
      <c r="C37" s="12">
        <f>IF(C34=0,0,C32)</f>
        <v>5.4</v>
      </c>
    </row>
    <row r="38" spans="2:7" x14ac:dyDescent="0.3">
      <c r="B38" t="s">
        <v>311</v>
      </c>
      <c r="C38" s="12">
        <f>C36+C37</f>
        <v>106.01072709591568</v>
      </c>
    </row>
    <row r="39" spans="2:7" ht="23.4" x14ac:dyDescent="0.45">
      <c r="B39" t="s">
        <v>312</v>
      </c>
      <c r="C39" s="140">
        <f>C38/(1+(C29*(C27/360)))^(C34/C27)</f>
        <v>101.78834671331714</v>
      </c>
      <c r="D39" s="141" t="s">
        <v>313</v>
      </c>
    </row>
    <row r="40" spans="2:7" x14ac:dyDescent="0.3">
      <c r="B40" t="s">
        <v>314</v>
      </c>
      <c r="C40" s="129">
        <f>IF(C34=0,0,(C25*C28*(C33/360)))</f>
        <v>1.05</v>
      </c>
    </row>
    <row r="41" spans="2:7" x14ac:dyDescent="0.3">
      <c r="C41" s="136">
        <f>C39-C40</f>
        <v>100.73834671331714</v>
      </c>
      <c r="D41" s="124" t="s">
        <v>315</v>
      </c>
    </row>
    <row r="44" spans="2:7" x14ac:dyDescent="0.3">
      <c r="B44" t="s">
        <v>288</v>
      </c>
      <c r="C44" s="12">
        <f>D18</f>
        <v>99.912219461603257</v>
      </c>
    </row>
    <row r="45" spans="2:7" x14ac:dyDescent="0.3">
      <c r="B45" t="s">
        <v>290</v>
      </c>
      <c r="C45" s="129">
        <f>C39</f>
        <v>101.78834671331714</v>
      </c>
    </row>
    <row r="46" spans="2:7" x14ac:dyDescent="0.3">
      <c r="B46" s="18" t="s">
        <v>322</v>
      </c>
      <c r="C46" s="144">
        <f>(C45/C44-1)*(360/C22)</f>
        <v>0.19314263038854132</v>
      </c>
    </row>
  </sheetData>
  <mergeCells count="4">
    <mergeCell ref="B1:I1"/>
    <mergeCell ref="B3:C3"/>
    <mergeCell ref="B24:C24"/>
    <mergeCell ref="B21:C2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1F531-FD01-4904-B432-D12E5BBF6F0E}">
  <dimension ref="B1:I82"/>
  <sheetViews>
    <sheetView topLeftCell="A11" zoomScale="150" zoomScaleNormal="150" workbookViewId="0">
      <selection activeCell="D54" sqref="D54"/>
    </sheetView>
  </sheetViews>
  <sheetFormatPr baseColWidth="10" defaultRowHeight="14.4" x14ac:dyDescent="0.3"/>
  <cols>
    <col min="2" max="2" width="37.44140625" customWidth="1"/>
    <col min="3" max="3" width="17.88671875" customWidth="1"/>
    <col min="4" max="4" width="13.5546875" customWidth="1"/>
    <col min="6" max="6" width="15.44140625" bestFit="1" customWidth="1"/>
    <col min="7" max="7" width="11.88671875" bestFit="1" customWidth="1"/>
  </cols>
  <sheetData>
    <row r="1" spans="2:9" x14ac:dyDescent="0.3">
      <c r="B1" s="150" t="s">
        <v>300</v>
      </c>
      <c r="C1" s="150"/>
      <c r="D1" s="150"/>
      <c r="E1" s="150"/>
      <c r="F1" s="150"/>
      <c r="G1" s="150"/>
      <c r="H1" s="150"/>
      <c r="I1" s="150"/>
    </row>
    <row r="3" spans="2:9" ht="15" thickBot="1" x14ac:dyDescent="0.35">
      <c r="B3" s="150" t="s">
        <v>6</v>
      </c>
      <c r="C3" s="150"/>
    </row>
    <row r="4" spans="2:9" x14ac:dyDescent="0.3">
      <c r="B4" s="17" t="s">
        <v>0</v>
      </c>
      <c r="C4" s="19">
        <v>100</v>
      </c>
    </row>
    <row r="5" spans="2:9" x14ac:dyDescent="0.3">
      <c r="B5" s="5" t="s">
        <v>1</v>
      </c>
      <c r="C5" s="6">
        <f>180*40</f>
        <v>7200</v>
      </c>
    </row>
    <row r="6" spans="2:9" x14ac:dyDescent="0.3">
      <c r="B6" s="5" t="s">
        <v>17</v>
      </c>
      <c r="C6" s="6">
        <v>180</v>
      </c>
    </row>
    <row r="7" spans="2:9" x14ac:dyDescent="0.3">
      <c r="B7" s="5" t="s">
        <v>301</v>
      </c>
      <c r="C7" s="24">
        <v>0.108</v>
      </c>
    </row>
    <row r="8" spans="2:9" ht="15" thickBot="1" x14ac:dyDescent="0.35">
      <c r="B8" s="135" t="s">
        <v>302</v>
      </c>
      <c r="C8" s="85">
        <v>0.1085</v>
      </c>
    </row>
    <row r="10" spans="2:9" x14ac:dyDescent="0.3">
      <c r="B10" t="s">
        <v>303</v>
      </c>
      <c r="C10" s="2">
        <f>C5/C6</f>
        <v>40</v>
      </c>
    </row>
    <row r="11" spans="2:9" x14ac:dyDescent="0.3">
      <c r="B11" t="s">
        <v>25</v>
      </c>
      <c r="C11" s="12">
        <f>C4*C7*(C6/360)</f>
        <v>5.4</v>
      </c>
    </row>
    <row r="13" spans="2:9" x14ac:dyDescent="0.3">
      <c r="B13" s="16" t="s">
        <v>304</v>
      </c>
      <c r="C13" s="16" t="s">
        <v>26</v>
      </c>
      <c r="D13" s="16" t="s">
        <v>53</v>
      </c>
      <c r="E13" s="16" t="s">
        <v>27</v>
      </c>
      <c r="F13" s="16" t="s">
        <v>316</v>
      </c>
      <c r="H13" s="16" t="s">
        <v>3</v>
      </c>
    </row>
    <row r="14" spans="2:9" x14ac:dyDescent="0.3">
      <c r="B14" s="1">
        <v>1</v>
      </c>
      <c r="C14" s="12">
        <f>C11</f>
        <v>5.4</v>
      </c>
      <c r="D14" s="12">
        <f>C14/(1+($C$8*($C$6/360)))^B14</f>
        <v>5.1221247332226705</v>
      </c>
      <c r="E14" s="15">
        <f>D14/$D$54</f>
        <v>5.1429607753696226E-2</v>
      </c>
      <c r="F14" s="2">
        <f>($C$6*B14)/360</f>
        <v>0.5</v>
      </c>
      <c r="H14" s="129">
        <f>(B14*(B14+1))*E14</f>
        <v>0.10285921550739245</v>
      </c>
    </row>
    <row r="15" spans="2:9" x14ac:dyDescent="0.3">
      <c r="B15" s="1">
        <f>B14+1</f>
        <v>2</v>
      </c>
      <c r="C15" s="12">
        <f>C14</f>
        <v>5.4</v>
      </c>
      <c r="D15" s="12">
        <f t="shared" ref="D15:D53" si="0">C15/(1+($C$8*($C$6/360)))^B15</f>
        <v>4.8585484782761883</v>
      </c>
      <c r="E15" s="15">
        <f>D15/$D$54</f>
        <v>4.878312331391628E-2</v>
      </c>
      <c r="F15" s="2">
        <f>($C$6*B15)/360</f>
        <v>1</v>
      </c>
      <c r="H15" s="129">
        <f t="shared" ref="H15:H53" si="1">(B15*(B15+1))*E15</f>
        <v>0.2926987398834977</v>
      </c>
    </row>
    <row r="16" spans="2:9" x14ac:dyDescent="0.3">
      <c r="B16" s="1">
        <f t="shared" ref="B16:B52" si="2">B15+1</f>
        <v>3</v>
      </c>
      <c r="C16" s="12">
        <f t="shared" ref="C16:C52" si="3">C15</f>
        <v>5.4</v>
      </c>
      <c r="D16" s="12">
        <f t="shared" ref="D16:D52" si="4">C16/(1+($C$8*($C$6/360)))^B16</f>
        <v>4.6085354311370059</v>
      </c>
      <c r="E16" s="15">
        <f t="shared" ref="E16:E52" si="5">D16/$D$54</f>
        <v>4.6272822683344823E-2</v>
      </c>
      <c r="F16" s="2">
        <f t="shared" ref="F16:F52" si="6">($C$6*B16)/360</f>
        <v>1.5</v>
      </c>
      <c r="H16" s="129">
        <f t="shared" ref="H16:H52" si="7">(B16*(B16+1))*E16</f>
        <v>0.55527387220013791</v>
      </c>
    </row>
    <row r="17" spans="2:8" x14ac:dyDescent="0.3">
      <c r="B17" s="1">
        <f t="shared" si="2"/>
        <v>4</v>
      </c>
      <c r="C17" s="12">
        <f t="shared" si="3"/>
        <v>5.4</v>
      </c>
      <c r="D17" s="12">
        <f t="shared" si="4"/>
        <v>4.371387651066641</v>
      </c>
      <c r="E17" s="15">
        <f t="shared" si="5"/>
        <v>4.38916980634051E-2</v>
      </c>
      <c r="F17" s="2">
        <f t="shared" si="6"/>
        <v>2</v>
      </c>
      <c r="H17" s="129">
        <f t="shared" si="7"/>
        <v>0.87783396126810198</v>
      </c>
    </row>
    <row r="18" spans="2:8" x14ac:dyDescent="0.3">
      <c r="B18" s="1">
        <f t="shared" si="2"/>
        <v>5</v>
      </c>
      <c r="C18" s="12">
        <f t="shared" si="3"/>
        <v>5.4</v>
      </c>
      <c r="D18" s="12">
        <f t="shared" si="4"/>
        <v>4.1464431122282583</v>
      </c>
      <c r="E18" s="15">
        <f t="shared" si="5"/>
        <v>4.163310226550164E-2</v>
      </c>
      <c r="F18" s="2">
        <f t="shared" si="6"/>
        <v>2.5</v>
      </c>
      <c r="H18" s="129">
        <f t="shared" si="7"/>
        <v>1.2489930679650492</v>
      </c>
    </row>
    <row r="19" spans="2:8" x14ac:dyDescent="0.3">
      <c r="B19" s="1">
        <f t="shared" si="2"/>
        <v>6</v>
      </c>
      <c r="C19" s="12">
        <f t="shared" si="3"/>
        <v>5.4</v>
      </c>
      <c r="D19" s="12">
        <f t="shared" si="4"/>
        <v>3.933073855563916</v>
      </c>
      <c r="E19" s="15">
        <f t="shared" si="5"/>
        <v>3.9490730154613837E-2</v>
      </c>
      <c r="F19" s="2">
        <f t="shared" si="6"/>
        <v>3</v>
      </c>
      <c r="H19" s="129">
        <f t="shared" si="7"/>
        <v>1.6586106664937812</v>
      </c>
    </row>
    <row r="20" spans="2:8" x14ac:dyDescent="0.3">
      <c r="B20" s="1">
        <f t="shared" si="2"/>
        <v>7</v>
      </c>
      <c r="C20" s="12">
        <f t="shared" si="3"/>
        <v>5.4</v>
      </c>
      <c r="D20" s="12">
        <f t="shared" si="4"/>
        <v>3.7306842357732197</v>
      </c>
      <c r="E20" s="15">
        <f t="shared" si="5"/>
        <v>3.7458601047772204E-2</v>
      </c>
      <c r="F20" s="2">
        <f t="shared" si="6"/>
        <v>3.5</v>
      </c>
      <c r="H20" s="129">
        <f t="shared" si="7"/>
        <v>2.0976816586752434</v>
      </c>
    </row>
    <row r="21" spans="2:8" x14ac:dyDescent="0.3">
      <c r="B21" s="1">
        <f t="shared" si="2"/>
        <v>8</v>
      </c>
      <c r="C21" s="12">
        <f t="shared" si="3"/>
        <v>5.4</v>
      </c>
      <c r="D21" s="12">
        <f t="shared" si="4"/>
        <v>3.5387092584996154</v>
      </c>
      <c r="E21" s="15">
        <f t="shared" si="5"/>
        <v>3.5531042018280487E-2</v>
      </c>
      <c r="F21" s="2">
        <f t="shared" si="6"/>
        <v>4</v>
      </c>
      <c r="H21" s="129">
        <f t="shared" si="7"/>
        <v>2.5582350253161952</v>
      </c>
    </row>
    <row r="22" spans="2:8" x14ac:dyDescent="0.3">
      <c r="B22" s="1">
        <f t="shared" si="2"/>
        <v>9</v>
      </c>
      <c r="C22" s="12">
        <f t="shared" si="3"/>
        <v>5.4</v>
      </c>
      <c r="D22" s="12">
        <f t="shared" si="4"/>
        <v>3.356613003082396</v>
      </c>
      <c r="E22" s="15">
        <f t="shared" si="5"/>
        <v>3.3702672059075643E-2</v>
      </c>
      <c r="F22" s="2">
        <f t="shared" si="6"/>
        <v>4.5</v>
      </c>
      <c r="H22" s="129">
        <f t="shared" si="7"/>
        <v>3.0332404853168078</v>
      </c>
    </row>
    <row r="23" spans="2:8" x14ac:dyDescent="0.3">
      <c r="B23" s="1">
        <f t="shared" si="2"/>
        <v>10</v>
      </c>
      <c r="C23" s="12">
        <f t="shared" si="3"/>
        <v>5.4</v>
      </c>
      <c r="D23" s="12">
        <f t="shared" si="4"/>
        <v>3.1838871264713262</v>
      </c>
      <c r="E23" s="15">
        <f t="shared" si="5"/>
        <v>3.1968387061015541E-2</v>
      </c>
      <c r="F23" s="2">
        <f t="shared" si="6"/>
        <v>5</v>
      </c>
      <c r="H23" s="129">
        <f t="shared" si="7"/>
        <v>3.5165225767117096</v>
      </c>
    </row>
    <row r="24" spans="2:8" x14ac:dyDescent="0.3">
      <c r="B24" s="1">
        <f t="shared" si="2"/>
        <v>11</v>
      </c>
      <c r="C24" s="12">
        <f t="shared" si="3"/>
        <v>5.4</v>
      </c>
      <c r="D24" s="12">
        <f t="shared" si="4"/>
        <v>3.0200494441274151</v>
      </c>
      <c r="E24" s="15">
        <f t="shared" si="5"/>
        <v>3.032334556415988E-2</v>
      </c>
      <c r="F24" s="2">
        <f t="shared" si="6"/>
        <v>5.5</v>
      </c>
      <c r="H24" s="129">
        <f t="shared" si="7"/>
        <v>4.002681614469104</v>
      </c>
    </row>
    <row r="25" spans="2:8" x14ac:dyDescent="0.3">
      <c r="B25" s="1">
        <f t="shared" si="2"/>
        <v>12</v>
      </c>
      <c r="C25" s="12">
        <f t="shared" si="3"/>
        <v>5.4</v>
      </c>
      <c r="D25" s="12">
        <f t="shared" si="4"/>
        <v>2.8646425839482235</v>
      </c>
      <c r="E25" s="15">
        <f t="shared" si="5"/>
        <v>2.8762955242266897E-2</v>
      </c>
      <c r="F25" s="2">
        <f t="shared" si="6"/>
        <v>6</v>
      </c>
      <c r="H25" s="129">
        <f t="shared" si="7"/>
        <v>4.4870210177936363</v>
      </c>
    </row>
    <row r="26" spans="2:8" x14ac:dyDescent="0.3">
      <c r="B26" s="1">
        <f t="shared" si="2"/>
        <v>13</v>
      </c>
      <c r="C26" s="12">
        <f t="shared" si="3"/>
        <v>5.4</v>
      </c>
      <c r="D26" s="12">
        <f t="shared" si="4"/>
        <v>2.7172327094600179</v>
      </c>
      <c r="E26" s="15">
        <f t="shared" si="5"/>
        <v>2.7282860082776288E-2</v>
      </c>
      <c r="F26" s="2">
        <f t="shared" si="6"/>
        <v>6.5</v>
      </c>
      <c r="H26" s="129">
        <f t="shared" si="7"/>
        <v>4.9654805350652849</v>
      </c>
    </row>
    <row r="27" spans="2:8" x14ac:dyDescent="0.3">
      <c r="B27" s="1">
        <f t="shared" si="2"/>
        <v>14</v>
      </c>
      <c r="C27" s="12">
        <f t="shared" si="3"/>
        <v>5.4</v>
      </c>
      <c r="D27" s="12">
        <f t="shared" si="4"/>
        <v>2.5774083087123718</v>
      </c>
      <c r="E27" s="15">
        <f t="shared" si="5"/>
        <v>2.5878928226489246E-2</v>
      </c>
      <c r="F27" s="2">
        <f t="shared" si="6"/>
        <v>7</v>
      </c>
      <c r="H27" s="129">
        <f t="shared" si="7"/>
        <v>5.4345749275627417</v>
      </c>
    </row>
    <row r="28" spans="2:8" x14ac:dyDescent="0.3">
      <c r="B28" s="1">
        <f t="shared" si="2"/>
        <v>15</v>
      </c>
      <c r="C28" s="12">
        <f t="shared" si="3"/>
        <v>5.4</v>
      </c>
      <c r="D28" s="12">
        <f t="shared" si="4"/>
        <v>2.4447790454943061</v>
      </c>
      <c r="E28" s="15">
        <f t="shared" si="5"/>
        <v>2.4547240432999051E-2</v>
      </c>
      <c r="F28" s="2">
        <f t="shared" si="6"/>
        <v>7.5</v>
      </c>
      <c r="H28" s="129">
        <f t="shared" si="7"/>
        <v>5.8913377039197723</v>
      </c>
    </row>
    <row r="29" spans="2:8" x14ac:dyDescent="0.3">
      <c r="B29" s="1">
        <f t="shared" si="2"/>
        <v>16</v>
      </c>
      <c r="C29" s="12">
        <f t="shared" si="3"/>
        <v>5.4</v>
      </c>
      <c r="D29" s="12">
        <f t="shared" si="4"/>
        <v>2.3189746696649807</v>
      </c>
      <c r="E29" s="15">
        <f t="shared" si="5"/>
        <v>2.3284079139671853E-2</v>
      </c>
      <c r="F29" s="2">
        <f t="shared" si="6"/>
        <v>8</v>
      </c>
      <c r="H29" s="129">
        <f t="shared" si="7"/>
        <v>6.3332695259907439</v>
      </c>
    </row>
    <row r="30" spans="2:8" x14ac:dyDescent="0.3">
      <c r="B30" s="1">
        <f t="shared" si="2"/>
        <v>17</v>
      </c>
      <c r="C30" s="12">
        <f t="shared" si="3"/>
        <v>5.4</v>
      </c>
      <c r="D30" s="12">
        <f t="shared" si="4"/>
        <v>2.1996439835570132</v>
      </c>
      <c r="E30" s="15">
        <f t="shared" si="5"/>
        <v>2.2085918083634675E-2</v>
      </c>
      <c r="F30" s="2">
        <f t="shared" si="6"/>
        <v>8.5</v>
      </c>
      <c r="H30" s="129">
        <f t="shared" si="7"/>
        <v>6.7582909335922103</v>
      </c>
    </row>
    <row r="31" spans="2:8" x14ac:dyDescent="0.3">
      <c r="B31" s="1">
        <f t="shared" si="2"/>
        <v>18</v>
      </c>
      <c r="C31" s="12">
        <f t="shared" si="3"/>
        <v>5.4</v>
      </c>
      <c r="D31" s="12">
        <f t="shared" si="4"/>
        <v>2.0864538615670032</v>
      </c>
      <c r="E31" s="15">
        <f t="shared" si="5"/>
        <v>2.0949412457799074E-2</v>
      </c>
      <c r="F31" s="2">
        <f t="shared" si="6"/>
        <v>9</v>
      </c>
      <c r="H31" s="129">
        <f t="shared" si="7"/>
        <v>7.1646990605672833</v>
      </c>
    </row>
    <row r="32" spans="2:8" x14ac:dyDescent="0.3">
      <c r="B32" s="1">
        <f t="shared" si="2"/>
        <v>19</v>
      </c>
      <c r="C32" s="12">
        <f t="shared" si="3"/>
        <v>5.4</v>
      </c>
      <c r="D32" s="12">
        <f t="shared" si="4"/>
        <v>1.9790883201963516</v>
      </c>
      <c r="E32" s="15">
        <f t="shared" si="5"/>
        <v>1.9871389573439962E-2</v>
      </c>
      <c r="F32" s="2">
        <f t="shared" si="6"/>
        <v>9.5</v>
      </c>
      <c r="H32" s="129">
        <f t="shared" si="7"/>
        <v>7.5511280379071852</v>
      </c>
    </row>
    <row r="33" spans="2:8" x14ac:dyDescent="0.3">
      <c r="B33" s="1">
        <f t="shared" si="2"/>
        <v>20</v>
      </c>
      <c r="C33" s="12">
        <f t="shared" si="3"/>
        <v>5.4</v>
      </c>
      <c r="D33" s="12">
        <f t="shared" si="4"/>
        <v>1.8772476359462666</v>
      </c>
      <c r="E33" s="15">
        <f t="shared" si="5"/>
        <v>1.8848840003262948E-2</v>
      </c>
      <c r="F33" s="2">
        <f t="shared" si="6"/>
        <v>10</v>
      </c>
      <c r="H33" s="129">
        <f t="shared" si="7"/>
        <v>7.9165128013704376</v>
      </c>
    </row>
    <row r="34" spans="2:8" x14ac:dyDescent="0.3">
      <c r="B34" s="1">
        <f t="shared" si="2"/>
        <v>21</v>
      </c>
      <c r="C34" s="12">
        <f t="shared" si="3"/>
        <v>5.4</v>
      </c>
      <c r="D34" s="12">
        <f t="shared" si="4"/>
        <v>1.780647508604474</v>
      </c>
      <c r="E34" s="15">
        <f t="shared" si="5"/>
        <v>1.787890918023519E-2</v>
      </c>
      <c r="F34" s="2">
        <f t="shared" si="6"/>
        <v>10.5</v>
      </c>
      <c r="H34" s="129">
        <f t="shared" si="7"/>
        <v>8.2600560412686583</v>
      </c>
    </row>
    <row r="35" spans="2:8" x14ac:dyDescent="0.3">
      <c r="B35" s="1">
        <f t="shared" si="2"/>
        <v>22</v>
      </c>
      <c r="C35" s="12">
        <f t="shared" si="3"/>
        <v>5.4</v>
      </c>
      <c r="D35" s="12">
        <f t="shared" si="4"/>
        <v>1.6890182675878342</v>
      </c>
      <c r="E35" s="15">
        <f t="shared" si="5"/>
        <v>1.6958889428726764E-2</v>
      </c>
      <c r="F35" s="2">
        <f t="shared" si="6"/>
        <v>11</v>
      </c>
      <c r="H35" s="129">
        <f t="shared" si="7"/>
        <v>8.5811980509357433</v>
      </c>
    </row>
    <row r="36" spans="2:8" x14ac:dyDescent="0.3">
      <c r="B36" s="1">
        <f t="shared" si="2"/>
        <v>23</v>
      </c>
      <c r="C36" s="12">
        <f t="shared" si="3"/>
        <v>5.4</v>
      </c>
      <c r="D36" s="12">
        <f t="shared" si="4"/>
        <v>1.6021041191252876</v>
      </c>
      <c r="E36" s="15">
        <f t="shared" si="5"/>
        <v>1.608621240571664E-2</v>
      </c>
      <c r="F36" s="2">
        <f t="shared" si="6"/>
        <v>11.5</v>
      </c>
      <c r="H36" s="129">
        <f t="shared" si="7"/>
        <v>8.879589247955586</v>
      </c>
    </row>
    <row r="37" spans="2:8" x14ac:dyDescent="0.3">
      <c r="B37" s="1">
        <f t="shared" si="2"/>
        <v>24</v>
      </c>
      <c r="C37" s="12">
        <f t="shared" si="3"/>
        <v>5.4</v>
      </c>
      <c r="D37" s="12">
        <f t="shared" si="4"/>
        <v>1.5196624321795471</v>
      </c>
      <c r="E37" s="15">
        <f t="shared" si="5"/>
        <v>1.5258441930961953E-2</v>
      </c>
      <c r="F37" s="2">
        <f t="shared" si="6"/>
        <v>12</v>
      </c>
      <c r="H37" s="129">
        <f t="shared" si="7"/>
        <v>9.1550651585771714</v>
      </c>
    </row>
    <row r="38" spans="2:8" x14ac:dyDescent="0.3">
      <c r="B38" s="1">
        <f t="shared" si="2"/>
        <v>25</v>
      </c>
      <c r="C38" s="12">
        <f t="shared" si="3"/>
        <v>5.4</v>
      </c>
      <c r="D38" s="12">
        <f t="shared" si="4"/>
        <v>1.441463061114107</v>
      </c>
      <c r="E38" s="15">
        <f t="shared" si="5"/>
        <v>1.4473267186115205E-2</v>
      </c>
      <c r="F38" s="2">
        <f t="shared" si="6"/>
        <v>12.5</v>
      </c>
      <c r="H38" s="129">
        <f t="shared" si="7"/>
        <v>9.4076236709748837</v>
      </c>
    </row>
    <row r="39" spans="2:8" x14ac:dyDescent="0.3">
      <c r="B39" s="1">
        <f t="shared" si="2"/>
        <v>26</v>
      </c>
      <c r="C39" s="12">
        <f t="shared" si="3"/>
        <v>5.4</v>
      </c>
      <c r="D39" s="12">
        <f t="shared" si="4"/>
        <v>1.367287703214709</v>
      </c>
      <c r="E39" s="15">
        <f t="shared" si="5"/>
        <v>1.3728496263803847E-2</v>
      </c>
      <c r="F39" s="2">
        <f t="shared" si="6"/>
        <v>13</v>
      </c>
      <c r="H39" s="129">
        <f t="shared" si="7"/>
        <v>9.6374043771903004</v>
      </c>
    </row>
    <row r="40" spans="2:8" x14ac:dyDescent="0.3">
      <c r="B40" s="1">
        <f t="shared" si="2"/>
        <v>27</v>
      </c>
      <c r="C40" s="12">
        <f t="shared" si="3"/>
        <v>5.4</v>
      </c>
      <c r="D40" s="12">
        <f t="shared" si="4"/>
        <v>1.2969292892717186</v>
      </c>
      <c r="E40" s="15">
        <f t="shared" si="5"/>
        <v>1.3022050048663835E-2</v>
      </c>
      <c r="F40" s="2">
        <f t="shared" si="6"/>
        <v>13.5</v>
      </c>
      <c r="H40" s="129">
        <f t="shared" si="7"/>
        <v>9.8446698367898602</v>
      </c>
    </row>
    <row r="41" spans="2:8" x14ac:dyDescent="0.3">
      <c r="B41" s="1">
        <f t="shared" si="2"/>
        <v>28</v>
      </c>
      <c r="C41" s="12">
        <f t="shared" si="3"/>
        <v>5.4</v>
      </c>
      <c r="D41" s="12">
        <f t="shared" si="4"/>
        <v>1.2301914055221426</v>
      </c>
      <c r="E41" s="15">
        <f t="shared" si="5"/>
        <v>1.2351956413245281E-2</v>
      </c>
      <c r="F41" s="2">
        <f t="shared" si="6"/>
        <v>14</v>
      </c>
      <c r="H41" s="129">
        <f t="shared" si="7"/>
        <v>10.029788607555169</v>
      </c>
    </row>
    <row r="42" spans="2:8" x14ac:dyDescent="0.3">
      <c r="B42" s="1">
        <f t="shared" si="2"/>
        <v>29</v>
      </c>
      <c r="C42" s="12">
        <f t="shared" si="3"/>
        <v>5.4</v>
      </c>
      <c r="D42" s="12">
        <f t="shared" si="4"/>
        <v>1.1668877453375788</v>
      </c>
      <c r="E42" s="15">
        <f t="shared" si="5"/>
        <v>1.1716344712587413E-2</v>
      </c>
      <c r="F42" s="2">
        <f t="shared" si="6"/>
        <v>14.5</v>
      </c>
      <c r="H42" s="129">
        <f t="shared" si="7"/>
        <v>10.19321989995105</v>
      </c>
    </row>
    <row r="43" spans="2:8" x14ac:dyDescent="0.3">
      <c r="B43" s="1">
        <f t="shared" si="2"/>
        <v>30</v>
      </c>
      <c r="C43" s="12">
        <f t="shared" si="3"/>
        <v>5.4</v>
      </c>
      <c r="D43" s="12">
        <f t="shared" si="4"/>
        <v>1.1068415891274164</v>
      </c>
      <c r="E43" s="15">
        <f t="shared" si="5"/>
        <v>1.1113440562093822E-2</v>
      </c>
      <c r="F43" s="2">
        <f t="shared" si="6"/>
        <v>15</v>
      </c>
      <c r="H43" s="129">
        <f t="shared" si="7"/>
        <v>10.335499722747254</v>
      </c>
    </row>
    <row r="44" spans="2:8" x14ac:dyDescent="0.3">
      <c r="B44" s="1">
        <f t="shared" si="2"/>
        <v>31</v>
      </c>
      <c r="C44" s="12">
        <f t="shared" si="3"/>
        <v>5.4</v>
      </c>
      <c r="D44" s="12">
        <f t="shared" si="4"/>
        <v>1.0498853110053752</v>
      </c>
      <c r="E44" s="15">
        <f t="shared" si="5"/>
        <v>1.0541560884129785E-2</v>
      </c>
      <c r="F44" s="2">
        <f t="shared" si="6"/>
        <v>15.5</v>
      </c>
      <c r="H44" s="129">
        <f t="shared" si="7"/>
        <v>10.457228397056747</v>
      </c>
    </row>
    <row r="45" spans="2:8" x14ac:dyDescent="0.3">
      <c r="B45" s="1">
        <f t="shared" si="2"/>
        <v>32</v>
      </c>
      <c r="C45" s="12">
        <f t="shared" si="3"/>
        <v>5.4</v>
      </c>
      <c r="D45" s="12">
        <f t="shared" si="4"/>
        <v>0.99585991084218639</v>
      </c>
      <c r="E45" s="15">
        <f t="shared" si="5"/>
        <v>9.9991092095136676E-3</v>
      </c>
      <c r="F45" s="2">
        <f t="shared" si="6"/>
        <v>16</v>
      </c>
      <c r="H45" s="129">
        <f t="shared" si="7"/>
        <v>10.559059325246434</v>
      </c>
    </row>
    <row r="46" spans="2:8" x14ac:dyDescent="0.3">
      <c r="B46" s="1">
        <f t="shared" si="2"/>
        <v>33</v>
      </c>
      <c r="C46" s="12">
        <f t="shared" si="3"/>
        <v>5.4</v>
      </c>
      <c r="D46" s="12">
        <f t="shared" si="4"/>
        <v>0.94461457039809016</v>
      </c>
      <c r="E46" s="15">
        <f t="shared" si="5"/>
        <v>9.4845712207860273E-3</v>
      </c>
      <c r="F46" s="2">
        <f t="shared" si="6"/>
        <v>16.5</v>
      </c>
      <c r="H46" s="129">
        <f t="shared" si="7"/>
        <v>10.641688909721923</v>
      </c>
    </row>
    <row r="47" spans="2:8" x14ac:dyDescent="0.3">
      <c r="B47" s="1">
        <f t="shared" si="2"/>
        <v>34</v>
      </c>
      <c r="C47" s="12">
        <f t="shared" si="3"/>
        <v>5.4</v>
      </c>
      <c r="D47" s="12">
        <f t="shared" si="4"/>
        <v>0.8960062322960306</v>
      </c>
      <c r="E47" s="15">
        <f t="shared" si="5"/>
        <v>8.9965105248148245E-3</v>
      </c>
      <c r="F47" s="2">
        <f t="shared" si="6"/>
        <v>17</v>
      </c>
      <c r="H47" s="129">
        <f t="shared" si="7"/>
        <v>10.705847524529641</v>
      </c>
    </row>
    <row r="48" spans="2:8" x14ac:dyDescent="0.3">
      <c r="B48" s="1">
        <f t="shared" si="2"/>
        <v>35</v>
      </c>
      <c r="C48" s="12">
        <f t="shared" si="3"/>
        <v>5.4</v>
      </c>
      <c r="D48" s="12">
        <f t="shared" si="4"/>
        <v>0.84989920066021407</v>
      </c>
      <c r="E48" s="15">
        <f t="shared" si="5"/>
        <v>8.5335646429355698E-3</v>
      </c>
      <c r="F48" s="2">
        <f t="shared" si="6"/>
        <v>17.5</v>
      </c>
      <c r="H48" s="129">
        <f t="shared" si="7"/>
        <v>10.752291450098818</v>
      </c>
    </row>
    <row r="49" spans="2:9" x14ac:dyDescent="0.3">
      <c r="B49" s="1">
        <f t="shared" si="2"/>
        <v>36</v>
      </c>
      <c r="C49" s="12">
        <f t="shared" si="3"/>
        <v>5.4</v>
      </c>
      <c r="D49" s="12">
        <f t="shared" si="4"/>
        <v>0.80616476230515921</v>
      </c>
      <c r="E49" s="15">
        <f t="shared" si="5"/>
        <v>8.0944412074323638E-3</v>
      </c>
      <c r="F49" s="2">
        <f t="shared" si="6"/>
        <v>18</v>
      </c>
      <c r="H49" s="129">
        <f t="shared" si="7"/>
        <v>10.781795688299908</v>
      </c>
    </row>
    <row r="50" spans="2:9" x14ac:dyDescent="0.3">
      <c r="B50" s="1">
        <f t="shared" si="2"/>
        <v>37</v>
      </c>
      <c r="C50" s="12">
        <f t="shared" si="3"/>
        <v>5.4</v>
      </c>
      <c r="D50" s="12">
        <f t="shared" si="4"/>
        <v>0.76468082741774646</v>
      </c>
      <c r="E50" s="15">
        <f t="shared" si="5"/>
        <v>7.6779143537418684E-3</v>
      </c>
      <c r="F50" s="2">
        <f t="shared" si="6"/>
        <v>18.5</v>
      </c>
      <c r="H50" s="129">
        <f t="shared" si="7"/>
        <v>10.795147581361068</v>
      </c>
    </row>
    <row r="51" spans="2:9" x14ac:dyDescent="0.3">
      <c r="B51" s="1">
        <f t="shared" si="2"/>
        <v>38</v>
      </c>
      <c r="C51" s="12">
        <f t="shared" si="3"/>
        <v>5.4</v>
      </c>
      <c r="D51" s="12">
        <f t="shared" si="4"/>
        <v>0.72533158872918813</v>
      </c>
      <c r="E51" s="15">
        <f t="shared" si="5"/>
        <v>7.2828212983086262E-3</v>
      </c>
      <c r="F51" s="2">
        <f t="shared" si="6"/>
        <v>19</v>
      </c>
      <c r="H51" s="129">
        <f t="shared" si="7"/>
        <v>10.793141164093385</v>
      </c>
    </row>
    <row r="52" spans="2:9" x14ac:dyDescent="0.3">
      <c r="B52" s="1">
        <f t="shared" si="2"/>
        <v>39</v>
      </c>
      <c r="C52" s="12">
        <f t="shared" si="3"/>
        <v>5.4</v>
      </c>
      <c r="D52" s="12">
        <f t="shared" si="4"/>
        <v>0.68800719822545719</v>
      </c>
      <c r="E52" s="15">
        <f t="shared" si="5"/>
        <v>6.9080590925384181E-3</v>
      </c>
      <c r="F52" s="2">
        <f t="shared" si="6"/>
        <v>19.5</v>
      </c>
      <c r="H52" s="129">
        <f t="shared" si="7"/>
        <v>10.776572184359932</v>
      </c>
    </row>
    <row r="53" spans="2:9" x14ac:dyDescent="0.3">
      <c r="B53" s="1">
        <f t="shared" ref="B53" si="8">B52+1</f>
        <v>40</v>
      </c>
      <c r="C53" s="12">
        <f>C52+C4</f>
        <v>105.4</v>
      </c>
      <c r="D53" s="12">
        <f t="shared" si="0"/>
        <v>12.737852728895069</v>
      </c>
      <c r="E53" s="15">
        <f>D53/$D$54</f>
        <v>0.12789668420652725</v>
      </c>
      <c r="F53" s="2">
        <f>($C$6*B53)/360</f>
        <v>20</v>
      </c>
      <c r="H53" s="129">
        <f t="shared" si="1"/>
        <v>209.75056209870468</v>
      </c>
    </row>
    <row r="54" spans="2:9" ht="15" thickBot="1" x14ac:dyDescent="0.35">
      <c r="D54" s="133">
        <f>SUM(D14:D53)</f>
        <v>99.594862899854519</v>
      </c>
      <c r="E54" s="138">
        <f>SUM(E14:E53)</f>
        <v>1.0000000000000002</v>
      </c>
      <c r="F54" s="50">
        <f>SUMPRODUCT(E14:E53,F14:F53)</f>
        <v>8.5487227722989427</v>
      </c>
      <c r="G54" s="18" t="s">
        <v>280</v>
      </c>
      <c r="H54" s="139">
        <f>SUM(H14:H53)/(1+(C8*(C6/360)))^2</f>
        <v>428.9777951310885</v>
      </c>
      <c r="I54" s="18" t="s">
        <v>3</v>
      </c>
    </row>
    <row r="55" spans="2:9" x14ac:dyDescent="0.3">
      <c r="B55" t="s">
        <v>305</v>
      </c>
      <c r="C55" s="134">
        <f>PV((C8*(C6/360)),C10,C11,C4)</f>
        <v>-99.594862899854391</v>
      </c>
      <c r="F55" s="51">
        <f>F54/(1+(C8*(C6/360)))</f>
        <v>8.1088193239733872</v>
      </c>
      <c r="G55" s="18" t="s">
        <v>317</v>
      </c>
    </row>
    <row r="57" spans="2:9" x14ac:dyDescent="0.3">
      <c r="B57" s="161" t="s">
        <v>318</v>
      </c>
      <c r="C57" s="161"/>
    </row>
    <row r="58" spans="2:9" x14ac:dyDescent="0.3">
      <c r="B58" s="143" t="s">
        <v>289</v>
      </c>
      <c r="C58" s="142">
        <v>35</v>
      </c>
    </row>
    <row r="60" spans="2:9" ht="15" thickBot="1" x14ac:dyDescent="0.35">
      <c r="B60" s="150" t="s">
        <v>6</v>
      </c>
      <c r="C60" s="150"/>
    </row>
    <row r="61" spans="2:9" x14ac:dyDescent="0.3">
      <c r="B61" s="17" t="s">
        <v>0</v>
      </c>
      <c r="C61" s="19">
        <f>C4</f>
        <v>100</v>
      </c>
    </row>
    <row r="62" spans="2:9" x14ac:dyDescent="0.3">
      <c r="B62" s="5" t="s">
        <v>1</v>
      </c>
      <c r="C62" s="6">
        <f>C5-C58</f>
        <v>7165</v>
      </c>
    </row>
    <row r="63" spans="2:9" x14ac:dyDescent="0.3">
      <c r="B63" s="5" t="s">
        <v>17</v>
      </c>
      <c r="C63" s="6">
        <f>C6</f>
        <v>180</v>
      </c>
    </row>
    <row r="64" spans="2:9" x14ac:dyDescent="0.3">
      <c r="B64" s="5" t="s">
        <v>301</v>
      </c>
      <c r="C64" s="24">
        <f>C7</f>
        <v>0.108</v>
      </c>
    </row>
    <row r="65" spans="2:7" ht="15" thickBot="1" x14ac:dyDescent="0.35">
      <c r="B65" s="135" t="s">
        <v>302</v>
      </c>
      <c r="C65" s="85">
        <v>0.10349999999999999</v>
      </c>
    </row>
    <row r="67" spans="2:7" x14ac:dyDescent="0.3">
      <c r="B67" t="s">
        <v>306</v>
      </c>
      <c r="C67" s="2">
        <f>ROUNDDOWN((C62/C63),0)</f>
        <v>39</v>
      </c>
    </row>
    <row r="68" spans="2:7" x14ac:dyDescent="0.3">
      <c r="B68" t="s">
        <v>25</v>
      </c>
      <c r="C68" s="12">
        <f>C61*C64*(C63/360)</f>
        <v>5.4</v>
      </c>
      <c r="F68" t="s">
        <v>319</v>
      </c>
      <c r="G68" s="10">
        <v>105.30154705352278</v>
      </c>
    </row>
    <row r="69" spans="2:7" x14ac:dyDescent="0.3">
      <c r="B69" t="s">
        <v>307</v>
      </c>
      <c r="C69" s="14">
        <f>((C67+1)*C63)-C62</f>
        <v>35</v>
      </c>
      <c r="F69" t="s">
        <v>320</v>
      </c>
      <c r="G69" s="10">
        <v>99.932457367395216</v>
      </c>
    </row>
    <row r="70" spans="2:7" x14ac:dyDescent="0.3">
      <c r="B70" t="s">
        <v>308</v>
      </c>
      <c r="C70" s="14">
        <f>C63-C69</f>
        <v>145</v>
      </c>
      <c r="F70" t="s">
        <v>321</v>
      </c>
      <c r="G70" s="12">
        <f>C68</f>
        <v>5.4</v>
      </c>
    </row>
    <row r="71" spans="2:7" x14ac:dyDescent="0.3">
      <c r="F71" t="s">
        <v>233</v>
      </c>
      <c r="G71" s="15">
        <f>(((G69+G70)/G68)-1)*360</f>
        <v>0.10567473418433337</v>
      </c>
    </row>
    <row r="72" spans="2:7" x14ac:dyDescent="0.3">
      <c r="B72" t="s">
        <v>309</v>
      </c>
      <c r="C72" s="129">
        <f>ABS(PV((C65*(C63/360)),C67,C68,C61))</f>
        <v>103.74013361397417</v>
      </c>
    </row>
    <row r="73" spans="2:7" x14ac:dyDescent="0.3">
      <c r="B73" t="s">
        <v>310</v>
      </c>
      <c r="C73" s="12">
        <f>IF(C70=0,0,C68)</f>
        <v>5.4</v>
      </c>
    </row>
    <row r="74" spans="2:7" x14ac:dyDescent="0.3">
      <c r="B74" t="s">
        <v>311</v>
      </c>
      <c r="C74" s="12">
        <f>C72+C73</f>
        <v>109.14013361397417</v>
      </c>
    </row>
    <row r="75" spans="2:7" ht="23.4" x14ac:dyDescent="0.45">
      <c r="B75" t="s">
        <v>312</v>
      </c>
      <c r="C75" s="140">
        <f>C74/(1+(C65*(C63/360)))^(C70/C63)</f>
        <v>104.79310976318141</v>
      </c>
      <c r="D75" s="141" t="s">
        <v>313</v>
      </c>
    </row>
    <row r="76" spans="2:7" x14ac:dyDescent="0.3">
      <c r="B76" t="s">
        <v>314</v>
      </c>
      <c r="C76" s="129">
        <f>IF(C70=0,0,(C61*C64*(C69/360)))</f>
        <v>1.05</v>
      </c>
    </row>
    <row r="77" spans="2:7" x14ac:dyDescent="0.3">
      <c r="C77" s="136">
        <f>C75-C76</f>
        <v>103.74310976318141</v>
      </c>
      <c r="D77" s="124" t="s">
        <v>315</v>
      </c>
    </row>
    <row r="80" spans="2:7" x14ac:dyDescent="0.3">
      <c r="B80" t="s">
        <v>288</v>
      </c>
      <c r="C80" s="12">
        <f>D54</f>
        <v>99.594862899854519</v>
      </c>
    </row>
    <row r="81" spans="2:3" x14ac:dyDescent="0.3">
      <c r="B81" t="s">
        <v>290</v>
      </c>
      <c r="C81" s="129">
        <f>C75</f>
        <v>104.79310976318141</v>
      </c>
    </row>
    <row r="82" spans="2:3" x14ac:dyDescent="0.3">
      <c r="B82" s="18" t="s">
        <v>322</v>
      </c>
      <c r="C82" s="144">
        <f>(C81/C80-1)*(360/C58)</f>
        <v>0.53685180606708838</v>
      </c>
    </row>
  </sheetData>
  <mergeCells count="4">
    <mergeCell ref="B1:I1"/>
    <mergeCell ref="B3:C3"/>
    <mergeCell ref="B57:C57"/>
    <mergeCell ref="B60:C60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E1DE1-B9E0-4F7F-BA9A-C30FEFD5D370}">
  <dimension ref="B1:M102"/>
  <sheetViews>
    <sheetView topLeftCell="C57" zoomScale="110" zoomScaleNormal="110" workbookViewId="0">
      <selection activeCell="O71" sqref="O71"/>
    </sheetView>
  </sheetViews>
  <sheetFormatPr baseColWidth="10" defaultRowHeight="14.4" x14ac:dyDescent="0.3"/>
  <cols>
    <col min="2" max="2" width="37.44140625" customWidth="1"/>
    <col min="3" max="3" width="17.88671875" customWidth="1"/>
    <col min="4" max="4" width="13.5546875" customWidth="1"/>
    <col min="6" max="6" width="15.44140625" bestFit="1" customWidth="1"/>
    <col min="7" max="7" width="11.88671875" bestFit="1" customWidth="1"/>
    <col min="11" max="11" width="13.5546875" customWidth="1"/>
    <col min="13" max="13" width="13.5546875" bestFit="1" customWidth="1"/>
  </cols>
  <sheetData>
    <row r="1" spans="2:9" x14ac:dyDescent="0.3">
      <c r="B1" s="150" t="s">
        <v>300</v>
      </c>
      <c r="C1" s="150"/>
      <c r="D1" s="150"/>
      <c r="E1" s="150"/>
      <c r="F1" s="150"/>
      <c r="G1" s="150"/>
      <c r="H1" s="150"/>
      <c r="I1" s="150"/>
    </row>
    <row r="3" spans="2:9" ht="15" thickBot="1" x14ac:dyDescent="0.35">
      <c r="B3" s="150" t="s">
        <v>6</v>
      </c>
      <c r="C3" s="150"/>
    </row>
    <row r="4" spans="2:9" x14ac:dyDescent="0.3">
      <c r="B4" s="17" t="s">
        <v>0</v>
      </c>
      <c r="C4" s="19">
        <v>100</v>
      </c>
    </row>
    <row r="5" spans="2:9" x14ac:dyDescent="0.3">
      <c r="B5" s="5" t="s">
        <v>1</v>
      </c>
      <c r="C5" s="6">
        <f>180*60</f>
        <v>10800</v>
      </c>
    </row>
    <row r="6" spans="2:9" x14ac:dyDescent="0.3">
      <c r="B6" s="5" t="s">
        <v>17</v>
      </c>
      <c r="C6" s="6">
        <v>180</v>
      </c>
    </row>
    <row r="7" spans="2:9" x14ac:dyDescent="0.3">
      <c r="B7" s="5" t="s">
        <v>301</v>
      </c>
      <c r="C7" s="24">
        <v>0.108</v>
      </c>
    </row>
    <row r="8" spans="2:9" ht="15" thickBot="1" x14ac:dyDescent="0.35">
      <c r="B8" s="135" t="s">
        <v>302</v>
      </c>
      <c r="C8" s="85">
        <v>0.1085</v>
      </c>
    </row>
    <row r="10" spans="2:9" x14ac:dyDescent="0.3">
      <c r="B10" t="s">
        <v>303</v>
      </c>
      <c r="C10" s="2">
        <f>C5/C6</f>
        <v>60</v>
      </c>
    </row>
    <row r="11" spans="2:9" x14ac:dyDescent="0.3">
      <c r="B11" t="s">
        <v>25</v>
      </c>
      <c r="C11" s="12">
        <f>C4*C7*(C6/360)</f>
        <v>5.4</v>
      </c>
    </row>
    <row r="13" spans="2:9" x14ac:dyDescent="0.3">
      <c r="B13" s="16" t="s">
        <v>304</v>
      </c>
      <c r="C13" s="16" t="s">
        <v>26</v>
      </c>
      <c r="D13" s="16" t="s">
        <v>53</v>
      </c>
      <c r="E13" s="16" t="s">
        <v>27</v>
      </c>
      <c r="F13" s="16" t="s">
        <v>316</v>
      </c>
      <c r="H13" s="16" t="s">
        <v>3</v>
      </c>
    </row>
    <row r="14" spans="2:9" x14ac:dyDescent="0.3">
      <c r="B14" s="1">
        <v>1</v>
      </c>
      <c r="C14" s="12">
        <f>C11</f>
        <v>5.4</v>
      </c>
      <c r="D14" s="12">
        <f>C14/(1+($C$8*($C$6/360)))^B14</f>
        <v>5.1221247332226705</v>
      </c>
      <c r="E14" s="15">
        <f>D14/$D$74</f>
        <v>5.1448375795606627E-2</v>
      </c>
      <c r="F14" s="2">
        <f>($C$6*B14)/360</f>
        <v>0.5</v>
      </c>
      <c r="H14" s="129">
        <f>(B14*(B14+1))*E14</f>
        <v>0.10289675159121325</v>
      </c>
    </row>
    <row r="15" spans="2:9" x14ac:dyDescent="0.3">
      <c r="B15" s="1">
        <f>B14+1</f>
        <v>2</v>
      </c>
      <c r="C15" s="12">
        <f>C14</f>
        <v>5.4</v>
      </c>
      <c r="D15" s="12">
        <f t="shared" ref="D15:D73" si="0">C15/(1+($C$8*($C$6/360)))^B15</f>
        <v>4.8585484782761883</v>
      </c>
      <c r="E15" s="15">
        <f>D15/$D$74</f>
        <v>4.8800925582742835E-2</v>
      </c>
      <c r="F15" s="2">
        <f>($C$6*B15)/360</f>
        <v>1</v>
      </c>
      <c r="H15" s="129">
        <f t="shared" ref="H15:H73" si="1">(B15*(B15+1))*E15</f>
        <v>0.29280555349645698</v>
      </c>
    </row>
    <row r="16" spans="2:9" x14ac:dyDescent="0.3">
      <c r="B16" s="1">
        <f t="shared" ref="B16:B73" si="2">B15+1</f>
        <v>3</v>
      </c>
      <c r="C16" s="12">
        <f t="shared" ref="C16:C72" si="3">C15</f>
        <v>5.4</v>
      </c>
      <c r="D16" s="12">
        <f t="shared" si="0"/>
        <v>4.6085354311370059</v>
      </c>
      <c r="E16" s="15">
        <f t="shared" ref="E16:E72" si="4">D16/$D$74</f>
        <v>4.6289708876208528E-2</v>
      </c>
      <c r="F16" s="2">
        <f t="shared" ref="F16:F72" si="5">($C$6*B16)/360</f>
        <v>1.5</v>
      </c>
      <c r="H16" s="129">
        <f t="shared" si="1"/>
        <v>0.55547650651450231</v>
      </c>
    </row>
    <row r="17" spans="2:8" x14ac:dyDescent="0.3">
      <c r="B17" s="1">
        <f t="shared" si="2"/>
        <v>4</v>
      </c>
      <c r="C17" s="12">
        <f t="shared" si="3"/>
        <v>5.4</v>
      </c>
      <c r="D17" s="12">
        <f t="shared" si="0"/>
        <v>4.371387651066641</v>
      </c>
      <c r="E17" s="15">
        <f t="shared" si="4"/>
        <v>4.3907715320093459E-2</v>
      </c>
      <c r="F17" s="2">
        <f t="shared" si="5"/>
        <v>2</v>
      </c>
      <c r="H17" s="129">
        <f t="shared" si="1"/>
        <v>0.8781543064018692</v>
      </c>
    </row>
    <row r="18" spans="2:8" x14ac:dyDescent="0.3">
      <c r="B18" s="1">
        <f t="shared" si="2"/>
        <v>5</v>
      </c>
      <c r="C18" s="12">
        <f t="shared" si="3"/>
        <v>5.4</v>
      </c>
      <c r="D18" s="12">
        <f t="shared" si="0"/>
        <v>4.1464431122282583</v>
      </c>
      <c r="E18" s="15">
        <f t="shared" si="4"/>
        <v>4.164829530006494E-2</v>
      </c>
      <c r="F18" s="2">
        <f t="shared" si="5"/>
        <v>2.5</v>
      </c>
      <c r="H18" s="129">
        <f t="shared" si="1"/>
        <v>1.2494488590019481</v>
      </c>
    </row>
    <row r="19" spans="2:8" x14ac:dyDescent="0.3">
      <c r="B19" s="1">
        <f t="shared" si="2"/>
        <v>6</v>
      </c>
      <c r="C19" s="12">
        <f t="shared" si="3"/>
        <v>5.4</v>
      </c>
      <c r="D19" s="12">
        <f t="shared" si="0"/>
        <v>3.933073855563916</v>
      </c>
      <c r="E19" s="15">
        <f t="shared" si="4"/>
        <v>3.9505141380189651E-2</v>
      </c>
      <c r="F19" s="2">
        <f t="shared" si="5"/>
        <v>3</v>
      </c>
      <c r="H19" s="129">
        <f t="shared" si="1"/>
        <v>1.6592159379679654</v>
      </c>
    </row>
    <row r="20" spans="2:8" x14ac:dyDescent="0.3">
      <c r="B20" s="1">
        <f t="shared" si="2"/>
        <v>7</v>
      </c>
      <c r="C20" s="12">
        <f t="shared" si="3"/>
        <v>5.4</v>
      </c>
      <c r="D20" s="12">
        <f t="shared" si="0"/>
        <v>3.7306842357732197</v>
      </c>
      <c r="E20" s="15">
        <f t="shared" si="4"/>
        <v>3.747227069498664E-2</v>
      </c>
      <c r="F20" s="2">
        <f t="shared" si="5"/>
        <v>3.5</v>
      </c>
      <c r="H20" s="129">
        <f t="shared" si="1"/>
        <v>2.0984471589192517</v>
      </c>
    </row>
    <row r="21" spans="2:8" x14ac:dyDescent="0.3">
      <c r="B21" s="1">
        <f t="shared" si="2"/>
        <v>8</v>
      </c>
      <c r="C21" s="12">
        <f t="shared" si="3"/>
        <v>5.4</v>
      </c>
      <c r="D21" s="12">
        <f t="shared" si="0"/>
        <v>3.5387092584996154</v>
      </c>
      <c r="E21" s="15">
        <f t="shared" si="4"/>
        <v>3.5544008247556685E-2</v>
      </c>
      <c r="F21" s="2">
        <f t="shared" si="5"/>
        <v>4</v>
      </c>
      <c r="H21" s="129">
        <f t="shared" si="1"/>
        <v>2.5591685938240811</v>
      </c>
    </row>
    <row r="22" spans="2:8" x14ac:dyDescent="0.3">
      <c r="B22" s="1">
        <f t="shared" si="2"/>
        <v>9</v>
      </c>
      <c r="C22" s="12">
        <f t="shared" si="3"/>
        <v>5.4</v>
      </c>
      <c r="D22" s="12">
        <f t="shared" si="0"/>
        <v>3.356613003082396</v>
      </c>
      <c r="E22" s="15">
        <f t="shared" si="4"/>
        <v>3.3714971067163091E-2</v>
      </c>
      <c r="F22" s="2">
        <f t="shared" si="5"/>
        <v>4.5</v>
      </c>
      <c r="H22" s="129">
        <f t="shared" si="1"/>
        <v>3.0343473960446783</v>
      </c>
    </row>
    <row r="23" spans="2:8" x14ac:dyDescent="0.3">
      <c r="B23" s="1">
        <f t="shared" si="2"/>
        <v>10</v>
      </c>
      <c r="C23" s="12">
        <f t="shared" si="3"/>
        <v>5.4</v>
      </c>
      <c r="D23" s="12">
        <f t="shared" si="0"/>
        <v>3.1838871264713262</v>
      </c>
      <c r="E23" s="15">
        <f t="shared" si="4"/>
        <v>3.1980053182037553E-2</v>
      </c>
      <c r="F23" s="2">
        <f t="shared" si="5"/>
        <v>5</v>
      </c>
      <c r="H23" s="129">
        <f t="shared" si="1"/>
        <v>3.5178058500241307</v>
      </c>
    </row>
    <row r="24" spans="2:8" x14ac:dyDescent="0.3">
      <c r="B24" s="1">
        <f t="shared" si="2"/>
        <v>11</v>
      </c>
      <c r="C24" s="12">
        <f t="shared" si="3"/>
        <v>5.4</v>
      </c>
      <c r="D24" s="12">
        <f t="shared" si="0"/>
        <v>3.0200494441274151</v>
      </c>
      <c r="E24" s="15">
        <f t="shared" si="4"/>
        <v>3.0334411365461288E-2</v>
      </c>
      <c r="F24" s="2">
        <f t="shared" si="5"/>
        <v>5.5</v>
      </c>
      <c r="H24" s="129">
        <f t="shared" si="1"/>
        <v>4.0041423002408898</v>
      </c>
    </row>
    <row r="25" spans="2:8" x14ac:dyDescent="0.3">
      <c r="B25" s="1">
        <f t="shared" si="2"/>
        <v>12</v>
      </c>
      <c r="C25" s="12">
        <f t="shared" si="3"/>
        <v>5.4</v>
      </c>
      <c r="D25" s="12">
        <f t="shared" si="0"/>
        <v>2.8646425839482235</v>
      </c>
      <c r="E25" s="15">
        <f t="shared" si="4"/>
        <v>2.877345161532965E-2</v>
      </c>
      <c r="F25" s="2">
        <f t="shared" si="5"/>
        <v>6</v>
      </c>
      <c r="H25" s="129">
        <f t="shared" si="1"/>
        <v>4.4886584519914257</v>
      </c>
    </row>
    <row r="26" spans="2:8" x14ac:dyDescent="0.3">
      <c r="B26" s="1">
        <f t="shared" si="2"/>
        <v>13</v>
      </c>
      <c r="C26" s="12">
        <f t="shared" si="3"/>
        <v>5.4</v>
      </c>
      <c r="D26" s="12">
        <f t="shared" si="0"/>
        <v>2.7172327094600179</v>
      </c>
      <c r="E26" s="15">
        <f t="shared" si="4"/>
        <v>2.7292816329456633E-2</v>
      </c>
      <c r="F26" s="2">
        <f t="shared" si="5"/>
        <v>6.5</v>
      </c>
      <c r="H26" s="129">
        <f t="shared" si="1"/>
        <v>4.9672925719611074</v>
      </c>
    </row>
    <row r="27" spans="2:8" x14ac:dyDescent="0.3">
      <c r="B27" s="1">
        <f t="shared" si="2"/>
        <v>14</v>
      </c>
      <c r="C27" s="12">
        <f t="shared" si="3"/>
        <v>5.4</v>
      </c>
      <c r="D27" s="12">
        <f t="shared" si="0"/>
        <v>2.5774083087123718</v>
      </c>
      <c r="E27" s="15">
        <f t="shared" si="4"/>
        <v>2.5888372140817295E-2</v>
      </c>
      <c r="F27" s="2">
        <f t="shared" si="5"/>
        <v>7</v>
      </c>
      <c r="H27" s="129">
        <f t="shared" si="1"/>
        <v>5.4365581495716322</v>
      </c>
    </row>
    <row r="28" spans="2:8" x14ac:dyDescent="0.3">
      <c r="B28" s="1">
        <f t="shared" si="2"/>
        <v>15</v>
      </c>
      <c r="C28" s="12">
        <f t="shared" si="3"/>
        <v>5.4</v>
      </c>
      <c r="D28" s="12">
        <f t="shared" si="0"/>
        <v>2.4447790454943061</v>
      </c>
      <c r="E28" s="15">
        <f t="shared" si="4"/>
        <v>2.4556198378769076E-2</v>
      </c>
      <c r="F28" s="2">
        <f t="shared" si="5"/>
        <v>7.5</v>
      </c>
      <c r="H28" s="129">
        <f t="shared" si="1"/>
        <v>5.893487610904578</v>
      </c>
    </row>
    <row r="29" spans="2:8" x14ac:dyDescent="0.3">
      <c r="B29" s="1">
        <f t="shared" si="2"/>
        <v>16</v>
      </c>
      <c r="C29" s="12">
        <f t="shared" si="3"/>
        <v>5.4</v>
      </c>
      <c r="D29" s="12">
        <f t="shared" si="0"/>
        <v>2.3189746696649807</v>
      </c>
      <c r="E29" s="15">
        <f t="shared" si="4"/>
        <v>2.3292576124039909E-2</v>
      </c>
      <c r="F29" s="2">
        <f t="shared" si="5"/>
        <v>8</v>
      </c>
      <c r="H29" s="129">
        <f t="shared" si="1"/>
        <v>6.3355807057388551</v>
      </c>
    </row>
    <row r="30" spans="2:8" x14ac:dyDescent="0.3">
      <c r="B30" s="1">
        <f t="shared" si="2"/>
        <v>17</v>
      </c>
      <c r="C30" s="12">
        <f t="shared" si="3"/>
        <v>5.4</v>
      </c>
      <c r="D30" s="12">
        <f t="shared" si="0"/>
        <v>2.1996439835570132</v>
      </c>
      <c r="E30" s="15">
        <f t="shared" si="4"/>
        <v>2.2093977826929016E-2</v>
      </c>
      <c r="F30" s="2">
        <f t="shared" si="5"/>
        <v>8.5</v>
      </c>
      <c r="H30" s="129">
        <f t="shared" si="1"/>
        <v>6.7607572150402788</v>
      </c>
    </row>
    <row r="31" spans="2:8" x14ac:dyDescent="0.3">
      <c r="B31" s="1">
        <f t="shared" si="2"/>
        <v>18</v>
      </c>
      <c r="C31" s="12">
        <f t="shared" si="3"/>
        <v>5.4</v>
      </c>
      <c r="D31" s="12">
        <f t="shared" si="0"/>
        <v>2.0864538615670032</v>
      </c>
      <c r="E31" s="15">
        <f t="shared" si="4"/>
        <v>2.0957057459738214E-2</v>
      </c>
      <c r="F31" s="2">
        <f t="shared" si="5"/>
        <v>9</v>
      </c>
      <c r="H31" s="129">
        <f t="shared" si="1"/>
        <v>7.1673136512304696</v>
      </c>
    </row>
    <row r="32" spans="2:8" x14ac:dyDescent="0.3">
      <c r="B32" s="1">
        <f t="shared" si="2"/>
        <v>19</v>
      </c>
      <c r="C32" s="12">
        <f t="shared" si="3"/>
        <v>5.4</v>
      </c>
      <c r="D32" s="12">
        <f t="shared" si="0"/>
        <v>1.9790883201963516</v>
      </c>
      <c r="E32" s="15">
        <f t="shared" si="4"/>
        <v>1.9878641175943297E-2</v>
      </c>
      <c r="F32" s="2">
        <f t="shared" si="5"/>
        <v>9.5</v>
      </c>
      <c r="H32" s="129">
        <f t="shared" si="1"/>
        <v>7.5538836468584529</v>
      </c>
    </row>
    <row r="33" spans="2:8" x14ac:dyDescent="0.3">
      <c r="B33" s="1">
        <f t="shared" si="2"/>
        <v>20</v>
      </c>
      <c r="C33" s="12">
        <f t="shared" si="3"/>
        <v>5.4</v>
      </c>
      <c r="D33" s="12">
        <f t="shared" si="0"/>
        <v>1.8772476359462666</v>
      </c>
      <c r="E33" s="15">
        <f t="shared" si="4"/>
        <v>1.8855718450029212E-2</v>
      </c>
      <c r="F33" s="2">
        <f t="shared" si="5"/>
        <v>10</v>
      </c>
      <c r="H33" s="129">
        <f t="shared" si="1"/>
        <v>7.9194017490122688</v>
      </c>
    </row>
    <row r="34" spans="2:8" x14ac:dyDescent="0.3">
      <c r="B34" s="1">
        <f t="shared" si="2"/>
        <v>21</v>
      </c>
      <c r="C34" s="12">
        <f t="shared" si="3"/>
        <v>5.4</v>
      </c>
      <c r="D34" s="12">
        <f t="shared" si="0"/>
        <v>1.780647508604474</v>
      </c>
      <c r="E34" s="15">
        <f t="shared" si="4"/>
        <v>1.7885433673255121E-2</v>
      </c>
      <c r="F34" s="2">
        <f t="shared" si="5"/>
        <v>10.5</v>
      </c>
      <c r="H34" s="129">
        <f t="shared" si="1"/>
        <v>8.2630703570438655</v>
      </c>
    </row>
    <row r="35" spans="2:8" x14ac:dyDescent="0.3">
      <c r="B35" s="1">
        <f t="shared" si="2"/>
        <v>22</v>
      </c>
      <c r="C35" s="12">
        <f t="shared" si="3"/>
        <v>5.4</v>
      </c>
      <c r="D35" s="12">
        <f t="shared" si="0"/>
        <v>1.6890182675878342</v>
      </c>
      <c r="E35" s="15">
        <f t="shared" si="4"/>
        <v>1.6965078181887715E-2</v>
      </c>
      <c r="F35" s="2">
        <f t="shared" si="5"/>
        <v>11</v>
      </c>
      <c r="H35" s="129">
        <f t="shared" si="1"/>
        <v>8.584329560035183</v>
      </c>
    </row>
    <row r="36" spans="2:8" x14ac:dyDescent="0.3">
      <c r="B36" s="1">
        <f t="shared" si="2"/>
        <v>23</v>
      </c>
      <c r="C36" s="12">
        <f t="shared" si="3"/>
        <v>5.4</v>
      </c>
      <c r="D36" s="12">
        <f t="shared" si="0"/>
        <v>1.6021041191252876</v>
      </c>
      <c r="E36" s="15">
        <f t="shared" si="4"/>
        <v>1.6092082695648772E-2</v>
      </c>
      <c r="F36" s="2">
        <f t="shared" si="5"/>
        <v>11.5</v>
      </c>
      <c r="H36" s="129">
        <f t="shared" si="1"/>
        <v>8.8828296479981219</v>
      </c>
    </row>
    <row r="37" spans="2:8" x14ac:dyDescent="0.3">
      <c r="B37" s="1">
        <f t="shared" si="2"/>
        <v>24</v>
      </c>
      <c r="C37" s="12">
        <f t="shared" si="3"/>
        <v>5.4</v>
      </c>
      <c r="D37" s="12">
        <f t="shared" si="0"/>
        <v>1.5196624321795471</v>
      </c>
      <c r="E37" s="15">
        <f t="shared" si="4"/>
        <v>1.5264010145267983E-2</v>
      </c>
      <c r="F37" s="2">
        <f t="shared" si="5"/>
        <v>12</v>
      </c>
      <c r="H37" s="129">
        <f t="shared" si="1"/>
        <v>9.15840608716079</v>
      </c>
    </row>
    <row r="38" spans="2:8" x14ac:dyDescent="0.3">
      <c r="B38" s="1">
        <f t="shared" si="2"/>
        <v>25</v>
      </c>
      <c r="C38" s="12">
        <f t="shared" si="3"/>
        <v>5.4</v>
      </c>
      <c r="D38" s="12">
        <f t="shared" si="0"/>
        <v>1.441463061114107</v>
      </c>
      <c r="E38" s="15">
        <f t="shared" si="4"/>
        <v>1.4478548869118318E-2</v>
      </c>
      <c r="F38" s="2">
        <f t="shared" si="5"/>
        <v>12.5</v>
      </c>
      <c r="H38" s="129">
        <f t="shared" si="1"/>
        <v>9.4110567649269061</v>
      </c>
    </row>
    <row r="39" spans="2:8" x14ac:dyDescent="0.3">
      <c r="B39" s="1">
        <f t="shared" ref="B39:B60" si="6">B38+1</f>
        <v>26</v>
      </c>
      <c r="C39" s="12">
        <f t="shared" ref="C39:C60" si="7">C38</f>
        <v>5.4</v>
      </c>
      <c r="D39" s="12">
        <f t="shared" ref="D39:D60" si="8">C39/(1+($C$8*($C$6/360)))^B39</f>
        <v>1.367287703214709</v>
      </c>
      <c r="E39" s="15">
        <f t="shared" si="4"/>
        <v>1.3733506159941492E-2</v>
      </c>
      <c r="F39" s="2">
        <f t="shared" ref="F39:F60" si="9">($C$6*B39)/360</f>
        <v>13</v>
      </c>
      <c r="H39" s="129">
        <f t="shared" ref="H39:H60" si="10">(B39*(B39+1))*E39</f>
        <v>9.6409213242789278</v>
      </c>
    </row>
    <row r="40" spans="2:8" x14ac:dyDescent="0.3">
      <c r="B40" s="1">
        <f t="shared" si="6"/>
        <v>27</v>
      </c>
      <c r="C40" s="12">
        <f t="shared" si="7"/>
        <v>5.4</v>
      </c>
      <c r="D40" s="12">
        <f t="shared" si="8"/>
        <v>1.2969292892717186</v>
      </c>
      <c r="E40" s="15">
        <f t="shared" si="4"/>
        <v>1.3026802143648559E-2</v>
      </c>
      <c r="F40" s="2">
        <f t="shared" si="9"/>
        <v>13.5</v>
      </c>
      <c r="H40" s="129">
        <f t="shared" si="10"/>
        <v>9.84826242059831</v>
      </c>
    </row>
    <row r="41" spans="2:8" x14ac:dyDescent="0.3">
      <c r="B41" s="1">
        <f t="shared" si="6"/>
        <v>28</v>
      </c>
      <c r="C41" s="12">
        <f t="shared" si="7"/>
        <v>5.4</v>
      </c>
      <c r="D41" s="12">
        <f t="shared" si="8"/>
        <v>1.2301914055221426</v>
      </c>
      <c r="E41" s="15">
        <f t="shared" si="4"/>
        <v>1.2356463973107482E-2</v>
      </c>
      <c r="F41" s="2">
        <f t="shared" si="9"/>
        <v>14</v>
      </c>
      <c r="H41" s="129">
        <f t="shared" si="10"/>
        <v>10.033448746163275</v>
      </c>
    </row>
    <row r="42" spans="2:8" x14ac:dyDescent="0.3">
      <c r="B42" s="1">
        <f t="shared" si="6"/>
        <v>29</v>
      </c>
      <c r="C42" s="12">
        <f t="shared" si="7"/>
        <v>5.4</v>
      </c>
      <c r="D42" s="12">
        <f t="shared" si="8"/>
        <v>1.1668877453375788</v>
      </c>
      <c r="E42" s="15">
        <f t="shared" si="4"/>
        <v>1.1720620320709016E-2</v>
      </c>
      <c r="F42" s="2">
        <f t="shared" si="9"/>
        <v>14.5</v>
      </c>
      <c r="H42" s="129">
        <f t="shared" si="10"/>
        <v>10.196939679016843</v>
      </c>
    </row>
    <row r="43" spans="2:8" x14ac:dyDescent="0.3">
      <c r="B43" s="1">
        <f t="shared" si="6"/>
        <v>30</v>
      </c>
      <c r="C43" s="12">
        <f t="shared" si="7"/>
        <v>5.4</v>
      </c>
      <c r="D43" s="12">
        <f t="shared" si="8"/>
        <v>1.1068415891274164</v>
      </c>
      <c r="E43" s="15">
        <f t="shared" si="4"/>
        <v>1.1117496154336272E-2</v>
      </c>
      <c r="F43" s="2">
        <f t="shared" si="9"/>
        <v>15</v>
      </c>
      <c r="H43" s="129">
        <f t="shared" si="10"/>
        <v>10.339271423532733</v>
      </c>
    </row>
    <row r="44" spans="2:8" x14ac:dyDescent="0.3">
      <c r="B44" s="1">
        <f t="shared" si="6"/>
        <v>31</v>
      </c>
      <c r="C44" s="12">
        <f t="shared" si="7"/>
        <v>5.4</v>
      </c>
      <c r="D44" s="12">
        <f t="shared" si="8"/>
        <v>1.0498853110053752</v>
      </c>
      <c r="E44" s="15">
        <f t="shared" si="4"/>
        <v>1.05454077821544E-2</v>
      </c>
      <c r="F44" s="2">
        <f t="shared" si="9"/>
        <v>15.5</v>
      </c>
      <c r="H44" s="129">
        <f t="shared" si="10"/>
        <v>10.461044519897165</v>
      </c>
    </row>
    <row r="45" spans="2:8" x14ac:dyDescent="0.3">
      <c r="B45" s="1">
        <f t="shared" si="6"/>
        <v>32</v>
      </c>
      <c r="C45" s="12">
        <f t="shared" si="7"/>
        <v>5.4</v>
      </c>
      <c r="D45" s="12">
        <f t="shared" si="8"/>
        <v>0.99585991084218639</v>
      </c>
      <c r="E45" s="15">
        <f t="shared" si="4"/>
        <v>1.0002758152387383E-2</v>
      </c>
      <c r="F45" s="2">
        <f t="shared" si="9"/>
        <v>16</v>
      </c>
      <c r="H45" s="129">
        <f t="shared" si="10"/>
        <v>10.562912608921076</v>
      </c>
    </row>
    <row r="46" spans="2:8" x14ac:dyDescent="0.3">
      <c r="B46" s="1">
        <f t="shared" si="6"/>
        <v>33</v>
      </c>
      <c r="C46" s="12">
        <f t="shared" si="7"/>
        <v>5.4</v>
      </c>
      <c r="D46" s="12">
        <f t="shared" si="8"/>
        <v>0.94461457039809016</v>
      </c>
      <c r="E46" s="15">
        <f t="shared" si="4"/>
        <v>9.4880323949607624E-3</v>
      </c>
      <c r="F46" s="2">
        <f t="shared" si="9"/>
        <v>16.5</v>
      </c>
      <c r="H46" s="129">
        <f t="shared" si="10"/>
        <v>10.645572347145976</v>
      </c>
    </row>
    <row r="47" spans="2:8" x14ac:dyDescent="0.3">
      <c r="B47" s="1">
        <f t="shared" si="6"/>
        <v>34</v>
      </c>
      <c r="C47" s="12">
        <f t="shared" si="7"/>
        <v>5.4</v>
      </c>
      <c r="D47" s="12">
        <f t="shared" si="8"/>
        <v>0.8960062322960306</v>
      </c>
      <c r="E47" s="15">
        <f t="shared" si="4"/>
        <v>8.9997935925641582E-3</v>
      </c>
      <c r="F47" s="2">
        <f t="shared" si="9"/>
        <v>17</v>
      </c>
      <c r="H47" s="129">
        <f t="shared" si="10"/>
        <v>10.709754375151348</v>
      </c>
    </row>
    <row r="48" spans="2:8" x14ac:dyDescent="0.3">
      <c r="B48" s="1">
        <f t="shared" si="6"/>
        <v>35</v>
      </c>
      <c r="C48" s="12">
        <f t="shared" si="7"/>
        <v>5.4</v>
      </c>
      <c r="D48" s="12">
        <f t="shared" si="8"/>
        <v>0.84989920066021407</v>
      </c>
      <c r="E48" s="15">
        <f t="shared" si="4"/>
        <v>8.5366787693281088E-3</v>
      </c>
      <c r="F48" s="2">
        <f t="shared" si="9"/>
        <v>17.5</v>
      </c>
      <c r="H48" s="129">
        <f t="shared" si="10"/>
        <v>10.756215249353417</v>
      </c>
    </row>
    <row r="49" spans="2:8" x14ac:dyDescent="0.3">
      <c r="B49" s="1">
        <f t="shared" si="6"/>
        <v>36</v>
      </c>
      <c r="C49" s="12">
        <f t="shared" si="7"/>
        <v>5.4</v>
      </c>
      <c r="D49" s="12">
        <f t="shared" si="8"/>
        <v>0.80616476230515921</v>
      </c>
      <c r="E49" s="15">
        <f t="shared" si="4"/>
        <v>8.097395085917107E-3</v>
      </c>
      <c r="F49" s="2">
        <f t="shared" si="9"/>
        <v>18</v>
      </c>
      <c r="H49" s="129">
        <f t="shared" si="10"/>
        <v>10.785730254441587</v>
      </c>
    </row>
    <row r="50" spans="2:8" x14ac:dyDescent="0.3">
      <c r="B50" s="1">
        <f t="shared" si="6"/>
        <v>37</v>
      </c>
      <c r="C50" s="12">
        <f t="shared" si="7"/>
        <v>5.4</v>
      </c>
      <c r="D50" s="12">
        <f t="shared" si="8"/>
        <v>0.76468082741774646</v>
      </c>
      <c r="E50" s="15">
        <f t="shared" si="4"/>
        <v>7.6807162304169847E-3</v>
      </c>
      <c r="F50" s="2">
        <f t="shared" si="9"/>
        <v>18.5</v>
      </c>
      <c r="H50" s="129">
        <f t="shared" si="10"/>
        <v>10.799087019966281</v>
      </c>
    </row>
    <row r="51" spans="2:8" x14ac:dyDescent="0.3">
      <c r="B51" s="1">
        <f t="shared" si="6"/>
        <v>38</v>
      </c>
      <c r="C51" s="12">
        <f t="shared" si="7"/>
        <v>5.4</v>
      </c>
      <c r="D51" s="12">
        <f t="shared" si="8"/>
        <v>0.72533158872918813</v>
      </c>
      <c r="E51" s="15">
        <f t="shared" si="4"/>
        <v>7.2854789949414146E-3</v>
      </c>
      <c r="F51" s="2">
        <f t="shared" si="9"/>
        <v>19</v>
      </c>
      <c r="H51" s="129">
        <f t="shared" si="10"/>
        <v>10.797079870503177</v>
      </c>
    </row>
    <row r="52" spans="2:8" x14ac:dyDescent="0.3">
      <c r="B52" s="1">
        <f t="shared" si="6"/>
        <v>39</v>
      </c>
      <c r="C52" s="12">
        <f t="shared" si="7"/>
        <v>5.4</v>
      </c>
      <c r="D52" s="12">
        <f t="shared" si="8"/>
        <v>0.68800719822545719</v>
      </c>
      <c r="E52" s="15">
        <f t="shared" si="4"/>
        <v>6.9105800284006789E-3</v>
      </c>
      <c r="F52" s="2">
        <f t="shared" si="9"/>
        <v>19.5</v>
      </c>
      <c r="H52" s="129">
        <f t="shared" si="10"/>
        <v>10.780504844305058</v>
      </c>
    </row>
    <row r="53" spans="2:8" x14ac:dyDescent="0.3">
      <c r="B53" s="1">
        <f t="shared" si="6"/>
        <v>40</v>
      </c>
      <c r="C53" s="12">
        <f t="shared" si="7"/>
        <v>5.4</v>
      </c>
      <c r="D53" s="12">
        <f t="shared" si="8"/>
        <v>0.65260346049367524</v>
      </c>
      <c r="E53" s="15">
        <f t="shared" si="4"/>
        <v>6.5549727563677289E-3</v>
      </c>
      <c r="F53" s="2">
        <f t="shared" si="9"/>
        <v>20</v>
      </c>
      <c r="H53" s="129">
        <f t="shared" si="10"/>
        <v>10.750155320443076</v>
      </c>
    </row>
    <row r="54" spans="2:8" x14ac:dyDescent="0.3">
      <c r="B54" s="1">
        <f t="shared" si="6"/>
        <v>41</v>
      </c>
      <c r="C54" s="12">
        <f t="shared" si="7"/>
        <v>5.4</v>
      </c>
      <c r="D54" s="12">
        <f t="shared" si="8"/>
        <v>0.61902154184839964</v>
      </c>
      <c r="E54" s="15">
        <f t="shared" si="4"/>
        <v>6.2176644594429493E-3</v>
      </c>
      <c r="F54" s="2">
        <f t="shared" si="9"/>
        <v>20.5</v>
      </c>
      <c r="H54" s="129">
        <f t="shared" si="10"/>
        <v>10.706818199160759</v>
      </c>
    </row>
    <row r="55" spans="2:8" x14ac:dyDescent="0.3">
      <c r="B55" s="1">
        <f t="shared" si="6"/>
        <v>42</v>
      </c>
      <c r="C55" s="12">
        <f t="shared" si="7"/>
        <v>5.4</v>
      </c>
      <c r="D55" s="12">
        <f t="shared" si="8"/>
        <v>0.58716769442579997</v>
      </c>
      <c r="E55" s="15">
        <f t="shared" si="4"/>
        <v>5.8977135019615363E-3</v>
      </c>
      <c r="F55" s="2">
        <f t="shared" si="9"/>
        <v>21</v>
      </c>
      <c r="H55" s="129">
        <f t="shared" si="10"/>
        <v>10.651270584542534</v>
      </c>
    </row>
    <row r="56" spans="2:8" x14ac:dyDescent="0.3">
      <c r="B56" s="1">
        <f t="shared" si="6"/>
        <v>43</v>
      </c>
      <c r="C56" s="12">
        <f t="shared" si="7"/>
        <v>5.4</v>
      </c>
      <c r="D56" s="12">
        <f t="shared" si="8"/>
        <v>0.55695299447550406</v>
      </c>
      <c r="E56" s="15">
        <f t="shared" si="4"/>
        <v>5.594226703307126E-3</v>
      </c>
      <c r="F56" s="2">
        <f t="shared" si="9"/>
        <v>21.5</v>
      </c>
      <c r="H56" s="129">
        <f t="shared" si="10"/>
        <v>10.584276922657082</v>
      </c>
    </row>
    <row r="57" spans="2:8" x14ac:dyDescent="0.3">
      <c r="B57" s="1">
        <f t="shared" si="6"/>
        <v>44</v>
      </c>
      <c r="C57" s="12">
        <f t="shared" si="7"/>
        <v>5.4</v>
      </c>
      <c r="D57" s="12">
        <f t="shared" si="8"/>
        <v>0.52829309411951997</v>
      </c>
      <c r="E57" s="15">
        <f t="shared" si="4"/>
        <v>5.3063568444933606E-3</v>
      </c>
      <c r="F57" s="2">
        <f t="shared" si="9"/>
        <v>22</v>
      </c>
      <c r="H57" s="129">
        <f t="shared" si="10"/>
        <v>10.506586552096854</v>
      </c>
    </row>
    <row r="58" spans="2:8" x14ac:dyDescent="0.3">
      <c r="B58" s="1">
        <f t="shared" si="6"/>
        <v>45</v>
      </c>
      <c r="C58" s="12">
        <f t="shared" si="7"/>
        <v>5.4</v>
      </c>
      <c r="D58" s="12">
        <f t="shared" si="8"/>
        <v>0.50110798588524552</v>
      </c>
      <c r="E58" s="15">
        <f t="shared" si="4"/>
        <v>5.0333003030527497E-3</v>
      </c>
      <c r="F58" s="2">
        <f t="shared" si="9"/>
        <v>22.5</v>
      </c>
      <c r="H58" s="129">
        <f t="shared" si="10"/>
        <v>10.418931627319191</v>
      </c>
    </row>
    <row r="59" spans="2:8" x14ac:dyDescent="0.3">
      <c r="B59" s="1">
        <f t="shared" si="6"/>
        <v>46</v>
      </c>
      <c r="C59" s="12">
        <f t="shared" si="7"/>
        <v>5.4</v>
      </c>
      <c r="D59" s="12">
        <f t="shared" si="8"/>
        <v>0.47532177935522457</v>
      </c>
      <c r="E59" s="15">
        <f t="shared" si="4"/>
        <v>4.7742948096303056E-3</v>
      </c>
      <c r="F59" s="2">
        <f t="shared" si="9"/>
        <v>23</v>
      </c>
      <c r="H59" s="129">
        <f t="shared" si="10"/>
        <v>10.322025378420721</v>
      </c>
    </row>
    <row r="60" spans="2:8" x14ac:dyDescent="0.3">
      <c r="B60" s="1">
        <f t="shared" si="6"/>
        <v>47</v>
      </c>
      <c r="C60" s="12">
        <f t="shared" si="7"/>
        <v>5.4</v>
      </c>
      <c r="D60" s="12">
        <f t="shared" si="8"/>
        <v>0.45086248931014916</v>
      </c>
      <c r="E60" s="15">
        <f t="shared" si="4"/>
        <v>4.5286173200192624E-3</v>
      </c>
      <c r="F60" s="2">
        <f t="shared" si="9"/>
        <v>23.5</v>
      </c>
      <c r="H60" s="129">
        <f t="shared" si="10"/>
        <v>10.216560673963455</v>
      </c>
    </row>
    <row r="61" spans="2:8" x14ac:dyDescent="0.3">
      <c r="B61" s="1">
        <f t="shared" si="2"/>
        <v>48</v>
      </c>
      <c r="C61" s="12">
        <f t="shared" si="3"/>
        <v>5.4</v>
      </c>
      <c r="D61" s="12">
        <f t="shared" si="0"/>
        <v>0.42766183477367714</v>
      </c>
      <c r="E61" s="15">
        <f t="shared" si="4"/>
        <v>4.2955819966983754E-3</v>
      </c>
      <c r="F61" s="2">
        <f t="shared" si="5"/>
        <v>24</v>
      </c>
      <c r="H61" s="129">
        <f t="shared" si="1"/>
        <v>10.103208856234579</v>
      </c>
    </row>
    <row r="62" spans="2:8" x14ac:dyDescent="0.3">
      <c r="B62" s="1">
        <f t="shared" si="2"/>
        <v>49</v>
      </c>
      <c r="C62" s="12">
        <f t="shared" si="3"/>
        <v>5.4</v>
      </c>
      <c r="D62" s="12">
        <f t="shared" si="0"/>
        <v>0.4056550483980812</v>
      </c>
      <c r="E62" s="15">
        <f t="shared" si="4"/>
        <v>4.0745382942360677E-3</v>
      </c>
      <c r="F62" s="2">
        <f t="shared" si="5"/>
        <v>24.5</v>
      </c>
      <c r="H62" s="129">
        <f t="shared" si="1"/>
        <v>9.9826188208783666</v>
      </c>
    </row>
    <row r="63" spans="2:8" x14ac:dyDescent="0.3">
      <c r="B63" s="1">
        <f t="shared" si="2"/>
        <v>50</v>
      </c>
      <c r="C63" s="12">
        <f t="shared" si="3"/>
        <v>5.4</v>
      </c>
      <c r="D63" s="12">
        <f t="shared" si="0"/>
        <v>0.38478069565860212</v>
      </c>
      <c r="E63" s="15">
        <f t="shared" si="4"/>
        <v>3.8648691432165701E-3</v>
      </c>
      <c r="F63" s="2">
        <f t="shared" si="5"/>
        <v>25</v>
      </c>
      <c r="H63" s="129">
        <f t="shared" si="1"/>
        <v>9.8554163152022536</v>
      </c>
    </row>
    <row r="64" spans="2:8" x14ac:dyDescent="0.3">
      <c r="B64" s="1">
        <f t="shared" si="2"/>
        <v>51</v>
      </c>
      <c r="C64" s="12">
        <f t="shared" si="3"/>
        <v>5.4</v>
      </c>
      <c r="D64" s="12">
        <f t="shared" si="0"/>
        <v>0.36498050335176874</v>
      </c>
      <c r="E64" s="15">
        <f t="shared" si="4"/>
        <v>3.665989227618279E-3</v>
      </c>
      <c r="F64" s="2">
        <f t="shared" si="5"/>
        <v>25.5</v>
      </c>
      <c r="H64" s="129">
        <f t="shared" si="1"/>
        <v>9.7222034316436758</v>
      </c>
    </row>
    <row r="65" spans="2:13" x14ac:dyDescent="0.3">
      <c r="B65" s="1">
        <f t="shared" si="2"/>
        <v>52</v>
      </c>
      <c r="C65" s="12">
        <f t="shared" si="3"/>
        <v>5.4</v>
      </c>
      <c r="D65" s="12">
        <f t="shared" si="0"/>
        <v>0.34619919691891743</v>
      </c>
      <c r="E65" s="15">
        <f t="shared" si="4"/>
        <v>3.4773433508354552E-3</v>
      </c>
      <c r="F65" s="2">
        <f t="shared" si="5"/>
        <v>26</v>
      </c>
      <c r="H65" s="129">
        <f t="shared" si="1"/>
        <v>9.583558274902515</v>
      </c>
    </row>
    <row r="66" spans="2:13" x14ac:dyDescent="0.3">
      <c r="B66" s="1">
        <f t="shared" si="2"/>
        <v>53</v>
      </c>
      <c r="C66" s="12">
        <f t="shared" si="3"/>
        <v>5.4</v>
      </c>
      <c r="D66" s="12">
        <f t="shared" si="0"/>
        <v>0.3283843461407801</v>
      </c>
      <c r="E66" s="15">
        <f t="shared" si="4"/>
        <v>3.298404885781793E-3</v>
      </c>
      <c r="F66" s="2">
        <f t="shared" si="5"/>
        <v>26.5</v>
      </c>
      <c r="H66" s="129">
        <f t="shared" si="1"/>
        <v>9.4400347831074907</v>
      </c>
    </row>
    <row r="67" spans="2:13" x14ac:dyDescent="0.3">
      <c r="B67" s="1">
        <f t="shared" si="2"/>
        <v>54</v>
      </c>
      <c r="C67" s="12">
        <f t="shared" si="3"/>
        <v>5.4</v>
      </c>
      <c r="D67" s="12">
        <f t="shared" si="0"/>
        <v>0.31148621877237864</v>
      </c>
      <c r="E67" s="15">
        <f t="shared" si="4"/>
        <v>3.1286743047491523E-3</v>
      </c>
      <c r="F67" s="2">
        <f t="shared" si="5"/>
        <v>27</v>
      </c>
      <c r="H67" s="129">
        <f t="shared" si="1"/>
        <v>9.2921626851049819</v>
      </c>
      <c r="J67" t="s">
        <v>323</v>
      </c>
      <c r="K67">
        <v>9.3123908638601733</v>
      </c>
      <c r="L67">
        <v>99.558531324133043</v>
      </c>
      <c r="M67" s="137">
        <f>L67/$L$69</f>
        <v>0.49990878494473306</v>
      </c>
    </row>
    <row r="68" spans="2:13" x14ac:dyDescent="0.3">
      <c r="B68" s="1">
        <f t="shared" si="2"/>
        <v>55</v>
      </c>
      <c r="C68" s="12">
        <f t="shared" si="3"/>
        <v>5.4</v>
      </c>
      <c r="D68" s="12">
        <f t="shared" si="0"/>
        <v>0.29545764170963118</v>
      </c>
      <c r="E68" s="15">
        <f t="shared" si="4"/>
        <v>2.9676777849173843E-3</v>
      </c>
      <c r="F68" s="2">
        <f t="shared" si="5"/>
        <v>27.5</v>
      </c>
      <c r="H68" s="129">
        <f t="shared" si="1"/>
        <v>9.1404475775455438</v>
      </c>
      <c r="J68" t="s">
        <v>324</v>
      </c>
      <c r="K68">
        <v>8.5487227722989427</v>
      </c>
      <c r="L68">
        <v>99.594862899854519</v>
      </c>
      <c r="M68" s="137">
        <f>L68/$L$69</f>
        <v>0.50009121505526688</v>
      </c>
    </row>
    <row r="69" spans="2:13" ht="15" thickBot="1" x14ac:dyDescent="0.35">
      <c r="B69" s="1">
        <f t="shared" si="2"/>
        <v>56</v>
      </c>
      <c r="C69" s="12">
        <f t="shared" si="3"/>
        <v>5.4</v>
      </c>
      <c r="D69" s="12">
        <f t="shared" si="0"/>
        <v>0.28025386930010071</v>
      </c>
      <c r="E69" s="15">
        <f t="shared" si="4"/>
        <v>2.8149658856223706E-3</v>
      </c>
      <c r="F69" s="2">
        <f t="shared" si="5"/>
        <v>28</v>
      </c>
      <c r="H69" s="129">
        <f t="shared" si="1"/>
        <v>8.9853711069066069</v>
      </c>
      <c r="L69" s="145">
        <f>SUM(L67:L68)</f>
        <v>199.15339422398756</v>
      </c>
      <c r="M69" s="13">
        <f>SUM(M67:M68)</f>
        <v>1</v>
      </c>
    </row>
    <row r="70" spans="2:13" x14ac:dyDescent="0.3">
      <c r="B70" s="1">
        <f t="shared" si="2"/>
        <v>57</v>
      </c>
      <c r="C70" s="12">
        <f t="shared" si="3"/>
        <v>5.4</v>
      </c>
      <c r="D70" s="12">
        <f t="shared" si="0"/>
        <v>0.26583245843025921</v>
      </c>
      <c r="E70" s="15">
        <f t="shared" si="4"/>
        <v>2.670112293689705E-3</v>
      </c>
      <c r="F70" s="2">
        <f t="shared" si="5"/>
        <v>28.5</v>
      </c>
      <c r="H70" s="129">
        <f t="shared" si="1"/>
        <v>8.8273912429381642</v>
      </c>
    </row>
    <row r="71" spans="2:13" x14ac:dyDescent="0.3">
      <c r="B71" s="1">
        <f t="shared" si="2"/>
        <v>58</v>
      </c>
      <c r="C71" s="12">
        <f t="shared" si="3"/>
        <v>5.4</v>
      </c>
      <c r="D71" s="12">
        <f t="shared" si="0"/>
        <v>0.25215315004055888</v>
      </c>
      <c r="E71" s="15">
        <f t="shared" si="4"/>
        <v>2.5327126333314722E-3</v>
      </c>
      <c r="F71" s="2">
        <f t="shared" si="5"/>
        <v>29</v>
      </c>
      <c r="H71" s="129">
        <f t="shared" si="1"/>
        <v>8.666942631260298</v>
      </c>
      <c r="K71" t="s">
        <v>325</v>
      </c>
      <c r="L71">
        <f>(K67*M67)+(K68*M68)</f>
        <v>8.9304871600523796</v>
      </c>
    </row>
    <row r="72" spans="2:13" x14ac:dyDescent="0.3">
      <c r="B72" s="1">
        <f t="shared" si="2"/>
        <v>59</v>
      </c>
      <c r="C72" s="12">
        <f t="shared" si="3"/>
        <v>5.4</v>
      </c>
      <c r="D72" s="12">
        <f t="shared" si="0"/>
        <v>0.23917775673754701</v>
      </c>
      <c r="E72" s="15">
        <f t="shared" si="4"/>
        <v>2.4023833372838256E-3</v>
      </c>
      <c r="F72" s="2">
        <f t="shared" si="5"/>
        <v>29.5</v>
      </c>
      <c r="H72" s="129">
        <f t="shared" si="1"/>
        <v>8.5044370139847416</v>
      </c>
    </row>
    <row r="73" spans="2:13" x14ac:dyDescent="0.3">
      <c r="B73" s="1">
        <f t="shared" si="2"/>
        <v>60</v>
      </c>
      <c r="C73" s="12">
        <f>C72+C4</f>
        <v>105.4</v>
      </c>
      <c r="D73" s="12">
        <f t="shared" si="0"/>
        <v>4.4281673930277723</v>
      </c>
      <c r="E73" s="15">
        <f>D73/$D$74</f>
        <v>4.4478030502589208E-2</v>
      </c>
      <c r="F73" s="2">
        <f>($C$6*B73)/360</f>
        <v>30</v>
      </c>
      <c r="H73" s="129">
        <f t="shared" si="1"/>
        <v>162.7895916394765</v>
      </c>
    </row>
    <row r="74" spans="2:13" ht="15" thickBot="1" x14ac:dyDescent="0.35">
      <c r="D74" s="133">
        <f>SUM(D14:D73)</f>
        <v>99.558531324133043</v>
      </c>
      <c r="E74" s="138">
        <f>SUM(E14:E73)</f>
        <v>1.0000000000000002</v>
      </c>
      <c r="F74" s="50">
        <f>SUMPRODUCT(E14:E73,F14:F73)</f>
        <v>9.3123908638601733</v>
      </c>
      <c r="G74" s="18" t="s">
        <v>280</v>
      </c>
      <c r="H74" s="139">
        <f>SUM(H14:H73)/(1+(C8*(C6/360)))^2</f>
        <v>563.39484300354388</v>
      </c>
      <c r="I74" s="18" t="s">
        <v>3</v>
      </c>
    </row>
    <row r="75" spans="2:13" x14ac:dyDescent="0.3">
      <c r="B75" t="s">
        <v>305</v>
      </c>
      <c r="C75" s="134">
        <f>PV((C8*(C6/360)),C10,C11,C4)</f>
        <v>-99.5585313241329</v>
      </c>
      <c r="F75" s="51">
        <f>F74/(1+(C8*(C6/360)))</f>
        <v>8.8331902905953754</v>
      </c>
      <c r="G75" s="18" t="s">
        <v>317</v>
      </c>
    </row>
    <row r="77" spans="2:13" x14ac:dyDescent="0.3">
      <c r="B77" s="161" t="s">
        <v>318</v>
      </c>
      <c r="C77" s="161"/>
    </row>
    <row r="78" spans="2:13" x14ac:dyDescent="0.3">
      <c r="B78" s="143" t="s">
        <v>289</v>
      </c>
      <c r="C78" s="142">
        <v>14</v>
      </c>
    </row>
    <row r="80" spans="2:13" ht="15" thickBot="1" x14ac:dyDescent="0.35">
      <c r="B80" s="150" t="s">
        <v>6</v>
      </c>
      <c r="C80" s="150"/>
    </row>
    <row r="81" spans="2:7" x14ac:dyDescent="0.3">
      <c r="B81" s="17" t="s">
        <v>0</v>
      </c>
      <c r="C81" s="19">
        <f>C4</f>
        <v>100</v>
      </c>
    </row>
    <row r="82" spans="2:7" x14ac:dyDescent="0.3">
      <c r="B82" s="5" t="s">
        <v>1</v>
      </c>
      <c r="C82" s="6">
        <f>C5-C78</f>
        <v>10786</v>
      </c>
    </row>
    <row r="83" spans="2:7" x14ac:dyDescent="0.3">
      <c r="B83" s="5" t="s">
        <v>17</v>
      </c>
      <c r="C83" s="6">
        <f>C6</f>
        <v>180</v>
      </c>
    </row>
    <row r="84" spans="2:7" x14ac:dyDescent="0.3">
      <c r="B84" s="5" t="s">
        <v>301</v>
      </c>
      <c r="C84" s="24">
        <f>C7</f>
        <v>0.108</v>
      </c>
    </row>
    <row r="85" spans="2:7" ht="15" thickBot="1" x14ac:dyDescent="0.35">
      <c r="B85" s="135" t="s">
        <v>302</v>
      </c>
      <c r="C85" s="85">
        <v>0.10349999999999999</v>
      </c>
    </row>
    <row r="87" spans="2:7" x14ac:dyDescent="0.3">
      <c r="B87" t="s">
        <v>306</v>
      </c>
      <c r="C87" s="2">
        <f>ROUNDDOWN((C82/C83),0)</f>
        <v>59</v>
      </c>
    </row>
    <row r="88" spans="2:7" x14ac:dyDescent="0.3">
      <c r="B88" t="s">
        <v>25</v>
      </c>
      <c r="C88" s="12">
        <f>C81*C84*(C83/360)</f>
        <v>5.4</v>
      </c>
      <c r="F88" t="s">
        <v>319</v>
      </c>
      <c r="G88" s="10">
        <v>105.30154705352278</v>
      </c>
    </row>
    <row r="89" spans="2:7" x14ac:dyDescent="0.3">
      <c r="B89" t="s">
        <v>307</v>
      </c>
      <c r="C89" s="14">
        <f>((C87+1)*C83)-C82</f>
        <v>14</v>
      </c>
      <c r="F89" t="s">
        <v>320</v>
      </c>
      <c r="G89" s="10">
        <v>99.932457367395216</v>
      </c>
    </row>
    <row r="90" spans="2:7" x14ac:dyDescent="0.3">
      <c r="B90" t="s">
        <v>308</v>
      </c>
      <c r="C90" s="14">
        <f>C83-C89</f>
        <v>166</v>
      </c>
      <c r="F90" t="s">
        <v>321</v>
      </c>
      <c r="G90" s="12">
        <f>C88</f>
        <v>5.4</v>
      </c>
    </row>
    <row r="91" spans="2:7" x14ac:dyDescent="0.3">
      <c r="F91" t="s">
        <v>233</v>
      </c>
      <c r="G91" s="15">
        <f>(((G89+G90)/G88)-1)*360</f>
        <v>0.10567473418433337</v>
      </c>
    </row>
    <row r="92" spans="2:7" x14ac:dyDescent="0.3">
      <c r="B92" t="s">
        <v>309</v>
      </c>
      <c r="C92" s="129">
        <f>ABS(PV((C85*(C83/360)),C87,C88,C81))</f>
        <v>104.1262956300005</v>
      </c>
    </row>
    <row r="93" spans="2:7" x14ac:dyDescent="0.3">
      <c r="B93" t="s">
        <v>310</v>
      </c>
      <c r="C93" s="12">
        <f>IF(C90=0,0,C88)</f>
        <v>5.4</v>
      </c>
    </row>
    <row r="94" spans="2:7" x14ac:dyDescent="0.3">
      <c r="B94" t="s">
        <v>311</v>
      </c>
      <c r="C94" s="12">
        <f>C92+C93</f>
        <v>109.5262956300005</v>
      </c>
    </row>
    <row r="95" spans="2:7" ht="23.4" x14ac:dyDescent="0.45">
      <c r="B95" t="s">
        <v>312</v>
      </c>
      <c r="C95" s="140">
        <f>C94/(1+(C85*(C83/360)))^(C90/C83)</f>
        <v>104.54666554329772</v>
      </c>
      <c r="D95" s="141" t="s">
        <v>313</v>
      </c>
    </row>
    <row r="96" spans="2:7" x14ac:dyDescent="0.3">
      <c r="B96" t="s">
        <v>314</v>
      </c>
      <c r="C96" s="129">
        <f>IF(C90=0,0,(C81*C84*(C89/360)))</f>
        <v>0.42000000000000004</v>
      </c>
    </row>
    <row r="97" spans="2:4" x14ac:dyDescent="0.3">
      <c r="C97" s="136">
        <f>C95-C96</f>
        <v>104.12666554329772</v>
      </c>
      <c r="D97" s="124" t="s">
        <v>315</v>
      </c>
    </row>
    <row r="100" spans="2:4" x14ac:dyDescent="0.3">
      <c r="B100" t="s">
        <v>288</v>
      </c>
      <c r="C100" s="12">
        <f>D74</f>
        <v>99.558531324133043</v>
      </c>
    </row>
    <row r="101" spans="2:4" x14ac:dyDescent="0.3">
      <c r="B101" t="s">
        <v>290</v>
      </c>
      <c r="C101" s="129">
        <f>C95</f>
        <v>104.54666554329772</v>
      </c>
    </row>
    <row r="102" spans="2:4" x14ac:dyDescent="0.3">
      <c r="B102" s="18" t="s">
        <v>322</v>
      </c>
      <c r="C102" s="144">
        <f>(C101/C100-1)*(360/C78)</f>
        <v>1.2883507499242755</v>
      </c>
    </row>
  </sheetData>
  <mergeCells count="4">
    <mergeCell ref="B1:I1"/>
    <mergeCell ref="B3:C3"/>
    <mergeCell ref="B77:C77"/>
    <mergeCell ref="B80:C80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161A-8CA0-4609-AFDE-CD9FDAB77B0B}">
  <dimension ref="B2:P42"/>
  <sheetViews>
    <sheetView topLeftCell="E27" zoomScale="160" zoomScaleNormal="160" workbookViewId="0">
      <selection activeCell="E41" sqref="E41"/>
    </sheetView>
  </sheetViews>
  <sheetFormatPr baseColWidth="10" defaultRowHeight="14.4" x14ac:dyDescent="0.3"/>
  <cols>
    <col min="2" max="2" width="17.109375" customWidth="1"/>
    <col min="5" max="5" width="16.77734375" customWidth="1"/>
    <col min="6" max="6" width="16.33203125" style="1" customWidth="1"/>
    <col min="7" max="7" width="14.21875" style="1" customWidth="1"/>
    <col min="8" max="8" width="16" style="1" customWidth="1"/>
    <col min="9" max="9" width="12.88671875" style="1" customWidth="1"/>
    <col min="10" max="10" width="11.88671875" style="1" bestFit="1" customWidth="1"/>
    <col min="11" max="11" width="11.5546875" style="1"/>
    <col min="12" max="12" width="15.77734375" style="1" customWidth="1"/>
    <col min="13" max="13" width="12.77734375" bestFit="1" customWidth="1"/>
    <col min="14" max="14" width="11.88671875" bestFit="1" customWidth="1"/>
  </cols>
  <sheetData>
    <row r="2" spans="2:16" ht="18" x14ac:dyDescent="0.35">
      <c r="B2" s="167" t="s">
        <v>5</v>
      </c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</row>
    <row r="3" spans="2:16" ht="18" x14ac:dyDescent="0.35">
      <c r="B3" s="167" t="s">
        <v>216</v>
      </c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167"/>
    </row>
    <row r="5" spans="2:16" ht="18.600000000000001" thickBot="1" x14ac:dyDescent="0.4">
      <c r="B5" s="149" t="s">
        <v>6</v>
      </c>
      <c r="C5" s="149"/>
      <c r="E5" s="168" t="s">
        <v>7</v>
      </c>
      <c r="F5" s="168"/>
      <c r="G5" s="168"/>
      <c r="H5" s="168"/>
      <c r="I5" s="168"/>
      <c r="J5" s="168"/>
      <c r="K5" s="168"/>
      <c r="L5" s="168"/>
      <c r="M5" s="168"/>
      <c r="N5" s="168"/>
    </row>
    <row r="6" spans="2:16" x14ac:dyDescent="0.3">
      <c r="B6" s="17" t="s">
        <v>0</v>
      </c>
      <c r="C6" s="19">
        <v>100</v>
      </c>
      <c r="F6" s="16" t="s">
        <v>8</v>
      </c>
      <c r="G6" s="16" t="s">
        <v>9</v>
      </c>
      <c r="H6" s="16" t="s">
        <v>10</v>
      </c>
      <c r="I6" s="16" t="s">
        <v>11</v>
      </c>
      <c r="J6" s="16" t="s">
        <v>12</v>
      </c>
      <c r="K6" s="16" t="s">
        <v>13</v>
      </c>
      <c r="L6" s="16" t="s">
        <v>14</v>
      </c>
      <c r="M6" s="16" t="s">
        <v>15</v>
      </c>
      <c r="N6" s="16" t="s">
        <v>16</v>
      </c>
    </row>
    <row r="7" spans="2:16" x14ac:dyDescent="0.3">
      <c r="B7" s="5" t="s">
        <v>1</v>
      </c>
      <c r="C7" s="84">
        <v>1456</v>
      </c>
      <c r="D7" s="9"/>
      <c r="E7" s="16" t="s">
        <v>9</v>
      </c>
      <c r="F7" s="83">
        <v>0.03</v>
      </c>
      <c r="G7" s="83">
        <v>0.85</v>
      </c>
      <c r="H7" s="83">
        <v>0.08</v>
      </c>
      <c r="I7" s="83">
        <v>0.02</v>
      </c>
      <c r="J7" s="83">
        <v>0.01</v>
      </c>
      <c r="K7" s="83">
        <v>5.0000000000000001E-3</v>
      </c>
      <c r="L7" s="83">
        <v>5.0000000000000001E-3</v>
      </c>
      <c r="M7" s="83">
        <v>0</v>
      </c>
      <c r="N7" s="21">
        <f>SUM(F7:M7)</f>
        <v>1</v>
      </c>
    </row>
    <row r="8" spans="2:16" x14ac:dyDescent="0.3">
      <c r="B8" s="5" t="s">
        <v>17</v>
      </c>
      <c r="C8" s="6">
        <v>182</v>
      </c>
      <c r="E8" s="1" t="s">
        <v>18</v>
      </c>
      <c r="F8" s="22">
        <v>0</v>
      </c>
      <c r="G8" s="23">
        <f>+F8+0.5%</f>
        <v>5.0000000000000001E-3</v>
      </c>
      <c r="H8" s="22">
        <f t="shared" ref="H8:M8" si="0">+G8+0.5%</f>
        <v>0.01</v>
      </c>
      <c r="I8" s="22">
        <f t="shared" si="0"/>
        <v>1.4999999999999999E-2</v>
      </c>
      <c r="J8" s="22">
        <f t="shared" si="0"/>
        <v>0.02</v>
      </c>
      <c r="K8" s="22">
        <f t="shared" si="0"/>
        <v>2.5000000000000001E-2</v>
      </c>
      <c r="L8" s="22">
        <f t="shared" si="0"/>
        <v>3.0000000000000002E-2</v>
      </c>
      <c r="M8" s="22">
        <f t="shared" si="0"/>
        <v>3.5000000000000003E-2</v>
      </c>
    </row>
    <row r="9" spans="2:16" x14ac:dyDescent="0.3">
      <c r="B9" s="5" t="s">
        <v>19</v>
      </c>
      <c r="C9" s="24">
        <v>0.11600000000000001</v>
      </c>
      <c r="E9" s="28" t="s">
        <v>31</v>
      </c>
      <c r="F9" s="29">
        <f>ABS(PV((($C$10+F8)*($C$8/360)),$C$16,$C$17,$C$6))</f>
        <v>99.68500157576868</v>
      </c>
      <c r="G9" s="32">
        <f t="shared" ref="G9:M9" si="1">ABS(PV((($C$10+G8)*($C$8/360)),$C$16,$C$17,$C$6))</f>
        <v>98.1288068911133</v>
      </c>
      <c r="H9" s="29">
        <f t="shared" si="1"/>
        <v>96.603417980883876</v>
      </c>
      <c r="I9" s="29">
        <f t="shared" si="1"/>
        <v>95.10813573324242</v>
      </c>
      <c r="J9" s="29">
        <f t="shared" si="1"/>
        <v>93.642278690592022</v>
      </c>
      <c r="K9" s="29">
        <f t="shared" si="1"/>
        <v>92.205182560966364</v>
      </c>
      <c r="L9" s="29">
        <f t="shared" si="1"/>
        <v>90.796199744093613</v>
      </c>
      <c r="M9" s="29">
        <f t="shared" si="1"/>
        <v>89.414698871660548</v>
      </c>
    </row>
    <row r="10" spans="2:16" ht="15" thickBot="1" x14ac:dyDescent="0.35">
      <c r="B10" s="7" t="s">
        <v>20</v>
      </c>
      <c r="C10" s="85">
        <v>0.11700000000000001</v>
      </c>
      <c r="F10" s="33"/>
      <c r="G10" s="33"/>
      <c r="H10" s="33"/>
      <c r="I10" s="33"/>
      <c r="J10" s="33"/>
      <c r="K10" s="33"/>
      <c r="L10" s="33"/>
      <c r="M10" s="10"/>
      <c r="P10" s="25"/>
    </row>
    <row r="11" spans="2:16" x14ac:dyDescent="0.3">
      <c r="B11" s="5" t="s">
        <v>21</v>
      </c>
      <c r="C11" s="4" t="s">
        <v>9</v>
      </c>
      <c r="E11" s="18" t="s">
        <v>21</v>
      </c>
      <c r="F11" s="16" t="s">
        <v>32</v>
      </c>
      <c r="G11" s="16" t="s">
        <v>33</v>
      </c>
      <c r="H11" s="16" t="s">
        <v>34</v>
      </c>
      <c r="P11" s="25"/>
    </row>
    <row r="12" spans="2:16" x14ac:dyDescent="0.3">
      <c r="B12" s="5" t="s">
        <v>22</v>
      </c>
      <c r="C12" s="26">
        <v>0.15</v>
      </c>
      <c r="E12" s="16" t="s">
        <v>8</v>
      </c>
      <c r="F12" s="20" cm="1">
        <f t="array" ref="F12:F19">TRANSPOSE(F7:M7)</f>
        <v>0.03</v>
      </c>
      <c r="G12" s="81">
        <f t="array" ref="G12:G19">TRANSPOSE(F9:M9)</f>
        <v>99.68500157576868</v>
      </c>
      <c r="H12" s="30">
        <f>((G12-$G$20)^2)*F12</f>
        <v>9.7535068770539052E-2</v>
      </c>
      <c r="J12" s="34"/>
      <c r="P12" s="25"/>
    </row>
    <row r="13" spans="2:16" x14ac:dyDescent="0.3">
      <c r="B13" s="5" t="s">
        <v>23</v>
      </c>
      <c r="C13" s="6">
        <v>30</v>
      </c>
      <c r="E13" s="16" t="s">
        <v>9</v>
      </c>
      <c r="F13" s="20">
        <v>0.85</v>
      </c>
      <c r="G13" s="81">
        <v>98.1288068911133</v>
      </c>
      <c r="H13" s="30">
        <f t="shared" ref="H13:H19" si="2">((G13-$G$20)^2)*F13</f>
        <v>5.181782376341499E-2</v>
      </c>
      <c r="J13" s="34"/>
      <c r="L13" s="25" t="s">
        <v>217</v>
      </c>
    </row>
    <row r="14" spans="2:16" ht="15" thickBot="1" x14ac:dyDescent="0.35">
      <c r="B14" s="7" t="s">
        <v>24</v>
      </c>
      <c r="C14" s="27">
        <v>0.99</v>
      </c>
      <c r="E14" s="16" t="s">
        <v>10</v>
      </c>
      <c r="F14" s="20">
        <v>0.08</v>
      </c>
      <c r="G14" s="81">
        <v>96.603417980883876</v>
      </c>
      <c r="H14" s="30">
        <f t="shared" si="2"/>
        <v>0.13076166111734627</v>
      </c>
      <c r="J14" s="31"/>
      <c r="L14" s="25" t="s">
        <v>219</v>
      </c>
    </row>
    <row r="15" spans="2:16" x14ac:dyDescent="0.3">
      <c r="E15" s="16" t="s">
        <v>11</v>
      </c>
      <c r="F15" s="20">
        <v>0.02</v>
      </c>
      <c r="G15" s="81">
        <v>95.10813573324242</v>
      </c>
      <c r="H15" s="30">
        <f t="shared" si="2"/>
        <v>0.1538755590118355</v>
      </c>
      <c r="L15" s="25" t="s">
        <v>218</v>
      </c>
    </row>
    <row r="16" spans="2:16" x14ac:dyDescent="0.3">
      <c r="B16" t="s">
        <v>35</v>
      </c>
      <c r="C16" s="14">
        <f>C7/C8</f>
        <v>8</v>
      </c>
      <c r="E16" s="16" t="s">
        <v>12</v>
      </c>
      <c r="F16" s="20">
        <v>0.01</v>
      </c>
      <c r="G16" s="81">
        <v>93.642278690592022</v>
      </c>
      <c r="H16" s="30">
        <f t="shared" si="2"/>
        <v>0.17974403739165595</v>
      </c>
      <c r="J16" s="80" t="s">
        <v>84</v>
      </c>
    </row>
    <row r="17" spans="2:15" x14ac:dyDescent="0.3">
      <c r="B17" t="s">
        <v>25</v>
      </c>
      <c r="C17" s="10">
        <f>C6*C9*(C8/360)</f>
        <v>5.8644444444444446</v>
      </c>
      <c r="E17" s="16" t="s">
        <v>13</v>
      </c>
      <c r="F17" s="20">
        <v>5.0000000000000001E-3</v>
      </c>
      <c r="G17" s="81">
        <v>92.205182560966364</v>
      </c>
      <c r="H17" s="30">
        <f t="shared" si="2"/>
        <v>0.16112570411256005</v>
      </c>
    </row>
    <row r="18" spans="2:15" x14ac:dyDescent="0.3">
      <c r="E18" s="16" t="s">
        <v>14</v>
      </c>
      <c r="F18" s="20">
        <v>5.0000000000000001E-3</v>
      </c>
      <c r="G18" s="81">
        <v>90.796199744093613</v>
      </c>
      <c r="H18" s="30">
        <f t="shared" si="2"/>
        <v>0.25103586502794617</v>
      </c>
      <c r="L18" s="98" t="s">
        <v>220</v>
      </c>
    </row>
    <row r="19" spans="2:15" x14ac:dyDescent="0.3">
      <c r="B19" t="s">
        <v>36</v>
      </c>
      <c r="C19">
        <f>ROUNDUP(NORMSINV(C14),2)</f>
        <v>2.3299999999999996</v>
      </c>
      <c r="E19" s="16" t="s">
        <v>15</v>
      </c>
      <c r="F19" s="20">
        <v>0</v>
      </c>
      <c r="G19" s="81">
        <v>89.414698871660548</v>
      </c>
      <c r="H19" s="30">
        <f t="shared" si="2"/>
        <v>0</v>
      </c>
    </row>
    <row r="20" spans="2:15" x14ac:dyDescent="0.3">
      <c r="E20" s="150" t="s">
        <v>37</v>
      </c>
      <c r="F20" s="150"/>
      <c r="G20" s="82">
        <f>SUMPRODUCT(F12:F19,G12:G19)</f>
        <v>97.88190175628614</v>
      </c>
      <c r="H20" s="35">
        <f>SUM(H12:H19)</f>
        <v>1.0258957191952978</v>
      </c>
      <c r="I20" s="16" t="s">
        <v>38</v>
      </c>
      <c r="J20" s="146"/>
    </row>
    <row r="21" spans="2:15" x14ac:dyDescent="0.3">
      <c r="E21" s="150" t="s">
        <v>39</v>
      </c>
      <c r="F21" s="150"/>
      <c r="G21" s="82">
        <f>G20-G9</f>
        <v>-0.24690513482715915</v>
      </c>
      <c r="H21" s="82">
        <f>SQRT(H20)</f>
        <v>1.0128651041453141</v>
      </c>
      <c r="I21" s="16" t="s">
        <v>40</v>
      </c>
      <c r="J21" s="33"/>
    </row>
    <row r="22" spans="2:15" x14ac:dyDescent="0.3">
      <c r="E22" s="150" t="s">
        <v>41</v>
      </c>
      <c r="F22" s="150"/>
      <c r="G22" s="82">
        <f>-(H21*C19)</f>
        <v>-2.3599756926585815</v>
      </c>
    </row>
    <row r="23" spans="2:15" x14ac:dyDescent="0.3">
      <c r="E23" s="150" t="s">
        <v>42</v>
      </c>
      <c r="F23" s="150"/>
      <c r="G23" s="82">
        <f>G21+G22</f>
        <v>-2.6068808274857407</v>
      </c>
      <c r="H23" s="16" t="s">
        <v>43</v>
      </c>
    </row>
    <row r="24" spans="2:15" x14ac:dyDescent="0.3">
      <c r="E24" s="150" t="s">
        <v>44</v>
      </c>
      <c r="F24" s="150"/>
      <c r="G24" s="36">
        <f>G23/G9</f>
        <v>-2.6565907709225636E-2</v>
      </c>
    </row>
    <row r="25" spans="2:15" x14ac:dyDescent="0.3">
      <c r="H25" s="37" t="s">
        <v>45</v>
      </c>
    </row>
    <row r="26" spans="2:15" x14ac:dyDescent="0.3">
      <c r="H26" s="37"/>
    </row>
    <row r="27" spans="2:15" ht="21" x14ac:dyDescent="0.4">
      <c r="B27" s="166" t="s">
        <v>221</v>
      </c>
      <c r="C27" s="166"/>
      <c r="D27" s="166"/>
      <c r="E27" s="166"/>
      <c r="F27" s="166"/>
      <c r="G27" s="166"/>
      <c r="H27" s="166"/>
      <c r="I27" s="166"/>
      <c r="J27" s="166"/>
      <c r="K27" s="166"/>
      <c r="L27" s="166"/>
      <c r="M27" s="166"/>
      <c r="N27" s="166"/>
    </row>
    <row r="28" spans="2:15" ht="15" thickBot="1" x14ac:dyDescent="0.35">
      <c r="F28" s="38">
        <f>G9</f>
        <v>98.1288068911133</v>
      </c>
    </row>
    <row r="29" spans="2:15" x14ac:dyDescent="0.3">
      <c r="B29" s="17"/>
      <c r="C29" s="39"/>
      <c r="D29" s="39"/>
      <c r="E29" s="39" t="s">
        <v>46</v>
      </c>
      <c r="F29" s="40">
        <f>C10*(1+(C19*C12*SQRT(C13/255)))</f>
        <v>0.1310256687887098</v>
      </c>
      <c r="G29" s="22"/>
      <c r="N29" s="149" t="s">
        <v>47</v>
      </c>
      <c r="O29" s="149"/>
    </row>
    <row r="30" spans="2:15" ht="29.4" thickBot="1" x14ac:dyDescent="0.35">
      <c r="B30" s="5"/>
      <c r="E30" s="41" t="s">
        <v>48</v>
      </c>
      <c r="F30" s="42">
        <f>ABS(PV(((F29+G8)*(C8/360)),C16,C17,C6))</f>
        <v>93.925648028428967</v>
      </c>
      <c r="H30" s="163" t="s">
        <v>49</v>
      </c>
      <c r="I30" s="163"/>
      <c r="J30" s="163"/>
      <c r="K30" s="163"/>
      <c r="L30" s="163"/>
      <c r="M30" s="163"/>
      <c r="N30" s="163"/>
    </row>
    <row r="31" spans="2:15" ht="15" thickBot="1" x14ac:dyDescent="0.35">
      <c r="B31" s="164" t="s">
        <v>50</v>
      </c>
      <c r="C31" s="165"/>
      <c r="D31" s="165"/>
      <c r="E31" s="43" t="s">
        <v>51</v>
      </c>
      <c r="F31" s="147">
        <f>F30-G9</f>
        <v>-4.203158862684333</v>
      </c>
      <c r="H31" s="16" t="s">
        <v>52</v>
      </c>
      <c r="I31" s="16" t="s">
        <v>26</v>
      </c>
      <c r="J31" s="16" t="s">
        <v>53</v>
      </c>
      <c r="K31" s="16" t="s">
        <v>27</v>
      </c>
      <c r="L31" s="16" t="s">
        <v>54</v>
      </c>
      <c r="M31" s="16" t="s">
        <v>28</v>
      </c>
      <c r="N31" s="16" t="s">
        <v>3</v>
      </c>
    </row>
    <row r="32" spans="2:15" x14ac:dyDescent="0.3">
      <c r="H32" s="1">
        <v>1</v>
      </c>
      <c r="I32" s="30">
        <f>C17</f>
        <v>5.8644444444444446</v>
      </c>
      <c r="J32" s="30">
        <f>I32/(1+(($C$10+$G$8)*($C$8/360)))^H32</f>
        <v>5.5237517137444927</v>
      </c>
      <c r="K32" s="22">
        <f>J32/$J$40</f>
        <v>5.6290827217269759E-2</v>
      </c>
      <c r="L32" s="44">
        <f>($C$8*H32)/360</f>
        <v>0.50555555555555554</v>
      </c>
      <c r="M32" s="11">
        <f>K32*L32</f>
        <v>2.8458140426508599E-2</v>
      </c>
      <c r="N32" s="45">
        <f t="shared" ref="N32:N39" si="3">(H32*(H32+1))*K32</f>
        <v>0.11258165443453952</v>
      </c>
    </row>
    <row r="33" spans="2:16" x14ac:dyDescent="0.3">
      <c r="E33" s="16" t="s">
        <v>55</v>
      </c>
      <c r="F33" s="82">
        <f>G23+F31</f>
        <v>-6.8100396901700737</v>
      </c>
      <c r="H33" s="1">
        <v>2</v>
      </c>
      <c r="I33" s="30">
        <f>I32</f>
        <v>5.8644444444444446</v>
      </c>
      <c r="J33" s="30">
        <f t="shared" ref="J33:J39" si="4">I33/(1+(($C$10+$G$8)*($C$8/360)))^H33</f>
        <v>5.2028514012098714</v>
      </c>
      <c r="K33" s="22">
        <f t="shared" ref="K33:K39" si="5">J33/$J$40</f>
        <v>5.302063243246307E-2</v>
      </c>
      <c r="L33" s="44">
        <f t="shared" ref="L33:L39" si="6">($C$8*H33)/360</f>
        <v>1.0111111111111111</v>
      </c>
      <c r="M33" s="11">
        <f t="shared" ref="M33:M39" si="7">K33*L33</f>
        <v>5.360975057060155E-2</v>
      </c>
      <c r="N33" s="45">
        <f t="shared" si="3"/>
        <v>0.31812379459477841</v>
      </c>
    </row>
    <row r="34" spans="2:16" x14ac:dyDescent="0.3">
      <c r="E34" s="16" t="s">
        <v>44</v>
      </c>
      <c r="F34" s="36">
        <f>F33/G9</f>
        <v>-6.9398985944328251E-2</v>
      </c>
      <c r="H34" s="1">
        <v>3</v>
      </c>
      <c r="I34" s="30">
        <f t="shared" ref="I34:I38" si="8">I33</f>
        <v>5.8644444444444446</v>
      </c>
      <c r="J34" s="30">
        <f t="shared" si="4"/>
        <v>4.9005936736286211</v>
      </c>
      <c r="K34" s="22">
        <f t="shared" si="5"/>
        <v>4.9940418404011221E-2</v>
      </c>
      <c r="L34" s="44">
        <f t="shared" si="6"/>
        <v>1.5166666666666666</v>
      </c>
      <c r="M34" s="11">
        <f t="shared" si="7"/>
        <v>7.5742967912750342E-2</v>
      </c>
      <c r="N34" s="45">
        <f t="shared" si="3"/>
        <v>0.59928502084813462</v>
      </c>
    </row>
    <row r="35" spans="2:16" x14ac:dyDescent="0.3">
      <c r="H35" s="1">
        <v>4</v>
      </c>
      <c r="I35" s="30">
        <f t="shared" si="8"/>
        <v>5.8644444444444446</v>
      </c>
      <c r="J35" s="30">
        <f t="shared" si="4"/>
        <v>4.6158954969239048</v>
      </c>
      <c r="K35" s="22">
        <f t="shared" si="5"/>
        <v>4.7039148270149038E-2</v>
      </c>
      <c r="L35" s="44">
        <f t="shared" si="6"/>
        <v>2.0222222222222221</v>
      </c>
      <c r="M35" s="11">
        <f t="shared" si="7"/>
        <v>9.5123610946301382E-2</v>
      </c>
      <c r="N35" s="45">
        <f t="shared" si="3"/>
        <v>0.94078296540298079</v>
      </c>
    </row>
    <row r="36" spans="2:16" x14ac:dyDescent="0.3">
      <c r="B36" s="162" t="s">
        <v>56</v>
      </c>
      <c r="C36" s="162"/>
      <c r="D36" s="162"/>
      <c r="E36" s="46" t="s">
        <v>57</v>
      </c>
      <c r="F36" s="86">
        <f>(C10-F29)*M41*J40</f>
        <v>-4.3217960374768376</v>
      </c>
      <c r="H36" s="1">
        <v>5</v>
      </c>
      <c r="I36" s="30">
        <f t="shared" si="8"/>
        <v>5.8644444444444446</v>
      </c>
      <c r="J36" s="30">
        <f t="shared" si="4"/>
        <v>4.3477367554829511</v>
      </c>
      <c r="K36" s="22">
        <f t="shared" si="5"/>
        <v>4.4306426351512954E-2</v>
      </c>
      <c r="L36" s="44">
        <f t="shared" si="6"/>
        <v>2.5277777777777777</v>
      </c>
      <c r="M36" s="11">
        <f t="shared" si="7"/>
        <v>0.11199679994410218</v>
      </c>
      <c r="N36" s="45">
        <f t="shared" si="3"/>
        <v>1.3291927905453886</v>
      </c>
    </row>
    <row r="37" spans="2:16" x14ac:dyDescent="0.3">
      <c r="H37" s="1">
        <v>6</v>
      </c>
      <c r="I37" s="30">
        <f t="shared" si="8"/>
        <v>5.8644444444444446</v>
      </c>
      <c r="J37" s="30">
        <f t="shared" si="4"/>
        <v>4.0951565969321679</v>
      </c>
      <c r="K37" s="22">
        <f t="shared" si="5"/>
        <v>4.1732460901886585E-2</v>
      </c>
      <c r="L37" s="44">
        <f t="shared" si="6"/>
        <v>3.0333333333333332</v>
      </c>
      <c r="M37" s="11">
        <f t="shared" si="7"/>
        <v>0.12658846473572263</v>
      </c>
      <c r="N37" s="45">
        <f t="shared" si="3"/>
        <v>1.7527633578792365</v>
      </c>
    </row>
    <row r="38" spans="2:16" x14ac:dyDescent="0.3">
      <c r="B38" s="162" t="s">
        <v>58</v>
      </c>
      <c r="C38" s="162"/>
      <c r="D38" s="162"/>
      <c r="E38" s="46" t="s">
        <v>59</v>
      </c>
      <c r="F38" s="86">
        <f>(C10-F29)*(M41-N41)*J40</f>
        <v>-4.2353859638519022</v>
      </c>
      <c r="H38" s="1">
        <v>7</v>
      </c>
      <c r="I38" s="30">
        <f t="shared" si="8"/>
        <v>5.8644444444444446</v>
      </c>
      <c r="J38" s="30">
        <f t="shared" si="4"/>
        <v>3.8572499892611813</v>
      </c>
      <c r="K38" s="22">
        <f t="shared" si="5"/>
        <v>3.9308029022928001E-2</v>
      </c>
      <c r="L38" s="44">
        <f t="shared" si="6"/>
        <v>3.5388888888888888</v>
      </c>
      <c r="M38" s="11">
        <f t="shared" si="7"/>
        <v>0.13910674715336185</v>
      </c>
      <c r="N38" s="45">
        <f t="shared" si="3"/>
        <v>2.2012496252839679</v>
      </c>
    </row>
    <row r="39" spans="2:16" x14ac:dyDescent="0.3">
      <c r="H39" s="1">
        <v>8</v>
      </c>
      <c r="I39" s="30">
        <f>I38+C6</f>
        <v>105.86444444444444</v>
      </c>
      <c r="J39" s="30">
        <f t="shared" si="4"/>
        <v>65.585571263930177</v>
      </c>
      <c r="K39" s="22">
        <f t="shared" si="5"/>
        <v>0.66836205739977939</v>
      </c>
      <c r="L39" s="44">
        <f t="shared" si="6"/>
        <v>4.0444444444444443</v>
      </c>
      <c r="M39" s="11">
        <f t="shared" si="7"/>
        <v>2.7031532099279967</v>
      </c>
      <c r="N39" s="45">
        <f t="shared" si="3"/>
        <v>48.122068132784115</v>
      </c>
      <c r="O39" s="11"/>
    </row>
    <row r="40" spans="2:16" ht="15" thickBot="1" x14ac:dyDescent="0.35">
      <c r="J40" s="47">
        <f>SUM(J32:J39)</f>
        <v>98.128806891113371</v>
      </c>
      <c r="K40" s="48">
        <f>SUM(K32:K39)</f>
        <v>1</v>
      </c>
      <c r="L40" s="18" t="s">
        <v>60</v>
      </c>
      <c r="M40" s="49">
        <f>SUM(M32:M39)</f>
        <v>3.3337796916173454</v>
      </c>
      <c r="N40" s="50">
        <f>SUM(N32:N39)/(1+((C10+G8)*(C8/360)))^2</f>
        <v>49.128838756166672</v>
      </c>
      <c r="O40" s="18" t="s">
        <v>3</v>
      </c>
      <c r="P40" s="9"/>
    </row>
    <row r="41" spans="2:16" x14ac:dyDescent="0.3">
      <c r="B41" s="97"/>
      <c r="L41" s="18" t="s">
        <v>29</v>
      </c>
      <c r="M41" s="51">
        <f>M40/(1+((C10+G8)*(C8/360)))</f>
        <v>3.140104993621847</v>
      </c>
      <c r="N41" s="51">
        <f>(N40/((360/C8)^2))*0.5*1%</f>
        <v>6.2783320021576577E-2</v>
      </c>
      <c r="O41" s="18" t="s">
        <v>30</v>
      </c>
    </row>
    <row r="42" spans="2:16" x14ac:dyDescent="0.3">
      <c r="B42" s="97"/>
    </row>
  </sheetData>
  <mergeCells count="15">
    <mergeCell ref="E22:F22"/>
    <mergeCell ref="B2:N2"/>
    <mergeCell ref="B5:C5"/>
    <mergeCell ref="E5:N5"/>
    <mergeCell ref="E20:F20"/>
    <mergeCell ref="E21:F21"/>
    <mergeCell ref="B3:N3"/>
    <mergeCell ref="B38:D38"/>
    <mergeCell ref="E23:F23"/>
    <mergeCell ref="E24:F24"/>
    <mergeCell ref="N29:O29"/>
    <mergeCell ref="H30:N30"/>
    <mergeCell ref="B31:D31"/>
    <mergeCell ref="B36:D36"/>
    <mergeCell ref="B27:N27"/>
  </mergeCells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1C09-5A24-4F96-8F31-76A1FD023977}">
  <dimension ref="B1:V45"/>
  <sheetViews>
    <sheetView topLeftCell="K17" zoomScale="150" zoomScaleNormal="150" workbookViewId="0">
      <selection activeCell="N33" sqref="N33"/>
    </sheetView>
  </sheetViews>
  <sheetFormatPr baseColWidth="10" defaultRowHeight="14.4" x14ac:dyDescent="0.3"/>
  <cols>
    <col min="1" max="1" width="4.109375" customWidth="1"/>
    <col min="3" max="3" width="12.5546875" customWidth="1"/>
    <col min="6" max="6" width="20.109375" bestFit="1" customWidth="1"/>
    <col min="8" max="8" width="21.33203125" customWidth="1"/>
    <col min="9" max="9" width="18.44140625" customWidth="1"/>
    <col min="10" max="10" width="22.109375" bestFit="1" customWidth="1"/>
    <col min="11" max="11" width="14.6640625" customWidth="1"/>
    <col min="14" max="14" width="13.109375" bestFit="1" customWidth="1"/>
    <col min="15" max="15" width="16.6640625" customWidth="1"/>
    <col min="17" max="17" width="13.109375" bestFit="1" customWidth="1"/>
    <col min="18" max="18" width="12.88671875" customWidth="1"/>
  </cols>
  <sheetData>
    <row r="1" spans="2:19" ht="23.4" x14ac:dyDescent="0.45">
      <c r="B1" s="171" t="s">
        <v>61</v>
      </c>
      <c r="C1" s="171"/>
      <c r="D1" s="171"/>
      <c r="E1" s="171"/>
      <c r="F1" s="171"/>
      <c r="G1" s="171"/>
      <c r="H1" s="171"/>
      <c r="I1" s="171"/>
      <c r="K1" s="149" t="s">
        <v>62</v>
      </c>
      <c r="L1" s="149"/>
      <c r="M1" s="149"/>
      <c r="N1" s="149"/>
    </row>
    <row r="2" spans="2:19" x14ac:dyDescent="0.3">
      <c r="B2" s="18"/>
    </row>
    <row r="3" spans="2:19" x14ac:dyDescent="0.3">
      <c r="C3" s="16" t="s">
        <v>63</v>
      </c>
      <c r="D3" s="16" t="s">
        <v>64</v>
      </c>
      <c r="F3" t="s">
        <v>65</v>
      </c>
      <c r="N3" t="s">
        <v>66</v>
      </c>
    </row>
    <row r="4" spans="2:19" x14ac:dyDescent="0.3">
      <c r="B4" s="16" t="s">
        <v>67</v>
      </c>
      <c r="C4" s="1">
        <v>1</v>
      </c>
      <c r="D4" s="52">
        <v>0.10589999999999999</v>
      </c>
      <c r="E4" s="13"/>
      <c r="K4" s="149" t="s">
        <v>68</v>
      </c>
      <c r="L4" s="149"/>
      <c r="M4" s="149"/>
      <c r="N4" s="149" t="s">
        <v>69</v>
      </c>
      <c r="O4" s="149"/>
      <c r="P4" s="149"/>
    </row>
    <row r="5" spans="2:19" x14ac:dyDescent="0.3">
      <c r="B5" s="1">
        <f>+C5-C4</f>
        <v>6</v>
      </c>
      <c r="C5" s="1">
        <v>7</v>
      </c>
      <c r="D5" s="52">
        <v>0.1065</v>
      </c>
      <c r="E5" s="13"/>
    </row>
    <row r="6" spans="2:19" ht="15" thickBot="1" x14ac:dyDescent="0.35">
      <c r="B6" s="1">
        <f t="shared" ref="B6:B9" si="0">+C6-C5</f>
        <v>21</v>
      </c>
      <c r="C6" s="1">
        <v>28</v>
      </c>
      <c r="D6" s="52">
        <v>0.1069</v>
      </c>
      <c r="E6" s="13"/>
      <c r="H6" s="170" t="s">
        <v>70</v>
      </c>
      <c r="I6" s="170"/>
    </row>
    <row r="7" spans="2:19" x14ac:dyDescent="0.3">
      <c r="B7" s="1">
        <f t="shared" si="0"/>
        <v>63</v>
      </c>
      <c r="C7" s="1">
        <v>91</v>
      </c>
      <c r="D7" s="52">
        <v>0.1086</v>
      </c>
      <c r="E7" s="13"/>
      <c r="H7" s="16" t="s">
        <v>71</v>
      </c>
      <c r="I7" s="53">
        <v>91</v>
      </c>
      <c r="K7" s="149" t="s">
        <v>72</v>
      </c>
      <c r="L7" s="149"/>
      <c r="M7" s="149"/>
      <c r="N7" s="149"/>
      <c r="O7" s="149"/>
      <c r="P7" s="149"/>
    </row>
    <row r="8" spans="2:19" x14ac:dyDescent="0.3">
      <c r="B8" s="1">
        <f t="shared" si="0"/>
        <v>91</v>
      </c>
      <c r="C8" s="1">
        <v>182</v>
      </c>
      <c r="D8" s="52">
        <v>0.11125</v>
      </c>
      <c r="E8" s="13"/>
      <c r="H8" s="16" t="s">
        <v>73</v>
      </c>
      <c r="I8" s="148">
        <f>VLOOKUP(I7,C4:D9,2)</f>
        <v>0.1086</v>
      </c>
    </row>
    <row r="9" spans="2:19" x14ac:dyDescent="0.3">
      <c r="B9" s="1">
        <f t="shared" si="0"/>
        <v>182</v>
      </c>
      <c r="C9" s="1">
        <v>364</v>
      </c>
      <c r="D9" s="52">
        <v>0.11205</v>
      </c>
      <c r="E9" s="13"/>
      <c r="H9" s="16" t="s">
        <v>74</v>
      </c>
      <c r="I9" s="53">
        <v>182</v>
      </c>
      <c r="K9" s="18" t="s">
        <v>326</v>
      </c>
      <c r="L9" s="18"/>
      <c r="M9" s="89"/>
      <c r="N9" s="89"/>
      <c r="O9" s="90">
        <f>((1+(I10*(I9/360)))/(1+(I8*(I7/360))))-1</f>
        <v>2.8022134590813375E-2</v>
      </c>
      <c r="P9" s="89" t="s">
        <v>327</v>
      </c>
      <c r="Q9" s="92"/>
      <c r="R9" s="106"/>
      <c r="S9" s="89"/>
    </row>
    <row r="10" spans="2:19" x14ac:dyDescent="0.3">
      <c r="H10" s="16" t="s">
        <v>75</v>
      </c>
      <c r="I10" s="148">
        <f>VLOOKUP(I9,C4:D9,2)</f>
        <v>0.11125</v>
      </c>
      <c r="K10" s="18" t="s">
        <v>328</v>
      </c>
      <c r="M10" s="91"/>
      <c r="N10" s="107"/>
      <c r="O10" s="90">
        <f>((1+O9)^((I11-I7)/(I9-I7)))-1</f>
        <v>2.7370387218217385E-3</v>
      </c>
      <c r="P10" s="89" t="s">
        <v>329</v>
      </c>
      <c r="R10" s="92"/>
      <c r="S10" s="108"/>
    </row>
    <row r="11" spans="2:19" ht="15" thickBot="1" x14ac:dyDescent="0.35">
      <c r="C11" t="s">
        <v>222</v>
      </c>
      <c r="F11" s="15">
        <f>(((1+(E16*(D16/360)))/(1+(E14*(D14/360))))-1)*(360/(D16-D14))</f>
        <v>0.10684093912517517</v>
      </c>
      <c r="H11" s="16" t="s">
        <v>76</v>
      </c>
      <c r="I11" s="53">
        <v>100</v>
      </c>
      <c r="K11" s="18" t="s">
        <v>330</v>
      </c>
      <c r="L11" s="74"/>
      <c r="M11" s="91"/>
      <c r="N11" s="99"/>
      <c r="O11" s="90">
        <f>I8*(I7/360)</f>
        <v>2.7451666666666666E-2</v>
      </c>
      <c r="P11" s="89" t="s">
        <v>331</v>
      </c>
      <c r="Q11" s="92"/>
      <c r="R11" s="106"/>
      <c r="S11" s="89"/>
    </row>
    <row r="12" spans="2:19" ht="15" thickBot="1" x14ac:dyDescent="0.35">
      <c r="C12" s="169" t="s">
        <v>77</v>
      </c>
      <c r="D12" s="169"/>
      <c r="E12" s="169"/>
      <c r="F12" s="169"/>
      <c r="H12" s="54" t="s">
        <v>78</v>
      </c>
      <c r="I12" s="55">
        <f>(((1+(I8*(I7/360)))*(((1+(I10*(I9/360)))/(1+(I8*(I7/360))))^((I11-I7)/(I9-I7))))-1)*(360/I11)</f>
        <v>0.10894982998728082</v>
      </c>
      <c r="J12" s="56"/>
      <c r="K12" s="18" t="s">
        <v>332</v>
      </c>
      <c r="M12" s="91"/>
      <c r="N12" s="107"/>
      <c r="O12" s="90">
        <f>((1+O11)*(1+O10))-1</f>
        <v>3.0263841663133562E-2</v>
      </c>
      <c r="P12" s="89" t="s">
        <v>333</v>
      </c>
      <c r="Q12" s="93"/>
      <c r="R12" s="106"/>
      <c r="S12" s="89"/>
    </row>
    <row r="13" spans="2:19" ht="15" thickBot="1" x14ac:dyDescent="0.35">
      <c r="C13" s="16" t="s">
        <v>79</v>
      </c>
      <c r="D13" s="16" t="s">
        <v>80</v>
      </c>
      <c r="E13" s="16" t="s">
        <v>81</v>
      </c>
      <c r="F13" s="16" t="s">
        <v>82</v>
      </c>
      <c r="K13" s="18" t="s">
        <v>334</v>
      </c>
      <c r="L13" s="74"/>
      <c r="M13" s="91"/>
      <c r="N13" s="99"/>
      <c r="O13" s="90">
        <f>O12*(360/I11)</f>
        <v>0.10894982998728082</v>
      </c>
      <c r="P13" s="109"/>
      <c r="Q13" s="89"/>
      <c r="R13" s="106"/>
      <c r="S13" s="89"/>
    </row>
    <row r="14" spans="2:19" x14ac:dyDescent="0.3">
      <c r="C14" s="57">
        <v>1000000</v>
      </c>
      <c r="D14" s="58">
        <v>182</v>
      </c>
      <c r="E14" s="59">
        <f>D8</f>
        <v>0.11125</v>
      </c>
      <c r="F14" s="60">
        <f>C14*(1+(E14*(D14/360)))</f>
        <v>1056243.0555555555</v>
      </c>
      <c r="H14" s="91"/>
      <c r="I14" s="90">
        <f>(((1+(I8*(I7/360)))*(((1+(I10*(I9/360)))/(1+(I8*(I7/360))))^((I11-I7)/(I9-I7))))-1)*(360/I11)</f>
        <v>0.10894982998728082</v>
      </c>
      <c r="J14" s="89"/>
      <c r="K14" s="89"/>
      <c r="L14" s="89"/>
      <c r="M14" s="91"/>
      <c r="N14" s="107"/>
      <c r="O14" s="89"/>
      <c r="P14" s="93"/>
      <c r="Q14" s="92"/>
      <c r="R14" s="110"/>
      <c r="S14" s="89"/>
    </row>
    <row r="15" spans="2:19" ht="15" thickBot="1" x14ac:dyDescent="0.35">
      <c r="C15" s="61">
        <f>F14</f>
        <v>1056243.0555555555</v>
      </c>
      <c r="D15" s="62">
        <v>182</v>
      </c>
      <c r="E15" s="63">
        <f>F11</f>
        <v>0.10684093912517517</v>
      </c>
      <c r="F15" s="64">
        <f>C15*(1+(E15*(D15/360)))</f>
        <v>1113295</v>
      </c>
      <c r="H15" s="91"/>
      <c r="I15" s="90"/>
      <c r="J15" s="89"/>
      <c r="K15" s="89"/>
      <c r="L15" s="110"/>
      <c r="M15" s="91"/>
      <c r="N15" s="100"/>
      <c r="O15" s="89"/>
      <c r="P15" s="89"/>
      <c r="Q15" s="92"/>
      <c r="R15" s="89"/>
      <c r="S15" s="89"/>
    </row>
    <row r="16" spans="2:19" ht="15" thickBot="1" x14ac:dyDescent="0.35">
      <c r="C16" s="65">
        <v>1000000</v>
      </c>
      <c r="D16" s="66">
        <v>364</v>
      </c>
      <c r="E16" s="67">
        <f>D9</f>
        <v>0.11205</v>
      </c>
      <c r="F16" s="8">
        <f>C16*(1+(E16*(D16/360)))</f>
        <v>1113295</v>
      </c>
      <c r="H16" s="91"/>
      <c r="I16" s="90"/>
      <c r="J16" s="89"/>
      <c r="K16" s="89"/>
      <c r="L16" s="89"/>
      <c r="M16" s="89"/>
      <c r="N16" s="107"/>
      <c r="O16" s="89"/>
      <c r="P16" s="89"/>
      <c r="Q16" s="92"/>
      <c r="R16" s="89"/>
      <c r="S16" s="89"/>
    </row>
    <row r="17" spans="3:22" x14ac:dyDescent="0.3">
      <c r="H17" s="91"/>
      <c r="I17" s="90"/>
      <c r="J17" s="89"/>
      <c r="K17" s="89"/>
      <c r="L17" s="89"/>
      <c r="M17" s="91"/>
      <c r="N17" s="93"/>
      <c r="O17" s="89"/>
      <c r="P17" s="89"/>
      <c r="Q17" s="92"/>
      <c r="R17" s="89"/>
      <c r="S17" s="89"/>
    </row>
    <row r="18" spans="3:22" x14ac:dyDescent="0.3">
      <c r="C18" s="89"/>
      <c r="D18" s="89"/>
      <c r="E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</row>
    <row r="19" spans="3:22" x14ac:dyDescent="0.3">
      <c r="C19" s="89"/>
      <c r="D19" s="94"/>
      <c r="E19" s="89"/>
      <c r="F19" s="15"/>
      <c r="H19" s="18"/>
      <c r="I19" s="18"/>
      <c r="J19" s="18"/>
    </row>
    <row r="20" spans="3:22" x14ac:dyDescent="0.3">
      <c r="C20" s="89"/>
      <c r="D20" s="90"/>
      <c r="E20" s="89"/>
      <c r="F20" s="15"/>
      <c r="I20" s="111"/>
    </row>
    <row r="21" spans="3:22" x14ac:dyDescent="0.3">
      <c r="C21" s="89"/>
      <c r="D21" s="89"/>
      <c r="E21" s="89"/>
      <c r="F21" s="15"/>
      <c r="I21" s="111"/>
      <c r="P21" s="150" t="s">
        <v>83</v>
      </c>
      <c r="Q21" s="150"/>
      <c r="R21" s="150"/>
      <c r="S21" s="150"/>
      <c r="T21" s="150"/>
      <c r="U21" s="150"/>
      <c r="V21" s="150"/>
    </row>
    <row r="22" spans="3:22" ht="15" thickBot="1" x14ac:dyDescent="0.35">
      <c r="C22" s="89"/>
      <c r="D22" s="95"/>
      <c r="E22" s="95"/>
      <c r="F22" s="68"/>
      <c r="I22" s="111"/>
      <c r="J22" s="111"/>
      <c r="M22" s="16" t="s">
        <v>63</v>
      </c>
      <c r="N22" s="16" t="s">
        <v>64</v>
      </c>
      <c r="Q22" s="16">
        <v>1</v>
      </c>
      <c r="R22" s="16">
        <v>7</v>
      </c>
      <c r="S22" s="16">
        <v>28</v>
      </c>
      <c r="T22" s="16">
        <v>91</v>
      </c>
      <c r="U22" s="16">
        <v>182</v>
      </c>
      <c r="V22" s="16">
        <v>364</v>
      </c>
    </row>
    <row r="23" spans="3:22" x14ac:dyDescent="0.3">
      <c r="I23" s="111"/>
      <c r="M23" s="1">
        <v>1</v>
      </c>
      <c r="N23" s="52">
        <v>0.10589999999999999</v>
      </c>
      <c r="P23" s="16">
        <v>1</v>
      </c>
      <c r="Q23" s="69">
        <f>(((1+($N23*($P23/360)))^(Q$22/$P23))-1)*(360/Q$22)</f>
        <v>0.10590000000001432</v>
      </c>
      <c r="R23" s="70">
        <f t="shared" ref="R23:V28" si="1">(((1+($N23*($P23/360)))^(R$22/$P23))-1)*(360/R$22)</f>
        <v>0.10599350258325607</v>
      </c>
      <c r="S23" s="70">
        <f t="shared" si="1"/>
        <v>0.10632162953160559</v>
      </c>
      <c r="T23" s="70">
        <f t="shared" si="1"/>
        <v>0.10731416470852588</v>
      </c>
      <c r="U23" s="70">
        <f t="shared" si="1"/>
        <v>0.10876970085461519</v>
      </c>
      <c r="V23" s="71">
        <f t="shared" si="1"/>
        <v>0.1117602762767934</v>
      </c>
    </row>
    <row r="24" spans="3:22" x14ac:dyDescent="0.3">
      <c r="I24" s="111"/>
      <c r="M24" s="1">
        <v>7</v>
      </c>
      <c r="N24" s="52">
        <v>0.1065</v>
      </c>
      <c r="P24" s="16">
        <v>7</v>
      </c>
      <c r="Q24" s="72">
        <f t="shared" ref="Q24:Q28" si="2">(((1+($N24*($P24/360)))^(Q$22/$P24))-1)*(360/Q$22)</f>
        <v>0.10640560223881046</v>
      </c>
      <c r="R24" s="73">
        <f t="shared" si="1"/>
        <v>0.10649999999999542</v>
      </c>
      <c r="S24" s="74">
        <f t="shared" si="1"/>
        <v>0.10683127257079032</v>
      </c>
      <c r="T24" s="74">
        <f t="shared" si="1"/>
        <v>0.10783336231739922</v>
      </c>
      <c r="U24" s="74">
        <f t="shared" si="1"/>
        <v>0.10930301661824544</v>
      </c>
      <c r="V24" s="75">
        <f t="shared" si="1"/>
        <v>0.11232299050493523</v>
      </c>
    </row>
    <row r="25" spans="3:22" x14ac:dyDescent="0.3">
      <c r="I25" s="111"/>
      <c r="M25" s="1">
        <v>28</v>
      </c>
      <c r="N25" s="52">
        <v>0.1069</v>
      </c>
      <c r="P25" s="16">
        <v>28</v>
      </c>
      <c r="Q25" s="72">
        <f t="shared" si="2"/>
        <v>0.10647378328314083</v>
      </c>
      <c r="R25" s="74">
        <f t="shared" si="1"/>
        <v>0.10656830208655345</v>
      </c>
      <c r="S25" s="73">
        <f t="shared" si="1"/>
        <v>0.10690000000000088</v>
      </c>
      <c r="T25" s="74">
        <f t="shared" si="1"/>
        <v>0.10790338173328305</v>
      </c>
      <c r="U25" s="74">
        <f t="shared" si="1"/>
        <v>0.10937494523445326</v>
      </c>
      <c r="V25" s="75">
        <f t="shared" si="1"/>
        <v>0.11239889511417127</v>
      </c>
    </row>
    <row r="26" spans="3:22" x14ac:dyDescent="0.3">
      <c r="M26" s="1">
        <v>91</v>
      </c>
      <c r="N26" s="52">
        <v>0.1086</v>
      </c>
      <c r="P26" s="16">
        <v>91</v>
      </c>
      <c r="Q26" s="72">
        <f t="shared" si="2"/>
        <v>0.10715204844845339</v>
      </c>
      <c r="R26" s="74">
        <f t="shared" si="1"/>
        <v>0.10724777560587714</v>
      </c>
      <c r="S26" s="74">
        <f t="shared" si="1"/>
        <v>0.10758371973628549</v>
      </c>
      <c r="T26" s="73">
        <f t="shared" si="1"/>
        <v>0.10859999999999995</v>
      </c>
      <c r="U26" s="74">
        <f t="shared" si="1"/>
        <v>0.11009062550000011</v>
      </c>
      <c r="V26" s="75">
        <f t="shared" si="1"/>
        <v>0.11315427847192037</v>
      </c>
    </row>
    <row r="27" spans="3:22" x14ac:dyDescent="0.3">
      <c r="M27" s="1">
        <v>182</v>
      </c>
      <c r="N27" s="52">
        <v>0.11125</v>
      </c>
      <c r="P27" s="16">
        <v>182</v>
      </c>
      <c r="Q27" s="72">
        <f t="shared" si="2"/>
        <v>0.10825032146250635</v>
      </c>
      <c r="R27" s="74">
        <f t="shared" si="1"/>
        <v>0.10834802151675887</v>
      </c>
      <c r="S27" s="74">
        <f t="shared" si="1"/>
        <v>0.10869089873741483</v>
      </c>
      <c r="T27" s="74">
        <f t="shared" si="1"/>
        <v>0.10972824150618388</v>
      </c>
      <c r="U27" s="73">
        <f t="shared" si="1"/>
        <v>0.11124999999999996</v>
      </c>
      <c r="V27" s="75">
        <f t="shared" si="1"/>
        <v>0.11437851996527783</v>
      </c>
    </row>
    <row r="28" spans="3:22" ht="15" thickBot="1" x14ac:dyDescent="0.35">
      <c r="M28" s="1">
        <v>364</v>
      </c>
      <c r="N28" s="52">
        <v>0.11205</v>
      </c>
      <c r="P28" s="16">
        <v>364</v>
      </c>
      <c r="Q28" s="76">
        <f t="shared" si="2"/>
        <v>0.10616035075217134</v>
      </c>
      <c r="R28" s="77">
        <f t="shared" si="1"/>
        <v>0.10625431375826722</v>
      </c>
      <c r="S28" s="77">
        <f t="shared" si="1"/>
        <v>0.10658405860818089</v>
      </c>
      <c r="T28" s="77">
        <f t="shared" si="1"/>
        <v>0.10758150795762482</v>
      </c>
      <c r="U28" s="77">
        <f t="shared" si="1"/>
        <v>0.10904430526006065</v>
      </c>
      <c r="V28" s="78">
        <f t="shared" si="1"/>
        <v>0.11204999999999993</v>
      </c>
    </row>
    <row r="30" spans="3:22" x14ac:dyDescent="0.3">
      <c r="P30" t="s">
        <v>223</v>
      </c>
    </row>
    <row r="32" spans="3:22" x14ac:dyDescent="0.3">
      <c r="P32" t="s">
        <v>224</v>
      </c>
    </row>
    <row r="33" spans="14:17" x14ac:dyDescent="0.3">
      <c r="P33" t="s">
        <v>225</v>
      </c>
    </row>
    <row r="35" spans="14:17" x14ac:dyDescent="0.3">
      <c r="P35" t="s">
        <v>226</v>
      </c>
    </row>
    <row r="36" spans="14:17" x14ac:dyDescent="0.3">
      <c r="P36" t="s">
        <v>227</v>
      </c>
    </row>
    <row r="38" spans="14:17" x14ac:dyDescent="0.3">
      <c r="N38" s="18" t="s">
        <v>335</v>
      </c>
      <c r="O38" s="18" t="s">
        <v>336</v>
      </c>
      <c r="P38" s="18" t="s">
        <v>337</v>
      </c>
      <c r="Q38" s="18" t="s">
        <v>82</v>
      </c>
    </row>
    <row r="39" spans="14:17" x14ac:dyDescent="0.3">
      <c r="N39" s="116">
        <v>2000000</v>
      </c>
      <c r="O39" s="114">
        <f>N24</f>
        <v>0.1065</v>
      </c>
      <c r="P39">
        <f>M24</f>
        <v>7</v>
      </c>
      <c r="Q39" s="116">
        <f>N39*(1+(O39*(P39/360)))</f>
        <v>2004141.6666666665</v>
      </c>
    </row>
    <row r="40" spans="14:17" x14ac:dyDescent="0.3">
      <c r="N40" s="116">
        <f>Q39</f>
        <v>2004141.6666666665</v>
      </c>
      <c r="O40" s="114">
        <f>O39</f>
        <v>0.1065</v>
      </c>
      <c r="P40">
        <f>P39</f>
        <v>7</v>
      </c>
      <c r="Q40" s="116">
        <f>N40*(1+(O40*(P40/360)))</f>
        <v>2008291.910034722</v>
      </c>
    </row>
    <row r="41" spans="14:17" x14ac:dyDescent="0.3">
      <c r="N41" s="116">
        <f t="shared" ref="N41:N42" si="3">Q40</f>
        <v>2008291.910034722</v>
      </c>
      <c r="O41" s="114">
        <f t="shared" ref="O41:O42" si="4">O40</f>
        <v>0.1065</v>
      </c>
      <c r="P41">
        <f t="shared" ref="P41:P42" si="5">P40</f>
        <v>7</v>
      </c>
      <c r="Q41" s="116">
        <f t="shared" ref="Q41:Q42" si="6">N41*(1+(O41*(P41/360)))</f>
        <v>2012450.7478650853</v>
      </c>
    </row>
    <row r="42" spans="14:17" x14ac:dyDescent="0.3">
      <c r="N42" s="116">
        <f t="shared" si="3"/>
        <v>2012450.7478650853</v>
      </c>
      <c r="O42" s="114">
        <f t="shared" si="4"/>
        <v>0.1065</v>
      </c>
      <c r="P42">
        <f t="shared" si="5"/>
        <v>7</v>
      </c>
      <c r="Q42" s="116">
        <f t="shared" si="6"/>
        <v>2016618.1979554556</v>
      </c>
    </row>
    <row r="43" spans="14:17" x14ac:dyDescent="0.3">
      <c r="N43" s="116"/>
      <c r="Q43" s="116"/>
    </row>
    <row r="44" spans="14:17" x14ac:dyDescent="0.3">
      <c r="N44" t="s">
        <v>338</v>
      </c>
      <c r="Q44" s="15">
        <f>(Q42/N39-1)*(360/28)</f>
        <v>0.10683127257078746</v>
      </c>
    </row>
    <row r="45" spans="14:17" x14ac:dyDescent="0.3">
      <c r="N45" t="s">
        <v>339</v>
      </c>
      <c r="Q45" s="15">
        <f>(((1+(O39*(P39/360)))^4)-1)*(360/28)</f>
        <v>0.10683127257079032</v>
      </c>
    </row>
  </sheetData>
  <mergeCells count="8">
    <mergeCell ref="C12:F12"/>
    <mergeCell ref="P21:V21"/>
    <mergeCell ref="K1:N1"/>
    <mergeCell ref="K4:M4"/>
    <mergeCell ref="N4:P4"/>
    <mergeCell ref="H6:I6"/>
    <mergeCell ref="K7:P7"/>
    <mergeCell ref="B1:I1"/>
  </mergeCells>
  <phoneticPr fontId="21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CARACTERÍSTICAS DEL MDO. DINERO</vt:lpstr>
      <vt:lpstr>EN DIRECTO</vt:lpstr>
      <vt:lpstr>EN REPORTO</vt:lpstr>
      <vt:lpstr>DURACIÓN DE UN BONO CUPÓN CERO</vt:lpstr>
      <vt:lpstr>DURACIÓN DE UNO BONO CON CUPONE</vt:lpstr>
      <vt:lpstr>DURACIÓN DE UNO BONO CON CU (2)</vt:lpstr>
      <vt:lpstr>DURACIÓN DE UNO BONO CON CU (3)</vt:lpstr>
      <vt:lpstr>VaR DE UN BONO</vt:lpstr>
      <vt:lpstr>TASAS DE INTERÉS FORWARD</vt:lpstr>
      <vt:lpstr>'EN REPORTO'!Área_de_impresión</vt:lpstr>
    </vt:vector>
  </TitlesOfParts>
  <Company>RIESGO Y DERIVADOS, S.C.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Malpica Mora</dc:creator>
  <cp:lastModifiedBy>Brandon Cortes</cp:lastModifiedBy>
  <dcterms:created xsi:type="dcterms:W3CDTF">2024-04-23T01:10:55Z</dcterms:created>
  <dcterms:modified xsi:type="dcterms:W3CDTF">2024-11-25T02:36:42Z</dcterms:modified>
</cp:coreProperties>
</file>