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umuk\Downloads\"/>
    </mc:Choice>
  </mc:AlternateContent>
  <xr:revisionPtr revIDLastSave="0" documentId="13_ncr:1_{4DF8D36F-F4D3-4936-9716-2C837AF441F9}" xr6:coauthVersionLast="47" xr6:coauthVersionMax="47" xr10:uidLastSave="{00000000-0000-0000-0000-000000000000}"/>
  <bookViews>
    <workbookView xWindow="-108" yWindow="-108" windowWidth="23256" windowHeight="12456" xr2:uid="{00000000-000D-0000-FFFF-FFFF00000000}"/>
  </bookViews>
  <sheets>
    <sheet name="Comps" sheetId="17" r:id="rId1"/>
    <sheet name="EV Model" sheetId="5" r:id="rId2"/>
    <sheet name="Price Multiples" sheetId="7" r:id="rId3"/>
    <sheet name="DCF Assumptions" sheetId="8" state="hidden" r:id="rId4"/>
    <sheet name="Schedules" sheetId="9" r:id="rId5"/>
    <sheet name="3 Statement model" sheetId="10" r:id="rId6"/>
    <sheet name="DCF" sheetId="11" r:id="rId7"/>
    <sheet name="Summary" sheetId="12" r:id="rId8"/>
  </sheets>
  <externalReferences>
    <externalReference r:id="rId9"/>
    <externalReference r:id="rId10"/>
  </externalReferences>
  <definedNames>
    <definedName name="Comp_Name">[1]Assumptions!$B$2</definedName>
    <definedName name="Cost_of_Equity">[1]Assumptions!$B$22</definedName>
    <definedName name="Current_Price">[1]Assumptions!$B$4</definedName>
    <definedName name="DCF_Equity_Value_PerShare">[1]DCF!$D$54</definedName>
    <definedName name="Scaler">[1]Assumptions!$C$6</definedName>
    <definedName name="Shares_Out">[1]Assumptions!$B$25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7" i="12" l="1"/>
  <c r="H56" i="12"/>
  <c r="B6" i="9"/>
  <c r="B11" i="9"/>
  <c r="F41" i="12"/>
  <c r="J110" i="10"/>
  <c r="J53" i="10"/>
  <c r="G40" i="12"/>
  <c r="F47" i="12"/>
  <c r="F49" i="12"/>
  <c r="H34" i="12"/>
  <c r="H35" i="12"/>
  <c r="H36" i="12"/>
  <c r="H37" i="12"/>
  <c r="H38" i="12"/>
  <c r="H39" i="12"/>
  <c r="H33" i="12"/>
  <c r="F46" i="12"/>
  <c r="E47" i="12"/>
  <c r="E48" i="12"/>
  <c r="F48" i="12"/>
  <c r="E49" i="12"/>
  <c r="E50" i="12"/>
  <c r="F50" i="12"/>
  <c r="E51" i="12"/>
  <c r="E52" i="12"/>
  <c r="H41" i="12" l="1"/>
  <c r="G39" i="12"/>
  <c r="E39" i="12"/>
  <c r="J49" i="10" l="1"/>
  <c r="K110" i="10"/>
  <c r="L110" i="10" s="1"/>
  <c r="K71" i="10"/>
  <c r="J71" i="10"/>
  <c r="K63" i="10"/>
  <c r="L63" i="10" s="1"/>
  <c r="M63" i="10" s="1"/>
  <c r="N63" i="10" s="1"/>
  <c r="J48" i="10"/>
  <c r="K48" i="10" s="1"/>
  <c r="L48" i="10" s="1"/>
  <c r="M48" i="10" s="1"/>
  <c r="N48" i="10" s="1"/>
  <c r="M78" i="9"/>
  <c r="K78" i="9"/>
  <c r="L78" i="9" s="1"/>
  <c r="E101" i="10"/>
  <c r="E102" i="10" s="1"/>
  <c r="F101" i="10"/>
  <c r="F79" i="9" s="1"/>
  <c r="G101" i="10"/>
  <c r="G79" i="9" s="1"/>
  <c r="H101" i="10"/>
  <c r="H102" i="10" s="1"/>
  <c r="I101" i="10"/>
  <c r="I79" i="9" s="1"/>
  <c r="I86" i="10"/>
  <c r="I77" i="9" s="1"/>
  <c r="I81" i="9" s="1"/>
  <c r="H86" i="10"/>
  <c r="H87" i="10" s="1"/>
  <c r="G86" i="10"/>
  <c r="G87" i="10" s="1"/>
  <c r="F86" i="10"/>
  <c r="F77" i="9" s="1"/>
  <c r="F81" i="9" s="1"/>
  <c r="E86" i="10"/>
  <c r="E87" i="10" s="1"/>
  <c r="J21" i="9"/>
  <c r="J11" i="9"/>
  <c r="K106" i="10"/>
  <c r="J111" i="10"/>
  <c r="J121" i="9"/>
  <c r="K121" i="9" s="1"/>
  <c r="L121" i="9" s="1"/>
  <c r="M121" i="9" s="1"/>
  <c r="N121" i="9" s="1"/>
  <c r="K62" i="10"/>
  <c r="L62" i="10" s="1"/>
  <c r="M62" i="10" s="1"/>
  <c r="N62" i="10" s="1"/>
  <c r="N101" i="9"/>
  <c r="M101" i="9"/>
  <c r="L101" i="9"/>
  <c r="G53" i="10" l="1"/>
  <c r="F55" i="10"/>
  <c r="I55" i="10"/>
  <c r="H55" i="10"/>
  <c r="G55" i="10"/>
  <c r="F53" i="10"/>
  <c r="I53" i="10"/>
  <c r="H53" i="10"/>
  <c r="I87" i="10"/>
  <c r="J87" i="10" s="1"/>
  <c r="J72" i="10" s="1"/>
  <c r="G102" i="10"/>
  <c r="F87" i="10"/>
  <c r="F102" i="10"/>
  <c r="E79" i="9"/>
  <c r="H77" i="9"/>
  <c r="H81" i="9" s="1"/>
  <c r="H79" i="9"/>
  <c r="G77" i="9"/>
  <c r="G81" i="9" s="1"/>
  <c r="I102" i="10"/>
  <c r="E77" i="9"/>
  <c r="E81" i="9" s="1"/>
  <c r="J102" i="10" l="1"/>
  <c r="K102" i="10" s="1"/>
  <c r="L102" i="10" s="1"/>
  <c r="M102" i="10" s="1"/>
  <c r="N102" i="10" s="1"/>
  <c r="J21" i="11"/>
  <c r="O25" i="11"/>
  <c r="J24" i="10"/>
  <c r="E52" i="10"/>
  <c r="E54" i="10"/>
  <c r="F54" i="10"/>
  <c r="G54" i="10"/>
  <c r="H54" i="10"/>
  <c r="I54" i="10"/>
  <c r="J122" i="9"/>
  <c r="K122" i="9" s="1"/>
  <c r="L122" i="9" s="1"/>
  <c r="M122" i="9" s="1"/>
  <c r="N122" i="9" s="1"/>
  <c r="N109" i="10" s="1"/>
  <c r="N69" i="10"/>
  <c r="L120" i="9"/>
  <c r="L32" i="10" s="1"/>
  <c r="M120" i="9"/>
  <c r="M32" i="10" s="1"/>
  <c r="N120" i="9"/>
  <c r="N32" i="10" s="1"/>
  <c r="K120" i="9"/>
  <c r="K32" i="10" s="1"/>
  <c r="J120" i="9"/>
  <c r="J32" i="10" s="1"/>
  <c r="K30" i="10"/>
  <c r="L30" i="10"/>
  <c r="M30" i="10"/>
  <c r="N30" i="10"/>
  <c r="J30" i="10"/>
  <c r="E61" i="10"/>
  <c r="E77" i="10" s="1"/>
  <c r="G61" i="10"/>
  <c r="G77" i="10" s="1"/>
  <c r="H61" i="10"/>
  <c r="H77" i="10" s="1"/>
  <c r="I61" i="10"/>
  <c r="I77" i="10" s="1"/>
  <c r="F61" i="10"/>
  <c r="F77" i="10" s="1"/>
  <c r="G99" i="9"/>
  <c r="H99" i="9"/>
  <c r="I99" i="9"/>
  <c r="F99" i="9"/>
  <c r="F100" i="9"/>
  <c r="G100" i="9"/>
  <c r="H100" i="9"/>
  <c r="I100" i="9"/>
  <c r="E100" i="9"/>
  <c r="F92" i="9"/>
  <c r="G92" i="9"/>
  <c r="H92" i="9"/>
  <c r="I92" i="9"/>
  <c r="E92" i="9"/>
  <c r="F35" i="10"/>
  <c r="G35" i="10"/>
  <c r="H35" i="10"/>
  <c r="I35" i="10"/>
  <c r="E35" i="10"/>
  <c r="F93" i="9"/>
  <c r="G93" i="9"/>
  <c r="H93" i="9"/>
  <c r="I93" i="9"/>
  <c r="E93" i="9"/>
  <c r="L117" i="9"/>
  <c r="M117" i="9"/>
  <c r="K117" i="9"/>
  <c r="J117" i="9"/>
  <c r="M24" i="10"/>
  <c r="L24" i="10"/>
  <c r="K24" i="10"/>
  <c r="K57" i="9"/>
  <c r="L57" i="9" s="1"/>
  <c r="K7" i="9"/>
  <c r="K5" i="9"/>
  <c r="F78" i="9"/>
  <c r="G78" i="9"/>
  <c r="H78" i="9"/>
  <c r="I78" i="9"/>
  <c r="E78" i="9"/>
  <c r="I76" i="9"/>
  <c r="I80" i="9" s="1"/>
  <c r="K28" i="11"/>
  <c r="L28" i="11" s="1"/>
  <c r="M28" i="11" s="1"/>
  <c r="N28" i="11" s="1"/>
  <c r="O28" i="11" s="1"/>
  <c r="J41" i="10"/>
  <c r="J81" i="10" s="1"/>
  <c r="I21" i="11"/>
  <c r="H21" i="11"/>
  <c r="G21" i="11"/>
  <c r="F21" i="11"/>
  <c r="C7" i="11"/>
  <c r="C9" i="11" s="1"/>
  <c r="H110" i="10"/>
  <c r="H113" i="10" s="1"/>
  <c r="I36" i="10"/>
  <c r="H36" i="10"/>
  <c r="G36" i="10"/>
  <c r="E36" i="10"/>
  <c r="E27" i="10"/>
  <c r="F113" i="10"/>
  <c r="G113" i="10"/>
  <c r="I113" i="10"/>
  <c r="E112" i="10"/>
  <c r="E113" i="10" s="1"/>
  <c r="I27" i="10"/>
  <c r="H27" i="10"/>
  <c r="G27" i="10"/>
  <c r="F27" i="10"/>
  <c r="I24" i="10"/>
  <c r="E24" i="10"/>
  <c r="H24" i="10"/>
  <c r="G24" i="10"/>
  <c r="F24" i="10"/>
  <c r="I95" i="10"/>
  <c r="H95" i="10"/>
  <c r="G95" i="10"/>
  <c r="F95" i="10"/>
  <c r="E95" i="10"/>
  <c r="I18" i="10"/>
  <c r="I9" i="10"/>
  <c r="H9" i="10"/>
  <c r="G9" i="10"/>
  <c r="F9" i="10"/>
  <c r="E9" i="10"/>
  <c r="H85" i="10"/>
  <c r="H76" i="9" s="1"/>
  <c r="H80" i="9" s="1"/>
  <c r="G85" i="10"/>
  <c r="G76" i="9" s="1"/>
  <c r="G80" i="9" s="1"/>
  <c r="F85" i="10"/>
  <c r="E85" i="10"/>
  <c r="E76" i="9" s="1"/>
  <c r="E80" i="9" s="1"/>
  <c r="K52" i="9"/>
  <c r="L52" i="9" s="1"/>
  <c r="M52" i="9" s="1"/>
  <c r="N52" i="9" s="1"/>
  <c r="F52" i="9"/>
  <c r="G52" i="9"/>
  <c r="H52" i="9"/>
  <c r="I52" i="9"/>
  <c r="E52" i="9"/>
  <c r="K47" i="9"/>
  <c r="K11" i="10" s="1"/>
  <c r="L47" i="9"/>
  <c r="L11" i="10" s="1"/>
  <c r="M47" i="9"/>
  <c r="M11" i="10" s="1"/>
  <c r="N47" i="9"/>
  <c r="N11" i="10" s="1"/>
  <c r="J47" i="9"/>
  <c r="J11" i="10" s="1"/>
  <c r="F4" i="10"/>
  <c r="F42" i="10" s="1"/>
  <c r="G4" i="10"/>
  <c r="G42" i="10" s="1"/>
  <c r="H4" i="10"/>
  <c r="H42" i="10" s="1"/>
  <c r="I4" i="10"/>
  <c r="I42" i="10" s="1"/>
  <c r="J4" i="10"/>
  <c r="J42" i="10" s="1"/>
  <c r="K4" i="10"/>
  <c r="K42" i="10" s="1"/>
  <c r="L4" i="10"/>
  <c r="L42" i="10" s="1"/>
  <c r="M4" i="10"/>
  <c r="M42" i="10" s="1"/>
  <c r="N4" i="10"/>
  <c r="N42" i="10" s="1"/>
  <c r="E4" i="10"/>
  <c r="E42" i="10" s="1"/>
  <c r="E56" i="10" l="1"/>
  <c r="E78" i="10" s="1"/>
  <c r="K87" i="10"/>
  <c r="N25" i="11"/>
  <c r="L25" i="11"/>
  <c r="K109" i="10"/>
  <c r="M25" i="11"/>
  <c r="K25" i="11"/>
  <c r="H45" i="11"/>
  <c r="P45" i="11"/>
  <c r="M109" i="10"/>
  <c r="L109" i="10"/>
  <c r="J109" i="10"/>
  <c r="H52" i="10"/>
  <c r="H56" i="10" s="1"/>
  <c r="G52" i="10"/>
  <c r="G56" i="10" s="1"/>
  <c r="F52" i="10"/>
  <c r="F56" i="10" s="1"/>
  <c r="I52" i="10"/>
  <c r="I56" i="10" s="1"/>
  <c r="J69" i="10"/>
  <c r="L69" i="10"/>
  <c r="K69" i="10"/>
  <c r="M69" i="10"/>
  <c r="F104" i="9"/>
  <c r="I104" i="9"/>
  <c r="H104" i="9"/>
  <c r="G104" i="9"/>
  <c r="F76" i="9"/>
  <c r="F80" i="9" s="1"/>
  <c r="M57" i="9"/>
  <c r="N57" i="9" s="1"/>
  <c r="C12" i="11"/>
  <c r="C13" i="11" s="1"/>
  <c r="E82" i="10"/>
  <c r="L82" i="10"/>
  <c r="I82" i="10"/>
  <c r="H82" i="10"/>
  <c r="F82" i="10"/>
  <c r="N82" i="10"/>
  <c r="M82" i="10"/>
  <c r="K82" i="10"/>
  <c r="J82" i="10"/>
  <c r="G82" i="10"/>
  <c r="L87" i="10" l="1"/>
  <c r="K72" i="10"/>
  <c r="L29" i="11"/>
  <c r="L30" i="11" s="1"/>
  <c r="M29" i="11"/>
  <c r="M30" i="11" s="1"/>
  <c r="N29" i="11"/>
  <c r="N30" i="11" s="1"/>
  <c r="O29" i="11"/>
  <c r="O30" i="11" s="1"/>
  <c r="K29" i="11"/>
  <c r="K30" i="11" s="1"/>
  <c r="M110" i="10"/>
  <c r="M87" i="10" l="1"/>
  <c r="L72" i="10"/>
  <c r="N110" i="10"/>
  <c r="N87" i="10" l="1"/>
  <c r="N72" i="10" s="1"/>
  <c r="M72" i="10"/>
  <c r="H64" i="10"/>
  <c r="F78" i="10"/>
  <c r="G78" i="10"/>
  <c r="H78" i="10"/>
  <c r="I78" i="10"/>
  <c r="E64" i="10"/>
  <c r="F64" i="10"/>
  <c r="G64" i="10"/>
  <c r="H73" i="10"/>
  <c r="I73" i="10"/>
  <c r="E73" i="10"/>
  <c r="F73" i="10"/>
  <c r="G73" i="10"/>
  <c r="F89" i="10"/>
  <c r="F96" i="10" s="1"/>
  <c r="G89" i="10"/>
  <c r="G96" i="10" s="1"/>
  <c r="H89" i="10"/>
  <c r="H96" i="10" s="1"/>
  <c r="I89" i="10"/>
  <c r="I96" i="10" s="1"/>
  <c r="E89" i="10"/>
  <c r="E96" i="10" s="1"/>
  <c r="E103" i="10"/>
  <c r="E107" i="10" s="1"/>
  <c r="E115" i="10" s="1"/>
  <c r="F103" i="10"/>
  <c r="F107" i="10" s="1"/>
  <c r="G103" i="10"/>
  <c r="G107" i="10" s="1"/>
  <c r="H103" i="10"/>
  <c r="H107" i="10" s="1"/>
  <c r="I103" i="10"/>
  <c r="I107" i="10" s="1"/>
  <c r="K111" i="10"/>
  <c r="L111" i="10" s="1"/>
  <c r="M111" i="10" s="1"/>
  <c r="N111" i="10" s="1"/>
  <c r="E19" i="10"/>
  <c r="E20" i="10" s="1"/>
  <c r="F19" i="10"/>
  <c r="F20" i="10" s="1"/>
  <c r="G19" i="10"/>
  <c r="G20" i="10" s="1"/>
  <c r="H19" i="10"/>
  <c r="H20" i="10" s="1"/>
  <c r="I19" i="10"/>
  <c r="I20" i="10" s="1"/>
  <c r="E10" i="10"/>
  <c r="E11" i="10" s="1"/>
  <c r="I64" i="10" l="1"/>
  <c r="I115" i="10"/>
  <c r="I117" i="10" s="1"/>
  <c r="F115" i="10"/>
  <c r="F117" i="10" s="1"/>
  <c r="I7" i="10"/>
  <c r="H7" i="10"/>
  <c r="H115" i="10"/>
  <c r="H117" i="10" s="1"/>
  <c r="E13" i="10"/>
  <c r="G115" i="10"/>
  <c r="G117" i="10" s="1"/>
  <c r="E117" i="10"/>
  <c r="G7" i="10"/>
  <c r="F7" i="10"/>
  <c r="E22" i="10" l="1"/>
  <c r="E37" i="10" s="1"/>
  <c r="E110" i="9" l="1"/>
  <c r="E111" i="9"/>
  <c r="E38" i="10"/>
  <c r="E70" i="9"/>
  <c r="E25" i="10"/>
  <c r="E113" i="9" l="1"/>
  <c r="E112" i="9"/>
  <c r="E28" i="10"/>
  <c r="E44" i="10" s="1"/>
  <c r="E50" i="10" s="1"/>
  <c r="E58" i="10" s="1"/>
  <c r="E66" i="10" s="1"/>
  <c r="E117" i="9"/>
  <c r="E33" i="10" l="1"/>
  <c r="F97" i="9" l="1"/>
  <c r="F98" i="9" s="1"/>
  <c r="G97" i="9"/>
  <c r="G98" i="9" s="1"/>
  <c r="J97" i="9"/>
  <c r="F90" i="9"/>
  <c r="F91" i="9" s="1"/>
  <c r="G90" i="9"/>
  <c r="G91" i="9" s="1"/>
  <c r="H90" i="9"/>
  <c r="H91" i="9" s="1"/>
  <c r="I90" i="9"/>
  <c r="I91" i="9" s="1"/>
  <c r="J90" i="9"/>
  <c r="J6" i="9"/>
  <c r="J4" i="9" s="1"/>
  <c r="J29" i="9" s="1"/>
  <c r="J28" i="9" s="1"/>
  <c r="J19" i="9"/>
  <c r="J35" i="9" s="1"/>
  <c r="J34" i="9" s="1"/>
  <c r="K20" i="9"/>
  <c r="K21" i="9" s="1"/>
  <c r="K15" i="9"/>
  <c r="K12" i="9"/>
  <c r="L12" i="9" s="1"/>
  <c r="K10" i="9"/>
  <c r="B22" i="9"/>
  <c r="B21" i="9"/>
  <c r="B20" i="9"/>
  <c r="B17" i="9"/>
  <c r="B16" i="9"/>
  <c r="B15" i="9"/>
  <c r="B12" i="9"/>
  <c r="B10" i="9"/>
  <c r="H35" i="9"/>
  <c r="I35" i="9"/>
  <c r="F35" i="9"/>
  <c r="G35" i="9"/>
  <c r="H33" i="9"/>
  <c r="I33" i="9"/>
  <c r="G33" i="9"/>
  <c r="G31" i="9"/>
  <c r="H31" i="9"/>
  <c r="I31" i="9"/>
  <c r="F31" i="9"/>
  <c r="G29" i="9"/>
  <c r="H29" i="9"/>
  <c r="I29" i="9"/>
  <c r="F29" i="9"/>
  <c r="B7" i="9"/>
  <c r="B5" i="9"/>
  <c r="F36" i="9"/>
  <c r="F83" i="9" s="1"/>
  <c r="G36" i="9"/>
  <c r="G83" i="9" s="1"/>
  <c r="H36" i="9"/>
  <c r="H83" i="9" s="1"/>
  <c r="I36" i="9"/>
  <c r="I83" i="9" s="1"/>
  <c r="E36" i="9"/>
  <c r="B29" i="9"/>
  <c r="B31" i="9"/>
  <c r="B33" i="9"/>
  <c r="B35" i="9"/>
  <c r="B18" i="8"/>
  <c r="B17" i="8"/>
  <c r="B16" i="8"/>
  <c r="B15" i="8"/>
  <c r="B11" i="8"/>
  <c r="B10" i="8"/>
  <c r="B9" i="8"/>
  <c r="B8" i="8"/>
  <c r="B7" i="8"/>
  <c r="A1" i="8"/>
  <c r="K11" i="9" l="1"/>
  <c r="K9" i="9" s="1"/>
  <c r="K31" i="9" s="1"/>
  <c r="E83" i="9"/>
  <c r="E82" i="9"/>
  <c r="L15" i="9"/>
  <c r="F94" i="9"/>
  <c r="I102" i="9"/>
  <c r="I95" i="9"/>
  <c r="G101" i="9"/>
  <c r="G95" i="9"/>
  <c r="G102" i="9"/>
  <c r="F101" i="9"/>
  <c r="H95" i="9"/>
  <c r="H102" i="9"/>
  <c r="F102" i="9"/>
  <c r="F95" i="9"/>
  <c r="I94" i="9"/>
  <c r="H94" i="9"/>
  <c r="G94" i="9"/>
  <c r="K19" i="9"/>
  <c r="K35" i="9" s="1"/>
  <c r="K34" i="9" s="1"/>
  <c r="L20" i="9"/>
  <c r="L21" i="9" s="1"/>
  <c r="L10" i="9"/>
  <c r="I82" i="9"/>
  <c r="I84" i="9" s="1"/>
  <c r="G82" i="9"/>
  <c r="G84" i="9" s="1"/>
  <c r="F82" i="9"/>
  <c r="F84" i="9" s="1"/>
  <c r="H82" i="9"/>
  <c r="H84" i="9" s="1"/>
  <c r="I53" i="9"/>
  <c r="I57" i="9"/>
  <c r="I58" i="9" s="1"/>
  <c r="I62" i="9"/>
  <c r="H53" i="9"/>
  <c r="H57" i="9"/>
  <c r="H58" i="9" s="1"/>
  <c r="H62" i="9"/>
  <c r="H63" i="9" s="1"/>
  <c r="G53" i="9"/>
  <c r="G57" i="9"/>
  <c r="G58" i="9" s="1"/>
  <c r="G62" i="9"/>
  <c r="G63" i="9" s="1"/>
  <c r="F53" i="9"/>
  <c r="F57" i="9"/>
  <c r="F58" i="9" s="1"/>
  <c r="F62" i="9"/>
  <c r="F63" i="9" s="1"/>
  <c r="E62" i="9"/>
  <c r="E63" i="9" s="1"/>
  <c r="E69" i="9"/>
  <c r="E57" i="9"/>
  <c r="E58" i="9" s="1"/>
  <c r="E53" i="9"/>
  <c r="E46" i="9"/>
  <c r="I97" i="9"/>
  <c r="I98" i="9" s="1"/>
  <c r="I101" i="9" s="1"/>
  <c r="H97" i="9"/>
  <c r="H98" i="9" s="1"/>
  <c r="H101" i="9" s="1"/>
  <c r="K6" i="9"/>
  <c r="K4" i="9" s="1"/>
  <c r="K29" i="9" s="1"/>
  <c r="K28" i="9" s="1"/>
  <c r="L7" i="9"/>
  <c r="M7" i="9" s="1"/>
  <c r="N7" i="9" s="1"/>
  <c r="J9" i="9"/>
  <c r="J31" i="9" s="1"/>
  <c r="J30" i="9" s="1"/>
  <c r="M12" i="9"/>
  <c r="L5" i="9"/>
  <c r="G37" i="9"/>
  <c r="I37" i="9"/>
  <c r="F37" i="9"/>
  <c r="H37" i="9"/>
  <c r="W25" i="7"/>
  <c r="X20" i="7"/>
  <c r="W20" i="7"/>
  <c r="T23" i="7"/>
  <c r="T13" i="7"/>
  <c r="T12" i="7"/>
  <c r="T11" i="7"/>
  <c r="T10" i="7"/>
  <c r="K18" i="7"/>
  <c r="X26" i="7"/>
  <c r="W26" i="7"/>
  <c r="X25" i="7"/>
  <c r="X24" i="7"/>
  <c r="W24" i="7"/>
  <c r="X23" i="7"/>
  <c r="W23" i="7"/>
  <c r="U26" i="7"/>
  <c r="T26" i="7"/>
  <c r="U25" i="7"/>
  <c r="T25" i="7"/>
  <c r="U24" i="7"/>
  <c r="T24" i="7"/>
  <c r="U23" i="7"/>
  <c r="R26" i="7"/>
  <c r="Q26" i="7"/>
  <c r="R25" i="7"/>
  <c r="Q25" i="7"/>
  <c r="R24" i="7"/>
  <c r="Q24" i="7"/>
  <c r="R23" i="7"/>
  <c r="Q23" i="7"/>
  <c r="O26" i="7"/>
  <c r="N26" i="7"/>
  <c r="O25" i="7"/>
  <c r="N25" i="7"/>
  <c r="O24" i="7"/>
  <c r="N24" i="7"/>
  <c r="O23" i="7"/>
  <c r="N23" i="7"/>
  <c r="L26" i="7"/>
  <c r="K26" i="7"/>
  <c r="L25" i="7"/>
  <c r="K25" i="7"/>
  <c r="L24" i="7"/>
  <c r="K24" i="7"/>
  <c r="L23" i="7"/>
  <c r="K23" i="7"/>
  <c r="I24" i="7"/>
  <c r="I25" i="7"/>
  <c r="I26" i="7"/>
  <c r="I23" i="7"/>
  <c r="H24" i="7"/>
  <c r="H25" i="7"/>
  <c r="H26" i="7"/>
  <c r="H23" i="7"/>
  <c r="X21" i="7"/>
  <c r="W21" i="7"/>
  <c r="X19" i="7"/>
  <c r="W19" i="7"/>
  <c r="X18" i="7"/>
  <c r="W18" i="7"/>
  <c r="R21" i="7"/>
  <c r="Q21" i="7"/>
  <c r="R20" i="7"/>
  <c r="Q20" i="7"/>
  <c r="R19" i="7"/>
  <c r="Q19" i="7"/>
  <c r="R18" i="7"/>
  <c r="Q18" i="7"/>
  <c r="O21" i="7"/>
  <c r="N21" i="7"/>
  <c r="O20" i="7"/>
  <c r="N20" i="7"/>
  <c r="O19" i="7"/>
  <c r="N19" i="7"/>
  <c r="O18" i="7"/>
  <c r="N18" i="7"/>
  <c r="L21" i="7"/>
  <c r="K21" i="7"/>
  <c r="L20" i="7"/>
  <c r="K20" i="7"/>
  <c r="L19" i="7"/>
  <c r="K19" i="7"/>
  <c r="L18" i="7"/>
  <c r="I19" i="7"/>
  <c r="I20" i="7"/>
  <c r="I21" i="7"/>
  <c r="H19" i="7"/>
  <c r="H20" i="7"/>
  <c r="H21" i="7"/>
  <c r="I18" i="7"/>
  <c r="H18" i="7"/>
  <c r="E47" i="5"/>
  <c r="E35" i="5"/>
  <c r="E34" i="7" s="1"/>
  <c r="E35" i="7" s="1"/>
  <c r="S7" i="5"/>
  <c r="E10" i="7"/>
  <c r="E11" i="7"/>
  <c r="E12" i="7"/>
  <c r="S18" i="5"/>
  <c r="S17" i="5"/>
  <c r="S16" i="5"/>
  <c r="S15" i="5"/>
  <c r="S14" i="5"/>
  <c r="S13" i="5"/>
  <c r="S12" i="5"/>
  <c r="S11" i="5"/>
  <c r="S10" i="5"/>
  <c r="S9" i="5"/>
  <c r="S8" i="5"/>
  <c r="Q27" i="5"/>
  <c r="Q26" i="5"/>
  <c r="Q25" i="5"/>
  <c r="Q24" i="5"/>
  <c r="Q22" i="5"/>
  <c r="Q21" i="5"/>
  <c r="Q20" i="5"/>
  <c r="Q19" i="5"/>
  <c r="O24" i="5"/>
  <c r="O27" i="5"/>
  <c r="O26" i="5"/>
  <c r="O25" i="5"/>
  <c r="O22" i="5"/>
  <c r="O21" i="5"/>
  <c r="O20" i="5"/>
  <c r="O19" i="5"/>
  <c r="E27" i="5"/>
  <c r="E26" i="5"/>
  <c r="E25" i="5"/>
  <c r="E24" i="5"/>
  <c r="E22" i="5"/>
  <c r="E21" i="5"/>
  <c r="E20" i="5"/>
  <c r="E19" i="5"/>
  <c r="M27" i="5"/>
  <c r="M26" i="5"/>
  <c r="M25" i="5"/>
  <c r="M24" i="5"/>
  <c r="M22" i="5"/>
  <c r="M21" i="5"/>
  <c r="M20" i="5"/>
  <c r="M19" i="5"/>
  <c r="K27" i="5"/>
  <c r="K26" i="5"/>
  <c r="K25" i="5"/>
  <c r="K24" i="5"/>
  <c r="K22" i="5"/>
  <c r="K21" i="5"/>
  <c r="K20" i="5"/>
  <c r="K19" i="5"/>
  <c r="I27" i="5"/>
  <c r="I26" i="5"/>
  <c r="I25" i="5"/>
  <c r="I24" i="5"/>
  <c r="I22" i="5"/>
  <c r="I21" i="5"/>
  <c r="I20" i="5"/>
  <c r="I19" i="5"/>
  <c r="G25" i="5"/>
  <c r="G26" i="5"/>
  <c r="G27" i="5"/>
  <c r="G24" i="5"/>
  <c r="G22" i="5"/>
  <c r="G21" i="5"/>
  <c r="G20" i="5"/>
  <c r="G19" i="5"/>
  <c r="H22" i="7" l="1"/>
  <c r="Q27" i="7"/>
  <c r="W22" i="7"/>
  <c r="H27" i="7"/>
  <c r="L22" i="7"/>
  <c r="R27" i="7"/>
  <c r="R22" i="7"/>
  <c r="I22" i="7"/>
  <c r="N22" i="7"/>
  <c r="K27" i="7"/>
  <c r="O22" i="7"/>
  <c r="L27" i="7"/>
  <c r="Q22" i="7"/>
  <c r="I27" i="7"/>
  <c r="M23" i="5"/>
  <c r="I28" i="5"/>
  <c r="Q23" i="5"/>
  <c r="S26" i="5"/>
  <c r="S25" i="5"/>
  <c r="K28" i="5"/>
  <c r="S20" i="5"/>
  <c r="I23" i="5"/>
  <c r="E23" i="5"/>
  <c r="E33" i="5" s="1"/>
  <c r="S21" i="5"/>
  <c r="S22" i="5"/>
  <c r="K23" i="5"/>
  <c r="M28" i="5"/>
  <c r="O23" i="5"/>
  <c r="Q28" i="5"/>
  <c r="S27" i="5"/>
  <c r="E84" i="9"/>
  <c r="E85" i="9" s="1"/>
  <c r="M10" i="9"/>
  <c r="M11" i="9" s="1"/>
  <c r="M9" i="9" s="1"/>
  <c r="M31" i="9" s="1"/>
  <c r="L11" i="9"/>
  <c r="L9" i="9" s="1"/>
  <c r="L31" i="9" s="1"/>
  <c r="M15" i="9"/>
  <c r="E65" i="9"/>
  <c r="G85" i="9"/>
  <c r="I85" i="9"/>
  <c r="I63" i="9"/>
  <c r="I65" i="9" s="1"/>
  <c r="J62" i="9"/>
  <c r="K62" i="9" s="1"/>
  <c r="L62" i="9" s="1"/>
  <c r="F85" i="9"/>
  <c r="H85" i="9"/>
  <c r="H65" i="9"/>
  <c r="G65" i="9"/>
  <c r="F65" i="9"/>
  <c r="M5" i="9"/>
  <c r="N5" i="9" s="1"/>
  <c r="L6" i="9"/>
  <c r="L4" i="9" s="1"/>
  <c r="L29" i="9" s="1"/>
  <c r="L28" i="9" s="1"/>
  <c r="N12" i="9"/>
  <c r="L19" i="9"/>
  <c r="L35" i="9" s="1"/>
  <c r="L34" i="9" s="1"/>
  <c r="M20" i="9"/>
  <c r="M21" i="9" s="1"/>
  <c r="K30" i="9"/>
  <c r="N27" i="7"/>
  <c r="O27" i="7"/>
  <c r="K22" i="7"/>
  <c r="X27" i="7"/>
  <c r="X22" i="7"/>
  <c r="W27" i="7"/>
  <c r="U27" i="7"/>
  <c r="T27" i="7"/>
  <c r="U18" i="7"/>
  <c r="T18" i="7"/>
  <c r="U19" i="7"/>
  <c r="T19" i="7"/>
  <c r="U20" i="7"/>
  <c r="T20" i="7"/>
  <c r="U21" i="7"/>
  <c r="T21" i="7"/>
  <c r="O28" i="5"/>
  <c r="S19" i="5"/>
  <c r="G23" i="5"/>
  <c r="S24" i="5"/>
  <c r="G28" i="5"/>
  <c r="E28" i="5"/>
  <c r="E45" i="5" s="1"/>
  <c r="F26" i="7"/>
  <c r="F25" i="7"/>
  <c r="F24" i="7"/>
  <c r="F23" i="7"/>
  <c r="E26" i="7"/>
  <c r="E25" i="7"/>
  <c r="E24" i="7"/>
  <c r="E23" i="7"/>
  <c r="E13" i="7"/>
  <c r="F21" i="7" s="1"/>
  <c r="E19" i="7"/>
  <c r="E20" i="7"/>
  <c r="F19" i="7"/>
  <c r="F20" i="7"/>
  <c r="F18" i="7"/>
  <c r="E18" i="7"/>
  <c r="E21" i="7" l="1"/>
  <c r="E22" i="7" s="1"/>
  <c r="T22" i="7"/>
  <c r="Z22" i="7" s="1"/>
  <c r="U22" i="7"/>
  <c r="AA22" i="7" s="1"/>
  <c r="S23" i="5"/>
  <c r="E32" i="5" s="1"/>
  <c r="E34" i="5" s="1"/>
  <c r="E36" i="5" s="1"/>
  <c r="S28" i="5"/>
  <c r="E44" i="5" s="1"/>
  <c r="E46" i="5" s="1"/>
  <c r="E48" i="5" s="1"/>
  <c r="N10" i="9"/>
  <c r="N11" i="9" s="1"/>
  <c r="N9" i="9" s="1"/>
  <c r="N31" i="9" s="1"/>
  <c r="N15" i="9"/>
  <c r="L30" i="9"/>
  <c r="M30" i="9" s="1"/>
  <c r="N20" i="9"/>
  <c r="M19" i="9"/>
  <c r="M35" i="9" s="1"/>
  <c r="M34" i="9" s="1"/>
  <c r="M6" i="9"/>
  <c r="M4" i="9" s="1"/>
  <c r="M29" i="9" s="1"/>
  <c r="M28" i="9" s="1"/>
  <c r="AA27" i="7"/>
  <c r="Z27" i="7"/>
  <c r="E27" i="7"/>
  <c r="F27" i="7"/>
  <c r="F22" i="7"/>
  <c r="E32" i="7" l="1"/>
  <c r="E31" i="7"/>
  <c r="E40" i="7"/>
  <c r="N21" i="9"/>
  <c r="N19" i="9" s="1"/>
  <c r="N35" i="9" s="1"/>
  <c r="N34" i="9" s="1"/>
  <c r="N30" i="9"/>
  <c r="N6" i="9"/>
  <c r="N4" i="9" s="1"/>
  <c r="N29" i="9" s="1"/>
  <c r="N28" i="9" s="1"/>
  <c r="E41" i="7"/>
  <c r="E33" i="7" l="1"/>
  <c r="E37" i="7" s="1"/>
  <c r="F35" i="12" s="1"/>
  <c r="E35" i="12" s="1"/>
  <c r="E42" i="7"/>
  <c r="E45" i="7" s="1"/>
  <c r="F36" i="12" s="1"/>
  <c r="E36" i="12" s="1"/>
  <c r="E47" i="9"/>
  <c r="E48" i="9" s="1"/>
  <c r="G35" i="12" l="1"/>
  <c r="G36" i="12"/>
  <c r="I10" i="10"/>
  <c r="H10" i="10"/>
  <c r="H11" i="10" s="1"/>
  <c r="G10" i="10"/>
  <c r="G11" i="10" s="1"/>
  <c r="F10" i="10"/>
  <c r="F11" i="10" s="1"/>
  <c r="I13" i="10" l="1"/>
  <c r="I11" i="10"/>
  <c r="F13" i="10"/>
  <c r="H13" i="10"/>
  <c r="G13" i="10"/>
  <c r="I46" i="9" l="1"/>
  <c r="I47" i="9" s="1"/>
  <c r="I48" i="9" s="1"/>
  <c r="I22" i="10"/>
  <c r="I14" i="10"/>
  <c r="G22" i="10"/>
  <c r="G46" i="9"/>
  <c r="G47" i="9" s="1"/>
  <c r="G48" i="9" s="1"/>
  <c r="G14" i="10"/>
  <c r="H22" i="10"/>
  <c r="H14" i="10"/>
  <c r="H46" i="9"/>
  <c r="H47" i="9" s="1"/>
  <c r="H48" i="9" s="1"/>
  <c r="F22" i="10"/>
  <c r="F14" i="10"/>
  <c r="F46" i="9"/>
  <c r="F47" i="9" s="1"/>
  <c r="F48" i="9" s="1"/>
  <c r="I25" i="10" l="1"/>
  <c r="I117" i="9" s="1"/>
  <c r="I37" i="10"/>
  <c r="F25" i="10"/>
  <c r="F117" i="9" s="1"/>
  <c r="F37" i="10"/>
  <c r="G25" i="10"/>
  <c r="G117" i="9" s="1"/>
  <c r="G37" i="10"/>
  <c r="H25" i="10"/>
  <c r="H117" i="9" s="1"/>
  <c r="H37" i="10"/>
  <c r="F111" i="9" l="1"/>
  <c r="F110" i="9"/>
  <c r="G110" i="9"/>
  <c r="G111" i="9"/>
  <c r="H110" i="9"/>
  <c r="H111" i="9"/>
  <c r="I110" i="9"/>
  <c r="I111" i="9"/>
  <c r="I28" i="10"/>
  <c r="I44" i="10" s="1"/>
  <c r="I50" i="10" s="1"/>
  <c r="I58" i="10" s="1"/>
  <c r="I66" i="10" s="1"/>
  <c r="G28" i="10"/>
  <c r="G44" i="10" s="1"/>
  <c r="G50" i="10" s="1"/>
  <c r="G58" i="10" s="1"/>
  <c r="G66" i="10" s="1"/>
  <c r="F28" i="10"/>
  <c r="F44" i="10" s="1"/>
  <c r="F50" i="10" s="1"/>
  <c r="F58" i="10" s="1"/>
  <c r="F66" i="10" s="1"/>
  <c r="H28" i="10"/>
  <c r="H44" i="10" s="1"/>
  <c r="H50" i="10" s="1"/>
  <c r="H58" i="10" s="1"/>
  <c r="H66" i="10" s="1"/>
  <c r="F70" i="9"/>
  <c r="F69" i="9" s="1"/>
  <c r="F38" i="10"/>
  <c r="H38" i="10"/>
  <c r="H70" i="9"/>
  <c r="H69" i="9" s="1"/>
  <c r="I70" i="9"/>
  <c r="I69" i="9" s="1"/>
  <c r="I38" i="10"/>
  <c r="G38" i="10"/>
  <c r="G70" i="9"/>
  <c r="G69" i="9" s="1"/>
  <c r="H113" i="9" l="1"/>
  <c r="G113" i="9"/>
  <c r="H112" i="9"/>
  <c r="I113" i="9"/>
  <c r="G112" i="9"/>
  <c r="I112" i="9"/>
  <c r="F112" i="9"/>
  <c r="F113" i="9"/>
  <c r="G33" i="10"/>
  <c r="I33" i="10"/>
  <c r="H33" i="10"/>
  <c r="F33" i="10"/>
  <c r="J16" i="9"/>
  <c r="J14" i="9" s="1"/>
  <c r="J33" i="9" s="1"/>
  <c r="J32" i="9" s="1"/>
  <c r="K17" i="9"/>
  <c r="K16" i="9" s="1"/>
  <c r="L17" i="9" l="1"/>
  <c r="L16" i="9" s="1"/>
  <c r="K14" i="9"/>
  <c r="K33" i="9" s="1"/>
  <c r="K32" i="9" s="1"/>
  <c r="J36" i="9"/>
  <c r="J6" i="10" l="1"/>
  <c r="J7" i="10" s="1"/>
  <c r="J81" i="9"/>
  <c r="J83" i="9"/>
  <c r="J101" i="10" s="1"/>
  <c r="J55" i="10" s="1"/>
  <c r="K36" i="9"/>
  <c r="J99" i="9"/>
  <c r="J91" i="9"/>
  <c r="J58" i="9"/>
  <c r="J17" i="10" s="1"/>
  <c r="J92" i="9"/>
  <c r="J45" i="10" s="1"/>
  <c r="J48" i="9"/>
  <c r="J9" i="10" s="1"/>
  <c r="J10" i="10" s="1"/>
  <c r="J53" i="9"/>
  <c r="J16" i="10" s="1"/>
  <c r="J82" i="9"/>
  <c r="J100" i="10" s="1"/>
  <c r="J80" i="9"/>
  <c r="J98" i="9"/>
  <c r="J37" i="9"/>
  <c r="J118" i="9" s="1"/>
  <c r="J63" i="9"/>
  <c r="L14" i="9"/>
  <c r="L33" i="9" s="1"/>
  <c r="L32" i="9" s="1"/>
  <c r="M17" i="9"/>
  <c r="M16" i="9" s="1"/>
  <c r="J86" i="10" l="1"/>
  <c r="J13" i="10"/>
  <c r="J100" i="9"/>
  <c r="K97" i="9" s="1"/>
  <c r="K6" i="10"/>
  <c r="K7" i="10" s="1"/>
  <c r="K83" i="9"/>
  <c r="K101" i="10" s="1"/>
  <c r="K55" i="10" s="1"/>
  <c r="K81" i="9"/>
  <c r="J84" i="9"/>
  <c r="J85" i="9" s="1"/>
  <c r="J47" i="10"/>
  <c r="L36" i="9"/>
  <c r="J93" i="9"/>
  <c r="J61" i="10"/>
  <c r="N17" i="9"/>
  <c r="M14" i="9"/>
  <c r="M33" i="9" s="1"/>
  <c r="M32" i="9" s="1"/>
  <c r="J54" i="10"/>
  <c r="J104" i="9"/>
  <c r="J46" i="10"/>
  <c r="J35" i="10" s="1"/>
  <c r="K22" i="11" s="1"/>
  <c r="J85" i="10"/>
  <c r="K53" i="9"/>
  <c r="K16" i="10" s="1"/>
  <c r="K98" i="9"/>
  <c r="K63" i="9"/>
  <c r="K82" i="9"/>
  <c r="K58" i="9"/>
  <c r="K17" i="10" s="1"/>
  <c r="K91" i="9"/>
  <c r="K48" i="9"/>
  <c r="K9" i="10" s="1"/>
  <c r="K10" i="10" s="1"/>
  <c r="K80" i="9"/>
  <c r="K37" i="9"/>
  <c r="K118" i="9" s="1"/>
  <c r="K92" i="9"/>
  <c r="K45" i="10" s="1"/>
  <c r="K99" i="9"/>
  <c r="J18" i="10"/>
  <c r="J19" i="10" s="1"/>
  <c r="J65" i="9"/>
  <c r="J14" i="10"/>
  <c r="K86" i="10" l="1"/>
  <c r="K53" i="10" s="1"/>
  <c r="K13" i="10"/>
  <c r="K14" i="10" s="1"/>
  <c r="J94" i="10"/>
  <c r="L6" i="10"/>
  <c r="L7" i="10" s="1"/>
  <c r="L81" i="9"/>
  <c r="L83" i="9"/>
  <c r="L101" i="10" s="1"/>
  <c r="L55" i="10" s="1"/>
  <c r="K100" i="10"/>
  <c r="K54" i="10" s="1"/>
  <c r="K84" i="9"/>
  <c r="K85" i="9" s="1"/>
  <c r="K100" i="9"/>
  <c r="L97" i="9" s="1"/>
  <c r="K47" i="10"/>
  <c r="N16" i="9"/>
  <c r="N14" i="9" s="1"/>
  <c r="N33" i="9" s="1"/>
  <c r="N32" i="9" s="1"/>
  <c r="N36" i="9" s="1"/>
  <c r="K61" i="10"/>
  <c r="K77" i="10" s="1"/>
  <c r="L23" i="11" s="1"/>
  <c r="J20" i="10"/>
  <c r="J22" i="10"/>
  <c r="M36" i="9"/>
  <c r="J77" i="10"/>
  <c r="K23" i="11" s="1"/>
  <c r="J64" i="10"/>
  <c r="K90" i="9"/>
  <c r="K93" i="9" s="1"/>
  <c r="J93" i="10"/>
  <c r="J52" i="10"/>
  <c r="J56" i="10" s="1"/>
  <c r="L91" i="9"/>
  <c r="L48" i="9"/>
  <c r="L9" i="10" s="1"/>
  <c r="L10" i="10" s="1"/>
  <c r="L92" i="9"/>
  <c r="L45" i="10" s="1"/>
  <c r="L98" i="9"/>
  <c r="L63" i="9"/>
  <c r="L80" i="9"/>
  <c r="L58" i="9"/>
  <c r="L17" i="10" s="1"/>
  <c r="L53" i="9"/>
  <c r="L16" i="10" s="1"/>
  <c r="L37" i="9"/>
  <c r="L118" i="9" s="1"/>
  <c r="L82" i="9"/>
  <c r="L99" i="9"/>
  <c r="K85" i="10"/>
  <c r="K46" i="10"/>
  <c r="K35" i="10" s="1"/>
  <c r="L22" i="11" s="1"/>
  <c r="K104" i="9"/>
  <c r="K65" i="9"/>
  <c r="K18" i="10"/>
  <c r="K19" i="10" s="1"/>
  <c r="L86" i="10" l="1"/>
  <c r="L53" i="10" s="1"/>
  <c r="L13" i="10"/>
  <c r="L14" i="10" s="1"/>
  <c r="M6" i="10"/>
  <c r="M7" i="10" s="1"/>
  <c r="M81" i="9"/>
  <c r="M83" i="9"/>
  <c r="M101" i="10" s="1"/>
  <c r="M55" i="10" s="1"/>
  <c r="N6" i="10"/>
  <c r="H36" i="11" s="1"/>
  <c r="H37" i="11" s="1"/>
  <c r="H38" i="11" s="1"/>
  <c r="N81" i="9"/>
  <c r="N86" i="10" s="1"/>
  <c r="N83" i="9"/>
  <c r="N101" i="10" s="1"/>
  <c r="K94" i="10"/>
  <c r="L100" i="10"/>
  <c r="L54" i="10" s="1"/>
  <c r="L84" i="9"/>
  <c r="L85" i="9" s="1"/>
  <c r="L47" i="10"/>
  <c r="K64" i="10"/>
  <c r="K20" i="10"/>
  <c r="K22" i="10"/>
  <c r="N48" i="9"/>
  <c r="N9" i="10" s="1"/>
  <c r="N10" i="10" s="1"/>
  <c r="N91" i="9"/>
  <c r="N63" i="9"/>
  <c r="N99" i="9"/>
  <c r="N46" i="10" s="1"/>
  <c r="N82" i="9"/>
  <c r="N92" i="9"/>
  <c r="N45" i="10" s="1"/>
  <c r="N53" i="9"/>
  <c r="N16" i="10" s="1"/>
  <c r="N58" i="9"/>
  <c r="N17" i="10" s="1"/>
  <c r="N80" i="9"/>
  <c r="N40" i="9"/>
  <c r="N98" i="9"/>
  <c r="N37" i="9"/>
  <c r="J78" i="10"/>
  <c r="K24" i="11" s="1"/>
  <c r="L61" i="10"/>
  <c r="M99" i="9"/>
  <c r="M92" i="9"/>
  <c r="M45" i="10" s="1"/>
  <c r="M53" i="9"/>
  <c r="M16" i="10" s="1"/>
  <c r="M82" i="9"/>
  <c r="M48" i="9"/>
  <c r="M9" i="10" s="1"/>
  <c r="M10" i="10" s="1"/>
  <c r="M63" i="9"/>
  <c r="M91" i="9"/>
  <c r="M58" i="9"/>
  <c r="M17" i="10" s="1"/>
  <c r="M80" i="9"/>
  <c r="M98" i="9"/>
  <c r="M37" i="9"/>
  <c r="M118" i="9" s="1"/>
  <c r="K52" i="10"/>
  <c r="K56" i="10" s="1"/>
  <c r="L85" i="10"/>
  <c r="L100" i="9"/>
  <c r="J37" i="10"/>
  <c r="J25" i="10"/>
  <c r="K93" i="10"/>
  <c r="L90" i="9"/>
  <c r="L93" i="9" s="1"/>
  <c r="L104" i="9"/>
  <c r="L46" i="10"/>
  <c r="L35" i="10" s="1"/>
  <c r="M22" i="11" s="1"/>
  <c r="L65" i="9"/>
  <c r="L18" i="10"/>
  <c r="L19" i="10" s="1"/>
  <c r="L20" i="10" s="1"/>
  <c r="M86" i="10" l="1"/>
  <c r="M53" i="10" s="1"/>
  <c r="M13" i="10"/>
  <c r="M14" i="10" s="1"/>
  <c r="N7" i="10"/>
  <c r="N55" i="10"/>
  <c r="N13" i="10"/>
  <c r="N14" i="10" s="1"/>
  <c r="M100" i="10"/>
  <c r="M84" i="9"/>
  <c r="M85" i="9" s="1"/>
  <c r="N100" i="10"/>
  <c r="N84" i="9"/>
  <c r="N85" i="9" s="1"/>
  <c r="N118" i="9"/>
  <c r="N47" i="10" s="1"/>
  <c r="M47" i="10"/>
  <c r="M90" i="9"/>
  <c r="M93" i="9" s="1"/>
  <c r="L93" i="10"/>
  <c r="M85" i="10"/>
  <c r="L52" i="10"/>
  <c r="L56" i="10" s="1"/>
  <c r="N85" i="10"/>
  <c r="N65" i="9"/>
  <c r="N18" i="10"/>
  <c r="N19" i="10" s="1"/>
  <c r="J27" i="10"/>
  <c r="J28" i="10" s="1"/>
  <c r="K78" i="10"/>
  <c r="L24" i="11" s="1"/>
  <c r="M61" i="10"/>
  <c r="M104" i="9"/>
  <c r="M46" i="10"/>
  <c r="M35" i="10" s="1"/>
  <c r="N22" i="11" s="1"/>
  <c r="N61" i="10"/>
  <c r="L94" i="10"/>
  <c r="M97" i="9"/>
  <c r="M100" i="9" s="1"/>
  <c r="M65" i="9"/>
  <c r="M18" i="10"/>
  <c r="M19" i="10" s="1"/>
  <c r="M20" i="10" s="1"/>
  <c r="L64" i="10"/>
  <c r="L77" i="10"/>
  <c r="M23" i="11" s="1"/>
  <c r="J70" i="9"/>
  <c r="J38" i="10"/>
  <c r="K37" i="10"/>
  <c r="K25" i="10"/>
  <c r="L22" i="10"/>
  <c r="N35" i="10"/>
  <c r="O22" i="11" s="1"/>
  <c r="N104" i="9"/>
  <c r="N53" i="10" l="1"/>
  <c r="J69" i="9"/>
  <c r="J112" i="9"/>
  <c r="J99" i="10" s="1"/>
  <c r="J103" i="10" s="1"/>
  <c r="J113" i="9"/>
  <c r="J105" i="10" s="1"/>
  <c r="J44" i="10"/>
  <c r="J50" i="10" s="1"/>
  <c r="J58" i="10" s="1"/>
  <c r="J66" i="10" s="1"/>
  <c r="J112" i="10"/>
  <c r="J113" i="10" s="1"/>
  <c r="M54" i="10"/>
  <c r="N54" i="10"/>
  <c r="K21" i="11"/>
  <c r="K26" i="11" s="1"/>
  <c r="K31" i="11" s="1"/>
  <c r="J33" i="10"/>
  <c r="N20" i="10"/>
  <c r="N22" i="10"/>
  <c r="M93" i="10"/>
  <c r="N90" i="9"/>
  <c r="N93" i="9" s="1"/>
  <c r="N93" i="10" s="1"/>
  <c r="L37" i="10"/>
  <c r="L25" i="10"/>
  <c r="L78" i="10"/>
  <c r="M24" i="11" s="1"/>
  <c r="N77" i="10"/>
  <c r="O23" i="11" s="1"/>
  <c r="N64" i="10"/>
  <c r="M64" i="10"/>
  <c r="M77" i="10"/>
  <c r="N23" i="11" s="1"/>
  <c r="M94" i="10"/>
  <c r="N97" i="9"/>
  <c r="N100" i="9" s="1"/>
  <c r="N94" i="10" s="1"/>
  <c r="M52" i="10"/>
  <c r="K27" i="10"/>
  <c r="K28" i="10" s="1"/>
  <c r="K38" i="10"/>
  <c r="K70" i="9"/>
  <c r="M22" i="10"/>
  <c r="N52" i="10"/>
  <c r="J107" i="10" l="1"/>
  <c r="J115" i="10" s="1"/>
  <c r="P41" i="11"/>
  <c r="J70" i="10"/>
  <c r="J73" i="10" s="1"/>
  <c r="J88" i="10" s="1"/>
  <c r="H42" i="11" s="1"/>
  <c r="E38" i="5" s="1"/>
  <c r="E50" i="5" s="1"/>
  <c r="H41" i="11"/>
  <c r="E37" i="5" s="1"/>
  <c r="K69" i="9"/>
  <c r="K112" i="9"/>
  <c r="K99" i="10" s="1"/>
  <c r="K113" i="9"/>
  <c r="K105" i="10" s="1"/>
  <c r="M56" i="10"/>
  <c r="M78" i="10" s="1"/>
  <c r="N24" i="11" s="1"/>
  <c r="K44" i="10"/>
  <c r="K50" i="10" s="1"/>
  <c r="K58" i="10" s="1"/>
  <c r="K66" i="10" s="1"/>
  <c r="K112" i="10"/>
  <c r="K113" i="10" s="1"/>
  <c r="N56" i="10"/>
  <c r="N78" i="10" s="1"/>
  <c r="O24" i="11" s="1"/>
  <c r="K33" i="10"/>
  <c r="L21" i="11"/>
  <c r="L26" i="11" s="1"/>
  <c r="L31" i="11" s="1"/>
  <c r="L27" i="10"/>
  <c r="L28" i="10" s="1"/>
  <c r="L38" i="10"/>
  <c r="L70" i="9"/>
  <c r="M37" i="10"/>
  <c r="M25" i="10"/>
  <c r="N37" i="10"/>
  <c r="N25" i="10"/>
  <c r="E49" i="5" l="1"/>
  <c r="E51" i="5" s="1"/>
  <c r="E53" i="5" s="1"/>
  <c r="E39" i="5"/>
  <c r="K70" i="10"/>
  <c r="K73" i="10" s="1"/>
  <c r="K88" i="10" s="1"/>
  <c r="H43" i="11"/>
  <c r="K103" i="10"/>
  <c r="K107" i="10" s="1"/>
  <c r="K115" i="10" s="1"/>
  <c r="L69" i="9"/>
  <c r="L113" i="9"/>
  <c r="L105" i="10" s="1"/>
  <c r="L112" i="9"/>
  <c r="L99" i="10" s="1"/>
  <c r="L103" i="10" s="1"/>
  <c r="L44" i="10"/>
  <c r="L50" i="10" s="1"/>
  <c r="L58" i="10" s="1"/>
  <c r="L66" i="10" s="1"/>
  <c r="L112" i="10"/>
  <c r="J89" i="10"/>
  <c r="J96" i="10" s="1"/>
  <c r="J117" i="10" s="1"/>
  <c r="P42" i="11"/>
  <c r="P43" i="11" s="1"/>
  <c r="M21" i="11"/>
  <c r="M26" i="11" s="1"/>
  <c r="M31" i="11" s="1"/>
  <c r="L33" i="10"/>
  <c r="N27" i="10"/>
  <c r="N28" i="10" s="1"/>
  <c r="N44" i="10" s="1"/>
  <c r="N50" i="10" s="1"/>
  <c r="N58" i="10" s="1"/>
  <c r="N66" i="10" s="1"/>
  <c r="P36" i="11"/>
  <c r="P37" i="11" s="1"/>
  <c r="P38" i="11" s="1"/>
  <c r="N70" i="9"/>
  <c r="N38" i="10"/>
  <c r="M27" i="10"/>
  <c r="M28" i="10" s="1"/>
  <c r="M44" i="10" s="1"/>
  <c r="M50" i="10" s="1"/>
  <c r="M58" i="10" s="1"/>
  <c r="M66" i="10" s="1"/>
  <c r="M70" i="9"/>
  <c r="M38" i="10"/>
  <c r="E41" i="5" l="1"/>
  <c r="F37" i="12" s="1"/>
  <c r="G37" i="12" s="1"/>
  <c r="G45" i="12" s="1"/>
  <c r="F38" i="12"/>
  <c r="L107" i="10"/>
  <c r="L70" i="10"/>
  <c r="L73" i="10" s="1"/>
  <c r="L88" i="10" s="1"/>
  <c r="N69" i="9"/>
  <c r="N112" i="9"/>
  <c r="N99" i="10" s="1"/>
  <c r="N103" i="10" s="1"/>
  <c r="N113" i="9"/>
  <c r="N105" i="10" s="1"/>
  <c r="M69" i="9"/>
  <c r="M113" i="9"/>
  <c r="M105" i="10" s="1"/>
  <c r="M112" i="9"/>
  <c r="M99" i="10" s="1"/>
  <c r="M112" i="10"/>
  <c r="N112" i="10" s="1"/>
  <c r="L113" i="10"/>
  <c r="K89" i="10"/>
  <c r="K96" i="10" s="1"/>
  <c r="K117" i="10" s="1"/>
  <c r="O21" i="11"/>
  <c r="O26" i="11" s="1"/>
  <c r="N33" i="10"/>
  <c r="N21" i="11"/>
  <c r="N26" i="11" s="1"/>
  <c r="N31" i="11" s="1"/>
  <c r="M33" i="10"/>
  <c r="E37" i="12" l="1"/>
  <c r="D45" i="12" s="1"/>
  <c r="E45" i="12" s="1"/>
  <c r="G38" i="12"/>
  <c r="G46" i="12" s="1"/>
  <c r="E38" i="12"/>
  <c r="D46" i="12" s="1"/>
  <c r="L115" i="10"/>
  <c r="N107" i="10"/>
  <c r="M70" i="10"/>
  <c r="M73" i="10" s="1"/>
  <c r="M88" i="10" s="1"/>
  <c r="M89" i="10" s="1"/>
  <c r="M96" i="10" s="1"/>
  <c r="M103" i="10"/>
  <c r="M107" i="10" s="1"/>
  <c r="N70" i="10"/>
  <c r="N73" i="10" s="1"/>
  <c r="M113" i="10"/>
  <c r="L89" i="10"/>
  <c r="L96" i="10" s="1"/>
  <c r="N113" i="10"/>
  <c r="O31" i="11"/>
  <c r="P39" i="11" s="1"/>
  <c r="P40" i="11" s="1"/>
  <c r="P44" i="11" s="1"/>
  <c r="P46" i="11" s="1"/>
  <c r="F34" i="12" s="1"/>
  <c r="E46" i="12" l="1"/>
  <c r="L117" i="10"/>
  <c r="N115" i="10"/>
  <c r="M115" i="10"/>
  <c r="M117" i="10" s="1"/>
  <c r="N88" i="10"/>
  <c r="N89" i="10" s="1"/>
  <c r="N96" i="10" s="1"/>
  <c r="G34" i="12"/>
  <c r="E34" i="12"/>
  <c r="H39" i="11"/>
  <c r="H40" i="11" s="1"/>
  <c r="H44" i="11" s="1"/>
  <c r="H46" i="11" s="1"/>
  <c r="F33" i="12" s="1"/>
  <c r="N117" i="10" l="1"/>
  <c r="G33" i="12"/>
  <c r="G41" i="12" s="1"/>
  <c r="E33" i="12"/>
  <c r="E41"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tc={045C6DC9-F2E7-4649-80B7-8AA4C2170CCD}</author>
  </authors>
  <commentList>
    <comment ref="E44" authorId="0" shapeId="0" xr:uid="{045C6DC9-F2E7-4649-80B7-8AA4C2170CCD}">
      <text>
        <t>[Threaded comment]
Your version of Excel allows you to read this threaded comment; however, any edits to it will get removed if the file is opened in a newer version of Excel. Learn more: https://go.microsoft.com/fwlink/?linkid=870924
Comment:
    Excluding Workday since it's an outlier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tc={CD47716F-2230-43E5-ACB3-EA2B5FDCC7DF}</author>
    <author>tc={6FF03C51-B674-4735-94EB-285D87CE92E6}</author>
    <author>tc={3CB3DE61-CB55-4FED-A664-4C320C8D307C}</author>
    <author>tc={D4262958-5E58-4668-A012-C82B80AA4AD2}</author>
    <author>tc={53A5A00B-63C4-42C3-BA81-70B97F2459D6}</author>
    <author>tc={37692CE6-AE2D-448C-A584-500F57E77812}</author>
    <author>tc={CD1C61D0-5285-48D8-B481-77B36D4F8D83}</author>
    <author>tc={F4A98C2A-E1FA-4B23-9E35-270AF29552CD}</author>
    <author>tc={CA57EDFA-A9FF-4E52-ACAA-A0A025684324}</author>
    <author>tc={D854150C-38C1-4476-AD9B-FBCEE7B07222}</author>
    <author>tc={72D03F16-8862-4A57-B9D0-31445BAF56EE}</author>
    <author>tc={628C4E7D-38F6-4EF2-AE2D-86682F2B0FD2}</author>
    <author>tc={973E5DF8-664E-4ECF-91D6-4EA688896B3C}</author>
    <author>tc={A4FD3BBE-63E4-4946-BFE7-15E51B0E804D}</author>
    <author>tc={563099AF-08EC-4E59-A3D6-3C081DA66950}</author>
    <author>tc={9B0E16AC-236D-4EDC-9CDA-7B733663BA58}</author>
    <author>tc={48AF675F-B458-413D-87FE-013DA253945B}</author>
  </authors>
  <commentList>
    <comment ref="J5" authorId="0" shapeId="0" xr:uid="{CD47716F-2230-43E5-ACB3-EA2B5FDCC7DF}">
      <text>
        <t>[Threaded comment]
Your version of Excel allows you to read this threaded comment; however, any edits to it will get removed if the file is opened in a newer version of Excel. Learn more: https://go.microsoft.com/fwlink/?linkid=870924
Comment:
    We dipped the % in 2025 just to adjust for the new presidential regime</t>
      </text>
    </comment>
    <comment ref="L5" authorId="1" shapeId="0" xr:uid="{6FF03C51-B674-4735-94EB-285D87CE92E6}">
      <text>
        <t>[Threaded comment]
Your version of Excel allows you to read this threaded comment; however, any edits to it will get removed if the file is opened in a newer version of Excel. Learn more: https://go.microsoft.com/fwlink/?linkid=870924
Comment:
    More stability will give the segment more clarity (More business)</t>
      </text>
    </comment>
    <comment ref="J52" authorId="2" shapeId="0" xr:uid="{3CB3DE61-CB55-4FED-A664-4C320C8D307C}">
      <text>
        <t>[Threaded comment]
Your version of Excel allows you to read this threaded comment; however, any edits to it will get removed if the file is opened in a newer version of Excel. Learn more: https://go.microsoft.com/fwlink/?linkid=870924
Comment:
    Expected to market more this year for the new product</t>
      </text>
    </comment>
    <comment ref="J57" authorId="3" shapeId="0" xr:uid="{D4262958-5E58-4668-A012-C82B80AA4AD2}">
      <text>
        <t>[Threaded comment]
Your version of Excel allows you to read this threaded comment; however, any edits to it will get removed if the file is opened in a newer version of Excel. Learn more: https://go.microsoft.com/fwlink/?linkid=870924
Comment:
    Since, GBS will be using the Intuit gen AI. I have kept the growth in R&amp;D similar to the pattern of growth in GBS.</t>
      </text>
    </comment>
    <comment ref="J62" authorId="4" shapeId="0" xr:uid="{53A5A00B-63C4-42C3-BA81-70B97F2459D6}">
      <text>
        <t>[Threaded comment]
Your version of Excel allows you to read this threaded comment; however, any edits to it will get removed if the file is opened in a newer version of Excel. Learn more: https://go.microsoft.com/fwlink/?linkid=870924
Comment:
    Conservative approach, since they will be laying off and hiring simultaneously.</t>
      </text>
    </comment>
    <comment ref="J76" authorId="5" shapeId="0" xr:uid="{37692CE6-AE2D-448C-A584-500F57E77812}">
      <text>
        <t>[Threaded comment]
Your version of Excel allows you to read this threaded comment; however, any edits to it will get removed if the file is opened in a newer version of Excel. Learn more: https://go.microsoft.com/fwlink/?linkid=870924
Comment:
    Increasing because of the new tax refund program</t>
      </text>
    </comment>
    <comment ref="J77" authorId="6" shapeId="0" xr:uid="{CD1C61D0-5285-48D8-B481-77B36D4F8D83}">
      <text>
        <t>[Threaded comment]
Your version of Excel allows you to read this threaded comment; however, any edits to it will get removed if the file is opened in a newer version of Excel. Learn more: https://go.microsoft.com/fwlink/?linkid=870924
Comment:
    The company is getting better in a volatile environment so accrued expenses are growing faster  than prepaid expenses</t>
      </text>
    </comment>
    <comment ref="J78" authorId="7" shapeId="0" xr:uid="{F4A98C2A-E1FA-4B23-9E35-270AF29552CD}">
      <text>
        <t>[Threaded comment]
Your version of Excel allows you to read this threaded comment; however, any edits to it will get removed if the file is opened in a newer version of Excel. Learn more: https://go.microsoft.com/fwlink/?linkid=870924
Comment:
    Increasing the % because theyare introducing the 5days refund program in turbotax</t>
      </text>
    </comment>
    <comment ref="J79" authorId="8" shapeId="0" xr:uid="{CA57EDFA-A9FF-4E52-ACAA-A0A025684324}">
      <text>
        <t>[Threaded comment]
Your version of Excel allows you to read this threaded comment; however, any edits to it will get removed if the file is opened in a newer version of Excel. Learn more: https://go.microsoft.com/fwlink/?linkid=870924
Comment:
    The company is getting better in a volatile environment so accrued expenses are growing faster  than prepaid expenses</t>
      </text>
    </comment>
    <comment ref="E84" authorId="9" shapeId="0" xr:uid="{D854150C-38C1-4476-AD9B-FBCEE7B07222}">
      <text>
        <t xml:space="preserve">[Threaded comment]
Your version of Excel allows you to read this threaded comment; however, any edits to it will get removed if the file is opened in a newer version of Excel. Learn more: https://go.microsoft.com/fwlink/?linkid=870924
Comment:
    Intuit works on deferred revenue model where they accept cash for subscriptions which in turn goes in deferred revenue (liability)
</t>
      </text>
    </comment>
    <comment ref="J92" authorId="10" shapeId="0" xr:uid="{72D03F16-8862-4A57-B9D0-31445BAF56EE}">
      <text>
        <t>[Threaded comment]
Your version of Excel allows you to read this threaded comment; however, any edits to it will get removed if the file is opened in a newer version of Excel. Learn more: https://go.microsoft.com/fwlink/?linkid=870924
Comment:
    Depreciation is taken only on addition because we want to see movement of Capex Yoy</t>
      </text>
    </comment>
    <comment ref="J110" authorId="11" shapeId="0" xr:uid="{628C4E7D-38F6-4EF2-AE2D-86682F2B0FD2}">
      <text>
        <t>[Threaded comment]
Your version of Excel allows you to read this threaded comment; however, any edits to it will get removed if the file is opened in a newer version of Excel. Learn more: https://go.microsoft.com/fwlink/?linkid=870924
Comment:
    The company never had a high short term debt ratio(almost 0) except during covid and during acquisitions and only expect it to get better considering company’s fiscally conservative nature.</t>
      </text>
    </comment>
    <comment ref="J111" authorId="12" shapeId="0" xr:uid="{973E5DF8-664E-4ECF-91D6-4EA688896B3C}">
      <text>
        <t>[Threaded comment]
Your version of Excel allows you to read this threaded comment; however, any edits to it will get removed if the file is opened in a newer version of Excel. Learn more: https://go.microsoft.com/fwlink/?linkid=870924
Comment:
    The debt of the company increased massively to fund the recent acquisitions and post covid environment. The company aims to get the debt under pre-covid levels(0.33x) with its improving efficiency. Unless the company targets a new acquisition, we expect it to get close to 0.33</t>
      </text>
    </comment>
    <comment ref="J117" authorId="13" shapeId="0" xr:uid="{A4FD3BBE-63E4-4946-BFE7-15E51B0E804D}">
      <text>
        <t>[Threaded comment]
Your version of Excel allows you to read this threaded comment; however, any edits to it will get removed if the file is opened in a newer version of Excel. Learn more: https://go.microsoft.com/fwlink/?linkid=870924
Comment:
    New Presidential regime wants the tax to be reduced.</t>
      </text>
    </comment>
    <comment ref="J120" authorId="14" shapeId="0" xr:uid="{563099AF-08EC-4E59-A3D6-3C081DA66950}">
      <text>
        <t xml:space="preserve">[Threaded comment]
Your version of Excel allows you to read this threaded comment; however, any edits to it will get removed if the file is opened in a newer version of Excel. Learn more: https://go.microsoft.com/fwlink/?linkid=870924
Comment:
    Used the Dilution rate of 1.2% (Average of last 5 years’ dilution rate) for the calculation of Diluted shares </t>
      </text>
    </comment>
    <comment ref="J121" authorId="15" shapeId="0" xr:uid="{9B0E16AC-236D-4EDC-9CDA-7B733663BA58}">
      <text>
        <t>[Threaded comment]
Your version of Excel allows you to read this threaded comment; however, any edits to it will get removed if the file is opened in a newer version of Excel. Learn more: https://go.microsoft.com/fwlink/?linkid=870924
Comment:
    Their dividend growth rate is 15%.</t>
      </text>
    </comment>
    <comment ref="J122" authorId="16" shapeId="0" xr:uid="{48AF675F-B458-413D-87FE-013DA253945B}">
      <text>
        <t xml:space="preserve">[Threaded comment]
Your version of Excel allows you to read this threaded comment; however, any edits to it will get removed if the file is opened in a newer version of Excel. Learn more: https://go.microsoft.com/fwlink/?linkid=870924
Comment:
    Keeping the increment rate same as the rate of Dilution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tc={EF80E431-057F-496D-96E5-A91B81D7A31F}</author>
    <author>tc={621EB485-25D0-4CE5-BBC8-26B1AC6B915E}</author>
    <author>Sumit Sharma</author>
    <author>tc={72192078-C7AD-4D6E-92B5-3529FF90D8F4}</author>
    <author>tc={CCB3BA07-6B66-4716-A511-C344574F82E3}</author>
    <author>tc={39CE5272-5891-45A7-BF1A-02B99CF76637}</author>
    <author>tc={84DA1AD5-48CC-4F2D-B637-61700CEE0950}</author>
    <author>tc={FB5D3A1A-E1E6-C44A-AE24-8536236D1B1D}</author>
    <author>tc={8A292774-C5EF-42E8-8C13-17AED9151015}</author>
    <author>tc={A12ED60F-6778-4F3E-AE6F-8FC4A2FA86B5}</author>
    <author>tc={C011E33C-32E5-4FBE-8AF6-3853578E4E4F}</author>
  </authors>
  <commentList>
    <comment ref="E9" authorId="0" shapeId="0" xr:uid="{EF80E431-057F-496D-96E5-A91B81D7A31F}">
      <text>
        <t xml:space="preserve">[Threaded comment]
Your version of Excel allows you to read this threaded comment; however, any edits to it will get removed if the file is opened in a newer version of Excel. Learn more: https://go.microsoft.com/fwlink/?linkid=870924
Comment:
    Includes other operating expenses
</t>
      </text>
    </comment>
    <comment ref="I18" authorId="1" shapeId="0" xr:uid="{621EB485-25D0-4CE5-BBC8-26B1AC6B915E}">
      <text>
        <t xml:space="preserve">[Threaded comment]
Your version of Excel allows you to read this threaded comment; however, any edits to it will get removed if the file is opened in a newer version of Excel. Learn more: https://go.microsoft.com/fwlink/?linkid=870924
Comment:
    Added restructuring charges 
</t>
      </text>
    </comment>
    <comment ref="J24" authorId="2" shapeId="0" xr:uid="{01BCF3B0-0F29-4A5E-834E-26E408DB79AD}">
      <text>
        <r>
          <rPr>
            <b/>
            <sz val="9"/>
            <color indexed="81"/>
            <rFont val="Tahoma"/>
            <family val="2"/>
          </rPr>
          <t>Sumit Sharma:</t>
        </r>
        <r>
          <rPr>
            <sz val="9"/>
            <color indexed="81"/>
            <rFont val="Tahoma"/>
            <family val="2"/>
          </rPr>
          <t xml:space="preserve">
Interest expense would increase because of the new credit taken by the comapny</t>
        </r>
      </text>
    </comment>
    <comment ref="J36" authorId="3" shapeId="0" xr:uid="{72192078-C7AD-4D6E-92B5-3529FF90D8F4}">
      <text>
        <t xml:space="preserve">[Threaded comment]
Your version of Excel allows you to read this threaded comment; however, any edits to it will get removed if the file is opened in a newer version of Excel. Learn more: https://go.microsoft.com/fwlink/?linkid=870924
Comment:
    Average of past
</t>
      </text>
    </comment>
    <comment ref="J48" authorId="4" shapeId="0" xr:uid="{CCB3BA07-6B66-4716-A511-C344574F82E3}">
      <text>
        <t>[Threaded comment]
Your version of Excel allows you to read this threaded comment; however, any edits to it will get removed if the file is opened in a newer version of Excel. Learn more: https://go.microsoft.com/fwlink/?linkid=870924
Comment:
    Potential Simplification of the tax code would lead them to pay a larger portion of their current income taxes and not defer it but could remain same</t>
      </text>
    </comment>
    <comment ref="F62" authorId="5" shapeId="0" xr:uid="{39CE5272-5891-45A7-BF1A-02B99CF76637}">
      <text>
        <t>[Threaded comment]
Your version of Excel allows you to read this threaded comment; however, any edits to it will get removed if the file is opened in a newer version of Excel. Learn more: https://go.microsoft.com/fwlink/?linkid=870924
Comment:
    CreditKarma</t>
      </text>
    </comment>
    <comment ref="G62" authorId="6" shapeId="0" xr:uid="{84DA1AD5-48CC-4F2D-B637-61700CEE0950}">
      <text>
        <t>[Threaded comment]
Your version of Excel allows you to read this threaded comment; however, any edits to it will get removed if the file is opened in a newer version of Excel. Learn more: https://go.microsoft.com/fwlink/?linkid=870924
Comment:
    CK continued</t>
      </text>
    </comment>
    <comment ref="J63" authorId="2" shapeId="0" xr:uid="{77D56A98-C6FB-4C55-8F0C-4F15407531CB}">
      <text>
        <r>
          <rPr>
            <b/>
            <sz val="9"/>
            <color indexed="81"/>
            <rFont val="Tahoma"/>
            <family val="2"/>
          </rPr>
          <t>Sumit Sharma:</t>
        </r>
        <r>
          <rPr>
            <sz val="9"/>
            <color indexed="81"/>
            <rFont val="Tahoma"/>
            <family val="2"/>
          </rPr>
          <t xml:space="preserve">
They are doing small investments, took the average of past 5 years of data.</t>
        </r>
      </text>
    </comment>
    <comment ref="J70" authorId="2" shapeId="0" xr:uid="{A6A0CE88-55F9-486A-AC7A-6AF30B8ABDE5}">
      <text>
        <r>
          <rPr>
            <b/>
            <sz val="9"/>
            <color indexed="81"/>
            <rFont val="Tahoma"/>
            <family val="2"/>
          </rPr>
          <t>Sumit Sharma:</t>
        </r>
        <r>
          <rPr>
            <sz val="9"/>
            <color indexed="81"/>
            <rFont val="Tahoma"/>
            <family val="2"/>
          </rPr>
          <t xml:space="preserve">
Increased Net debt because of 4.5 Billion loan they took, increasing the cash</t>
        </r>
      </text>
    </comment>
    <comment ref="E86" authorId="2" shapeId="0" xr:uid="{90028F7F-CC27-4B32-8A1E-14B0A97C491D}">
      <text>
        <r>
          <rPr>
            <b/>
            <sz val="9"/>
            <color indexed="81"/>
            <rFont val="Tahoma"/>
            <family val="2"/>
          </rPr>
          <t>Sumit Sharma:</t>
        </r>
        <r>
          <rPr>
            <sz val="9"/>
            <color indexed="81"/>
            <rFont val="Tahoma"/>
            <family val="2"/>
          </rPr>
          <t xml:space="preserve">
Tax Receivable + Prepaid
</t>
        </r>
      </text>
    </comment>
    <comment ref="I87" authorId="7" shapeId="0" xr:uid="{FB5D3A1A-E1E6-C44A-AE24-8536236D1B1D}">
      <text>
        <t>[Threaded comment]
Your version of Excel allows you to read this threaded comment; however, any edits to it will get removed if the file is opened in a newer version of Excel. Learn more: https://go.microsoft.com/fwlink/?linkid=870924
Comment:
    This was because of their increase in amounts held for the customer (TR)</t>
      </text>
    </comment>
    <comment ref="J87" authorId="8" shapeId="0" xr:uid="{8A292774-C5EF-42E8-8C13-17AED9151015}">
      <text>
        <t>[Threaded comment]
Your version of Excel allows you to read this threaded comment; however, any edits to it will get removed if the file is opened in a newer version of Excel. Learn more: https://go.microsoft.com/fwlink/?linkid=870924
Comment:
    Increased it by their terminal growth rate</t>
      </text>
    </comment>
    <comment ref="I102" authorId="9" shapeId="0" xr:uid="{A12ED60F-6778-4F3E-AE6F-8FC4A2FA86B5}">
      <text>
        <t>[Threaded comment]
Your version of Excel allows you to read this threaded comment; however, any edits to it will get removed if the file is opened in a newer version of Excel. Learn more: https://go.microsoft.com/fwlink/?linkid=870924
Comment:
    CK + Turbotax refund program</t>
      </text>
    </comment>
    <comment ref="M106" authorId="10" shapeId="0" xr:uid="{C011E33C-32E5-4FBE-8AF6-3853578E4E4F}">
      <text>
        <t>[Threaded comment]
Your version of Excel allows you to read this threaded comment; however, any edits to it will get removed if the file is opened in a newer version of Excel. Learn more: https://go.microsoft.com/fwlink/?linkid=870924
Comment:
    A lot of their debt expires this years which opens them up to raise at a faster rate next year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tc={D23B23DF-A0EB-454D-9DDA-BECC8BBD1D31}</author>
    <author>tc={85D4FE71-9462-4551-B4BD-0466A4370534}</author>
  </authors>
  <commentList>
    <comment ref="C8" authorId="0" shapeId="0" xr:uid="{D23B23DF-A0EB-454D-9DDA-BECC8BBD1D31}">
      <text>
        <t>[Threaded comment]
Your version of Excel allows you to read this threaded comment; however, any edits to it will get removed if the file is opened in a newer version of Excel. Learn more: https://go.microsoft.com/fwlink/?linkid=870924
Comment:
    5Y Monthly Beta</t>
      </text>
    </comment>
    <comment ref="H35" authorId="1" shapeId="0" xr:uid="{85D4FE71-9462-4551-B4BD-0466A4370534}">
      <text>
        <t xml:space="preserve">[Threaded comment]
Your version of Excel allows you to read this threaded comment; however, any edits to it will get removed if the file is opened in a newer version of Excel. Learn more: https://go.microsoft.com/fwlink/?linkid=870924
Comment:
    SaaS Multiples Benchmarking –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tc={D44487B3-FD07-4AD2-8937-43D05D6BA4DA}</author>
  </authors>
  <commentList>
    <comment ref="F40" authorId="0" shapeId="0" xr:uid="{D44487B3-FD07-4AD2-8937-43D05D6BA4DA}">
      <text>
        <t>[Threaded comment]
Your version of Excel allows you to read this threaded comment; however, any edits to it will get removed if the file is opened in a newer version of Excel. Learn more: https://go.microsoft.com/fwlink/?linkid=870924
Comment:
    Current Price</t>
      </text>
    </comment>
  </commentList>
</comments>
</file>

<file path=xl/sharedStrings.xml><?xml version="1.0" encoding="utf-8"?>
<sst xmlns="http://schemas.openxmlformats.org/spreadsheetml/2006/main" count="454" uniqueCount="315">
  <si>
    <t>Intuit (INTU) | Trading comparables - Current Figures &amp; Historical Valuations</t>
  </si>
  <si>
    <t>Market</t>
  </si>
  <si>
    <t>Enterprise</t>
  </si>
  <si>
    <t>Total</t>
  </si>
  <si>
    <t>Cash &amp;</t>
  </si>
  <si>
    <t>Revenue</t>
  </si>
  <si>
    <t>EBITDA</t>
  </si>
  <si>
    <t>Earnings</t>
  </si>
  <si>
    <t>Net Debt /</t>
  </si>
  <si>
    <t>EV/EBITDA</t>
  </si>
  <si>
    <t xml:space="preserve">EBITDA </t>
  </si>
  <si>
    <t>Cap.</t>
  </si>
  <si>
    <t>Value</t>
  </si>
  <si>
    <t>Debt</t>
  </si>
  <si>
    <t>S-t Inv.</t>
  </si>
  <si>
    <t>TTM</t>
  </si>
  <si>
    <t>EV</t>
  </si>
  <si>
    <t>(all figures presented in USD millions, except per share figures or where noted)</t>
  </si>
  <si>
    <t>Global Business Solutions</t>
  </si>
  <si>
    <t>Workday (WDAY US)</t>
  </si>
  <si>
    <t xml:space="preserve">Adobe (ADBE) </t>
  </si>
  <si>
    <t>Oracle (ORCL)</t>
  </si>
  <si>
    <t xml:space="preserve">SAP </t>
  </si>
  <si>
    <t>Microsoft (MSFT)</t>
  </si>
  <si>
    <t>HubSpot (HUBS)</t>
  </si>
  <si>
    <t>Salesfroce (CRM)</t>
  </si>
  <si>
    <t>Average</t>
  </si>
  <si>
    <t>Consumer</t>
  </si>
  <si>
    <t xml:space="preserve">H&amp;R Block (HRB) </t>
  </si>
  <si>
    <t xml:space="preserve">Personal Finance (Credit Karma) </t>
  </si>
  <si>
    <t>Experian PLC</t>
  </si>
  <si>
    <t>Equifax Inc.</t>
  </si>
  <si>
    <t>Block INC</t>
  </si>
  <si>
    <t>ProConnect</t>
  </si>
  <si>
    <t>Thomson Reuters</t>
  </si>
  <si>
    <t>Wolters Kluwer</t>
  </si>
  <si>
    <t>SS&amp;C Technologies</t>
  </si>
  <si>
    <t>Cumulative Average</t>
  </si>
  <si>
    <t>Intuit</t>
  </si>
  <si>
    <t>EV Market Multiples Model</t>
  </si>
  <si>
    <t>Peer Group:</t>
  </si>
  <si>
    <t>Intuit Inc</t>
  </si>
  <si>
    <t>Workday</t>
  </si>
  <si>
    <t>Adobe</t>
  </si>
  <si>
    <t>Salesforce</t>
  </si>
  <si>
    <t>HR Block</t>
  </si>
  <si>
    <t>Equifax</t>
  </si>
  <si>
    <t>Peer Group Average</t>
  </si>
  <si>
    <t>Year</t>
  </si>
  <si>
    <t>Enterprise Value (EV)</t>
  </si>
  <si>
    <t>Annual  Sales</t>
  </si>
  <si>
    <t>Annual  EBITDA</t>
  </si>
  <si>
    <t>EV/Sales Ratio</t>
  </si>
  <si>
    <t>EV/EBITDA Ratio</t>
  </si>
  <si>
    <t>Historical Peer Group</t>
  </si>
  <si>
    <t>Historical Target Firm</t>
  </si>
  <si>
    <t>Average EV/Sales</t>
  </si>
  <si>
    <t>Average EV/EBITDA</t>
  </si>
  <si>
    <t>x Projected Forward Sales</t>
  </si>
  <si>
    <t>x Projected Forward EBITDA</t>
  </si>
  <si>
    <t>Relative EV</t>
  </si>
  <si>
    <t>- Projected Interest-Bearing Debt</t>
  </si>
  <si>
    <t>+ Projected Cash and Cash Equivalents</t>
  </si>
  <si>
    <t>Relative Market Value of Equity</t>
  </si>
  <si>
    <t>Relative EV/Sales Target Price</t>
  </si>
  <si>
    <t>Relative EV/EBITDA share price</t>
  </si>
  <si>
    <t>Price Multiples Model</t>
  </si>
  <si>
    <t>Low</t>
  </si>
  <si>
    <t>High</t>
  </si>
  <si>
    <t xml:space="preserve">Low </t>
  </si>
  <si>
    <t>Price</t>
  </si>
  <si>
    <t>Sales per share</t>
  </si>
  <si>
    <t>Earnings per share</t>
  </si>
  <si>
    <t xml:space="preserve">P/S Ratio </t>
  </si>
  <si>
    <t>P/E Ratio</t>
  </si>
  <si>
    <t>Average P/Sales</t>
  </si>
  <si>
    <t>Average P/E</t>
  </si>
  <si>
    <t>x Projected Forward EPS</t>
  </si>
  <si>
    <t>Projected Forward Sales per share</t>
  </si>
  <si>
    <t>Operating Assumptions</t>
  </si>
  <si>
    <t>Key Metrics</t>
  </si>
  <si>
    <t>CAGR/Avg</t>
  </si>
  <si>
    <t>Explanation</t>
  </si>
  <si>
    <r>
      <t xml:space="preserve">Total Net Sales
</t>
    </r>
    <r>
      <rPr>
        <i/>
        <sz val="8"/>
        <color rgb="FF262626"/>
        <rFont val="Helvetica"/>
        <family val="2"/>
      </rPr>
      <t>(CAGR)</t>
    </r>
  </si>
  <si>
    <t>Diageo predicts that they can achieve organic sales CAGR of 5-7%. We have assumed relatively conservative estimates even accounting for inorganic movements. The Sales growth will be driven by events like olympics, FIFA world cup and growth in APAC and LATAM LDA populace</t>
  </si>
  <si>
    <r>
      <t xml:space="preserve">Adjusted EBITDA Margin
</t>
    </r>
    <r>
      <rPr>
        <i/>
        <sz val="8"/>
        <color rgb="FF262626"/>
        <rFont val="Helvetica"/>
        <family val="2"/>
      </rPr>
      <t>(Average)</t>
    </r>
  </si>
  <si>
    <r>
      <t xml:space="preserve">Total EBITDA
</t>
    </r>
    <r>
      <rPr>
        <i/>
        <sz val="8"/>
        <color rgb="FF262626"/>
        <rFont val="Helvetica"/>
        <family val="2"/>
      </rPr>
      <t>(CAGR)</t>
    </r>
  </si>
  <si>
    <t>We achieve this margin after accounting for the marketing expenses which is ramped up for the next few years then will bought near  historic % with respect to sales. This is an expansive marketing campaign to increase market share especially in the developing countries. There has already been productivity improvements from their prior investments in COGS and other operating expenses so we have assumed it to be near historic averages</t>
  </si>
  <si>
    <r>
      <t xml:space="preserve">Total EBITDA Margin
</t>
    </r>
    <r>
      <rPr>
        <i/>
        <sz val="8"/>
        <color rgb="FF262626"/>
        <rFont val="Helvetica"/>
        <family val="2"/>
      </rPr>
      <t>(Average)</t>
    </r>
  </si>
  <si>
    <r>
      <t xml:space="preserve">Capex (% of revenue)
</t>
    </r>
    <r>
      <rPr>
        <i/>
        <sz val="8"/>
        <color rgb="FF262626"/>
        <rFont val="Helvetica"/>
        <family val="2"/>
      </rPr>
      <t>(Average)</t>
    </r>
  </si>
  <si>
    <t>The company in recent years expanded CAPEX by almost two times due to their targets of increasing market share and production diversity. They expect it to come down to historical levels.</t>
  </si>
  <si>
    <t>Valuation Assumptions</t>
  </si>
  <si>
    <t xml:space="preserve">Key Metric </t>
  </si>
  <si>
    <t>Beta</t>
  </si>
  <si>
    <t>This is with respect to S&amp;P 500 as a benchmark index. Alcohol tend to be less volatile regardless of economic condition. Recorded from bloomberg</t>
  </si>
  <si>
    <t xml:space="preserve">Risk-free rate </t>
  </si>
  <si>
    <t>This was recorded in 30th December 2023 from bloomberg prior to the debt adjustment factor(or the spread)</t>
  </si>
  <si>
    <t xml:space="preserve">Cost of debt (pre-tax) </t>
  </si>
  <si>
    <t>Recorded from bloomberg</t>
  </si>
  <si>
    <t>Exit EBITDA Multiple</t>
  </si>
  <si>
    <t>This is taken with regards to the trading comparables selected</t>
  </si>
  <si>
    <t>Personal Finance</t>
  </si>
  <si>
    <t>Revenue Forecast Model</t>
  </si>
  <si>
    <t>Net Sales</t>
  </si>
  <si>
    <t>[%]</t>
  </si>
  <si>
    <t xml:space="preserve">Personal Finance </t>
  </si>
  <si>
    <t>N/A</t>
  </si>
  <si>
    <t>Total Net Sales</t>
  </si>
  <si>
    <t>Total Net Sales Growth</t>
  </si>
  <si>
    <t xml:space="preserve">Operating Cost Forecast </t>
  </si>
  <si>
    <t>Cost of Net Sales</t>
  </si>
  <si>
    <t>As a % of Net Sales</t>
  </si>
  <si>
    <t>Total Cost of Net Sales</t>
  </si>
  <si>
    <t>Total Marketing Expense</t>
  </si>
  <si>
    <t>Total Other Operating Expense</t>
  </si>
  <si>
    <t>Total Operating Expense</t>
  </si>
  <si>
    <t>EBITDA as % of Net Sales</t>
  </si>
  <si>
    <t xml:space="preserve"> EBITDA Margin</t>
  </si>
  <si>
    <t>Total EBITDA</t>
  </si>
  <si>
    <t>Working Capital Forecast Model</t>
  </si>
  <si>
    <t>Working Capital and Other</t>
  </si>
  <si>
    <t>Trade and other receivables</t>
  </si>
  <si>
    <t>Trade and other payables</t>
  </si>
  <si>
    <t>Net Working Capital as % of net sales</t>
  </si>
  <si>
    <t>Capital Expenditures &amp; Capital Assets Forecast Model</t>
  </si>
  <si>
    <t>Additions</t>
  </si>
  <si>
    <t>Depreciation</t>
  </si>
  <si>
    <t>Ending Balance</t>
  </si>
  <si>
    <t>Addition as % of net sales</t>
  </si>
  <si>
    <t>Amortization &amp; Impairment</t>
  </si>
  <si>
    <t>Additions as % of net sales</t>
  </si>
  <si>
    <t>Total Depreciation, Amortization &amp; Impairment</t>
  </si>
  <si>
    <t>Other Assumptions</t>
  </si>
  <si>
    <t>Tax rate</t>
  </si>
  <si>
    <t>Beginning Shares Outstanding</t>
  </si>
  <si>
    <t>Historical and Projected Income Statement</t>
  </si>
  <si>
    <t>Gross Sales</t>
  </si>
  <si>
    <t>YoY Net Sales Growth</t>
  </si>
  <si>
    <t>Cost of Sales</t>
  </si>
  <si>
    <t>Total Cost of Sales</t>
  </si>
  <si>
    <t>Gross Margin</t>
  </si>
  <si>
    <t>Gross Margin %</t>
  </si>
  <si>
    <t>Selling &amp; Marketing</t>
  </si>
  <si>
    <t>Research and Development</t>
  </si>
  <si>
    <t>General and Administrative</t>
  </si>
  <si>
    <t>Total Operating Expenses</t>
  </si>
  <si>
    <t>Operating Expenses Margin %</t>
  </si>
  <si>
    <t>Operating Profit</t>
  </si>
  <si>
    <t>Earnings before taxes</t>
  </si>
  <si>
    <t>Provision for income taxes</t>
  </si>
  <si>
    <t>Net income (loss)</t>
  </si>
  <si>
    <t>Basic shares outstanding (mm)</t>
  </si>
  <si>
    <t>Diluted shares outstanding (mm)</t>
  </si>
  <si>
    <t>Diluted adjusted earnings (loss) per share attributable</t>
  </si>
  <si>
    <t>Depreciation, amortization and impairment</t>
  </si>
  <si>
    <t xml:space="preserve">Total EBITDA </t>
  </si>
  <si>
    <t>Historical and Projected Cash Flow Statement</t>
  </si>
  <si>
    <t>Cash Flows From Operating Activities</t>
  </si>
  <si>
    <t>Net Income</t>
  </si>
  <si>
    <t>Deferred income taxes</t>
  </si>
  <si>
    <t>Other items</t>
  </si>
  <si>
    <t>Funds from operations</t>
  </si>
  <si>
    <t>Change in working capital</t>
  </si>
  <si>
    <t>Cash Flow from Operating Activities</t>
  </si>
  <si>
    <t>Funds From Investing Activities</t>
  </si>
  <si>
    <t>Cash Flow from Investing Activities</t>
  </si>
  <si>
    <t>Cash flows available for debt repayment</t>
  </si>
  <si>
    <t>Funds From Financing Activities</t>
  </si>
  <si>
    <t>Cash Flow from Financing Activities</t>
  </si>
  <si>
    <t>Side Calculations for Financing Sheet</t>
  </si>
  <si>
    <t>Capital Expenditures</t>
  </si>
  <si>
    <t>Change in Working Capital</t>
  </si>
  <si>
    <t>Historical and Projected Balance Sheet Statement</t>
  </si>
  <si>
    <t>Assets</t>
  </si>
  <si>
    <t>Current Assets</t>
  </si>
  <si>
    <t>Cash and cash equivalents</t>
  </si>
  <si>
    <t>Total Current Assets</t>
  </si>
  <si>
    <t>Non-current Assets</t>
  </si>
  <si>
    <t>Long-term investments</t>
  </si>
  <si>
    <t>Goodwill and intangible assets</t>
  </si>
  <si>
    <t>Total Assets</t>
  </si>
  <si>
    <t>Liabilities &amp; Shareholders Equity</t>
  </si>
  <si>
    <t>Short-term debt</t>
  </si>
  <si>
    <t>Total Current Liabilities</t>
  </si>
  <si>
    <t>Long-term debt</t>
  </si>
  <si>
    <t>Other long-term financial liabilities</t>
  </si>
  <si>
    <t>Total Liabilities</t>
    <phoneticPr fontId="22" type="noConversion"/>
  </si>
  <si>
    <t>Other reserves</t>
  </si>
  <si>
    <t>Retained earnings</t>
  </si>
  <si>
    <t>Total Shareholders' Equity</t>
    <phoneticPr fontId="22" type="noConversion"/>
  </si>
  <si>
    <t>Total Liabilities &amp; Shareholders Equity</t>
    <phoneticPr fontId="22" type="noConversion"/>
  </si>
  <si>
    <t>Check: A = L + E</t>
  </si>
  <si>
    <t>Benchmark rate</t>
  </si>
  <si>
    <t>Expected market return</t>
  </si>
  <si>
    <t>Market risk premium</t>
  </si>
  <si>
    <t>Enterprise Value</t>
  </si>
  <si>
    <t>Cost of debt</t>
  </si>
  <si>
    <t>Equity Value (Market Cap)</t>
  </si>
  <si>
    <t>WACC</t>
  </si>
  <si>
    <t>Shares Outstanding</t>
  </si>
  <si>
    <t>R&amp;D Expense</t>
  </si>
  <si>
    <t>Sales &amp; Marketing Expense</t>
  </si>
  <si>
    <t>COGS Margin %</t>
  </si>
  <si>
    <t>Property, plant &amp; equipment, net</t>
  </si>
  <si>
    <t>Other LT Assets</t>
  </si>
  <si>
    <t>Share capital &amp; Additional Paid in Capital</t>
  </si>
  <si>
    <t>Treasury Stock</t>
  </si>
  <si>
    <t>Stock-Based Compensation</t>
  </si>
  <si>
    <t>Net Cash from Acquisitions &amp; Divestures</t>
  </si>
  <si>
    <t>Other Investing Activities</t>
  </si>
  <si>
    <t>Dividends Paid</t>
  </si>
  <si>
    <t>Repurchase of Equity</t>
  </si>
  <si>
    <t>Other Financing Acitvities</t>
  </si>
  <si>
    <t>Cost Of Capitalized Operating leases &amp; other adjustments</t>
  </si>
  <si>
    <t>EBITDA Margin</t>
  </si>
  <si>
    <t>Assumptions</t>
  </si>
  <si>
    <t>WACC Calculation</t>
  </si>
  <si>
    <t>EBITDA Multiple</t>
  </si>
  <si>
    <t>Revenue Multiple</t>
  </si>
  <si>
    <t>Last forecast Revenue</t>
  </si>
  <si>
    <t>CAPM Cost Of Equity</t>
  </si>
  <si>
    <t>Terminal value</t>
  </si>
  <si>
    <t>PV of terminal value (apply discount factor below)</t>
  </si>
  <si>
    <t>After Tax Cost Of Debt</t>
  </si>
  <si>
    <t>PV of forecast FCF</t>
  </si>
  <si>
    <t>Valuation Date</t>
  </si>
  <si>
    <t>Net Debt</t>
  </si>
  <si>
    <t>Next Year End Date</t>
  </si>
  <si>
    <t>Fair Value Share Price</t>
  </si>
  <si>
    <t>Free Cashflow Valuation</t>
  </si>
  <si>
    <t>Free Cash Flows</t>
  </si>
  <si>
    <t>Free cash flows to the firm (FCFF)</t>
  </si>
  <si>
    <t>Portion of year included in valuation</t>
  </si>
  <si>
    <t>Years to discount</t>
  </si>
  <si>
    <t>Cost of capital</t>
  </si>
  <si>
    <t>Discount factor</t>
  </si>
  <si>
    <t>PV Free Cash Flows to the Firm (FCFF)</t>
  </si>
  <si>
    <t>Projected Fiscal Years Ending July 31</t>
  </si>
  <si>
    <t>Less: Capex</t>
  </si>
  <si>
    <t>Less: Change in NWC</t>
  </si>
  <si>
    <t>Interest Expense*(1-tax)</t>
  </si>
  <si>
    <t>Debt Outstanding</t>
  </si>
  <si>
    <t>Cash  &amp; Cash Equivalents</t>
  </si>
  <si>
    <t>G&amp;A Expense</t>
  </si>
  <si>
    <t>Total R&amp;D Expense</t>
  </si>
  <si>
    <t>% of Net Sales</t>
  </si>
  <si>
    <t>NWC</t>
  </si>
  <si>
    <t xml:space="preserve">Trade and other Paybles </t>
  </si>
  <si>
    <t>Net Interest Expense/Income</t>
  </si>
  <si>
    <t>Amortization and impairment</t>
  </si>
  <si>
    <t>Additions/Impairments</t>
  </si>
  <si>
    <t>Depreciation as % of net sales</t>
  </si>
  <si>
    <t>Amortization &amp; Impairment as % of sales</t>
  </si>
  <si>
    <t xml:space="preserve">Diluted shares Outstanding </t>
  </si>
  <si>
    <t>Funds recievable and amounts held for customers</t>
  </si>
  <si>
    <t>Funds Payable and amounts due to customers</t>
  </si>
  <si>
    <t>[$mm]</t>
  </si>
  <si>
    <t>Change in Trade and other receivables</t>
  </si>
  <si>
    <t>Change in Trade and other payables</t>
  </si>
  <si>
    <t>Net Repayment of Debt</t>
  </si>
  <si>
    <t>Net Change in Fixed and Intangibles</t>
  </si>
  <si>
    <t>FCFF Fair Value EBITDA Multiple Method</t>
  </si>
  <si>
    <t>FCFF Fair Value Revenue Multiple Method</t>
  </si>
  <si>
    <t>Other Current Assets</t>
  </si>
  <si>
    <t>Last EBITDA</t>
  </si>
  <si>
    <t>Other Short Term Liabilities</t>
  </si>
  <si>
    <t>Other Current Liabilities</t>
  </si>
  <si>
    <t>Valuation Methodology</t>
  </si>
  <si>
    <t>Low (-10%)</t>
  </si>
  <si>
    <t>Median</t>
  </si>
  <si>
    <t>High (+10%)</t>
  </si>
  <si>
    <t>Weights</t>
  </si>
  <si>
    <t>Target Price (12-Month)</t>
  </si>
  <si>
    <t>Analyst Recommendation</t>
  </si>
  <si>
    <t>52 Week High Low range</t>
  </si>
  <si>
    <t>Difference</t>
  </si>
  <si>
    <t>Current Share Price</t>
  </si>
  <si>
    <t>X</t>
  </si>
  <si>
    <t>Y</t>
  </si>
  <si>
    <t>Forecasted Price</t>
  </si>
  <si>
    <t>EV/EBITDA Multiple Method</t>
  </si>
  <si>
    <t>52 week high low</t>
  </si>
  <si>
    <t>EV/Sales Multiple Method</t>
  </si>
  <si>
    <t>P/S Multiple Method</t>
  </si>
  <si>
    <t>P/E Multiple Method</t>
  </si>
  <si>
    <t>DCF EV/EBITDA Exit Multiple</t>
  </si>
  <si>
    <t>DCF EV/Revenue Exit Multiple</t>
  </si>
  <si>
    <t>DCF: EV/Revenue Exit</t>
  </si>
  <si>
    <t>DCF: EV/EBITDA Exit</t>
  </si>
  <si>
    <t>P/Sales Multiples</t>
  </si>
  <si>
    <t>P/E Multiples</t>
  </si>
  <si>
    <t>EV/Sales Multiple</t>
  </si>
  <si>
    <t>EV/EBITDA Multiple</t>
  </si>
  <si>
    <t>* All amounts in millions of USD except per share and multiples</t>
  </si>
  <si>
    <t>Debt Forecast</t>
  </si>
  <si>
    <t>Short Term and Long Term Debt</t>
  </si>
  <si>
    <t>Short Term Debt</t>
  </si>
  <si>
    <t>Long Term Debt</t>
  </si>
  <si>
    <t>Revenue Growth Forecast</t>
  </si>
  <si>
    <t>CAGR</t>
  </si>
  <si>
    <r>
      <rPr>
        <b/>
        <sz val="8"/>
        <color theme="1"/>
        <rFont val="Arial"/>
        <family val="2"/>
      </rPr>
      <t xml:space="preserve">PP&amp;E </t>
    </r>
    <r>
      <rPr>
        <sz val="8"/>
        <color theme="1"/>
        <rFont val="Arial"/>
        <family val="2"/>
      </rPr>
      <t>- Opening Balance</t>
    </r>
  </si>
  <si>
    <r>
      <t xml:space="preserve">Intangible Assets </t>
    </r>
    <r>
      <rPr>
        <sz val="8"/>
        <color theme="1"/>
        <rFont val="Arial"/>
        <family val="2"/>
      </rPr>
      <t>- Opening Balance</t>
    </r>
  </si>
  <si>
    <t xml:space="preserve">Cost of Net Sales </t>
  </si>
  <si>
    <t>Addition of Capital Assets &amp; Liabilities</t>
  </si>
  <si>
    <t>EBITDAx</t>
  </si>
  <si>
    <t>INTU</t>
  </si>
  <si>
    <t>Valuations using Historical Averages</t>
  </si>
  <si>
    <t>EV/Sales</t>
  </si>
  <si>
    <t>P/S Multiple</t>
  </si>
  <si>
    <t>P/E Multiple</t>
  </si>
  <si>
    <t>Relative P/S Target Price</t>
  </si>
  <si>
    <t>Relative P/E Target Price</t>
  </si>
  <si>
    <t>Intuit Per Share Valuation Summary</t>
  </si>
  <si>
    <t>Valuation Models</t>
  </si>
  <si>
    <t>(All amounts in USD Millions unless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</si>
</sst>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6" formatCode="&quot;$&quot;#,##0_);[Red]\(&quot;$&quot;#,##0\)"/>
    <numFmt numFmtId="8" formatCode="&quot;$&quot;#,##0.00_);[Red]\(&quot;$&quot;#,##0.00\)"/>
    <numFmt numFmtId="44" formatCode="_(&quot;$&quot;* #,##0.00_);_(&quot;$&quot;* \(#,##0.00\);_(&quot;$&quot;* &quot;-&quot;??_);_(@_)"/>
    <numFmt numFmtId="43" formatCode="_(* #,##0.00_);_(* \(#,##0.00\);_(* &quot;-&quot;??_);_(@_)"/>
    <numFmt numFmtId="164" formatCode="#,##0;\(#,##0\);\-"/>
    <numFmt numFmtId="165" formatCode="0.0\x"/>
    <numFmt numFmtId="166" formatCode="0.0%;\(0.0%\);\-\%"/>
    <numFmt numFmtId="167" formatCode="0.00%;\(0.00%\);\-\%"/>
    <numFmt numFmtId="168" formatCode="_(0.0%_);\(0.0%\);_(&quot;–&quot;_)_%;_(@_)_%"/>
    <numFmt numFmtId="169" formatCode="[$-1009]mmmm\ d\,\ yyyy;@"/>
    <numFmt numFmtId="170" formatCode="0.0%;\(0.0\)%"/>
    <numFmt numFmtId="171" formatCode="0.0%"/>
    <numFmt numFmtId="172" formatCode="_(* #,##0_);_(* \(#,##0\);_(* &quot;-&quot;??_);_(@_)"/>
    <numFmt numFmtId="173" formatCode="#,##0.0%_);\(#,##0.0%\);#,##0.0%_);@_%_)"/>
    <numFmt numFmtId="174" formatCode="#,##0.00;\(#,##0.00\);\-"/>
    <numFmt numFmtId="175" formatCode="_-* #,##0_-;\-* #,##0_-;_-* &quot;-&quot;??_-;_-@_-"/>
    <numFmt numFmtId="176" formatCode="#,##0.0"/>
    <numFmt numFmtId="177" formatCode="[$-409]d\-mmm\-yy;@"/>
    <numFmt numFmtId="178" formatCode="#,##0.0;\(#,##0.0\);\-"/>
    <numFmt numFmtId="179" formatCode="#,##0.0_);\(#,##0.0\)"/>
    <numFmt numFmtId="180" formatCode="_-* #,##0.0_-;\-* #,##0.0_-;_-* &quot;-&quot;??_-;_-@_-"/>
    <numFmt numFmtId="181" formatCode="#,##0;[Red]\(#,##0\)"/>
    <numFmt numFmtId="182" formatCode="#,##0;[Red]\(#,##0\);\-"/>
    <numFmt numFmtId="183" formatCode="#,##0.00;[Red]\(#,##0.00\);\-"/>
    <numFmt numFmtId="184" formatCode="0.0000000"/>
    <numFmt numFmtId="185" formatCode="#,##0.000;\(#,##0.000\);\-"/>
    <numFmt numFmtId="186" formatCode="#,##0.0000;\(#,##0.0000\);\-"/>
    <numFmt numFmtId="187" formatCode="#,##0.00000;\(#,##0.00000\);\-"/>
    <numFmt numFmtId="188" formatCode="&quot;$&quot;#,##0.00_);[Red]\(&quot;$&quot;#,##0.00\);\-"/>
    <numFmt numFmtId="189" formatCode="0.0%;[Red]\-0.0%;\-\-"/>
    <numFmt numFmtId="190" formatCode="0%;[Red]\-0%;\-\-"/>
    <numFmt numFmtId="191" formatCode="0.0\x;[Red]\-0.0\x;\-\-"/>
    <numFmt numFmtId="192" formatCode="#,##0.0_);\(#,##0.0\)\,0.0_);@_)"/>
    <numFmt numFmtId="193" formatCode="&quot;$&quot;#,##0.00"/>
    <numFmt numFmtId="194" formatCode="0.00_);\(0.00\)"/>
  </numFmts>
  <fonts count="65">
    <font>
      <sz val="11"/>
      <color theme="1"/>
      <name val="Aptos Narrow"/>
      <family val="2"/>
      <scheme val="minor"/>
    </font>
    <font>
      <sz val="10"/>
      <name val="Arial"/>
      <family val="2"/>
    </font>
    <font>
      <sz val="10"/>
      <name val="Frutiger 45 Light"/>
      <family val="2"/>
    </font>
    <font>
      <sz val="8"/>
      <name val="Arial"/>
      <family val="2"/>
    </font>
    <font>
      <sz val="8"/>
      <color theme="0"/>
      <name val="Arial"/>
      <family val="2"/>
    </font>
    <font>
      <b/>
      <sz val="8"/>
      <color theme="0"/>
      <name val="Arial"/>
      <family val="2"/>
    </font>
    <font>
      <i/>
      <sz val="8"/>
      <name val="Arial"/>
      <family val="2"/>
    </font>
    <font>
      <b/>
      <i/>
      <sz val="8"/>
      <name val="Arial"/>
      <family val="2"/>
    </font>
    <font>
      <b/>
      <sz val="8"/>
      <name val="Arial"/>
      <family val="2"/>
    </font>
    <font>
      <sz val="11"/>
      <color rgb="FF000000"/>
      <name val="Calibri"/>
      <family val="2"/>
    </font>
    <font>
      <sz val="10"/>
      <color rgb="FF000000"/>
      <name val="Calibri"/>
      <family val="2"/>
    </font>
    <font>
      <b/>
      <sz val="10"/>
      <name val="Calibri"/>
      <family val="2"/>
    </font>
    <font>
      <b/>
      <sz val="7"/>
      <name val="Arial"/>
      <family val="2"/>
    </font>
    <font>
      <b/>
      <sz val="10"/>
      <color theme="0"/>
      <name val="Arial"/>
      <family val="2"/>
    </font>
    <font>
      <b/>
      <sz val="8"/>
      <color rgb="FF262626"/>
      <name val="Helvetica"/>
      <family val="2"/>
    </font>
    <font>
      <sz val="8"/>
      <name val="Helvetica"/>
      <family val="2"/>
    </font>
    <font>
      <b/>
      <sz val="9"/>
      <color theme="0"/>
      <name val="Arial"/>
      <family val="2"/>
    </font>
    <font>
      <sz val="9"/>
      <name val="Arial"/>
      <family val="2"/>
    </font>
    <font>
      <b/>
      <sz val="8"/>
      <name val="Helvetica"/>
      <family val="2"/>
    </font>
    <font>
      <sz val="8"/>
      <color rgb="FF262626"/>
      <name val="Helvetica"/>
      <family val="2"/>
    </font>
    <font>
      <i/>
      <sz val="8"/>
      <color rgb="FF262626"/>
      <name val="Helvetica"/>
      <family val="2"/>
    </font>
    <font>
      <sz val="8"/>
      <color rgb="FF000000"/>
      <name val="Helvetica"/>
      <family val="2"/>
    </font>
    <font>
      <sz val="11"/>
      <color theme="1"/>
      <name val="Aptos Narrow"/>
      <family val="2"/>
      <scheme val="minor"/>
    </font>
    <font>
      <sz val="8"/>
      <color rgb="FF0000FF"/>
      <name val="Arial"/>
      <family val="2"/>
    </font>
    <font>
      <sz val="8"/>
      <color rgb="FFFF0000"/>
      <name val="Arial"/>
      <family val="2"/>
    </font>
    <font>
      <b/>
      <sz val="9"/>
      <color rgb="FFFFFFFF"/>
      <name val="Arial"/>
      <family val="2"/>
    </font>
    <font>
      <sz val="8"/>
      <color rgb="FF000000"/>
      <name val="Arial"/>
      <family val="2"/>
    </font>
    <font>
      <sz val="11"/>
      <color theme="1"/>
      <name val="Calibri"/>
      <family val="2"/>
    </font>
    <font>
      <b/>
      <sz val="8"/>
      <color rgb="FFFF0000"/>
      <name val="Arial"/>
      <family val="2"/>
    </font>
    <font>
      <sz val="10"/>
      <color rgb="FF000000"/>
      <name val="Arial"/>
      <family val="2"/>
    </font>
    <font>
      <b/>
      <sz val="8"/>
      <color rgb="FF000000"/>
      <name val="Arial"/>
      <family val="2"/>
    </font>
    <font>
      <i/>
      <u/>
      <sz val="8"/>
      <name val="Arial"/>
      <family val="2"/>
    </font>
    <font>
      <u/>
      <sz val="8"/>
      <name val="Arial"/>
      <family val="2"/>
    </font>
    <font>
      <sz val="8"/>
      <name val="Times New Roman"/>
      <family val="1"/>
    </font>
    <font>
      <sz val="8"/>
      <name val="Arial"/>
      <family val="2"/>
    </font>
    <font>
      <sz val="8"/>
      <color rgb="FF000000"/>
      <name val="Arial"/>
      <family val="2"/>
    </font>
    <font>
      <i/>
      <sz val="8"/>
      <color theme="1"/>
      <name val="Arial"/>
      <family val="2"/>
    </font>
    <font>
      <sz val="10"/>
      <color indexed="12"/>
      <name val="Arial"/>
      <family val="2"/>
    </font>
    <font>
      <sz val="9"/>
      <color indexed="81"/>
      <name val="Tahoma"/>
      <family val="2"/>
    </font>
    <font>
      <b/>
      <sz val="9"/>
      <color indexed="81"/>
      <name val="Tahoma"/>
      <family val="2"/>
    </font>
    <font>
      <b/>
      <sz val="8"/>
      <name val="Arial"/>
      <family val="2"/>
    </font>
    <font>
      <b/>
      <sz val="11"/>
      <color theme="0"/>
      <name val="Aptos Narrow"/>
      <family val="2"/>
      <scheme val="minor"/>
    </font>
    <font>
      <b/>
      <sz val="11"/>
      <color theme="1"/>
      <name val="Aptos Narrow"/>
      <family val="2"/>
      <scheme val="minor"/>
    </font>
    <font>
      <sz val="11"/>
      <color theme="0"/>
      <name val="Aptos Narrow"/>
      <family val="2"/>
      <scheme val="minor"/>
    </font>
    <font>
      <b/>
      <sz val="12"/>
      <color theme="0"/>
      <name val="Aptos Narrow"/>
      <family val="2"/>
      <scheme val="minor"/>
    </font>
    <font>
      <i/>
      <sz val="11"/>
      <color theme="1"/>
      <name val="Aptos Narrow"/>
      <family val="2"/>
      <scheme val="minor"/>
    </font>
    <font>
      <sz val="11"/>
      <name val="Aptos Narrow"/>
      <family val="2"/>
      <scheme val="minor"/>
    </font>
    <font>
      <b/>
      <sz val="11"/>
      <name val="Aptos Narrow"/>
      <family val="2"/>
      <scheme val="minor"/>
    </font>
    <font>
      <sz val="22"/>
      <color theme="0"/>
      <name val="Aptos Display"/>
      <family val="2"/>
      <scheme val="major"/>
    </font>
    <font>
      <b/>
      <sz val="12"/>
      <color rgb="FF163260"/>
      <name val="Aptos Narrow"/>
      <family val="2"/>
      <scheme val="minor"/>
    </font>
    <font>
      <sz val="11"/>
      <color rgb="FF085393"/>
      <name val="Aptos Narrow"/>
      <family val="2"/>
      <scheme val="minor"/>
    </font>
    <font>
      <sz val="9"/>
      <color theme="6" tint="0.39997558519241921"/>
      <name val="Arial"/>
      <family val="2"/>
    </font>
    <font>
      <sz val="9"/>
      <color theme="0"/>
      <name val="Arial"/>
      <family val="2"/>
    </font>
    <font>
      <sz val="8"/>
      <color theme="1"/>
      <name val="Arial"/>
      <family val="2"/>
    </font>
    <font>
      <b/>
      <sz val="8"/>
      <color theme="1"/>
      <name val="Arial"/>
      <family val="2"/>
    </font>
    <font>
      <b/>
      <i/>
      <sz val="8"/>
      <color theme="1"/>
      <name val="Arial"/>
      <family val="2"/>
    </font>
    <font>
      <sz val="10"/>
      <color theme="1"/>
      <name val="Arial"/>
      <family val="2"/>
    </font>
    <font>
      <sz val="9"/>
      <color theme="1"/>
      <name val="Segoe UI"/>
      <family val="2"/>
    </font>
    <font>
      <b/>
      <sz val="9"/>
      <color theme="1"/>
      <name val="Arial"/>
      <family val="2"/>
    </font>
    <font>
      <sz val="9"/>
      <color theme="1"/>
      <name val="Arial"/>
      <family val="2"/>
    </font>
    <font>
      <sz val="8"/>
      <color theme="1"/>
      <name val="Aptos Narrow"/>
      <family val="2"/>
      <scheme val="minor"/>
    </font>
    <font>
      <b/>
      <sz val="9"/>
      <name val="Arial"/>
      <family val="2"/>
    </font>
    <font>
      <b/>
      <i/>
      <sz val="9"/>
      <color theme="0"/>
      <name val="Arial"/>
      <family val="2"/>
    </font>
    <font>
      <b/>
      <i/>
      <sz val="9"/>
      <color theme="1"/>
      <name val="Arial"/>
      <family val="2"/>
    </font>
    <font>
      <b/>
      <sz val="9"/>
      <color theme="0"/>
      <name val="Aptos Narrow"/>
      <family val="2"/>
      <scheme val="minor"/>
    </font>
  </fonts>
  <fills count="24">
    <fill>
      <patternFill patternType="none"/>
    </fill>
    <fill>
      <patternFill patternType="gray125"/>
    </fill>
    <fill>
      <patternFill patternType="solid">
        <fgColor rgb="FFFFFFFF"/>
        <bgColor rgb="FF000000"/>
      </patternFill>
    </fill>
    <fill>
      <patternFill patternType="solid">
        <fgColor theme="1" tint="0.249977111117893"/>
        <bgColor indexed="64"/>
      </patternFill>
    </fill>
    <fill>
      <patternFill patternType="solid">
        <fgColor theme="0" tint="-0.14999847407452621"/>
        <bgColor indexed="64"/>
      </patternFill>
    </fill>
    <fill>
      <patternFill patternType="solid">
        <fgColor rgb="FFD7C3B7"/>
        <bgColor indexed="64"/>
      </patternFill>
    </fill>
    <fill>
      <patternFill patternType="solid">
        <fgColor theme="0"/>
        <bgColor rgb="FF000000"/>
      </patternFill>
    </fill>
    <fill>
      <patternFill patternType="solid">
        <fgColor theme="0"/>
        <bgColor indexed="64"/>
      </patternFill>
    </fill>
    <fill>
      <patternFill patternType="solid">
        <fgColor theme="5" tint="-0.49998474074526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833C0C"/>
        <bgColor rgb="FF000000"/>
      </patternFill>
    </fill>
    <fill>
      <patternFill patternType="solid">
        <fgColor rgb="FFD9E1F2"/>
        <bgColor rgb="FF000000"/>
      </patternFill>
    </fill>
    <fill>
      <patternFill patternType="solid">
        <fgColor rgb="FFD9D9D9"/>
        <bgColor rgb="FF000000"/>
      </patternFill>
    </fill>
    <fill>
      <patternFill patternType="solid">
        <fgColor indexed="9"/>
        <bgColor indexed="64"/>
      </patternFill>
    </fill>
    <fill>
      <patternFill patternType="solid">
        <fgColor rgb="FFD9D9D9"/>
        <bgColor indexed="64"/>
      </patternFill>
    </fill>
    <fill>
      <patternFill patternType="lightUp">
        <bgColor theme="0" tint="-4.9989318521683403E-2"/>
      </patternFill>
    </fill>
    <fill>
      <patternFill patternType="lightUp"/>
    </fill>
    <fill>
      <patternFill patternType="solid">
        <fgColor rgb="FF163260"/>
        <bgColor indexed="64"/>
      </patternFill>
    </fill>
    <fill>
      <patternFill patternType="solid">
        <fgColor rgb="FFD9E1F2"/>
        <bgColor indexed="64"/>
      </patternFill>
    </fill>
    <fill>
      <patternFill patternType="solid">
        <fgColor rgb="FF7E350E"/>
        <bgColor rgb="FF000000"/>
      </patternFill>
    </fill>
    <fill>
      <patternFill patternType="solid">
        <fgColor rgb="FF7B380E"/>
        <bgColor rgb="FF000000"/>
      </patternFill>
    </fill>
    <fill>
      <patternFill patternType="solid">
        <fgColor rgb="FF7E350E"/>
        <bgColor indexed="64"/>
      </patternFill>
    </fill>
    <fill>
      <patternFill patternType="solid">
        <fgColor rgb="FFD7C3B7"/>
        <bgColor rgb="FF000000"/>
      </patternFill>
    </fill>
  </fills>
  <borders count="55">
    <border>
      <left/>
      <right/>
      <top/>
      <bottom/>
      <diagonal/>
    </border>
    <border>
      <left/>
      <right/>
      <top/>
      <bottom style="thin">
        <color theme="5" tint="0.39997558519241921"/>
      </bottom>
      <diagonal/>
    </border>
    <border>
      <left style="thin">
        <color indexed="64"/>
      </left>
      <right style="thin">
        <color indexed="64"/>
      </right>
      <top style="thin">
        <color indexed="64"/>
      </top>
      <bottom style="thin">
        <color indexed="64"/>
      </bottom>
      <diagonal/>
    </border>
    <border>
      <left/>
      <right/>
      <top/>
      <bottom style="thin">
        <color indexed="28"/>
      </bottom>
      <diagonal/>
    </border>
    <border>
      <left/>
      <right/>
      <top style="thin">
        <color auto="1"/>
      </top>
      <bottom/>
      <diagonal/>
    </border>
    <border>
      <left/>
      <right/>
      <top/>
      <bottom style="thin">
        <color rgb="FFFFFFFF"/>
      </bottom>
      <diagonal/>
    </border>
    <border>
      <left/>
      <right/>
      <top style="thin">
        <color theme="0"/>
      </top>
      <bottom style="thin">
        <color theme="0" tint="-0.14993743705557422"/>
      </bottom>
      <diagonal/>
    </border>
    <border>
      <left/>
      <right/>
      <top style="thin">
        <color theme="0" tint="-0.14993743705557422"/>
      </top>
      <bottom style="thin">
        <color theme="0" tint="-0.14990691854609822"/>
      </bottom>
      <diagonal/>
    </border>
    <border>
      <left/>
      <right/>
      <top style="thin">
        <color theme="0" tint="-0.14993743705557422"/>
      </top>
      <bottom style="thin">
        <color theme="0" tint="-0.14993743705557422"/>
      </bottom>
      <diagonal/>
    </border>
    <border>
      <left/>
      <right/>
      <top style="thin">
        <color theme="0" tint="-0.14990691854609822"/>
      </top>
      <bottom style="thin">
        <color theme="0" tint="-0.14993743705557422"/>
      </bottom>
      <diagonal/>
    </border>
    <border>
      <left/>
      <right/>
      <top style="thin">
        <color theme="0" tint="-0.14990691854609822"/>
      </top>
      <bottom style="thin">
        <color theme="0" tint="-0.14990691854609822"/>
      </bottom>
      <diagonal/>
    </border>
    <border>
      <left/>
      <right/>
      <top style="thin">
        <color theme="0" tint="-0.14990691854609822"/>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top/>
      <bottom style="thin">
        <color auto="1"/>
      </bottom>
      <diagonal/>
    </border>
    <border>
      <left/>
      <right/>
      <top/>
      <bottom style="medium">
        <color auto="1"/>
      </bottom>
      <diagonal/>
    </border>
    <border>
      <left style="thin">
        <color auto="1"/>
      </left>
      <right/>
      <top style="thin">
        <color indexed="64"/>
      </top>
      <bottom style="thin">
        <color auto="1"/>
      </bottom>
      <diagonal/>
    </border>
    <border>
      <left/>
      <right/>
      <top/>
      <bottom style="thin">
        <color rgb="FF660066"/>
      </bottom>
      <diagonal/>
    </border>
    <border>
      <left/>
      <right/>
      <top style="medium">
        <color auto="1"/>
      </top>
      <bottom/>
      <diagonal/>
    </border>
    <border>
      <left/>
      <right/>
      <top style="hair">
        <color auto="1"/>
      </top>
      <bottom style="hair">
        <color auto="1"/>
      </bottom>
      <diagonal/>
    </border>
    <border>
      <left style="thin">
        <color indexed="64"/>
      </left>
      <right style="thin">
        <color indexed="64"/>
      </right>
      <top style="thin">
        <color theme="1" tint="0.24994659260841701"/>
      </top>
      <bottom/>
      <diagonal/>
    </border>
    <border>
      <left style="thin">
        <color indexed="64"/>
      </left>
      <right/>
      <top style="thin">
        <color indexed="64"/>
      </top>
      <bottom style="thin">
        <color theme="1" tint="0.24994659260841701"/>
      </bottom>
      <diagonal/>
    </border>
    <border>
      <left/>
      <right/>
      <top style="thin">
        <color indexed="64"/>
      </top>
      <bottom style="thin">
        <color theme="1" tint="0.24994659260841701"/>
      </bottom>
      <diagonal/>
    </border>
    <border>
      <left/>
      <right style="thin">
        <color indexed="64"/>
      </right>
      <top style="thin">
        <color indexed="64"/>
      </top>
      <bottom style="thin">
        <color theme="1" tint="0.24994659260841701"/>
      </bottom>
      <diagonal/>
    </border>
    <border>
      <left/>
      <right/>
      <top style="thin">
        <color theme="0" tint="-0.499984740745262"/>
      </top>
      <bottom/>
      <diagonal/>
    </border>
    <border>
      <left/>
      <right style="thin">
        <color indexed="64"/>
      </right>
      <top style="thin">
        <color auto="1"/>
      </top>
      <bottom style="thin">
        <color auto="1"/>
      </bottom>
      <diagonal/>
    </border>
    <border>
      <left style="thin">
        <color indexed="64"/>
      </left>
      <right/>
      <top/>
      <bottom style="medium">
        <color auto="1"/>
      </bottom>
      <diagonal/>
    </border>
    <border>
      <left/>
      <right style="thin">
        <color indexed="64"/>
      </right>
      <top/>
      <bottom style="medium">
        <color auto="1"/>
      </bottom>
      <diagonal/>
    </border>
    <border>
      <left style="thin">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auto="1"/>
      </top>
      <bottom style="thin">
        <color auto="1"/>
      </bottom>
      <diagonal/>
    </border>
    <border>
      <left style="thin">
        <color indexed="64"/>
      </left>
      <right/>
      <top style="thin">
        <color indexed="64"/>
      </top>
      <bottom style="hair">
        <color auto="1"/>
      </bottom>
      <diagonal/>
    </border>
    <border>
      <left/>
      <right/>
      <top style="thin">
        <color indexed="64"/>
      </top>
      <bottom style="hair">
        <color auto="1"/>
      </bottom>
      <diagonal/>
    </border>
    <border>
      <left/>
      <right style="thin">
        <color indexed="64"/>
      </right>
      <top style="thin">
        <color indexed="64"/>
      </top>
      <bottom style="hair">
        <color auto="1"/>
      </bottom>
      <diagonal/>
    </border>
    <border>
      <left style="thin">
        <color indexed="64"/>
      </left>
      <right/>
      <top/>
      <bottom style="thin">
        <color theme="5" tint="0.39997558519241921"/>
      </bottom>
      <diagonal/>
    </border>
    <border>
      <left/>
      <right style="thin">
        <color indexed="64"/>
      </right>
      <top/>
      <bottom style="thin">
        <color theme="5" tint="0.39997558519241921"/>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right style="thin">
        <color indexed="64"/>
      </right>
      <top style="hair">
        <color auto="1"/>
      </top>
      <bottom style="hair">
        <color auto="1"/>
      </bottom>
      <diagonal/>
    </border>
    <border>
      <left style="thin">
        <color indexed="64"/>
      </left>
      <right style="thin">
        <color indexed="64"/>
      </right>
      <top style="thin">
        <color rgb="FF000000"/>
      </top>
      <bottom style="thin">
        <color indexed="64"/>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top style="thin">
        <color theme="0" tint="-0.499984740745262"/>
      </top>
      <bottom/>
      <diagonal/>
    </border>
    <border>
      <left style="thin">
        <color indexed="64"/>
      </left>
      <right/>
      <top style="thin">
        <color theme="0" tint="-0.499984740745262"/>
      </top>
      <bottom style="thin">
        <color indexed="64"/>
      </bottom>
      <diagonal/>
    </border>
    <border>
      <left/>
      <right/>
      <top style="thin">
        <color theme="0" tint="-0.499984740745262"/>
      </top>
      <bottom style="thin">
        <color indexed="64"/>
      </bottom>
      <diagonal/>
    </border>
    <border>
      <left/>
      <right style="thin">
        <color indexed="64"/>
      </right>
      <top style="thin">
        <color theme="0" tint="-0.499984740745262"/>
      </top>
      <bottom style="thin">
        <color indexed="64"/>
      </bottom>
      <diagonal/>
    </border>
  </borders>
  <cellStyleXfs count="25">
    <xf numFmtId="0" fontId="0" fillId="0" borderId="0"/>
    <xf numFmtId="0" fontId="1" fillId="0" borderId="0"/>
    <xf numFmtId="0" fontId="1" fillId="0" borderId="0"/>
    <xf numFmtId="0" fontId="2" fillId="0" borderId="0"/>
    <xf numFmtId="169" fontId="1" fillId="0" borderId="0"/>
    <xf numFmtId="43" fontId="1" fillId="0" borderId="0" applyFont="0" applyFill="0" applyBorder="0" applyAlignment="0" applyProtection="0"/>
    <xf numFmtId="9" fontId="1" fillId="0" borderId="0" applyFont="0" applyFill="0" applyBorder="0" applyAlignment="0" applyProtection="0"/>
    <xf numFmtId="0" fontId="12" fillId="0" borderId="3" applyNumberFormat="0" applyFont="0" applyFill="0" applyAlignment="0" applyProtection="0">
      <alignment horizontal="centerContinuous"/>
    </xf>
    <xf numFmtId="9" fontId="22" fillId="0" borderId="0" applyFont="0" applyFill="0" applyBorder="0" applyAlignment="0" applyProtection="0"/>
    <xf numFmtId="43" fontId="22" fillId="0" borderId="0" applyFont="0" applyFill="0" applyBorder="0" applyAlignment="0" applyProtection="0"/>
    <xf numFmtId="176" fontId="29" fillId="2" borderId="18">
      <alignment horizontal="right"/>
    </xf>
    <xf numFmtId="44" fontId="1" fillId="0" borderId="0" applyFont="0" applyFill="0" applyBorder="0" applyAlignment="0" applyProtection="0"/>
    <xf numFmtId="0" fontId="12" fillId="0" borderId="25" applyNumberFormat="0" applyFont="0" applyFill="0" applyAlignment="0" applyProtection="0">
      <alignment horizontal="centerContinuous"/>
    </xf>
    <xf numFmtId="0" fontId="12" fillId="0" borderId="0" applyFill="0" applyBorder="0" applyProtection="0"/>
    <xf numFmtId="181" fontId="33" fillId="0" borderId="0"/>
    <xf numFmtId="0" fontId="1" fillId="0" borderId="0"/>
    <xf numFmtId="0" fontId="1" fillId="0" borderId="0"/>
    <xf numFmtId="0" fontId="1" fillId="0" borderId="0">
      <alignment vertical="top"/>
    </xf>
    <xf numFmtId="44" fontId="22" fillId="0" borderId="0" applyFont="0" applyFill="0" applyBorder="0" applyAlignment="0" applyProtection="0"/>
    <xf numFmtId="175" fontId="37" fillId="0" borderId="0" applyNumberFormat="0" applyFont="0" applyBorder="0" applyAlignment="0" applyProtection="0"/>
    <xf numFmtId="0" fontId="22" fillId="0" borderId="0"/>
    <xf numFmtId="0" fontId="48" fillId="18" borderId="0" applyNumberFormat="0">
      <alignment horizontal="left"/>
    </xf>
    <xf numFmtId="192" fontId="43" fillId="18" borderId="0">
      <alignment horizontal="center"/>
    </xf>
    <xf numFmtId="0" fontId="49" fillId="0" borderId="0" applyNumberFormat="0" applyFill="0" applyBorder="0">
      <alignment horizontal="left" vertical="center"/>
    </xf>
    <xf numFmtId="192" fontId="50" fillId="0" borderId="0">
      <alignment vertical="top"/>
    </xf>
  </cellStyleXfs>
  <cellXfs count="774">
    <xf numFmtId="0" fontId="0" fillId="0" borderId="0" xfId="0"/>
    <xf numFmtId="0" fontId="3" fillId="0" borderId="0" xfId="1" applyFont="1"/>
    <xf numFmtId="0" fontId="3" fillId="3" borderId="0" xfId="1" applyFont="1" applyFill="1"/>
    <xf numFmtId="164" fontId="3" fillId="0" borderId="0" xfId="1" applyNumberFormat="1" applyFont="1"/>
    <xf numFmtId="0" fontId="3" fillId="0" borderId="1" xfId="1" applyFont="1" applyBorder="1"/>
    <xf numFmtId="0" fontId="3" fillId="0" borderId="1" xfId="1" applyFont="1" applyBorder="1" applyAlignment="1">
      <alignment horizontal="center"/>
    </xf>
    <xf numFmtId="0" fontId="10" fillId="2" borderId="0" xfId="0" applyFont="1" applyFill="1" applyAlignment="1">
      <alignment horizontal="center"/>
    </xf>
    <xf numFmtId="0" fontId="9" fillId="6" borderId="0" xfId="0" applyFont="1" applyFill="1"/>
    <xf numFmtId="0" fontId="13" fillId="3" borderId="0" xfId="1" applyFont="1" applyFill="1"/>
    <xf numFmtId="0" fontId="14" fillId="0" borderId="0" xfId="0" applyFont="1" applyAlignment="1">
      <alignment horizontal="left" vertical="center" wrapText="1"/>
    </xf>
    <xf numFmtId="0" fontId="15" fillId="0" borderId="0" xfId="0" applyFont="1" applyAlignment="1">
      <alignment horizontal="center" vertical="top" wrapText="1"/>
    </xf>
    <xf numFmtId="0" fontId="15" fillId="0" borderId="0" xfId="0" applyFont="1" applyAlignment="1">
      <alignment vertical="top" wrapText="1"/>
    </xf>
    <xf numFmtId="0" fontId="16" fillId="8" borderId="0" xfId="1" applyFont="1" applyFill="1"/>
    <xf numFmtId="0" fontId="17" fillId="8" borderId="0" xfId="1" applyFont="1" applyFill="1"/>
    <xf numFmtId="0" fontId="14" fillId="9" borderId="5" xfId="0" applyFont="1" applyFill="1" applyBorder="1" applyAlignment="1">
      <alignment horizontal="left" vertical="center" wrapText="1"/>
    </xf>
    <xf numFmtId="0" fontId="18" fillId="9" borderId="5" xfId="0" applyFont="1" applyFill="1" applyBorder="1" applyAlignment="1">
      <alignment vertical="center" wrapText="1"/>
    </xf>
    <xf numFmtId="0" fontId="18" fillId="9" borderId="0" xfId="0" applyFont="1" applyFill="1" applyAlignment="1">
      <alignment vertical="center" wrapText="1"/>
    </xf>
    <xf numFmtId="0" fontId="19" fillId="0" borderId="6" xfId="0" applyFont="1" applyBorder="1" applyAlignment="1">
      <alignment horizontal="left" vertical="center" wrapText="1"/>
    </xf>
    <xf numFmtId="170" fontId="15" fillId="10" borderId="7" xfId="0" applyNumberFormat="1" applyFont="1" applyFill="1" applyBorder="1" applyAlignment="1">
      <alignment horizontal="center" vertical="center" wrapText="1"/>
    </xf>
    <xf numFmtId="2" fontId="15" fillId="10" borderId="6" xfId="0" applyNumberFormat="1" applyFont="1" applyFill="1" applyBorder="1" applyAlignment="1">
      <alignment horizontal="center" vertical="center" wrapText="1"/>
    </xf>
    <xf numFmtId="0" fontId="19" fillId="0" borderId="7" xfId="0" applyFont="1" applyBorder="1" applyAlignment="1">
      <alignment horizontal="left" vertical="center" wrapText="1"/>
    </xf>
    <xf numFmtId="0" fontId="19" fillId="0" borderId="10" xfId="0" applyFont="1" applyBorder="1" applyAlignment="1">
      <alignment horizontal="left" vertical="center" wrapText="1"/>
    </xf>
    <xf numFmtId="0" fontId="21" fillId="0" borderId="11" xfId="0" applyFont="1" applyBorder="1" applyAlignment="1">
      <alignment horizontal="left" vertical="center" wrapText="1"/>
    </xf>
    <xf numFmtId="165" fontId="15" fillId="10" borderId="11" xfId="0" applyNumberFormat="1" applyFont="1" applyFill="1" applyBorder="1" applyAlignment="1">
      <alignment horizontal="center" vertical="center" wrapText="1"/>
    </xf>
    <xf numFmtId="0" fontId="3" fillId="0" borderId="4" xfId="1" applyFont="1" applyBorder="1"/>
    <xf numFmtId="0" fontId="3" fillId="0" borderId="17" xfId="1" applyFont="1" applyBorder="1"/>
    <xf numFmtId="0" fontId="3" fillId="0" borderId="16" xfId="1" applyFont="1" applyBorder="1"/>
    <xf numFmtId="0" fontId="3" fillId="0" borderId="20" xfId="1" applyFont="1" applyBorder="1"/>
    <xf numFmtId="0" fontId="3" fillId="0" borderId="19" xfId="1" applyFont="1" applyBorder="1"/>
    <xf numFmtId="171" fontId="0" fillId="0" borderId="0" xfId="0" applyNumberFormat="1"/>
    <xf numFmtId="0" fontId="3" fillId="0" borderId="23" xfId="1" applyFont="1" applyBorder="1"/>
    <xf numFmtId="0" fontId="3" fillId="0" borderId="4" xfId="3" applyFont="1" applyBorder="1"/>
    <xf numFmtId="164" fontId="3" fillId="0" borderId="4" xfId="1" applyNumberFormat="1" applyFont="1" applyBorder="1"/>
    <xf numFmtId="0" fontId="3" fillId="0" borderId="14" xfId="1" applyFont="1" applyBorder="1"/>
    <xf numFmtId="164" fontId="3" fillId="13" borderId="4" xfId="1" applyNumberFormat="1" applyFont="1" applyFill="1" applyBorder="1"/>
    <xf numFmtId="164" fontId="3" fillId="0" borderId="26" xfId="1" applyNumberFormat="1" applyFont="1" applyBorder="1"/>
    <xf numFmtId="176" fontId="26" fillId="2" borderId="0" xfId="10" applyFont="1" applyBorder="1">
      <alignment horizontal="right"/>
    </xf>
    <xf numFmtId="164" fontId="23" fillId="0" borderId="0" xfId="7" applyNumberFormat="1" applyFont="1" applyBorder="1" applyAlignment="1">
      <alignment horizontal="right"/>
    </xf>
    <xf numFmtId="164" fontId="3" fillId="13" borderId="0" xfId="7" applyNumberFormat="1" applyFont="1" applyFill="1" applyBorder="1" applyAlignment="1">
      <alignment horizontal="right"/>
    </xf>
    <xf numFmtId="0" fontId="3" fillId="0" borderId="22" xfId="1" applyFont="1" applyBorder="1"/>
    <xf numFmtId="164" fontId="3" fillId="13" borderId="22" xfId="1" applyNumberFormat="1" applyFont="1" applyFill="1" applyBorder="1"/>
    <xf numFmtId="164" fontId="3" fillId="13" borderId="27" xfId="7" applyNumberFormat="1" applyFont="1" applyFill="1" applyBorder="1" applyAlignment="1">
      <alignment horizontal="right"/>
    </xf>
    <xf numFmtId="164" fontId="26" fillId="0" borderId="0" xfId="7" applyNumberFormat="1" applyFont="1" applyBorder="1" applyAlignment="1">
      <alignment horizontal="right"/>
    </xf>
    <xf numFmtId="164" fontId="26" fillId="13" borderId="0" xfId="12" applyNumberFormat="1" applyFont="1" applyFill="1" applyBorder="1" applyAlignment="1">
      <alignment horizontal="right"/>
    </xf>
    <xf numFmtId="164" fontId="3" fillId="13" borderId="0" xfId="12" applyNumberFormat="1" applyFont="1" applyFill="1" applyBorder="1" applyAlignment="1">
      <alignment horizontal="right"/>
    </xf>
    <xf numFmtId="164" fontId="30" fillId="13" borderId="4" xfId="3" applyNumberFormat="1" applyFont="1" applyFill="1" applyBorder="1"/>
    <xf numFmtId="0" fontId="3" fillId="0" borderId="24" xfId="1" applyFont="1" applyBorder="1"/>
    <xf numFmtId="0" fontId="3" fillId="0" borderId="0" xfId="1" applyFont="1" applyAlignment="1">
      <alignment horizontal="right"/>
    </xf>
    <xf numFmtId="164" fontId="26" fillId="0" borderId="4" xfId="7" applyNumberFormat="1" applyFont="1" applyBorder="1" applyAlignment="1">
      <alignment horizontal="right"/>
    </xf>
    <xf numFmtId="164" fontId="26" fillId="13" borderId="4" xfId="7" applyNumberFormat="1" applyFont="1" applyFill="1" applyBorder="1" applyAlignment="1">
      <alignment horizontal="right"/>
    </xf>
    <xf numFmtId="180" fontId="23" fillId="0" borderId="0" xfId="7" applyNumberFormat="1" applyFont="1" applyBorder="1" applyAlignment="1">
      <alignment horizontal="right"/>
    </xf>
    <xf numFmtId="0" fontId="3" fillId="0" borderId="14" xfId="3" applyFont="1" applyBorder="1"/>
    <xf numFmtId="164" fontId="3" fillId="0" borderId="14" xfId="3" applyNumberFormat="1" applyFont="1" applyBorder="1"/>
    <xf numFmtId="0" fontId="1" fillId="0" borderId="0" xfId="1"/>
    <xf numFmtId="0" fontId="9" fillId="2" borderId="0" xfId="0" applyFont="1" applyFill="1" applyAlignment="1">
      <alignment vertical="center"/>
    </xf>
    <xf numFmtId="0" fontId="3" fillId="0" borderId="0" xfId="0" applyFont="1" applyAlignment="1">
      <alignment vertical="top" wrapText="1"/>
    </xf>
    <xf numFmtId="0" fontId="8" fillId="0" borderId="4" xfId="1" applyFont="1" applyBorder="1"/>
    <xf numFmtId="0" fontId="8" fillId="0" borderId="0" xfId="1" applyFont="1"/>
    <xf numFmtId="164" fontId="8" fillId="0" borderId="4" xfId="1" applyNumberFormat="1" applyFont="1" applyBorder="1"/>
    <xf numFmtId="164" fontId="8" fillId="13" borderId="4" xfId="1" applyNumberFormat="1" applyFont="1" applyFill="1" applyBorder="1"/>
    <xf numFmtId="167" fontId="8" fillId="0" borderId="4" xfId="1" applyNumberFormat="1" applyFont="1" applyBorder="1"/>
    <xf numFmtId="167" fontId="8" fillId="0" borderId="0" xfId="1" applyNumberFormat="1" applyFont="1" applyAlignment="1">
      <alignment horizontal="left"/>
    </xf>
    <xf numFmtId="167" fontId="8" fillId="0" borderId="0" xfId="1" applyNumberFormat="1" applyFont="1"/>
    <xf numFmtId="164" fontId="8" fillId="0" borderId="0" xfId="1" applyNumberFormat="1" applyFont="1"/>
    <xf numFmtId="0" fontId="8" fillId="0" borderId="4" xfId="3" applyFont="1" applyBorder="1"/>
    <xf numFmtId="164" fontId="8" fillId="0" borderId="4" xfId="3" applyNumberFormat="1" applyFont="1" applyBorder="1"/>
    <xf numFmtId="164" fontId="8" fillId="13" borderId="4" xfId="3" applyNumberFormat="1" applyFont="1" applyFill="1" applyBorder="1"/>
    <xf numFmtId="164" fontId="6" fillId="0" borderId="14" xfId="3" applyNumberFormat="1" applyFont="1" applyBorder="1" applyAlignment="1">
      <alignment horizontal="right"/>
    </xf>
    <xf numFmtId="164" fontId="8" fillId="0" borderId="4" xfId="7" applyNumberFormat="1" applyFont="1" applyBorder="1" applyAlignment="1">
      <alignment horizontal="right"/>
    </xf>
    <xf numFmtId="164" fontId="8" fillId="13" borderId="4" xfId="7" applyNumberFormat="1" applyFont="1" applyFill="1" applyBorder="1" applyAlignment="1">
      <alignment horizontal="right"/>
    </xf>
    <xf numFmtId="0" fontId="8" fillId="0" borderId="14" xfId="3" applyFont="1" applyBorder="1"/>
    <xf numFmtId="164" fontId="8" fillId="0" borderId="14" xfId="3" applyNumberFormat="1" applyFont="1" applyBorder="1"/>
    <xf numFmtId="164" fontId="8" fillId="13" borderId="14" xfId="3" applyNumberFormat="1" applyFont="1" applyFill="1" applyBorder="1"/>
    <xf numFmtId="14" fontId="8" fillId="0" borderId="23" xfId="1" applyNumberFormat="1" applyFont="1" applyBorder="1"/>
    <xf numFmtId="14" fontId="30" fillId="0" borderId="23" xfId="1" applyNumberFormat="1" applyFont="1" applyBorder="1"/>
    <xf numFmtId="0" fontId="3" fillId="0" borderId="16" xfId="3" applyFont="1" applyBorder="1"/>
    <xf numFmtId="164" fontId="3" fillId="13" borderId="17" xfId="1" applyNumberFormat="1" applyFont="1" applyFill="1" applyBorder="1"/>
    <xf numFmtId="167" fontId="8" fillId="0" borderId="12" xfId="1" applyNumberFormat="1" applyFont="1" applyBorder="1" applyAlignment="1">
      <alignment horizontal="left"/>
    </xf>
    <xf numFmtId="167" fontId="28" fillId="0" borderId="22" xfId="1" applyNumberFormat="1" applyFont="1" applyBorder="1"/>
    <xf numFmtId="167" fontId="8" fillId="0" borderId="22" xfId="1" applyNumberFormat="1" applyFont="1" applyBorder="1"/>
    <xf numFmtId="0" fontId="36" fillId="0" borderId="19" xfId="1" applyFont="1" applyBorder="1"/>
    <xf numFmtId="10" fontId="6" fillId="0" borderId="22" xfId="8" applyNumberFormat="1" applyFont="1" applyBorder="1"/>
    <xf numFmtId="0" fontId="1" fillId="0" borderId="0" xfId="17">
      <alignment vertical="top"/>
    </xf>
    <xf numFmtId="0" fontId="3" fillId="0" borderId="0" xfId="17" applyFont="1">
      <alignment vertical="top"/>
    </xf>
    <xf numFmtId="0" fontId="3" fillId="0" borderId="0" xfId="17" quotePrefix="1" applyFont="1">
      <alignment vertical="top"/>
    </xf>
    <xf numFmtId="164" fontId="8" fillId="4" borderId="21" xfId="15" applyNumberFormat="1" applyFont="1" applyFill="1" applyBorder="1" applyAlignment="1">
      <alignment horizontal="right"/>
    </xf>
    <xf numFmtId="0" fontId="0" fillId="0" borderId="20" xfId="0" applyBorder="1"/>
    <xf numFmtId="174" fontId="8" fillId="4" borderId="2" xfId="1" applyNumberFormat="1" applyFont="1" applyFill="1" applyBorder="1"/>
    <xf numFmtId="177" fontId="8" fillId="0" borderId="0" xfId="1" applyNumberFormat="1" applyFont="1" applyAlignment="1">
      <alignment horizontal="centerContinuous"/>
    </xf>
    <xf numFmtId="164" fontId="8" fillId="4" borderId="4" xfId="1" applyNumberFormat="1" applyFont="1" applyFill="1" applyBorder="1"/>
    <xf numFmtId="178" fontId="8" fillId="0" borderId="4" xfId="3" applyNumberFormat="1" applyFont="1" applyBorder="1"/>
    <xf numFmtId="164" fontId="8" fillId="16" borderId="4" xfId="1" applyNumberFormat="1" applyFont="1" applyFill="1" applyBorder="1"/>
    <xf numFmtId="182" fontId="8" fillId="4" borderId="21" xfId="16" applyNumberFormat="1" applyFont="1" applyFill="1" applyBorder="1"/>
    <xf numFmtId="182" fontId="3" fillId="4" borderId="18" xfId="16" applyNumberFormat="1" applyFont="1" applyFill="1" applyBorder="1"/>
    <xf numFmtId="182" fontId="3" fillId="4" borderId="18" xfId="15" applyNumberFormat="1" applyFont="1" applyFill="1" applyBorder="1" applyAlignment="1">
      <alignment horizontal="right"/>
    </xf>
    <xf numFmtId="164" fontId="3" fillId="4" borderId="21" xfId="1" applyNumberFormat="1" applyFont="1" applyFill="1" applyBorder="1"/>
    <xf numFmtId="164" fontId="3" fillId="15" borderId="2" xfId="16" applyNumberFormat="1" applyFont="1" applyFill="1" applyBorder="1"/>
    <xf numFmtId="164" fontId="35" fillId="13" borderId="0" xfId="12" applyNumberFormat="1" applyFont="1" applyFill="1" applyBorder="1" applyAlignment="1">
      <alignment horizontal="right"/>
    </xf>
    <xf numFmtId="164" fontId="3" fillId="0" borderId="0" xfId="7" applyNumberFormat="1" applyFont="1" applyFill="1" applyBorder="1" applyAlignment="1">
      <alignment horizontal="right"/>
    </xf>
    <xf numFmtId="0" fontId="3" fillId="0" borderId="16" xfId="1" applyFont="1" applyBorder="1" applyAlignment="1">
      <alignment horizontal="left"/>
    </xf>
    <xf numFmtId="164" fontId="26" fillId="13" borderId="17" xfId="3" applyNumberFormat="1" applyFont="1" applyFill="1" applyBorder="1"/>
    <xf numFmtId="0" fontId="3" fillId="0" borderId="19" xfId="3" applyFont="1" applyBorder="1"/>
    <xf numFmtId="184" fontId="0" fillId="0" borderId="0" xfId="0" applyNumberFormat="1"/>
    <xf numFmtId="164" fontId="0" fillId="0" borderId="0" xfId="0" applyNumberFormat="1"/>
    <xf numFmtId="181" fontId="3" fillId="14" borderId="16" xfId="14" applyFont="1" applyFill="1" applyBorder="1" applyAlignment="1">
      <alignment horizontal="left"/>
    </xf>
    <xf numFmtId="0" fontId="3" fillId="0" borderId="16" xfId="16" applyFont="1" applyBorder="1"/>
    <xf numFmtId="0" fontId="3" fillId="14" borderId="19" xfId="15" applyFont="1" applyFill="1" applyBorder="1"/>
    <xf numFmtId="0" fontId="8" fillId="0" borderId="16" xfId="16" applyFont="1" applyBorder="1"/>
    <xf numFmtId="181" fontId="3" fillId="14" borderId="16" xfId="14" quotePrefix="1" applyFont="1" applyFill="1" applyBorder="1" applyAlignment="1">
      <alignment horizontal="left" indent="1"/>
    </xf>
    <xf numFmtId="181" fontId="3" fillId="14" borderId="19" xfId="14" quotePrefix="1" applyFont="1" applyFill="1" applyBorder="1" applyAlignment="1">
      <alignment horizontal="left" indent="1"/>
    </xf>
    <xf numFmtId="181" fontId="3" fillId="14" borderId="24" xfId="14" applyFont="1" applyFill="1" applyBorder="1"/>
    <xf numFmtId="181" fontId="8" fillId="14" borderId="16" xfId="14" applyFont="1" applyFill="1" applyBorder="1"/>
    <xf numFmtId="0" fontId="8" fillId="0" borderId="24" xfId="1" applyFont="1" applyBorder="1"/>
    <xf numFmtId="181" fontId="3" fillId="0" borderId="16" xfId="14" applyFont="1" applyBorder="1" applyAlignment="1">
      <alignment horizontal="left"/>
    </xf>
    <xf numFmtId="0" fontId="17" fillId="0" borderId="0" xfId="1" applyFont="1"/>
    <xf numFmtId="14" fontId="8" fillId="0" borderId="0" xfId="1" applyNumberFormat="1" applyFont="1"/>
    <xf numFmtId="183" fontId="3" fillId="0" borderId="0" xfId="1" applyNumberFormat="1" applyFont="1"/>
    <xf numFmtId="168" fontId="3" fillId="0" borderId="0" xfId="1" applyNumberFormat="1" applyFont="1"/>
    <xf numFmtId="182" fontId="3" fillId="0" borderId="0" xfId="1" applyNumberFormat="1" applyFont="1"/>
    <xf numFmtId="186" fontId="8" fillId="0" borderId="0" xfId="3" applyNumberFormat="1" applyFont="1"/>
    <xf numFmtId="187" fontId="40" fillId="0" borderId="0" xfId="7" applyNumberFormat="1" applyFont="1" applyFill="1" applyBorder="1" applyAlignment="1">
      <alignment horizontal="right"/>
    </xf>
    <xf numFmtId="187" fontId="8" fillId="0" borderId="0" xfId="7" applyNumberFormat="1" applyFont="1" applyFill="1" applyBorder="1" applyAlignment="1">
      <alignment horizontal="right"/>
    </xf>
    <xf numFmtId="0" fontId="42" fillId="7" borderId="0" xfId="20" applyFont="1" applyFill="1" applyAlignment="1">
      <alignment horizontal="left"/>
    </xf>
    <xf numFmtId="0" fontId="42" fillId="7" borderId="0" xfId="20" applyFont="1" applyFill="1" applyAlignment="1">
      <alignment horizontal="center"/>
    </xf>
    <xf numFmtId="0" fontId="22" fillId="7" borderId="0" xfId="20" applyFill="1"/>
    <xf numFmtId="0" fontId="45" fillId="7" borderId="0" xfId="20" applyFont="1" applyFill="1" applyAlignment="1">
      <alignment vertical="center"/>
    </xf>
    <xf numFmtId="0" fontId="42" fillId="7" borderId="0" xfId="20" applyFont="1" applyFill="1" applyAlignment="1">
      <alignment vertical="center"/>
    </xf>
    <xf numFmtId="0" fontId="42" fillId="7" borderId="0" xfId="20" applyFont="1" applyFill="1" applyAlignment="1">
      <alignment horizontal="center" vertical="center"/>
    </xf>
    <xf numFmtId="0" fontId="43" fillId="7" borderId="0" xfId="20" applyFont="1" applyFill="1" applyAlignment="1">
      <alignment vertical="center"/>
    </xf>
    <xf numFmtId="0" fontId="46" fillId="7" borderId="0" xfId="20" applyFont="1" applyFill="1" applyAlignment="1">
      <alignment vertical="center"/>
    </xf>
    <xf numFmtId="0" fontId="46" fillId="0" borderId="0" xfId="20" applyFont="1"/>
    <xf numFmtId="0" fontId="47" fillId="0" borderId="0" xfId="20" applyFont="1" applyAlignment="1">
      <alignment horizontal="left" vertical="center" indent="1"/>
    </xf>
    <xf numFmtId="191" fontId="47" fillId="0" borderId="0" xfId="20" applyNumberFormat="1" applyFont="1" applyAlignment="1">
      <alignment horizontal="right" vertical="center"/>
    </xf>
    <xf numFmtId="0" fontId="46" fillId="0" borderId="0" xfId="20" applyFont="1" applyAlignment="1">
      <alignment vertical="center"/>
    </xf>
    <xf numFmtId="0" fontId="42" fillId="0" borderId="0" xfId="20" applyFont="1" applyAlignment="1">
      <alignment vertical="center"/>
    </xf>
    <xf numFmtId="0" fontId="43" fillId="0" borderId="0" xfId="20" applyFont="1" applyAlignment="1">
      <alignment vertical="center"/>
    </xf>
    <xf numFmtId="0" fontId="0" fillId="0" borderId="22" xfId="0" applyBorder="1"/>
    <xf numFmtId="0" fontId="45" fillId="0" borderId="0" xfId="20" applyFont="1" applyAlignment="1">
      <alignment vertical="center"/>
    </xf>
    <xf numFmtId="0" fontId="42" fillId="0" borderId="0" xfId="20" applyFont="1" applyAlignment="1">
      <alignment horizontal="center" vertical="center"/>
    </xf>
    <xf numFmtId="0" fontId="0" fillId="0" borderId="0" xfId="0" applyAlignment="1">
      <alignment horizontal="right"/>
    </xf>
    <xf numFmtId="44" fontId="0" fillId="0" borderId="0" xfId="18" applyFont="1"/>
    <xf numFmtId="0" fontId="0" fillId="0" borderId="22" xfId="0" applyBorder="1" applyAlignment="1">
      <alignment horizontal="right"/>
    </xf>
    <xf numFmtId="0" fontId="0" fillId="0" borderId="17" xfId="0" applyBorder="1"/>
    <xf numFmtId="0" fontId="51" fillId="6" borderId="0" xfId="1" applyFont="1" applyFill="1"/>
    <xf numFmtId="0" fontId="53" fillId="0" borderId="12" xfId="1" applyFont="1" applyBorder="1" applyAlignment="1">
      <alignment horizontal="left"/>
    </xf>
    <xf numFmtId="0" fontId="53" fillId="0" borderId="16" xfId="1" applyFont="1" applyBorder="1" applyAlignment="1">
      <alignment horizontal="left"/>
    </xf>
    <xf numFmtId="0" fontId="53" fillId="0" borderId="19" xfId="1" applyFont="1" applyBorder="1" applyAlignment="1">
      <alignment horizontal="left"/>
    </xf>
    <xf numFmtId="171" fontId="53" fillId="0" borderId="0" xfId="8" applyNumberFormat="1" applyFont="1"/>
    <xf numFmtId="0" fontId="54" fillId="0" borderId="12" xfId="1" applyFont="1" applyBorder="1" applyAlignment="1">
      <alignment horizontal="left"/>
    </xf>
    <xf numFmtId="0" fontId="53" fillId="0" borderId="4" xfId="1" applyFont="1" applyBorder="1"/>
    <xf numFmtId="164" fontId="53" fillId="0" borderId="4" xfId="1" applyNumberFormat="1" applyFont="1" applyBorder="1"/>
    <xf numFmtId="0" fontId="53" fillId="0" borderId="15" xfId="1" applyFont="1" applyBorder="1"/>
    <xf numFmtId="166" fontId="53" fillId="0" borderId="4" xfId="1" applyNumberFormat="1" applyFont="1" applyBorder="1" applyAlignment="1">
      <alignment horizontal="right"/>
    </xf>
    <xf numFmtId="0" fontId="53" fillId="0" borderId="17" xfId="1" applyFont="1" applyBorder="1"/>
    <xf numFmtId="0" fontId="53" fillId="0" borderId="16" xfId="1" applyFont="1" applyBorder="1"/>
    <xf numFmtId="166" fontId="53" fillId="0" borderId="0" xfId="1" applyNumberFormat="1" applyFont="1" applyAlignment="1">
      <alignment horizontal="right"/>
    </xf>
    <xf numFmtId="0" fontId="53" fillId="0" borderId="20" xfId="1" applyFont="1" applyBorder="1"/>
    <xf numFmtId="166" fontId="53" fillId="0" borderId="22" xfId="1" applyNumberFormat="1" applyFont="1" applyBorder="1" applyAlignment="1">
      <alignment horizontal="right"/>
    </xf>
    <xf numFmtId="0" fontId="55" fillId="0" borderId="0" xfId="1" applyFont="1" applyAlignment="1">
      <alignment horizontal="left"/>
    </xf>
    <xf numFmtId="0" fontId="53" fillId="0" borderId="0" xfId="1" applyFont="1"/>
    <xf numFmtId="0" fontId="55" fillId="0" borderId="0" xfId="1" applyFont="1" applyAlignment="1">
      <alignment horizontal="center"/>
    </xf>
    <xf numFmtId="0" fontId="56" fillId="0" borderId="23" xfId="1" applyFont="1" applyBorder="1"/>
    <xf numFmtId="1" fontId="53" fillId="0" borderId="23" xfId="1" applyNumberFormat="1" applyFont="1" applyBorder="1"/>
    <xf numFmtId="14" fontId="53" fillId="0" borderId="23" xfId="1" applyNumberFormat="1" applyFont="1" applyBorder="1"/>
    <xf numFmtId="0" fontId="53" fillId="0" borderId="0" xfId="1" applyFont="1" applyAlignment="1">
      <alignment horizontal="left"/>
    </xf>
    <xf numFmtId="0" fontId="54" fillId="0" borderId="4" xfId="1" applyFont="1" applyBorder="1"/>
    <xf numFmtId="164" fontId="54" fillId="0" borderId="4" xfId="5" applyNumberFormat="1" applyFont="1" applyBorder="1" applyAlignment="1">
      <alignment horizontal="right"/>
    </xf>
    <xf numFmtId="0" fontId="54" fillId="0" borderId="13" xfId="1" applyFont="1" applyBorder="1" applyAlignment="1">
      <alignment horizontal="center"/>
    </xf>
    <xf numFmtId="0" fontId="53" fillId="0" borderId="13" xfId="1" applyFont="1" applyBorder="1" applyAlignment="1">
      <alignment horizontal="center"/>
    </xf>
    <xf numFmtId="0" fontId="53" fillId="0" borderId="18" xfId="1" applyFont="1" applyBorder="1" applyAlignment="1">
      <alignment horizontal="center"/>
    </xf>
    <xf numFmtId="0" fontId="53" fillId="0" borderId="21" xfId="1" applyFont="1" applyBorder="1" applyAlignment="1">
      <alignment horizontal="center"/>
    </xf>
    <xf numFmtId="166" fontId="6" fillId="0" borderId="0" xfId="1" applyNumberFormat="1" applyFont="1"/>
    <xf numFmtId="0" fontId="16" fillId="8" borderId="12" xfId="1" applyFont="1" applyFill="1" applyBorder="1"/>
    <xf numFmtId="0" fontId="17" fillId="8" borderId="4" xfId="1" applyFont="1" applyFill="1" applyBorder="1"/>
    <xf numFmtId="0" fontId="17" fillId="8" borderId="15" xfId="1" applyFont="1" applyFill="1" applyBorder="1"/>
    <xf numFmtId="0" fontId="0" fillId="0" borderId="16" xfId="0" applyBorder="1"/>
    <xf numFmtId="14" fontId="53" fillId="0" borderId="0" xfId="0" applyNumberFormat="1" applyFont="1"/>
    <xf numFmtId="14" fontId="53" fillId="0" borderId="17" xfId="0" applyNumberFormat="1" applyFont="1" applyBorder="1"/>
    <xf numFmtId="0" fontId="55" fillId="0" borderId="16" xfId="1" applyFont="1" applyBorder="1" applyAlignment="1">
      <alignment horizontal="left"/>
    </xf>
    <xf numFmtId="171" fontId="53" fillId="0" borderId="0" xfId="8" applyNumberFormat="1" applyFont="1" applyBorder="1"/>
    <xf numFmtId="171" fontId="53" fillId="0" borderId="17" xfId="8" applyNumberFormat="1" applyFont="1" applyBorder="1"/>
    <xf numFmtId="166" fontId="53" fillId="0" borderId="22" xfId="1" applyNumberFormat="1" applyFont="1" applyBorder="1"/>
    <xf numFmtId="164" fontId="54" fillId="0" borderId="0" xfId="5" applyNumberFormat="1" applyFont="1" applyBorder="1" applyAlignment="1">
      <alignment horizontal="right"/>
    </xf>
    <xf numFmtId="164" fontId="53" fillId="4" borderId="0" xfId="5" applyNumberFormat="1" applyFont="1" applyFill="1" applyBorder="1" applyAlignment="1">
      <alignment horizontal="right"/>
    </xf>
    <xf numFmtId="0" fontId="6" fillId="0" borderId="16" xfId="1" applyFont="1" applyBorder="1" applyAlignment="1">
      <alignment horizontal="left"/>
    </xf>
    <xf numFmtId="171" fontId="3" fillId="0" borderId="0" xfId="8" applyNumberFormat="1" applyFont="1" applyBorder="1"/>
    <xf numFmtId="0" fontId="54" fillId="0" borderId="34" xfId="1" applyFont="1" applyBorder="1" applyAlignment="1">
      <alignment horizontal="left"/>
    </xf>
    <xf numFmtId="14" fontId="53" fillId="0" borderId="35" xfId="1" applyNumberFormat="1" applyFont="1" applyBorder="1"/>
    <xf numFmtId="1" fontId="53" fillId="0" borderId="0" xfId="1" applyNumberFormat="1" applyFont="1"/>
    <xf numFmtId="164" fontId="53" fillId="0" borderId="0" xfId="5" applyNumberFormat="1" applyFont="1" applyBorder="1" applyAlignment="1">
      <alignment horizontal="right"/>
    </xf>
    <xf numFmtId="164" fontId="53" fillId="4" borderId="17" xfId="5" applyNumberFormat="1" applyFont="1" applyFill="1" applyBorder="1" applyAlignment="1">
      <alignment horizontal="right"/>
    </xf>
    <xf numFmtId="0" fontId="36" fillId="0" borderId="16" xfId="1" applyFont="1" applyBorder="1" applyAlignment="1">
      <alignment horizontal="left"/>
    </xf>
    <xf numFmtId="167" fontId="36" fillId="0" borderId="0" xfId="8" applyNumberFormat="1" applyFont="1" applyBorder="1" applyAlignment="1">
      <alignment horizontal="right"/>
    </xf>
    <xf numFmtId="166" fontId="36" fillId="0" borderId="0" xfId="1" applyNumberFormat="1" applyFont="1"/>
    <xf numFmtId="0" fontId="36" fillId="0" borderId="0" xfId="1" applyFont="1"/>
    <xf numFmtId="167" fontId="36" fillId="0" borderId="0" xfId="1" applyNumberFormat="1" applyFont="1"/>
    <xf numFmtId="0" fontId="57" fillId="0" borderId="0" xfId="0" applyFont="1"/>
    <xf numFmtId="166" fontId="53" fillId="0" borderId="0" xfId="8" applyNumberFormat="1" applyFont="1" applyBorder="1" applyAlignment="1">
      <alignment horizontal="right"/>
    </xf>
    <xf numFmtId="185" fontId="3" fillId="6" borderId="0" xfId="11" applyNumberFormat="1" applyFont="1" applyFill="1" applyAlignment="1">
      <alignment horizontal="right"/>
    </xf>
    <xf numFmtId="0" fontId="25" fillId="11" borderId="12" xfId="1" applyFont="1" applyFill="1" applyBorder="1"/>
    <xf numFmtId="0" fontId="17" fillId="11" borderId="4" xfId="1" applyFont="1" applyFill="1" applyBorder="1"/>
    <xf numFmtId="0" fontId="17" fillId="11" borderId="15" xfId="1" applyFont="1" applyFill="1" applyBorder="1"/>
    <xf numFmtId="0" fontId="27" fillId="0" borderId="0" xfId="0" applyFont="1"/>
    <xf numFmtId="0" fontId="27" fillId="0" borderId="17" xfId="0" applyFont="1" applyBorder="1"/>
    <xf numFmtId="167" fontId="36" fillId="7" borderId="0" xfId="1" applyNumberFormat="1" applyFont="1" applyFill="1"/>
    <xf numFmtId="167" fontId="36" fillId="7" borderId="17" xfId="1" applyNumberFormat="1" applyFont="1" applyFill="1" applyBorder="1"/>
    <xf numFmtId="167" fontId="36" fillId="19" borderId="0" xfId="1" applyNumberFormat="1" applyFont="1" applyFill="1"/>
    <xf numFmtId="166" fontId="36" fillId="12" borderId="0" xfId="8" applyNumberFormat="1" applyFont="1" applyFill="1" applyBorder="1"/>
    <xf numFmtId="166" fontId="36" fillId="12" borderId="17" xfId="8" applyNumberFormat="1" applyFont="1" applyFill="1" applyBorder="1"/>
    <xf numFmtId="164" fontId="54" fillId="0" borderId="17" xfId="5" applyNumberFormat="1" applyFont="1" applyBorder="1" applyAlignment="1">
      <alignment horizontal="right"/>
    </xf>
    <xf numFmtId="167" fontId="36" fillId="19" borderId="17" xfId="1" applyNumberFormat="1" applyFont="1" applyFill="1" applyBorder="1"/>
    <xf numFmtId="167" fontId="36" fillId="19" borderId="22" xfId="1" applyNumberFormat="1" applyFont="1" applyFill="1" applyBorder="1"/>
    <xf numFmtId="167" fontId="36" fillId="19" borderId="20" xfId="1" applyNumberFormat="1" applyFont="1" applyFill="1" applyBorder="1"/>
    <xf numFmtId="0" fontId="59" fillId="8" borderId="4" xfId="1" applyFont="1" applyFill="1" applyBorder="1"/>
    <xf numFmtId="0" fontId="59" fillId="8" borderId="15" xfId="1" applyFont="1" applyFill="1" applyBorder="1"/>
    <xf numFmtId="166" fontId="0" fillId="0" borderId="0" xfId="0" applyNumberFormat="1"/>
    <xf numFmtId="166" fontId="53" fillId="0" borderId="0" xfId="1" applyNumberFormat="1" applyFont="1"/>
    <xf numFmtId="0" fontId="36" fillId="0" borderId="0" xfId="1" applyFont="1" applyAlignment="1">
      <alignment horizontal="left" indent="2"/>
    </xf>
    <xf numFmtId="171" fontId="53" fillId="0" borderId="0" xfId="1" applyNumberFormat="1" applyFont="1"/>
    <xf numFmtId="0" fontId="0" fillId="0" borderId="19" xfId="0" applyBorder="1"/>
    <xf numFmtId="0" fontId="59" fillId="11" borderId="4" xfId="1" applyFont="1" applyFill="1" applyBorder="1"/>
    <xf numFmtId="0" fontId="59" fillId="11" borderId="15" xfId="1" applyFont="1" applyFill="1" applyBorder="1"/>
    <xf numFmtId="0" fontId="54" fillId="0" borderId="16" xfId="1" applyFont="1" applyBorder="1" applyAlignment="1">
      <alignment horizontal="left"/>
    </xf>
    <xf numFmtId="166" fontId="53" fillId="0" borderId="17" xfId="1" applyNumberFormat="1" applyFont="1" applyBorder="1"/>
    <xf numFmtId="0" fontId="53" fillId="0" borderId="23" xfId="1" applyFont="1" applyBorder="1"/>
    <xf numFmtId="0" fontId="53" fillId="0" borderId="35" xfId="1" applyFont="1" applyBorder="1"/>
    <xf numFmtId="0" fontId="53" fillId="0" borderId="22" xfId="1" applyFont="1" applyBorder="1"/>
    <xf numFmtId="0" fontId="54" fillId="0" borderId="22" xfId="1" applyFont="1" applyBorder="1"/>
    <xf numFmtId="0" fontId="54" fillId="0" borderId="0" xfId="1" applyFont="1"/>
    <xf numFmtId="1" fontId="54" fillId="0" borderId="0" xfId="1" applyNumberFormat="1" applyFont="1"/>
    <xf numFmtId="166" fontId="53" fillId="0" borderId="17" xfId="8" applyNumberFormat="1" applyFont="1" applyBorder="1" applyAlignment="1">
      <alignment horizontal="right"/>
    </xf>
    <xf numFmtId="0" fontId="54" fillId="0" borderId="17" xfId="1" applyFont="1" applyBorder="1"/>
    <xf numFmtId="0" fontId="54" fillId="7" borderId="34" xfId="1" applyFont="1" applyFill="1" applyBorder="1" applyAlignment="1">
      <alignment horizontal="left"/>
    </xf>
    <xf numFmtId="0" fontId="53" fillId="7" borderId="23" xfId="1" applyFont="1" applyFill="1" applyBorder="1"/>
    <xf numFmtId="0" fontId="53" fillId="7" borderId="35" xfId="1" applyFont="1" applyFill="1" applyBorder="1"/>
    <xf numFmtId="0" fontId="54" fillId="7" borderId="16" xfId="1" applyFont="1" applyFill="1" applyBorder="1" applyAlignment="1">
      <alignment horizontal="left"/>
    </xf>
    <xf numFmtId="0" fontId="53" fillId="7" borderId="0" xfId="1" applyFont="1" applyFill="1"/>
    <xf numFmtId="164" fontId="53" fillId="7" borderId="0" xfId="5" applyNumberFormat="1" applyFont="1" applyFill="1" applyBorder="1" applyAlignment="1">
      <alignment horizontal="right"/>
    </xf>
    <xf numFmtId="164" fontId="53" fillId="7" borderId="17" xfId="5" applyNumberFormat="1" applyFont="1" applyFill="1" applyBorder="1" applyAlignment="1">
      <alignment horizontal="right"/>
    </xf>
    <xf numFmtId="164" fontId="54" fillId="13" borderId="14" xfId="5" applyNumberFormat="1" applyFont="1" applyFill="1" applyBorder="1" applyAlignment="1">
      <alignment horizontal="right"/>
    </xf>
    <xf numFmtId="164" fontId="54" fillId="13" borderId="33" xfId="5" applyNumberFormat="1" applyFont="1" applyFill="1" applyBorder="1" applyAlignment="1">
      <alignment horizontal="right"/>
    </xf>
    <xf numFmtId="0" fontId="59" fillId="11" borderId="0" xfId="1" applyFont="1" applyFill="1"/>
    <xf numFmtId="0" fontId="53" fillId="0" borderId="22" xfId="3" applyFont="1" applyBorder="1"/>
    <xf numFmtId="2" fontId="53" fillId="0" borderId="0" xfId="7" applyNumberFormat="1" applyFont="1" applyBorder="1" applyAlignment="1">
      <alignment horizontal="right"/>
    </xf>
    <xf numFmtId="0" fontId="53" fillId="0" borderId="0" xfId="1" applyFont="1" applyAlignment="1">
      <alignment horizontal="left" indent="1"/>
    </xf>
    <xf numFmtId="164" fontId="53" fillId="0" borderId="0" xfId="1" applyNumberFormat="1" applyFont="1"/>
    <xf numFmtId="164" fontId="53" fillId="13" borderId="0" xfId="1" applyNumberFormat="1" applyFont="1" applyFill="1"/>
    <xf numFmtId="164" fontId="53" fillId="13" borderId="4" xfId="1" applyNumberFormat="1" applyFont="1" applyFill="1" applyBorder="1"/>
    <xf numFmtId="0" fontId="54" fillId="0" borderId="0" xfId="1" applyFont="1" applyAlignment="1">
      <alignment horizontal="left" indent="1"/>
    </xf>
    <xf numFmtId="164" fontId="54" fillId="0" borderId="0" xfId="1" applyNumberFormat="1" applyFont="1"/>
    <xf numFmtId="1" fontId="53" fillId="0" borderId="0" xfId="7" applyNumberFormat="1" applyFont="1" applyBorder="1" applyAlignment="1">
      <alignment horizontal="right"/>
    </xf>
    <xf numFmtId="1" fontId="53" fillId="0" borderId="22" xfId="7" applyNumberFormat="1" applyFont="1" applyBorder="1" applyAlignment="1">
      <alignment horizontal="right"/>
    </xf>
    <xf numFmtId="1" fontId="53" fillId="13" borderId="22" xfId="8" applyNumberFormat="1" applyFont="1" applyFill="1" applyBorder="1"/>
    <xf numFmtId="0" fontId="53" fillId="0" borderId="16" xfId="3" applyFont="1" applyBorder="1"/>
    <xf numFmtId="164" fontId="53" fillId="0" borderId="0" xfId="12" applyNumberFormat="1" applyFont="1" applyBorder="1" applyAlignment="1">
      <alignment horizontal="right"/>
    </xf>
    <xf numFmtId="164" fontId="53" fillId="13" borderId="17" xfId="1" applyNumberFormat="1" applyFont="1" applyFill="1" applyBorder="1"/>
    <xf numFmtId="164" fontId="53" fillId="13" borderId="17" xfId="3" applyNumberFormat="1" applyFont="1" applyFill="1" applyBorder="1"/>
    <xf numFmtId="0" fontId="53" fillId="0" borderId="19" xfId="3" applyFont="1" applyBorder="1"/>
    <xf numFmtId="164" fontId="53" fillId="0" borderId="22" xfId="7" applyNumberFormat="1" applyFont="1" applyBorder="1" applyAlignment="1">
      <alignment horizontal="right"/>
    </xf>
    <xf numFmtId="172" fontId="53" fillId="13" borderId="22" xfId="1" applyNumberFormat="1" applyFont="1" applyFill="1" applyBorder="1"/>
    <xf numFmtId="172" fontId="53" fillId="13" borderId="20" xfId="1" applyNumberFormat="1" applyFont="1" applyFill="1" applyBorder="1"/>
    <xf numFmtId="164" fontId="54" fillId="4" borderId="0" xfId="5" applyNumberFormat="1" applyFont="1" applyFill="1" applyBorder="1" applyAlignment="1">
      <alignment horizontal="right"/>
    </xf>
    <xf numFmtId="164" fontId="54" fillId="4" borderId="17" xfId="5" applyNumberFormat="1" applyFont="1" applyFill="1" applyBorder="1" applyAlignment="1">
      <alignment horizontal="right"/>
    </xf>
    <xf numFmtId="0" fontId="16" fillId="11" borderId="12" xfId="1" applyFont="1" applyFill="1" applyBorder="1"/>
    <xf numFmtId="0" fontId="16" fillId="11" borderId="0" xfId="1" applyFont="1" applyFill="1"/>
    <xf numFmtId="164" fontId="53" fillId="0" borderId="14" xfId="1" applyNumberFormat="1" applyFont="1" applyBorder="1"/>
    <xf numFmtId="0" fontId="54" fillId="0" borderId="19" xfId="1" applyFont="1" applyBorder="1" applyAlignment="1">
      <alignment horizontal="left"/>
    </xf>
    <xf numFmtId="1" fontId="54" fillId="0" borderId="22" xfId="1" applyNumberFormat="1" applyFont="1" applyBorder="1"/>
    <xf numFmtId="164" fontId="54" fillId="0" borderId="22" xfId="5" applyNumberFormat="1" applyFont="1" applyBorder="1" applyAlignment="1">
      <alignment horizontal="right"/>
    </xf>
    <xf numFmtId="164" fontId="54" fillId="13" borderId="22" xfId="5" applyNumberFormat="1" applyFont="1" applyFill="1" applyBorder="1" applyAlignment="1">
      <alignment horizontal="right"/>
    </xf>
    <xf numFmtId="164" fontId="54" fillId="13" borderId="20" xfId="5" applyNumberFormat="1" applyFont="1" applyFill="1" applyBorder="1" applyAlignment="1">
      <alignment horizontal="right"/>
    </xf>
    <xf numFmtId="0" fontId="53" fillId="0" borderId="14" xfId="1" applyFont="1" applyBorder="1"/>
    <xf numFmtId="0" fontId="54" fillId="0" borderId="14" xfId="1" applyFont="1" applyBorder="1"/>
    <xf numFmtId="9" fontId="53" fillId="0" borderId="0" xfId="8" applyFont="1" applyBorder="1"/>
    <xf numFmtId="2" fontId="53" fillId="13" borderId="0" xfId="8" applyNumberFormat="1" applyFont="1" applyFill="1" applyBorder="1"/>
    <xf numFmtId="2" fontId="53" fillId="13" borderId="17" xfId="8" applyNumberFormat="1" applyFont="1" applyFill="1" applyBorder="1"/>
    <xf numFmtId="0" fontId="53" fillId="0" borderId="0" xfId="3" applyFont="1"/>
    <xf numFmtId="0" fontId="53" fillId="0" borderId="19" xfId="1" applyFont="1" applyBorder="1" applyAlignment="1">
      <alignment horizontal="left" indent="1"/>
    </xf>
    <xf numFmtId="0" fontId="54" fillId="0" borderId="24" xfId="1" applyFont="1" applyBorder="1" applyAlignment="1">
      <alignment horizontal="left"/>
    </xf>
    <xf numFmtId="164" fontId="54" fillId="0" borderId="14" xfId="5" applyNumberFormat="1" applyFont="1" applyBorder="1" applyAlignment="1">
      <alignment horizontal="right"/>
    </xf>
    <xf numFmtId="0" fontId="53" fillId="7" borderId="12" xfId="1" applyFont="1" applyFill="1" applyBorder="1" applyAlignment="1">
      <alignment horizontal="left"/>
    </xf>
    <xf numFmtId="0" fontId="53" fillId="7" borderId="4" xfId="1" applyFont="1" applyFill="1" applyBorder="1"/>
    <xf numFmtId="0" fontId="53" fillId="0" borderId="37" xfId="1" applyFont="1" applyBorder="1"/>
    <xf numFmtId="0" fontId="54" fillId="7" borderId="19" xfId="1" applyFont="1" applyFill="1" applyBorder="1" applyAlignment="1">
      <alignment horizontal="left"/>
    </xf>
    <xf numFmtId="0" fontId="54" fillId="7" borderId="22" xfId="1" applyFont="1" applyFill="1" applyBorder="1"/>
    <xf numFmtId="175" fontId="54" fillId="7" borderId="22" xfId="9" applyNumberFormat="1" applyFont="1" applyFill="1" applyBorder="1"/>
    <xf numFmtId="175" fontId="54" fillId="7" borderId="22" xfId="9" applyNumberFormat="1" applyFont="1" applyFill="1" applyBorder="1" applyAlignment="1">
      <alignment horizontal="right"/>
    </xf>
    <xf numFmtId="166" fontId="36" fillId="0" borderId="4" xfId="1" applyNumberFormat="1" applyFont="1" applyBorder="1"/>
    <xf numFmtId="166" fontId="36" fillId="0" borderId="0" xfId="8" applyNumberFormat="1" applyFont="1" applyBorder="1" applyAlignment="1">
      <alignment horizontal="right"/>
    </xf>
    <xf numFmtId="14" fontId="53" fillId="0" borderId="0" xfId="1" applyNumberFormat="1" applyFont="1"/>
    <xf numFmtId="166" fontId="36" fillId="12" borderId="4" xfId="8" applyNumberFormat="1" applyFont="1" applyFill="1" applyBorder="1"/>
    <xf numFmtId="166" fontId="36" fillId="12" borderId="15" xfId="8" applyNumberFormat="1" applyFont="1" applyFill="1" applyBorder="1"/>
    <xf numFmtId="171" fontId="36" fillId="0" borderId="4" xfId="8" applyNumberFormat="1" applyFont="1" applyBorder="1" applyAlignment="1">
      <alignment horizontal="right"/>
    </xf>
    <xf numFmtId="167" fontId="36" fillId="0" borderId="4" xfId="8" applyNumberFormat="1" applyFont="1" applyBorder="1" applyAlignment="1">
      <alignment horizontal="right"/>
    </xf>
    <xf numFmtId="166" fontId="36" fillId="0" borderId="4" xfId="8" applyNumberFormat="1" applyFont="1" applyBorder="1" applyAlignment="1">
      <alignment horizontal="right"/>
    </xf>
    <xf numFmtId="166" fontId="36" fillId="7" borderId="4" xfId="8" applyNumberFormat="1" applyFont="1" applyFill="1" applyBorder="1" applyAlignment="1">
      <alignment horizontal="right"/>
    </xf>
    <xf numFmtId="164" fontId="53" fillId="0" borderId="26" xfId="5" applyNumberFormat="1" applyFont="1" applyBorder="1" applyAlignment="1">
      <alignment horizontal="right"/>
    </xf>
    <xf numFmtId="171" fontId="36" fillId="0" borderId="0" xfId="8" applyNumberFormat="1" applyFont="1" applyBorder="1"/>
    <xf numFmtId="171" fontId="36" fillId="0" borderId="17" xfId="8" applyNumberFormat="1" applyFont="1" applyBorder="1"/>
    <xf numFmtId="171" fontId="36" fillId="0" borderId="0" xfId="8" applyNumberFormat="1" applyFont="1"/>
    <xf numFmtId="167" fontId="55" fillId="4" borderId="14" xfId="1" applyNumberFormat="1" applyFont="1" applyFill="1" applyBorder="1"/>
    <xf numFmtId="167" fontId="55" fillId="4" borderId="33" xfId="1" applyNumberFormat="1" applyFont="1" applyFill="1" applyBorder="1"/>
    <xf numFmtId="167" fontId="36" fillId="0" borderId="0" xfId="7" applyNumberFormat="1" applyFont="1" applyBorder="1" applyAlignment="1">
      <alignment horizontal="right"/>
    </xf>
    <xf numFmtId="166" fontId="36" fillId="0" borderId="0" xfId="7" applyNumberFormat="1" applyFont="1" applyBorder="1" applyAlignment="1">
      <alignment horizontal="right"/>
    </xf>
    <xf numFmtId="0" fontId="53" fillId="0" borderId="12" xfId="3" applyFont="1" applyBorder="1"/>
    <xf numFmtId="167" fontId="36" fillId="0" borderId="4" xfId="7" applyNumberFormat="1" applyFont="1" applyBorder="1" applyAlignment="1">
      <alignment horizontal="right"/>
    </xf>
    <xf numFmtId="166" fontId="36" fillId="12" borderId="22" xfId="8" applyNumberFormat="1" applyFont="1" applyFill="1" applyBorder="1"/>
    <xf numFmtId="166" fontId="36" fillId="12" borderId="20" xfId="8" applyNumberFormat="1" applyFont="1" applyFill="1" applyBorder="1"/>
    <xf numFmtId="166" fontId="55" fillId="0" borderId="22" xfId="7" applyNumberFormat="1" applyFont="1" applyBorder="1" applyAlignment="1">
      <alignment horizontal="right"/>
    </xf>
    <xf numFmtId="166" fontId="55" fillId="12" borderId="22" xfId="8" applyNumberFormat="1" applyFont="1" applyFill="1" applyBorder="1"/>
    <xf numFmtId="166" fontId="55" fillId="12" borderId="20" xfId="8" applyNumberFormat="1" applyFont="1" applyFill="1" applyBorder="1"/>
    <xf numFmtId="0" fontId="53" fillId="0" borderId="24" xfId="3" applyFont="1" applyBorder="1"/>
    <xf numFmtId="0" fontId="53" fillId="0" borderId="14" xfId="3" applyFont="1" applyBorder="1"/>
    <xf numFmtId="194" fontId="54" fillId="0" borderId="14" xfId="7" applyNumberFormat="1" applyFont="1" applyBorder="1" applyAlignment="1">
      <alignment horizontal="right"/>
    </xf>
    <xf numFmtId="194" fontId="54" fillId="13" borderId="14" xfId="8" applyNumberFormat="1" applyFont="1" applyFill="1" applyBorder="1"/>
    <xf numFmtId="194" fontId="54" fillId="13" borderId="33" xfId="8" applyNumberFormat="1" applyFont="1" applyFill="1" applyBorder="1"/>
    <xf numFmtId="0" fontId="53" fillId="0" borderId="16" xfId="1" applyFont="1" applyBorder="1" applyAlignment="1">
      <alignment horizontal="left" indent="1"/>
    </xf>
    <xf numFmtId="164" fontId="53" fillId="0" borderId="17" xfId="1" applyNumberFormat="1" applyFont="1" applyBorder="1"/>
    <xf numFmtId="0" fontId="53" fillId="0" borderId="12" xfId="1" applyFont="1" applyBorder="1" applyAlignment="1">
      <alignment horizontal="left" indent="1"/>
    </xf>
    <xf numFmtId="164" fontId="53" fillId="13" borderId="15" xfId="1" applyNumberFormat="1" applyFont="1" applyFill="1" applyBorder="1"/>
    <xf numFmtId="0" fontId="54" fillId="0" borderId="16" xfId="1" applyFont="1" applyBorder="1" applyAlignment="1">
      <alignment horizontal="left" indent="1"/>
    </xf>
    <xf numFmtId="0" fontId="54" fillId="0" borderId="24" xfId="1" applyFont="1" applyBorder="1" applyAlignment="1">
      <alignment horizontal="left" indent="1"/>
    </xf>
    <xf numFmtId="164" fontId="54" fillId="0" borderId="14" xfId="1" applyNumberFormat="1" applyFont="1" applyBorder="1"/>
    <xf numFmtId="166" fontId="36" fillId="12" borderId="0" xfId="1" applyNumberFormat="1" applyFont="1" applyFill="1"/>
    <xf numFmtId="166" fontId="36" fillId="12" borderId="17" xfId="1" applyNumberFormat="1" applyFont="1" applyFill="1" applyBorder="1"/>
    <xf numFmtId="164" fontId="53" fillId="7" borderId="0" xfId="1" applyNumberFormat="1" applyFont="1" applyFill="1"/>
    <xf numFmtId="14" fontId="53" fillId="0" borderId="38" xfId="1" applyNumberFormat="1" applyFont="1" applyBorder="1"/>
    <xf numFmtId="167" fontId="36" fillId="0" borderId="22" xfId="1" applyNumberFormat="1" applyFont="1" applyBorder="1"/>
    <xf numFmtId="167" fontId="36" fillId="12" borderId="22" xfId="1" applyNumberFormat="1" applyFont="1" applyFill="1" applyBorder="1"/>
    <xf numFmtId="167" fontId="36" fillId="12" borderId="20" xfId="1" applyNumberFormat="1" applyFont="1" applyFill="1" applyBorder="1"/>
    <xf numFmtId="0" fontId="36" fillId="0" borderId="16" xfId="1" applyFont="1" applyBorder="1" applyAlignment="1">
      <alignment horizontal="left" indent="1"/>
    </xf>
    <xf numFmtId="0" fontId="36" fillId="0" borderId="19" xfId="1" applyFont="1" applyBorder="1" applyAlignment="1">
      <alignment horizontal="left" indent="1"/>
    </xf>
    <xf numFmtId="1" fontId="53" fillId="13" borderId="0" xfId="8" applyNumberFormat="1" applyFont="1" applyFill="1" applyBorder="1"/>
    <xf numFmtId="1" fontId="53" fillId="13" borderId="17" xfId="8" applyNumberFormat="1" applyFont="1" applyFill="1" applyBorder="1"/>
    <xf numFmtId="1" fontId="53" fillId="13" borderId="20" xfId="8" applyNumberFormat="1" applyFont="1" applyFill="1" applyBorder="1"/>
    <xf numFmtId="0" fontId="54" fillId="0" borderId="36" xfId="1" applyFont="1" applyBorder="1" applyAlignment="1">
      <alignment horizontal="left"/>
    </xf>
    <xf numFmtId="9" fontId="53" fillId="0" borderId="37" xfId="8" applyFont="1" applyBorder="1"/>
    <xf numFmtId="0" fontId="53" fillId="0" borderId="38" xfId="1" applyFont="1" applyBorder="1"/>
    <xf numFmtId="2" fontId="36" fillId="12" borderId="0" xfId="1" applyNumberFormat="1" applyFont="1" applyFill="1"/>
    <xf numFmtId="2" fontId="36" fillId="12" borderId="17" xfId="1" applyNumberFormat="1" applyFont="1" applyFill="1" applyBorder="1"/>
    <xf numFmtId="2" fontId="36" fillId="12" borderId="22" xfId="1" applyNumberFormat="1" applyFont="1" applyFill="1" applyBorder="1"/>
    <xf numFmtId="2" fontId="36" fillId="12" borderId="20" xfId="1" applyNumberFormat="1" applyFont="1" applyFill="1" applyBorder="1"/>
    <xf numFmtId="164" fontId="53" fillId="0" borderId="0" xfId="3" applyNumberFormat="1" applyFont="1"/>
    <xf numFmtId="164" fontId="53" fillId="13" borderId="0" xfId="3" applyNumberFormat="1" applyFont="1" applyFill="1"/>
    <xf numFmtId="2" fontId="36" fillId="0" borderId="0" xfId="7" applyNumberFormat="1" applyFont="1" applyBorder="1" applyAlignment="1">
      <alignment horizontal="right"/>
    </xf>
    <xf numFmtId="2" fontId="36" fillId="0" borderId="22" xfId="7" applyNumberFormat="1" applyFont="1" applyBorder="1" applyAlignment="1">
      <alignment horizontal="right"/>
    </xf>
    <xf numFmtId="173" fontId="36" fillId="0" borderId="0" xfId="6" applyNumberFormat="1" applyFont="1" applyBorder="1" applyAlignment="1">
      <alignment horizontal="right"/>
    </xf>
    <xf numFmtId="14" fontId="53" fillId="0" borderId="14" xfId="1" applyNumberFormat="1" applyFont="1" applyBorder="1"/>
    <xf numFmtId="14" fontId="53" fillId="0" borderId="33" xfId="1" applyNumberFormat="1" applyFont="1" applyBorder="1"/>
    <xf numFmtId="0" fontId="52" fillId="8" borderId="4" xfId="1" applyFont="1" applyFill="1" applyBorder="1"/>
    <xf numFmtId="0" fontId="9" fillId="2" borderId="0" xfId="0" applyFont="1" applyFill="1"/>
    <xf numFmtId="0" fontId="53" fillId="0" borderId="0" xfId="0" applyFont="1"/>
    <xf numFmtId="2" fontId="3" fillId="0" borderId="2" xfId="0" applyNumberFormat="1" applyFont="1" applyBorder="1" applyAlignment="1">
      <alignment horizontal="center" vertical="center"/>
    </xf>
    <xf numFmtId="188" fontId="0" fillId="0" borderId="0" xfId="18" applyNumberFormat="1" applyFont="1"/>
    <xf numFmtId="0" fontId="53" fillId="0" borderId="17" xfId="0" applyFont="1" applyBorder="1"/>
    <xf numFmtId="0" fontId="53" fillId="0" borderId="18" xfId="0" applyFont="1" applyBorder="1"/>
    <xf numFmtId="0" fontId="54" fillId="6" borderId="21" xfId="0" applyFont="1" applyFill="1" applyBorder="1" applyAlignment="1">
      <alignment horizontal="center" vertical="center"/>
    </xf>
    <xf numFmtId="0" fontId="53" fillId="2" borderId="22" xfId="0" applyFont="1" applyFill="1" applyBorder="1" applyAlignment="1">
      <alignment vertical="center"/>
    </xf>
    <xf numFmtId="0" fontId="53" fillId="2" borderId="0" xfId="0" applyFont="1" applyFill="1"/>
    <xf numFmtId="0" fontId="54" fillId="2" borderId="0" xfId="0" applyFont="1" applyFill="1" applyAlignment="1">
      <alignment horizontal="center"/>
    </xf>
    <xf numFmtId="0" fontId="53" fillId="2" borderId="0" xfId="0" applyFont="1" applyFill="1" applyAlignment="1">
      <alignment horizontal="center"/>
    </xf>
    <xf numFmtId="0" fontId="53" fillId="2" borderId="0" xfId="0" applyFont="1" applyFill="1" applyAlignment="1">
      <alignment vertical="center"/>
    </xf>
    <xf numFmtId="6" fontId="53" fillId="6" borderId="0" xfId="0" applyNumberFormat="1" applyFont="1" applyFill="1" applyAlignment="1">
      <alignment horizontal="center" vertical="center"/>
    </xf>
    <xf numFmtId="0" fontId="53" fillId="6" borderId="0" xfId="0" applyFont="1" applyFill="1" applyAlignment="1">
      <alignment vertical="center"/>
    </xf>
    <xf numFmtId="0" fontId="54" fillId="2" borderId="0" xfId="0" applyFont="1" applyFill="1" applyAlignment="1">
      <alignment horizontal="center" vertical="center"/>
    </xf>
    <xf numFmtId="6" fontId="53" fillId="6" borderId="0" xfId="0" applyNumberFormat="1" applyFont="1" applyFill="1" applyAlignment="1">
      <alignment vertical="center"/>
    </xf>
    <xf numFmtId="0" fontId="53" fillId="6" borderId="0" xfId="0" applyFont="1" applyFill="1"/>
    <xf numFmtId="0" fontId="54" fillId="6" borderId="18" xfId="0" applyFont="1" applyFill="1" applyBorder="1" applyAlignment="1">
      <alignment horizontal="center" vertical="center"/>
    </xf>
    <xf numFmtId="2" fontId="53" fillId="6" borderId="0" xfId="0" applyNumberFormat="1" applyFont="1" applyFill="1" applyAlignment="1">
      <alignment horizontal="center" vertical="center"/>
    </xf>
    <xf numFmtId="2" fontId="53" fillId="2" borderId="0" xfId="0" applyNumberFormat="1" applyFont="1" applyFill="1" applyAlignment="1">
      <alignment horizontal="center" vertical="center"/>
    </xf>
    <xf numFmtId="2" fontId="53" fillId="2" borderId="0" xfId="0" applyNumberFormat="1" applyFont="1" applyFill="1"/>
    <xf numFmtId="2" fontId="53" fillId="6" borderId="0" xfId="0" applyNumberFormat="1" applyFont="1" applyFill="1"/>
    <xf numFmtId="0" fontId="16" fillId="8" borderId="4" xfId="1" applyFont="1" applyFill="1" applyBorder="1"/>
    <xf numFmtId="0" fontId="7" fillId="0" borderId="39" xfId="1" applyFont="1" applyBorder="1"/>
    <xf numFmtId="0" fontId="3" fillId="0" borderId="40" xfId="1" applyFont="1" applyBorder="1"/>
    <xf numFmtId="0" fontId="3" fillId="0" borderId="40" xfId="1" applyFont="1" applyBorder="1" applyAlignment="1">
      <alignment horizontal="right"/>
    </xf>
    <xf numFmtId="0" fontId="3" fillId="0" borderId="41" xfId="1" applyFont="1" applyBorder="1" applyAlignment="1">
      <alignment horizontal="right"/>
    </xf>
    <xf numFmtId="0" fontId="3" fillId="0" borderId="16" xfId="2" applyFont="1" applyBorder="1" applyAlignment="1">
      <alignment horizontal="left"/>
    </xf>
    <xf numFmtId="164" fontId="3" fillId="4" borderId="0" xfId="3" applyNumberFormat="1" applyFont="1" applyFill="1" applyAlignment="1">
      <alignment horizontal="right"/>
    </xf>
    <xf numFmtId="167" fontId="36" fillId="19" borderId="17" xfId="1" applyNumberFormat="1" applyFont="1" applyFill="1" applyBorder="1" applyAlignment="1">
      <alignment horizontal="right"/>
    </xf>
    <xf numFmtId="0" fontId="8" fillId="0" borderId="19" xfId="1" applyFont="1" applyBorder="1"/>
    <xf numFmtId="37" fontId="3" fillId="0" borderId="22" xfId="1" applyNumberFormat="1" applyFont="1" applyBorder="1" applyAlignment="1">
      <alignment horizontal="center"/>
    </xf>
    <xf numFmtId="167" fontId="36" fillId="19" borderId="20" xfId="1" applyNumberFormat="1" applyFont="1" applyFill="1" applyBorder="1" applyAlignment="1">
      <alignment horizontal="right"/>
    </xf>
    <xf numFmtId="0" fontId="3" fillId="0" borderId="19" xfId="2" applyFont="1" applyBorder="1" applyAlignment="1">
      <alignment horizontal="left"/>
    </xf>
    <xf numFmtId="164" fontId="3" fillId="4" borderId="22" xfId="3" applyNumberFormat="1" applyFont="1" applyFill="1" applyBorder="1" applyAlignment="1">
      <alignment horizontal="right"/>
    </xf>
    <xf numFmtId="37" fontId="3" fillId="0" borderId="14" xfId="1" applyNumberFormat="1" applyFont="1" applyBorder="1" applyAlignment="1">
      <alignment horizontal="center"/>
    </xf>
    <xf numFmtId="167" fontId="36" fillId="19" borderId="33" xfId="1" applyNumberFormat="1" applyFont="1" applyFill="1" applyBorder="1" applyAlignment="1">
      <alignment horizontal="right"/>
    </xf>
    <xf numFmtId="0" fontId="3" fillId="0" borderId="42" xfId="1" applyFont="1" applyBorder="1"/>
    <xf numFmtId="0" fontId="3" fillId="0" borderId="43" xfId="1" applyFont="1" applyBorder="1"/>
    <xf numFmtId="0" fontId="16" fillId="8" borderId="15" xfId="1" applyFont="1" applyFill="1" applyBorder="1"/>
    <xf numFmtId="0" fontId="6" fillId="0" borderId="16" xfId="1" applyFont="1" applyBorder="1"/>
    <xf numFmtId="0" fontId="3" fillId="0" borderId="0" xfId="1" applyFont="1" applyAlignment="1">
      <alignment horizontal="center"/>
    </xf>
    <xf numFmtId="0" fontId="3" fillId="0" borderId="17" xfId="1" applyFont="1" applyBorder="1" applyAlignment="1">
      <alignment horizontal="right"/>
    </xf>
    <xf numFmtId="0" fontId="10" fillId="2" borderId="16" xfId="0" applyFont="1" applyFill="1" applyBorder="1"/>
    <xf numFmtId="0" fontId="11" fillId="2" borderId="0" xfId="0" applyFont="1" applyFill="1" applyAlignment="1">
      <alignment horizontal="center"/>
    </xf>
    <xf numFmtId="0" fontId="53" fillId="2" borderId="16" xfId="0" applyFont="1" applyFill="1" applyBorder="1"/>
    <xf numFmtId="0" fontId="53" fillId="0" borderId="16" xfId="0" applyFont="1" applyBorder="1"/>
    <xf numFmtId="0" fontId="53" fillId="2" borderId="22" xfId="0" applyFont="1" applyFill="1" applyBorder="1"/>
    <xf numFmtId="2" fontId="53" fillId="6" borderId="22" xfId="0" applyNumberFormat="1" applyFont="1" applyFill="1" applyBorder="1"/>
    <xf numFmtId="0" fontId="54" fillId="2" borderId="22" xfId="0" applyFont="1" applyFill="1" applyBorder="1" applyAlignment="1">
      <alignment horizontal="center" vertical="center"/>
    </xf>
    <xf numFmtId="0" fontId="53" fillId="6" borderId="22" xfId="0" applyFont="1" applyFill="1" applyBorder="1"/>
    <xf numFmtId="6" fontId="53" fillId="6" borderId="22" xfId="0" applyNumberFormat="1" applyFont="1" applyFill="1" applyBorder="1" applyAlignment="1">
      <alignment horizontal="center" vertical="center"/>
    </xf>
    <xf numFmtId="0" fontId="53" fillId="6" borderId="22" xfId="0" applyFont="1" applyFill="1" applyBorder="1" applyAlignment="1">
      <alignment vertical="center"/>
    </xf>
    <xf numFmtId="6" fontId="53" fillId="6" borderId="22" xfId="0" applyNumberFormat="1" applyFont="1" applyFill="1" applyBorder="1" applyAlignment="1">
      <alignment vertical="center"/>
    </xf>
    <xf numFmtId="2" fontId="53" fillId="6" borderId="22" xfId="0" applyNumberFormat="1" applyFont="1" applyFill="1" applyBorder="1" applyAlignment="1">
      <alignment horizontal="center" vertical="center"/>
    </xf>
    <xf numFmtId="167" fontId="0" fillId="0" borderId="0" xfId="0" applyNumberFormat="1"/>
    <xf numFmtId="164" fontId="3" fillId="4" borderId="0" xfId="3" applyNumberFormat="1" applyFont="1" applyFill="1"/>
    <xf numFmtId="164" fontId="3" fillId="4" borderId="22" xfId="3" applyNumberFormat="1" applyFont="1" applyFill="1" applyBorder="1"/>
    <xf numFmtId="37" fontId="3" fillId="0" borderId="22" xfId="1" applyNumberFormat="1" applyFont="1" applyBorder="1"/>
    <xf numFmtId="6" fontId="53" fillId="6" borderId="16" xfId="0" applyNumberFormat="1" applyFont="1" applyFill="1" applyBorder="1" applyAlignment="1">
      <alignment horizontal="center" vertical="center"/>
    </xf>
    <xf numFmtId="2" fontId="53" fillId="6" borderId="16" xfId="0" applyNumberFormat="1" applyFont="1" applyFill="1" applyBorder="1" applyAlignment="1">
      <alignment horizontal="center" vertical="center"/>
    </xf>
    <xf numFmtId="0" fontId="53" fillId="7" borderId="16" xfId="0" applyFont="1" applyFill="1" applyBorder="1"/>
    <xf numFmtId="0" fontId="6" fillId="0" borderId="4" xfId="1" applyFont="1" applyBorder="1"/>
    <xf numFmtId="0" fontId="6" fillId="0" borderId="12" xfId="1" applyFont="1" applyBorder="1"/>
    <xf numFmtId="0" fontId="6" fillId="0" borderId="0" xfId="1" applyFont="1"/>
    <xf numFmtId="164" fontId="3" fillId="4" borderId="14" xfId="3" applyNumberFormat="1" applyFont="1" applyFill="1" applyBorder="1"/>
    <xf numFmtId="164" fontId="3" fillId="5" borderId="14" xfId="3" applyNumberFormat="1" applyFont="1" applyFill="1" applyBorder="1"/>
    <xf numFmtId="0" fontId="10" fillId="2" borderId="17" xfId="0" applyFont="1" applyFill="1" applyBorder="1" applyAlignment="1">
      <alignment horizontal="center"/>
    </xf>
    <xf numFmtId="6" fontId="53" fillId="6" borderId="17" xfId="0" applyNumberFormat="1" applyFont="1" applyFill="1" applyBorder="1" applyAlignment="1">
      <alignment horizontal="center" vertical="center"/>
    </xf>
    <xf numFmtId="2" fontId="53" fillId="6" borderId="17" xfId="0" applyNumberFormat="1" applyFont="1" applyFill="1" applyBorder="1" applyAlignment="1">
      <alignment horizontal="center" vertical="center"/>
    </xf>
    <xf numFmtId="6" fontId="53" fillId="6" borderId="20" xfId="0" applyNumberFormat="1" applyFont="1" applyFill="1" applyBorder="1" applyAlignment="1">
      <alignment horizontal="center" vertical="center"/>
    </xf>
    <xf numFmtId="0" fontId="59" fillId="0" borderId="0" xfId="0" applyFont="1"/>
    <xf numFmtId="0" fontId="3" fillId="0" borderId="16" xfId="0" applyFont="1" applyBorder="1" applyAlignment="1">
      <alignment horizontal="left"/>
    </xf>
    <xf numFmtId="0" fontId="26" fillId="0" borderId="0" xfId="0" applyFont="1"/>
    <xf numFmtId="0" fontId="26" fillId="0" borderId="16" xfId="0" applyFont="1" applyBorder="1"/>
    <xf numFmtId="0" fontId="8" fillId="0" borderId="0" xfId="0" applyFont="1" applyAlignment="1">
      <alignment horizontal="center"/>
    </xf>
    <xf numFmtId="0" fontId="26" fillId="0" borderId="0" xfId="0" applyFont="1" applyAlignment="1">
      <alignment horizontal="center"/>
    </xf>
    <xf numFmtId="0" fontId="54" fillId="6" borderId="16" xfId="0" applyFont="1" applyFill="1" applyBorder="1" applyAlignment="1">
      <alignment horizontal="left"/>
    </xf>
    <xf numFmtId="0" fontId="59" fillId="6" borderId="0" xfId="0" applyFont="1" applyFill="1"/>
    <xf numFmtId="0" fontId="0" fillId="0" borderId="14" xfId="0" applyBorder="1"/>
    <xf numFmtId="0" fontId="26" fillId="0" borderId="17" xfId="0" applyFont="1" applyBorder="1"/>
    <xf numFmtId="0" fontId="60" fillId="0" borderId="17" xfId="0" applyFont="1" applyBorder="1"/>
    <xf numFmtId="2" fontId="26" fillId="0" borderId="2" xfId="0" applyNumberFormat="1" applyFont="1" applyBorder="1" applyAlignment="1">
      <alignment horizontal="center" vertical="center"/>
    </xf>
    <xf numFmtId="2" fontId="3" fillId="0" borderId="21" xfId="0" applyNumberFormat="1" applyFont="1" applyBorder="1" applyAlignment="1">
      <alignment horizontal="center" vertical="center"/>
    </xf>
    <xf numFmtId="6" fontId="26" fillId="0" borderId="2" xfId="0" applyNumberFormat="1" applyFont="1" applyBorder="1" applyAlignment="1">
      <alignment horizontal="center"/>
    </xf>
    <xf numFmtId="6" fontId="3" fillId="0" borderId="2" xfId="0" applyNumberFormat="1" applyFont="1" applyBorder="1" applyAlignment="1">
      <alignment horizontal="center" vertical="center"/>
    </xf>
    <xf numFmtId="194" fontId="53" fillId="0" borderId="2" xfId="0" applyNumberFormat="1" applyFont="1" applyBorder="1" applyAlignment="1">
      <alignment horizontal="center"/>
    </xf>
    <xf numFmtId="0" fontId="60" fillId="0" borderId="22" xfId="0" applyFont="1" applyBorder="1"/>
    <xf numFmtId="0" fontId="60" fillId="0" borderId="20" xfId="0" applyFont="1" applyBorder="1"/>
    <xf numFmtId="0" fontId="58" fillId="0" borderId="24" xfId="0" applyFont="1" applyBorder="1"/>
    <xf numFmtId="2" fontId="26" fillId="0" borderId="21" xfId="0" applyNumberFormat="1" applyFont="1" applyBorder="1" applyAlignment="1">
      <alignment horizontal="center" vertical="center"/>
    </xf>
    <xf numFmtId="0" fontId="58" fillId="0" borderId="19" xfId="0" applyFont="1" applyBorder="1"/>
    <xf numFmtId="0" fontId="25" fillId="6" borderId="0" xfId="0" applyFont="1" applyFill="1"/>
    <xf numFmtId="0" fontId="59" fillId="7" borderId="0" xfId="0" applyFont="1" applyFill="1"/>
    <xf numFmtId="0" fontId="59" fillId="2" borderId="16" xfId="0" applyFont="1" applyFill="1" applyBorder="1"/>
    <xf numFmtId="0" fontId="59" fillId="2" borderId="17" xfId="0" applyFont="1" applyFill="1" applyBorder="1"/>
    <xf numFmtId="0" fontId="58" fillId="0" borderId="0" xfId="0" applyFont="1" applyAlignment="1">
      <alignment vertical="center"/>
    </xf>
    <xf numFmtId="0" fontId="58" fillId="2" borderId="0" xfId="0" applyFont="1" applyFill="1" applyAlignment="1">
      <alignment horizontal="center"/>
    </xf>
    <xf numFmtId="0" fontId="59" fillId="2" borderId="0" xfId="0" applyFont="1" applyFill="1" applyAlignment="1">
      <alignment horizontal="center"/>
    </xf>
    <xf numFmtId="0" fontId="59" fillId="2" borderId="0" xfId="0" applyFont="1" applyFill="1"/>
    <xf numFmtId="0" fontId="53" fillId="6" borderId="16" xfId="0" applyFont="1" applyFill="1" applyBorder="1"/>
    <xf numFmtId="0" fontId="54" fillId="6" borderId="17" xfId="0" applyFont="1" applyFill="1" applyBorder="1" applyAlignment="1">
      <alignment horizontal="center"/>
    </xf>
    <xf numFmtId="0" fontId="53" fillId="6" borderId="17" xfId="0" applyFont="1" applyFill="1" applyBorder="1" applyAlignment="1">
      <alignment vertical="center"/>
    </xf>
    <xf numFmtId="0" fontId="53" fillId="6" borderId="0" xfId="0" applyFont="1" applyFill="1" applyAlignment="1">
      <alignment horizontal="center" vertical="center"/>
    </xf>
    <xf numFmtId="0" fontId="53" fillId="6" borderId="17" xfId="0" applyFont="1" applyFill="1" applyBorder="1" applyAlignment="1">
      <alignment horizontal="center" vertical="center"/>
    </xf>
    <xf numFmtId="0" fontId="16" fillId="20" borderId="12" xfId="0" applyFont="1" applyFill="1" applyBorder="1" applyAlignment="1">
      <alignment vertical="center"/>
    </xf>
    <xf numFmtId="0" fontId="52" fillId="20" borderId="4" xfId="0" applyFont="1" applyFill="1" applyBorder="1"/>
    <xf numFmtId="0" fontId="52" fillId="20" borderId="15" xfId="0" applyFont="1" applyFill="1" applyBorder="1"/>
    <xf numFmtId="0" fontId="59" fillId="0" borderId="0" xfId="1" applyFont="1"/>
    <xf numFmtId="0" fontId="59" fillId="0" borderId="16" xfId="1" applyFont="1" applyBorder="1"/>
    <xf numFmtId="0" fontId="25" fillId="20" borderId="12" xfId="0" applyFont="1" applyFill="1" applyBorder="1"/>
    <xf numFmtId="0" fontId="25" fillId="20" borderId="4" xfId="0" applyFont="1" applyFill="1" applyBorder="1"/>
    <xf numFmtId="0" fontId="25" fillId="20" borderId="15" xfId="0" applyFont="1" applyFill="1" applyBorder="1"/>
    <xf numFmtId="0" fontId="59" fillId="8" borderId="12" xfId="1" applyFont="1" applyFill="1" applyBorder="1"/>
    <xf numFmtId="0" fontId="59" fillId="2" borderId="16" xfId="0" applyFont="1" applyFill="1" applyBorder="1" applyAlignment="1">
      <alignment horizontal="center"/>
    </xf>
    <xf numFmtId="0" fontId="53" fillId="6" borderId="16" xfId="0" applyFont="1" applyFill="1" applyBorder="1" applyAlignment="1">
      <alignment vertical="center"/>
    </xf>
    <xf numFmtId="0" fontId="53" fillId="6" borderId="16" xfId="0" applyFont="1" applyFill="1" applyBorder="1" applyAlignment="1">
      <alignment horizontal="center" vertical="center"/>
    </xf>
    <xf numFmtId="6" fontId="53" fillId="6" borderId="17" xfId="0" applyNumberFormat="1" applyFont="1" applyFill="1" applyBorder="1" applyAlignment="1">
      <alignment vertical="center"/>
    </xf>
    <xf numFmtId="6" fontId="53" fillId="6" borderId="20" xfId="0" applyNumberFormat="1" applyFont="1" applyFill="1" applyBorder="1" applyAlignment="1">
      <alignment vertical="center"/>
    </xf>
    <xf numFmtId="193" fontId="53" fillId="6" borderId="0" xfId="0" applyNumberFormat="1" applyFont="1" applyFill="1" applyAlignment="1">
      <alignment vertical="center"/>
    </xf>
    <xf numFmtId="193" fontId="53" fillId="6" borderId="0" xfId="0" applyNumberFormat="1" applyFont="1" applyFill="1"/>
    <xf numFmtId="193" fontId="53" fillId="6" borderId="0" xfId="0" applyNumberFormat="1" applyFont="1" applyFill="1" applyAlignment="1">
      <alignment horizontal="center" vertical="center"/>
    </xf>
    <xf numFmtId="193" fontId="53" fillId="6" borderId="17" xfId="0" applyNumberFormat="1" applyFont="1" applyFill="1" applyBorder="1" applyAlignment="1">
      <alignment vertical="center"/>
    </xf>
    <xf numFmtId="193" fontId="53" fillId="6" borderId="22" xfId="0" applyNumberFormat="1" applyFont="1" applyFill="1" applyBorder="1" applyAlignment="1">
      <alignment vertical="center"/>
    </xf>
    <xf numFmtId="193" fontId="53" fillId="6" borderId="22" xfId="0" applyNumberFormat="1" applyFont="1" applyFill="1" applyBorder="1"/>
    <xf numFmtId="193" fontId="53" fillId="6" borderId="22" xfId="0" applyNumberFormat="1" applyFont="1" applyFill="1" applyBorder="1" applyAlignment="1">
      <alignment horizontal="center" vertical="center"/>
    </xf>
    <xf numFmtId="193" fontId="53" fillId="6" borderId="20" xfId="0" applyNumberFormat="1" applyFont="1" applyFill="1" applyBorder="1" applyAlignment="1">
      <alignment vertical="center"/>
    </xf>
    <xf numFmtId="0" fontId="5" fillId="22" borderId="19" xfId="1" applyFont="1" applyFill="1" applyBorder="1" applyAlignment="1">
      <alignment horizontal="center"/>
    </xf>
    <xf numFmtId="0" fontId="4" fillId="20" borderId="22" xfId="0" applyFont="1" applyFill="1" applyBorder="1" applyAlignment="1">
      <alignment horizontal="center" vertical="center"/>
    </xf>
    <xf numFmtId="0" fontId="5" fillId="20" borderId="22" xfId="0" applyFont="1" applyFill="1" applyBorder="1" applyAlignment="1">
      <alignment horizontal="center" vertical="center"/>
    </xf>
    <xf numFmtId="0" fontId="4" fillId="22" borderId="22" xfId="0" applyFont="1" applyFill="1" applyBorder="1" applyAlignment="1">
      <alignment horizontal="center"/>
    </xf>
    <xf numFmtId="0" fontId="54" fillId="2" borderId="4" xfId="0" applyFont="1" applyFill="1" applyBorder="1" applyAlignment="1">
      <alignment horizontal="center" vertical="center"/>
    </xf>
    <xf numFmtId="0" fontId="53" fillId="2" borderId="4" xfId="0" applyFont="1" applyFill="1" applyBorder="1"/>
    <xf numFmtId="2" fontId="53" fillId="6" borderId="4" xfId="0" applyNumberFormat="1" applyFont="1" applyFill="1" applyBorder="1" applyAlignment="1">
      <alignment horizontal="center" vertical="center"/>
    </xf>
    <xf numFmtId="2" fontId="53" fillId="2" borderId="4" xfId="0" applyNumberFormat="1" applyFont="1" applyFill="1" applyBorder="1" applyAlignment="1">
      <alignment horizontal="center" vertical="center"/>
    </xf>
    <xf numFmtId="2" fontId="53" fillId="2" borderId="4" xfId="0" applyNumberFormat="1" applyFont="1" applyFill="1" applyBorder="1"/>
    <xf numFmtId="2" fontId="53" fillId="6" borderId="15" xfId="0" applyNumberFormat="1" applyFont="1" applyFill="1" applyBorder="1" applyAlignment="1">
      <alignment horizontal="center" vertical="center"/>
    </xf>
    <xf numFmtId="0" fontId="11" fillId="6" borderId="16" xfId="0" applyFont="1" applyFill="1" applyBorder="1" applyAlignment="1">
      <alignment vertical="center"/>
    </xf>
    <xf numFmtId="0" fontId="16" fillId="21" borderId="19" xfId="0" applyFont="1" applyFill="1" applyBorder="1" applyAlignment="1">
      <alignment horizontal="center" vertical="center"/>
    </xf>
    <xf numFmtId="0" fontId="16" fillId="21" borderId="22" xfId="0" applyFont="1" applyFill="1" applyBorder="1" applyAlignment="1">
      <alignment horizontal="center" vertical="center"/>
    </xf>
    <xf numFmtId="0" fontId="54" fillId="6" borderId="16" xfId="0" applyFont="1" applyFill="1" applyBorder="1" applyAlignment="1">
      <alignment horizontal="center"/>
    </xf>
    <xf numFmtId="8" fontId="53" fillId="6" borderId="16" xfId="0" applyNumberFormat="1" applyFont="1" applyFill="1" applyBorder="1" applyAlignment="1">
      <alignment horizontal="center" vertical="center"/>
    </xf>
    <xf numFmtId="8" fontId="53" fillId="6" borderId="17" xfId="0" applyNumberFormat="1" applyFont="1" applyFill="1" applyBorder="1" applyAlignment="1">
      <alignment horizontal="center" vertical="center"/>
    </xf>
    <xf numFmtId="8" fontId="53" fillId="6" borderId="19" xfId="0" applyNumberFormat="1" applyFont="1" applyFill="1" applyBorder="1" applyAlignment="1">
      <alignment horizontal="center" vertical="center"/>
    </xf>
    <xf numFmtId="8" fontId="53" fillId="6" borderId="20" xfId="0" applyNumberFormat="1" applyFont="1" applyFill="1" applyBorder="1" applyAlignment="1">
      <alignment horizontal="center" vertical="center"/>
    </xf>
    <xf numFmtId="164" fontId="53" fillId="0" borderId="0" xfId="7" applyNumberFormat="1" applyFont="1" applyBorder="1" applyAlignment="1">
      <alignment horizontal="right"/>
    </xf>
    <xf numFmtId="164" fontId="8" fillId="13" borderId="17" xfId="1" applyNumberFormat="1" applyFont="1" applyFill="1" applyBorder="1"/>
    <xf numFmtId="164" fontId="8" fillId="13" borderId="0" xfId="1" applyNumberFormat="1" applyFont="1" applyFill="1"/>
    <xf numFmtId="2" fontId="53" fillId="0" borderId="2" xfId="0" applyNumberFormat="1" applyFont="1" applyBorder="1" applyAlignment="1">
      <alignment horizontal="center" vertical="center"/>
    </xf>
    <xf numFmtId="164" fontId="8" fillId="13" borderId="15" xfId="1" applyNumberFormat="1" applyFont="1" applyFill="1" applyBorder="1"/>
    <xf numFmtId="0" fontId="3" fillId="0" borderId="12" xfId="3" applyFont="1" applyBorder="1"/>
    <xf numFmtId="164" fontId="3" fillId="0" borderId="22" xfId="1" applyNumberFormat="1" applyFont="1" applyBorder="1"/>
    <xf numFmtId="164" fontId="3" fillId="13" borderId="20" xfId="1" applyNumberFormat="1" applyFont="1" applyFill="1" applyBorder="1"/>
    <xf numFmtId="0" fontId="54" fillId="12" borderId="2" xfId="0" applyFont="1" applyFill="1" applyBorder="1" applyAlignment="1">
      <alignment horizontal="center" vertical="center"/>
    </xf>
    <xf numFmtId="0" fontId="53" fillId="12" borderId="14" xfId="0" applyFont="1" applyFill="1" applyBorder="1"/>
    <xf numFmtId="2" fontId="54" fillId="12" borderId="24" xfId="0" applyNumberFormat="1" applyFont="1" applyFill="1" applyBorder="1" applyAlignment="1">
      <alignment horizontal="center" vertical="center"/>
    </xf>
    <xf numFmtId="2" fontId="54" fillId="12" borderId="33" xfId="0" applyNumberFormat="1" applyFont="1" applyFill="1" applyBorder="1" applyAlignment="1">
      <alignment horizontal="center" vertical="center"/>
    </xf>
    <xf numFmtId="0" fontId="54" fillId="12" borderId="14" xfId="0" applyFont="1" applyFill="1" applyBorder="1" applyAlignment="1">
      <alignment horizontal="center" vertical="center"/>
    </xf>
    <xf numFmtId="0" fontId="53" fillId="12" borderId="22" xfId="0" applyFont="1" applyFill="1" applyBorder="1"/>
    <xf numFmtId="0" fontId="4" fillId="22" borderId="30" xfId="1" applyFont="1" applyFill="1" applyBorder="1"/>
    <xf numFmtId="0" fontId="4" fillId="22" borderId="4" xfId="1" applyFont="1" applyFill="1" applyBorder="1"/>
    <xf numFmtId="0" fontId="4" fillId="22" borderId="31" xfId="15" applyFont="1" applyFill="1" applyBorder="1"/>
    <xf numFmtId="0" fontId="52" fillId="0" borderId="0" xfId="0" applyFont="1"/>
    <xf numFmtId="0" fontId="58" fillId="0" borderId="0" xfId="0" applyFont="1"/>
    <xf numFmtId="0" fontId="53" fillId="0" borderId="16" xfId="0" applyFont="1" applyBorder="1" applyAlignment="1">
      <alignment horizontal="left"/>
    </xf>
    <xf numFmtId="0" fontId="53" fillId="0" borderId="16" xfId="0" applyFont="1" applyBorder="1" applyAlignment="1">
      <alignment horizontal="left" wrapText="1"/>
    </xf>
    <xf numFmtId="0" fontId="5" fillId="20" borderId="13" xfId="0" applyFont="1" applyFill="1" applyBorder="1" applyAlignment="1">
      <alignment horizontal="center"/>
    </xf>
    <xf numFmtId="0" fontId="52" fillId="6" borderId="14" xfId="0" applyFont="1" applyFill="1" applyBorder="1"/>
    <xf numFmtId="0" fontId="58" fillId="6" borderId="24" xfId="0" applyFont="1" applyFill="1" applyBorder="1" applyAlignment="1">
      <alignment vertical="center"/>
    </xf>
    <xf numFmtId="15" fontId="28" fillId="0" borderId="0" xfId="1" applyNumberFormat="1" applyFont="1"/>
    <xf numFmtId="177" fontId="8" fillId="0" borderId="0" xfId="1" applyNumberFormat="1" applyFont="1"/>
    <xf numFmtId="4" fontId="23" fillId="0" borderId="0" xfId="3" applyNumberFormat="1" applyFont="1"/>
    <xf numFmtId="0" fontId="6" fillId="0" borderId="34" xfId="1" applyFont="1" applyBorder="1"/>
    <xf numFmtId="14" fontId="8" fillId="0" borderId="35" xfId="1" applyNumberFormat="1" applyFont="1" applyBorder="1"/>
    <xf numFmtId="0" fontId="30" fillId="0" borderId="12" xfId="1" applyFont="1" applyBorder="1"/>
    <xf numFmtId="164" fontId="23" fillId="0" borderId="0" xfId="11" applyNumberFormat="1" applyFont="1" applyBorder="1" applyAlignment="1">
      <alignment horizontal="right"/>
    </xf>
    <xf numFmtId="9" fontId="23" fillId="0" borderId="0" xfId="8" applyFont="1" applyBorder="1" applyAlignment="1">
      <alignment horizontal="right"/>
    </xf>
    <xf numFmtId="9" fontId="3" fillId="0" borderId="0" xfId="8" applyFont="1" applyBorder="1"/>
    <xf numFmtId="9" fontId="3" fillId="0" borderId="17" xfId="8" applyFont="1" applyBorder="1"/>
    <xf numFmtId="164" fontId="3" fillId="6" borderId="0" xfId="1" applyNumberFormat="1" applyFont="1" applyFill="1"/>
    <xf numFmtId="164" fontId="3" fillId="13" borderId="0" xfId="1" applyNumberFormat="1" applyFont="1" applyFill="1"/>
    <xf numFmtId="0" fontId="8" fillId="0" borderId="12" xfId="1" applyFont="1" applyBorder="1"/>
    <xf numFmtId="0" fontId="8" fillId="0" borderId="16" xfId="1" applyFont="1" applyBorder="1"/>
    <xf numFmtId="164" fontId="3" fillId="0" borderId="17" xfId="1" applyNumberFormat="1" applyFont="1" applyBorder="1"/>
    <xf numFmtId="167" fontId="8" fillId="0" borderId="16" xfId="1" applyNumberFormat="1" applyFont="1" applyBorder="1" applyAlignment="1">
      <alignment horizontal="left"/>
    </xf>
    <xf numFmtId="9" fontId="8" fillId="0" borderId="0" xfId="8" applyFont="1" applyBorder="1"/>
    <xf numFmtId="164" fontId="27" fillId="0" borderId="0" xfId="0" applyNumberFormat="1" applyFont="1"/>
    <xf numFmtId="0" fontId="24" fillId="0" borderId="0" xfId="1" applyFont="1"/>
    <xf numFmtId="178" fontId="3" fillId="0" borderId="0" xfId="1" applyNumberFormat="1" applyFont="1"/>
    <xf numFmtId="178" fontId="3" fillId="0" borderId="17" xfId="1" applyNumberFormat="1" applyFont="1" applyBorder="1"/>
    <xf numFmtId="0" fontId="24" fillId="0" borderId="16" xfId="1" applyFont="1" applyBorder="1"/>
    <xf numFmtId="164" fontId="8" fillId="0" borderId="17" xfId="1" applyNumberFormat="1" applyFont="1" applyBorder="1"/>
    <xf numFmtId="164" fontId="3" fillId="13" borderId="46" xfId="7" applyNumberFormat="1" applyFont="1" applyFill="1" applyBorder="1" applyAlignment="1">
      <alignment horizontal="right"/>
    </xf>
    <xf numFmtId="0" fontId="52" fillId="6" borderId="33" xfId="0" applyFont="1" applyFill="1" applyBorder="1"/>
    <xf numFmtId="0" fontId="52" fillId="6" borderId="0" xfId="0" applyFont="1" applyFill="1"/>
    <xf numFmtId="164" fontId="3" fillId="13" borderId="15" xfId="1" applyNumberFormat="1" applyFont="1" applyFill="1" applyBorder="1"/>
    <xf numFmtId="0" fontId="52" fillId="6" borderId="22" xfId="0" applyFont="1" applyFill="1" applyBorder="1"/>
    <xf numFmtId="0" fontId="3" fillId="0" borderId="0" xfId="3" applyFont="1"/>
    <xf numFmtId="44" fontId="26" fillId="0" borderId="0" xfId="18" applyFont="1" applyBorder="1" applyAlignment="1">
      <alignment horizontal="right"/>
    </xf>
    <xf numFmtId="44" fontId="26" fillId="13" borderId="0" xfId="18" applyFont="1" applyFill="1" applyBorder="1" applyAlignment="1">
      <alignment horizontal="right"/>
    </xf>
    <xf numFmtId="164" fontId="3" fillId="13" borderId="17" xfId="7" applyNumberFormat="1" applyFont="1" applyFill="1" applyBorder="1" applyAlignment="1">
      <alignment horizontal="right"/>
    </xf>
    <xf numFmtId="44" fontId="26" fillId="13" borderId="17" xfId="18" applyFont="1" applyFill="1" applyBorder="1" applyAlignment="1">
      <alignment horizontal="right"/>
    </xf>
    <xf numFmtId="0" fontId="24" fillId="0" borderId="19" xfId="1" applyFont="1" applyBorder="1"/>
    <xf numFmtId="0" fontId="34" fillId="0" borderId="22" xfId="1" applyFont="1" applyBorder="1"/>
    <xf numFmtId="8" fontId="54" fillId="6" borderId="17" xfId="0" applyNumberFormat="1" applyFont="1" applyFill="1" applyBorder="1" applyAlignment="1">
      <alignment horizontal="center"/>
    </xf>
    <xf numFmtId="0" fontId="58" fillId="6" borderId="19" xfId="0" applyFont="1" applyFill="1" applyBorder="1"/>
    <xf numFmtId="0" fontId="3" fillId="0" borderId="34" xfId="1" applyFont="1" applyBorder="1"/>
    <xf numFmtId="0" fontId="8" fillId="0" borderId="16" xfId="3" applyFont="1" applyBorder="1"/>
    <xf numFmtId="176" fontId="3" fillId="0" borderId="0" xfId="3" applyNumberFormat="1" applyFont="1"/>
    <xf numFmtId="178" fontId="3" fillId="0" borderId="0" xfId="3" applyNumberFormat="1" applyFont="1"/>
    <xf numFmtId="178" fontId="3" fillId="0" borderId="17" xfId="3" applyNumberFormat="1" applyFont="1" applyBorder="1"/>
    <xf numFmtId="164" fontId="26" fillId="13" borderId="17" xfId="12" applyNumberFormat="1" applyFont="1" applyFill="1" applyBorder="1" applyAlignment="1">
      <alignment horizontal="right"/>
    </xf>
    <xf numFmtId="0" fontId="34" fillId="0" borderId="16" xfId="3" applyFont="1" applyBorder="1"/>
    <xf numFmtId="164" fontId="35" fillId="13" borderId="17" xfId="12" applyNumberFormat="1" applyFont="1" applyFill="1" applyBorder="1" applyAlignment="1">
      <alignment horizontal="right"/>
    </xf>
    <xf numFmtId="0" fontId="24" fillId="0" borderId="0" xfId="3" applyFont="1"/>
    <xf numFmtId="164" fontId="3" fillId="13" borderId="17" xfId="12" applyNumberFormat="1" applyFont="1" applyFill="1" applyBorder="1" applyAlignment="1">
      <alignment horizontal="right"/>
    </xf>
    <xf numFmtId="0" fontId="8" fillId="0" borderId="12" xfId="3" applyFont="1" applyBorder="1" applyAlignment="1">
      <alignment horizontal="left" indent="1"/>
    </xf>
    <xf numFmtId="164" fontId="8" fillId="0" borderId="15" xfId="3" applyNumberFormat="1" applyFont="1" applyBorder="1"/>
    <xf numFmtId="0" fontId="3" fillId="0" borderId="16" xfId="3" applyFont="1" applyBorder="1" applyAlignment="1">
      <alignment horizontal="left" indent="1"/>
    </xf>
    <xf numFmtId="179" fontId="3" fillId="0" borderId="0" xfId="3" applyNumberFormat="1" applyFont="1"/>
    <xf numFmtId="0" fontId="8" fillId="2" borderId="12" xfId="3" applyFont="1" applyFill="1" applyBorder="1" applyAlignment="1">
      <alignment horizontal="left" indent="1"/>
    </xf>
    <xf numFmtId="0" fontId="1" fillId="0" borderId="17" xfId="1" applyBorder="1"/>
    <xf numFmtId="0" fontId="30" fillId="0" borderId="12" xfId="3" applyFont="1" applyBorder="1" applyAlignment="1">
      <alignment horizontal="left" indent="1"/>
    </xf>
    <xf numFmtId="164" fontId="8" fillId="13" borderId="15" xfId="3" applyNumberFormat="1" applyFont="1" applyFill="1" applyBorder="1"/>
    <xf numFmtId="0" fontId="3" fillId="0" borderId="17" xfId="3" applyFont="1" applyBorder="1"/>
    <xf numFmtId="10" fontId="3" fillId="0" borderId="0" xfId="3" applyNumberFormat="1" applyFont="1"/>
    <xf numFmtId="10" fontId="3" fillId="0" borderId="17" xfId="3" applyNumberFormat="1" applyFont="1" applyBorder="1"/>
    <xf numFmtId="164" fontId="26" fillId="13" borderId="0" xfId="3" applyNumberFormat="1" applyFont="1" applyFill="1"/>
    <xf numFmtId="0" fontId="26" fillId="0" borderId="16" xfId="3" applyFont="1" applyBorder="1" applyAlignment="1">
      <alignment horizontal="left" indent="1"/>
    </xf>
    <xf numFmtId="0" fontId="30" fillId="0" borderId="16" xfId="3" applyFont="1" applyBorder="1" applyAlignment="1">
      <alignment horizontal="left"/>
    </xf>
    <xf numFmtId="0" fontId="8" fillId="0" borderId="0" xfId="3" applyFont="1"/>
    <xf numFmtId="164" fontId="8" fillId="0" borderId="0" xfId="3" applyNumberFormat="1" applyFont="1"/>
    <xf numFmtId="164" fontId="8" fillId="13" borderId="0" xfId="3" applyNumberFormat="1" applyFont="1" applyFill="1"/>
    <xf numFmtId="164" fontId="8" fillId="13" borderId="17" xfId="3" applyNumberFormat="1" applyFont="1" applyFill="1" applyBorder="1"/>
    <xf numFmtId="164" fontId="8" fillId="0" borderId="17" xfId="3" applyNumberFormat="1" applyFont="1" applyBorder="1"/>
    <xf numFmtId="178" fontId="24" fillId="0" borderId="0" xfId="3" applyNumberFormat="1" applyFont="1"/>
    <xf numFmtId="0" fontId="26" fillId="0" borderId="16" xfId="3" applyFont="1" applyBorder="1" applyAlignment="1">
      <alignment horizontal="left"/>
    </xf>
    <xf numFmtId="164" fontId="30" fillId="13" borderId="15" xfId="3" applyNumberFormat="1" applyFont="1" applyFill="1" applyBorder="1"/>
    <xf numFmtId="164" fontId="3" fillId="0" borderId="0" xfId="1" applyNumberFormat="1" applyFont="1" applyAlignment="1">
      <alignment horizontal="right"/>
    </xf>
    <xf numFmtId="0" fontId="31" fillId="0" borderId="16" xfId="1" applyFont="1" applyBorder="1"/>
    <xf numFmtId="164" fontId="3" fillId="13" borderId="0" xfId="3" applyNumberFormat="1" applyFont="1" applyFill="1"/>
    <xf numFmtId="164" fontId="3" fillId="13" borderId="17" xfId="3" applyNumberFormat="1" applyFont="1" applyFill="1" applyBorder="1"/>
    <xf numFmtId="164" fontId="3" fillId="0" borderId="22" xfId="1" applyNumberFormat="1" applyFont="1" applyBorder="1" applyAlignment="1">
      <alignment horizontal="right"/>
    </xf>
    <xf numFmtId="164" fontId="3" fillId="13" borderId="22" xfId="3" applyNumberFormat="1" applyFont="1" applyFill="1" applyBorder="1"/>
    <xf numFmtId="164" fontId="3" fillId="13" borderId="20" xfId="3" applyNumberFormat="1" applyFont="1" applyFill="1" applyBorder="1"/>
    <xf numFmtId="0" fontId="28" fillId="0" borderId="16" xfId="1" applyFont="1" applyBorder="1"/>
    <xf numFmtId="0" fontId="8" fillId="0" borderId="16" xfId="13" applyFont="1" applyBorder="1"/>
    <xf numFmtId="164" fontId="3" fillId="0" borderId="0" xfId="3" applyNumberFormat="1" applyFont="1"/>
    <xf numFmtId="0" fontId="32" fillId="0" borderId="16" xfId="13" applyFont="1" applyBorder="1"/>
    <xf numFmtId="0" fontId="26" fillId="0" borderId="16" xfId="3" applyFont="1" applyBorder="1"/>
    <xf numFmtId="164" fontId="53" fillId="0" borderId="0" xfId="11" applyNumberFormat="1" applyFont="1" applyBorder="1" applyAlignment="1">
      <alignment horizontal="right"/>
    </xf>
    <xf numFmtId="164" fontId="3" fillId="13" borderId="0" xfId="11" applyNumberFormat="1" applyFont="1" applyFill="1" applyBorder="1" applyAlignment="1">
      <alignment horizontal="right"/>
    </xf>
    <xf numFmtId="164" fontId="3" fillId="13" borderId="17" xfId="11" applyNumberFormat="1" applyFont="1" applyFill="1" applyBorder="1" applyAlignment="1">
      <alignment horizontal="right"/>
    </xf>
    <xf numFmtId="164" fontId="26" fillId="13" borderId="15" xfId="7" applyNumberFormat="1" applyFont="1" applyFill="1" applyBorder="1" applyAlignment="1">
      <alignment horizontal="right"/>
    </xf>
    <xf numFmtId="164" fontId="23" fillId="0" borderId="17" xfId="7" applyNumberFormat="1" applyFont="1" applyBorder="1" applyAlignment="1">
      <alignment horizontal="right"/>
    </xf>
    <xf numFmtId="0" fontId="32" fillId="0" borderId="16" xfId="3" applyFont="1" applyBorder="1"/>
    <xf numFmtId="0" fontId="8" fillId="0" borderId="12" xfId="3" applyFont="1" applyBorder="1"/>
    <xf numFmtId="164" fontId="8" fillId="13" borderId="15" xfId="7" applyNumberFormat="1" applyFont="1" applyFill="1" applyBorder="1" applyAlignment="1">
      <alignment horizontal="right"/>
    </xf>
    <xf numFmtId="164" fontId="24" fillId="0" borderId="0" xfId="3" applyNumberFormat="1" applyFont="1"/>
    <xf numFmtId="164" fontId="3" fillId="0" borderId="17" xfId="3" applyNumberFormat="1" applyFont="1" applyBorder="1"/>
    <xf numFmtId="0" fontId="1" fillId="0" borderId="16" xfId="1" applyBorder="1"/>
    <xf numFmtId="164" fontId="1" fillId="0" borderId="0" xfId="1" applyNumberFormat="1"/>
    <xf numFmtId="164" fontId="1" fillId="0" borderId="17" xfId="1" applyNumberFormat="1" applyBorder="1"/>
    <xf numFmtId="164" fontId="34" fillId="13" borderId="0" xfId="1" applyNumberFormat="1" applyFont="1" applyFill="1"/>
    <xf numFmtId="164" fontId="34" fillId="13" borderId="17" xfId="1" applyNumberFormat="1" applyFont="1" applyFill="1" applyBorder="1"/>
    <xf numFmtId="0" fontId="8" fillId="0" borderId="24" xfId="3" applyFont="1" applyBorder="1"/>
    <xf numFmtId="164" fontId="8" fillId="0" borderId="33" xfId="3" applyNumberFormat="1" applyFont="1" applyBorder="1"/>
    <xf numFmtId="0" fontId="3" fillId="0" borderId="24" xfId="3" applyFont="1" applyBorder="1"/>
    <xf numFmtId="164" fontId="3" fillId="0" borderId="33" xfId="3" applyNumberFormat="1" applyFont="1" applyBorder="1"/>
    <xf numFmtId="164" fontId="8" fillId="13" borderId="33" xfId="3" applyNumberFormat="1" applyFont="1" applyFill="1" applyBorder="1"/>
    <xf numFmtId="164" fontId="6" fillId="0" borderId="33" xfId="3" applyNumberFormat="1" applyFont="1" applyBorder="1" applyAlignment="1">
      <alignment horizontal="right"/>
    </xf>
    <xf numFmtId="2" fontId="54" fillId="12" borderId="14" xfId="0" applyNumberFormat="1" applyFont="1" applyFill="1" applyBorder="1" applyAlignment="1">
      <alignment horizontal="center" vertical="center"/>
    </xf>
    <xf numFmtId="2" fontId="53" fillId="12" borderId="14" xfId="0" applyNumberFormat="1" applyFont="1" applyFill="1" applyBorder="1"/>
    <xf numFmtId="0" fontId="54" fillId="12" borderId="22" xfId="0" applyFont="1" applyFill="1" applyBorder="1" applyAlignment="1">
      <alignment horizontal="center" vertical="center"/>
    </xf>
    <xf numFmtId="2" fontId="54" fillId="12" borderId="22" xfId="0" applyNumberFormat="1" applyFont="1" applyFill="1" applyBorder="1" applyAlignment="1">
      <alignment horizontal="center" vertical="center"/>
    </xf>
    <xf numFmtId="2" fontId="53" fillId="12" borderId="22" xfId="0" applyNumberFormat="1" applyFont="1" applyFill="1" applyBorder="1"/>
    <xf numFmtId="177" fontId="8" fillId="0" borderId="17" xfId="1" applyNumberFormat="1" applyFont="1" applyBorder="1" applyAlignment="1">
      <alignment horizontal="centerContinuous"/>
    </xf>
    <xf numFmtId="0" fontId="6" fillId="0" borderId="17" xfId="1" applyFont="1" applyBorder="1"/>
    <xf numFmtId="0" fontId="54" fillId="23" borderId="24" xfId="0" applyFont="1" applyFill="1" applyBorder="1" applyAlignment="1">
      <alignment horizontal="left"/>
    </xf>
    <xf numFmtId="0" fontId="53" fillId="23" borderId="14" xfId="0" applyFont="1" applyFill="1" applyBorder="1"/>
    <xf numFmtId="8" fontId="54" fillId="23" borderId="33" xfId="0" applyNumberFormat="1" applyFont="1" applyFill="1" applyBorder="1" applyAlignment="1">
      <alignment horizontal="center"/>
    </xf>
    <xf numFmtId="0" fontId="54" fillId="23" borderId="24" xfId="0" applyFont="1" applyFill="1" applyBorder="1"/>
    <xf numFmtId="2" fontId="53" fillId="0" borderId="13" xfId="0" applyNumberFormat="1" applyFont="1" applyBorder="1" applyAlignment="1">
      <alignment horizontal="center" vertical="center"/>
    </xf>
    <xf numFmtId="2" fontId="53" fillId="0" borderId="45" xfId="0" applyNumberFormat="1" applyFont="1" applyBorder="1" applyAlignment="1">
      <alignment horizontal="center" vertical="center"/>
    </xf>
    <xf numFmtId="0" fontId="52" fillId="6" borderId="17" xfId="0" applyFont="1" applyFill="1" applyBorder="1"/>
    <xf numFmtId="2" fontId="53" fillId="0" borderId="44" xfId="0" applyNumberFormat="1" applyFont="1" applyBorder="1" applyAlignment="1">
      <alignment horizontal="center" vertical="center"/>
    </xf>
    <xf numFmtId="2" fontId="53" fillId="0" borderId="47" xfId="0" applyNumberFormat="1" applyFont="1" applyBorder="1" applyAlignment="1">
      <alignment horizontal="center" vertical="center"/>
    </xf>
    <xf numFmtId="2" fontId="53" fillId="0" borderId="47" xfId="0" applyNumberFormat="1" applyFont="1" applyBorder="1" applyAlignment="1">
      <alignment horizontal="center"/>
    </xf>
    <xf numFmtId="165" fontId="53" fillId="19" borderId="28" xfId="15" applyNumberFormat="1" applyFont="1" applyFill="1" applyBorder="1" applyAlignment="1" applyProtection="1">
      <alignment horizontal="right"/>
      <protection locked="0"/>
    </xf>
    <xf numFmtId="164" fontId="3" fillId="19" borderId="18" xfId="16" applyNumberFormat="1" applyFont="1" applyFill="1" applyBorder="1"/>
    <xf numFmtId="164" fontId="53" fillId="19" borderId="18" xfId="16" applyNumberFormat="1" applyFont="1" applyFill="1" applyBorder="1"/>
    <xf numFmtId="164" fontId="53" fillId="19" borderId="21" xfId="1" applyNumberFormat="1" applyFont="1" applyFill="1" applyBorder="1"/>
    <xf numFmtId="0" fontId="16" fillId="22" borderId="29" xfId="15" applyFont="1" applyFill="1" applyBorder="1"/>
    <xf numFmtId="171" fontId="37" fillId="0" borderId="0" xfId="1" applyNumberFormat="1" applyFont="1" applyAlignment="1">
      <alignment horizontal="right"/>
    </xf>
    <xf numFmtId="0" fontId="8" fillId="0" borderId="34" xfId="1" applyFont="1" applyBorder="1"/>
    <xf numFmtId="164" fontId="3" fillId="16" borderId="0" xfId="1" applyNumberFormat="1" applyFont="1" applyFill="1"/>
    <xf numFmtId="164" fontId="8" fillId="4" borderId="0" xfId="1" applyNumberFormat="1" applyFont="1" applyFill="1"/>
    <xf numFmtId="164" fontId="8" fillId="4" borderId="17" xfId="1" applyNumberFormat="1" applyFont="1" applyFill="1" applyBorder="1"/>
    <xf numFmtId="164" fontId="3" fillId="4" borderId="0" xfId="1" applyNumberFormat="1" applyFont="1" applyFill="1"/>
    <xf numFmtId="164" fontId="3" fillId="4" borderId="17" xfId="1" applyNumberFormat="1" applyFont="1" applyFill="1" applyBorder="1"/>
    <xf numFmtId="164" fontId="8" fillId="4" borderId="15" xfId="1" applyNumberFormat="1" applyFont="1" applyFill="1" applyBorder="1"/>
    <xf numFmtId="0" fontId="6" fillId="0" borderId="16" xfId="1" applyFont="1" applyBorder="1" applyAlignment="1">
      <alignment horizontal="left" indent="1"/>
    </xf>
    <xf numFmtId="178" fontId="8" fillId="0" borderId="0" xfId="3" applyNumberFormat="1" applyFont="1"/>
    <xf numFmtId="178" fontId="8" fillId="17" borderId="0" xfId="3" applyNumberFormat="1" applyFont="1" applyFill="1"/>
    <xf numFmtId="183" fontId="3" fillId="4" borderId="0" xfId="1" applyNumberFormat="1" applyFont="1" applyFill="1"/>
    <xf numFmtId="183" fontId="3" fillId="4" borderId="17" xfId="1" applyNumberFormat="1" applyFont="1" applyFill="1" applyBorder="1"/>
    <xf numFmtId="183" fontId="3" fillId="17" borderId="0" xfId="1" applyNumberFormat="1" applyFont="1" applyFill="1"/>
    <xf numFmtId="168" fontId="3" fillId="17" borderId="0" xfId="1" applyNumberFormat="1" applyFont="1" applyFill="1"/>
    <xf numFmtId="168" fontId="3" fillId="4" borderId="0" xfId="1" applyNumberFormat="1" applyFont="1" applyFill="1"/>
    <xf numFmtId="168" fontId="3" fillId="4" borderId="17" xfId="1" applyNumberFormat="1" applyFont="1" applyFill="1" applyBorder="1"/>
    <xf numFmtId="178" fontId="3" fillId="0" borderId="14" xfId="3" applyNumberFormat="1" applyFont="1" applyBorder="1"/>
    <xf numFmtId="182" fontId="3" fillId="17" borderId="14" xfId="1" applyNumberFormat="1" applyFont="1" applyFill="1" applyBorder="1"/>
    <xf numFmtId="164" fontId="8" fillId="4" borderId="14" xfId="1" applyNumberFormat="1" applyFont="1" applyFill="1" applyBorder="1"/>
    <xf numFmtId="164" fontId="8" fillId="4" borderId="33" xfId="1" applyNumberFormat="1" applyFont="1" applyFill="1" applyBorder="1"/>
    <xf numFmtId="0" fontId="5" fillId="22" borderId="31" xfId="15" applyFont="1" applyFill="1" applyBorder="1"/>
    <xf numFmtId="0" fontId="3" fillId="0" borderId="16" xfId="17" applyFont="1" applyBorder="1">
      <alignment vertical="top"/>
    </xf>
    <xf numFmtId="167" fontId="36" fillId="12" borderId="17" xfId="8" applyNumberFormat="1" applyFont="1" applyFill="1" applyBorder="1"/>
    <xf numFmtId="0" fontId="3" fillId="7" borderId="16" xfId="17" applyFont="1" applyFill="1" applyBorder="1">
      <alignment vertical="top"/>
    </xf>
    <xf numFmtId="0" fontId="3" fillId="0" borderId="19" xfId="17" applyFont="1" applyBorder="1">
      <alignment vertical="top"/>
    </xf>
    <xf numFmtId="2" fontId="53" fillId="4" borderId="20" xfId="1" applyNumberFormat="1" applyFont="1" applyFill="1" applyBorder="1" applyAlignment="1">
      <alignment horizontal="right"/>
    </xf>
    <xf numFmtId="0" fontId="8" fillId="0" borderId="16" xfId="17" applyFont="1" applyBorder="1">
      <alignment vertical="top"/>
    </xf>
    <xf numFmtId="167" fontId="55" fillId="12" borderId="17" xfId="8" applyNumberFormat="1" applyFont="1" applyFill="1" applyBorder="1"/>
    <xf numFmtId="0" fontId="3" fillId="7" borderId="19" xfId="17" applyFont="1" applyFill="1" applyBorder="1">
      <alignment vertical="top"/>
    </xf>
    <xf numFmtId="167" fontId="55" fillId="12" borderId="33" xfId="8" applyNumberFormat="1" applyFont="1" applyFill="1" applyBorder="1"/>
    <xf numFmtId="0" fontId="8" fillId="0" borderId="12" xfId="17" applyFont="1" applyBorder="1">
      <alignment vertical="top"/>
    </xf>
    <xf numFmtId="15" fontId="3" fillId="0" borderId="17" xfId="1" applyNumberFormat="1" applyFont="1" applyBorder="1"/>
    <xf numFmtId="15" fontId="3" fillId="0" borderId="20" xfId="1" applyNumberFormat="1" applyFont="1" applyBorder="1"/>
    <xf numFmtId="2" fontId="53" fillId="0" borderId="17" xfId="0" applyNumberFormat="1" applyFont="1" applyBorder="1" applyAlignment="1">
      <alignment horizontal="center" vertical="center"/>
    </xf>
    <xf numFmtId="2" fontId="53" fillId="0" borderId="17" xfId="0" applyNumberFormat="1" applyFont="1" applyBorder="1" applyAlignment="1">
      <alignment horizontal="center"/>
    </xf>
    <xf numFmtId="0" fontId="44" fillId="22" borderId="0" xfId="20" applyFont="1" applyFill="1" applyAlignment="1">
      <alignment vertical="center"/>
    </xf>
    <xf numFmtId="0" fontId="41" fillId="22" borderId="0" xfId="20" applyFont="1" applyFill="1" applyAlignment="1">
      <alignment horizontal="center" vertical="center"/>
    </xf>
    <xf numFmtId="0" fontId="43" fillId="22" borderId="0" xfId="20" applyFont="1" applyFill="1" applyAlignment="1">
      <alignment vertical="center"/>
    </xf>
    <xf numFmtId="0" fontId="41" fillId="22" borderId="0" xfId="20" applyFont="1" applyFill="1" applyAlignment="1">
      <alignment vertical="center"/>
    </xf>
    <xf numFmtId="0" fontId="58" fillId="7" borderId="32" xfId="20" applyFont="1" applyFill="1" applyBorder="1" applyAlignment="1">
      <alignment horizontal="left" vertical="center" indent="1"/>
    </xf>
    <xf numFmtId="0" fontId="58" fillId="7" borderId="32" xfId="20" applyFont="1" applyFill="1" applyBorder="1" applyAlignment="1">
      <alignment vertical="center"/>
    </xf>
    <xf numFmtId="188" fontId="17" fillId="7" borderId="0" xfId="20" applyNumberFormat="1" applyFont="1" applyFill="1" applyAlignment="1">
      <alignment horizontal="right" vertical="center"/>
    </xf>
    <xf numFmtId="188" fontId="61" fillId="7" borderId="32" xfId="20" applyNumberFormat="1" applyFont="1" applyFill="1" applyBorder="1" applyAlignment="1">
      <alignment horizontal="right" vertical="center"/>
    </xf>
    <xf numFmtId="0" fontId="58" fillId="7" borderId="0" xfId="20" applyFont="1" applyFill="1" applyAlignment="1">
      <alignment horizontal="left" vertical="center" indent="1"/>
    </xf>
    <xf numFmtId="0" fontId="58" fillId="7" borderId="0" xfId="20" applyFont="1" applyFill="1" applyAlignment="1">
      <alignment vertical="center"/>
    </xf>
    <xf numFmtId="188" fontId="61" fillId="0" borderId="0" xfId="20" applyNumberFormat="1" applyFont="1" applyAlignment="1">
      <alignment horizontal="right" vertical="center"/>
    </xf>
    <xf numFmtId="0" fontId="16" fillId="22" borderId="48" xfId="20" applyFont="1" applyFill="1" applyBorder="1" applyAlignment="1">
      <alignment vertical="center"/>
    </xf>
    <xf numFmtId="0" fontId="16" fillId="22" borderId="49" xfId="20" applyFont="1" applyFill="1" applyBorder="1" applyAlignment="1">
      <alignment vertical="center"/>
    </xf>
    <xf numFmtId="0" fontId="16" fillId="22" borderId="49" xfId="20" applyFont="1" applyFill="1" applyBorder="1" applyAlignment="1">
      <alignment horizontal="right" vertical="center"/>
    </xf>
    <xf numFmtId="0" fontId="16" fillId="22" borderId="49" xfId="20" applyFont="1" applyFill="1" applyBorder="1" applyAlignment="1">
      <alignment horizontal="center" vertical="center"/>
    </xf>
    <xf numFmtId="0" fontId="16" fillId="22" borderId="49" xfId="20" applyFont="1" applyFill="1" applyBorder="1" applyAlignment="1">
      <alignment horizontal="left" vertical="center"/>
    </xf>
    <xf numFmtId="0" fontId="62" fillId="22" borderId="50" xfId="20" applyFont="1" applyFill="1" applyBorder="1" applyAlignment="1">
      <alignment horizontal="center" vertical="center"/>
    </xf>
    <xf numFmtId="0" fontId="17" fillId="7" borderId="51" xfId="20" applyFont="1" applyFill="1" applyBorder="1" applyAlignment="1">
      <alignment horizontal="left" vertical="center" indent="1"/>
    </xf>
    <xf numFmtId="189" fontId="63" fillId="19" borderId="17" xfId="20" applyNumberFormat="1" applyFont="1" applyFill="1" applyBorder="1" applyAlignment="1">
      <alignment vertical="center"/>
    </xf>
    <xf numFmtId="0" fontId="17" fillId="7" borderId="16" xfId="20" applyFont="1" applyFill="1" applyBorder="1" applyAlignment="1">
      <alignment horizontal="left" vertical="center" indent="1"/>
    </xf>
    <xf numFmtId="0" fontId="52" fillId="7" borderId="0" xfId="20" applyFont="1" applyFill="1" applyAlignment="1">
      <alignment horizontal="left" vertical="center" indent="1"/>
    </xf>
    <xf numFmtId="0" fontId="52" fillId="7" borderId="0" xfId="20" applyFont="1" applyFill="1" applyAlignment="1">
      <alignment vertical="center"/>
    </xf>
    <xf numFmtId="188" fontId="61" fillId="7" borderId="0" xfId="20" applyNumberFormat="1" applyFont="1" applyFill="1" applyAlignment="1">
      <alignment horizontal="right" vertical="center"/>
    </xf>
    <xf numFmtId="0" fontId="59" fillId="7" borderId="16" xfId="20" applyFont="1" applyFill="1" applyBorder="1" applyAlignment="1">
      <alignment horizontal="left" vertical="center" indent="1"/>
    </xf>
    <xf numFmtId="0" fontId="58" fillId="5" borderId="52" xfId="20" applyFont="1" applyFill="1" applyBorder="1" applyAlignment="1">
      <alignment vertical="center"/>
    </xf>
    <xf numFmtId="0" fontId="59" fillId="5" borderId="53" xfId="20" applyFont="1" applyFill="1" applyBorder="1" applyAlignment="1">
      <alignment vertical="center"/>
    </xf>
    <xf numFmtId="8" fontId="17" fillId="5" borderId="53" xfId="20" applyNumberFormat="1" applyFont="1" applyFill="1" applyBorder="1" applyAlignment="1">
      <alignment horizontal="right" vertical="center"/>
    </xf>
    <xf numFmtId="8" fontId="61" fillId="5" borderId="53" xfId="20" applyNumberFormat="1" applyFont="1" applyFill="1" applyBorder="1" applyAlignment="1">
      <alignment horizontal="right" vertical="center"/>
    </xf>
    <xf numFmtId="190" fontId="63" fillId="5" borderId="54" xfId="20" applyNumberFormat="1" applyFont="1" applyFill="1" applyBorder="1" applyAlignment="1">
      <alignment vertical="center"/>
    </xf>
    <xf numFmtId="0" fontId="16" fillId="22" borderId="0" xfId="20" applyFont="1" applyFill="1" applyAlignment="1">
      <alignment vertical="center"/>
    </xf>
    <xf numFmtId="0" fontId="64" fillId="22" borderId="0" xfId="20" applyFont="1" applyFill="1" applyAlignment="1">
      <alignment vertical="center"/>
    </xf>
    <xf numFmtId="164" fontId="3" fillId="5" borderId="2" xfId="3" applyNumberFormat="1" applyFont="1" applyFill="1" applyBorder="1" applyAlignment="1">
      <alignment horizontal="right"/>
    </xf>
    <xf numFmtId="10" fontId="6" fillId="5" borderId="2" xfId="8" applyNumberFormat="1" applyFont="1" applyFill="1" applyBorder="1"/>
    <xf numFmtId="6" fontId="53" fillId="0" borderId="45" xfId="0" applyNumberFormat="1" applyFont="1" applyBorder="1" applyAlignment="1">
      <alignment horizontal="center" vertical="center"/>
    </xf>
    <xf numFmtId="0" fontId="3" fillId="0" borderId="12" xfId="0" applyFont="1" applyBorder="1" applyAlignment="1">
      <alignment horizontal="left"/>
    </xf>
    <xf numFmtId="0" fontId="3" fillId="0" borderId="4" xfId="0" applyFont="1" applyBorder="1" applyAlignment="1">
      <alignment horizontal="left"/>
    </xf>
    <xf numFmtId="0" fontId="3" fillId="0" borderId="15" xfId="0" applyFont="1" applyBorder="1" applyAlignment="1">
      <alignment horizontal="left"/>
    </xf>
    <xf numFmtId="0" fontId="3" fillId="0" borderId="16" xfId="0" applyFont="1" applyBorder="1" applyAlignment="1">
      <alignment horizontal="left"/>
    </xf>
    <xf numFmtId="0" fontId="3" fillId="0" borderId="0" xfId="0" applyFont="1" applyAlignment="1">
      <alignment horizontal="left"/>
    </xf>
    <xf numFmtId="0" fontId="3" fillId="0" borderId="17" xfId="0" applyFont="1" applyBorder="1" applyAlignment="1">
      <alignment horizontal="left"/>
    </xf>
    <xf numFmtId="0" fontId="16" fillId="21" borderId="12" xfId="0" applyFont="1" applyFill="1" applyBorder="1" applyAlignment="1">
      <alignment horizontal="center" vertical="center"/>
    </xf>
    <xf numFmtId="0" fontId="16" fillId="21" borderId="16" xfId="0" applyFont="1" applyFill="1" applyBorder="1" applyAlignment="1">
      <alignment horizontal="center" vertical="center"/>
    </xf>
    <xf numFmtId="0" fontId="16" fillId="21" borderId="19" xfId="0" applyFont="1" applyFill="1" applyBorder="1" applyAlignment="1">
      <alignment horizontal="center" vertical="center"/>
    </xf>
    <xf numFmtId="0" fontId="9" fillId="2" borderId="0" xfId="0" applyFont="1" applyFill="1"/>
    <xf numFmtId="0" fontId="16" fillId="21" borderId="16" xfId="0" applyFont="1" applyFill="1" applyBorder="1" applyAlignment="1">
      <alignment horizontal="center" vertical="center" wrapText="1"/>
    </xf>
    <xf numFmtId="0" fontId="16" fillId="21" borderId="19" xfId="0" applyFont="1" applyFill="1" applyBorder="1" applyAlignment="1">
      <alignment horizontal="center" vertical="center" wrapText="1"/>
    </xf>
    <xf numFmtId="0" fontId="53" fillId="2" borderId="0" xfId="0" applyFont="1" applyFill="1"/>
    <xf numFmtId="8" fontId="53" fillId="6" borderId="16" xfId="0" applyNumberFormat="1" applyFont="1" applyFill="1" applyBorder="1" applyAlignment="1">
      <alignment horizontal="center" vertical="center"/>
    </xf>
    <xf numFmtId="8" fontId="53" fillId="6" borderId="17" xfId="0" applyNumberFormat="1" applyFont="1" applyFill="1" applyBorder="1" applyAlignment="1">
      <alignment horizontal="center" vertical="center"/>
    </xf>
    <xf numFmtId="193" fontId="53" fillId="6" borderId="16" xfId="0" applyNumberFormat="1" applyFont="1" applyFill="1" applyBorder="1" applyAlignment="1">
      <alignment horizontal="center" vertical="center"/>
    </xf>
    <xf numFmtId="193" fontId="53" fillId="6" borderId="17" xfId="0" applyNumberFormat="1" applyFont="1" applyFill="1" applyBorder="1" applyAlignment="1">
      <alignment horizontal="center" vertical="center"/>
    </xf>
    <xf numFmtId="193" fontId="53" fillId="6" borderId="12" xfId="0" applyNumberFormat="1" applyFont="1" applyFill="1" applyBorder="1" applyAlignment="1">
      <alignment horizontal="center" vertical="center"/>
    </xf>
    <xf numFmtId="193" fontId="53" fillId="6" borderId="15" xfId="0" applyNumberFormat="1" applyFont="1" applyFill="1" applyBorder="1" applyAlignment="1">
      <alignment horizontal="center" vertical="center"/>
    </xf>
    <xf numFmtId="193" fontId="53" fillId="6" borderId="19" xfId="0" applyNumberFormat="1" applyFont="1" applyFill="1" applyBorder="1" applyAlignment="1">
      <alignment horizontal="center" vertical="center"/>
    </xf>
    <xf numFmtId="193" fontId="53" fillId="6" borderId="20" xfId="0" applyNumberFormat="1" applyFont="1" applyFill="1" applyBorder="1" applyAlignment="1">
      <alignment horizontal="center" vertical="center"/>
    </xf>
    <xf numFmtId="8" fontId="53" fillId="6" borderId="19" xfId="0" applyNumberFormat="1" applyFont="1" applyFill="1" applyBorder="1" applyAlignment="1">
      <alignment horizontal="center" vertical="center"/>
    </xf>
    <xf numFmtId="8" fontId="53" fillId="6" borderId="20" xfId="0" applyNumberFormat="1" applyFont="1" applyFill="1" applyBorder="1" applyAlignment="1">
      <alignment horizontal="center" vertical="center"/>
    </xf>
    <xf numFmtId="0" fontId="59" fillId="0" borderId="0" xfId="0" applyFont="1"/>
    <xf numFmtId="0" fontId="54" fillId="23" borderId="24" xfId="0" applyFont="1" applyFill="1" applyBorder="1" applyAlignment="1">
      <alignment horizontal="left"/>
    </xf>
    <xf numFmtId="0" fontId="54" fillId="23" borderId="14" xfId="0" applyFont="1" applyFill="1" applyBorder="1" applyAlignment="1">
      <alignment horizontal="left"/>
    </xf>
    <xf numFmtId="0" fontId="53" fillId="0" borderId="16" xfId="0" applyFont="1" applyBorder="1" applyAlignment="1">
      <alignment horizontal="left"/>
    </xf>
    <xf numFmtId="0" fontId="53" fillId="0" borderId="0" xfId="0" applyFont="1" applyAlignment="1">
      <alignment horizontal="left"/>
    </xf>
    <xf numFmtId="0" fontId="53" fillId="0" borderId="17" xfId="0" applyFont="1" applyBorder="1" applyAlignment="1">
      <alignment horizontal="left"/>
    </xf>
    <xf numFmtId="0" fontId="53" fillId="0" borderId="16" xfId="0" applyFont="1" applyBorder="1" applyAlignment="1">
      <alignment horizontal="left" wrapText="1"/>
    </xf>
    <xf numFmtId="0" fontId="53" fillId="0" borderId="0" xfId="0" applyFont="1" applyAlignment="1">
      <alignment horizontal="left" wrapText="1"/>
    </xf>
    <xf numFmtId="0" fontId="53" fillId="0" borderId="17" xfId="0" applyFont="1" applyBorder="1" applyAlignment="1">
      <alignment horizontal="left" wrapText="1"/>
    </xf>
    <xf numFmtId="0" fontId="53" fillId="0" borderId="12" xfId="0" applyFont="1" applyBorder="1" applyAlignment="1">
      <alignment horizontal="left"/>
    </xf>
    <xf numFmtId="0" fontId="53" fillId="0" borderId="4" xfId="0" applyFont="1" applyBorder="1" applyAlignment="1">
      <alignment horizontal="left"/>
    </xf>
    <xf numFmtId="0" fontId="53" fillId="0" borderId="15" xfId="0" applyFont="1" applyBorder="1" applyAlignment="1">
      <alignment horizontal="left"/>
    </xf>
    <xf numFmtId="0" fontId="5" fillId="20" borderId="15" xfId="0" applyFont="1" applyFill="1" applyBorder="1" applyAlignment="1">
      <alignment horizontal="center" vertical="center"/>
    </xf>
    <xf numFmtId="0" fontId="5" fillId="20" borderId="17" xfId="0" applyFont="1" applyFill="1" applyBorder="1" applyAlignment="1">
      <alignment horizontal="center" vertical="center"/>
    </xf>
    <xf numFmtId="0" fontId="5" fillId="20" borderId="18" xfId="0" applyFont="1" applyFill="1" applyBorder="1" applyAlignment="1">
      <alignment horizontal="center" vertical="center"/>
    </xf>
    <xf numFmtId="0" fontId="5" fillId="20" borderId="21" xfId="0" applyFont="1" applyFill="1" applyBorder="1" applyAlignment="1">
      <alignment horizontal="center" vertical="center"/>
    </xf>
    <xf numFmtId="0" fontId="5" fillId="20" borderId="16" xfId="0" applyFont="1" applyFill="1" applyBorder="1" applyAlignment="1">
      <alignment horizontal="center" vertical="center"/>
    </xf>
    <xf numFmtId="0" fontId="5" fillId="20" borderId="19" xfId="0" applyFont="1" applyFill="1" applyBorder="1" applyAlignment="1">
      <alignment horizontal="center" vertical="center"/>
    </xf>
    <xf numFmtId="6" fontId="53" fillId="6" borderId="16" xfId="0" applyNumberFormat="1" applyFont="1" applyFill="1" applyBorder="1" applyAlignment="1">
      <alignment horizontal="center" vertical="center"/>
    </xf>
    <xf numFmtId="6" fontId="53" fillId="6" borderId="17" xfId="0" applyNumberFormat="1" applyFont="1" applyFill="1" applyBorder="1" applyAlignment="1">
      <alignment horizontal="center" vertical="center"/>
    </xf>
    <xf numFmtId="6" fontId="53" fillId="6" borderId="19" xfId="0" applyNumberFormat="1" applyFont="1" applyFill="1" applyBorder="1" applyAlignment="1">
      <alignment horizontal="center" vertical="center"/>
    </xf>
    <xf numFmtId="6" fontId="53" fillId="6" borderId="20" xfId="0" applyNumberFormat="1" applyFont="1" applyFill="1" applyBorder="1" applyAlignment="1">
      <alignment horizontal="center" vertical="center"/>
    </xf>
    <xf numFmtId="193" fontId="53" fillId="6" borderId="19" xfId="0" applyNumberFormat="1" applyFont="1" applyFill="1" applyBorder="1" applyAlignment="1">
      <alignment horizontal="center"/>
    </xf>
    <xf numFmtId="193" fontId="53" fillId="6" borderId="20" xfId="0" applyNumberFormat="1" applyFont="1" applyFill="1" applyBorder="1" applyAlignment="1">
      <alignment horizontal="center"/>
    </xf>
    <xf numFmtId="0" fontId="5" fillId="22" borderId="24" xfId="1" applyFont="1" applyFill="1" applyBorder="1" applyAlignment="1">
      <alignment horizontal="center"/>
    </xf>
    <xf numFmtId="0" fontId="5" fillId="22" borderId="33" xfId="1" applyFont="1" applyFill="1" applyBorder="1" applyAlignment="1">
      <alignment horizontal="center"/>
    </xf>
    <xf numFmtId="0" fontId="5" fillId="22" borderId="19" xfId="1" applyFont="1" applyFill="1" applyBorder="1" applyAlignment="1">
      <alignment horizontal="center"/>
    </xf>
    <xf numFmtId="0" fontId="5" fillId="22" borderId="20" xfId="1" applyFont="1" applyFill="1" applyBorder="1" applyAlignment="1">
      <alignment horizontal="center"/>
    </xf>
    <xf numFmtId="193" fontId="53" fillId="7" borderId="16" xfId="0" applyNumberFormat="1" applyFont="1" applyFill="1" applyBorder="1" applyAlignment="1">
      <alignment horizontal="center" vertical="center"/>
    </xf>
    <xf numFmtId="193" fontId="53" fillId="7" borderId="17" xfId="0" applyNumberFormat="1" applyFont="1" applyFill="1" applyBorder="1" applyAlignment="1">
      <alignment horizontal="center" vertical="center"/>
    </xf>
    <xf numFmtId="170" fontId="15" fillId="0" borderId="11" xfId="0" applyNumberFormat="1" applyFont="1" applyBorder="1" applyAlignment="1">
      <alignment horizontal="center" vertical="center" wrapText="1"/>
    </xf>
    <xf numFmtId="170" fontId="15" fillId="0" borderId="8" xfId="0" applyNumberFormat="1" applyFont="1" applyBorder="1" applyAlignment="1">
      <alignment horizontal="center" vertical="center" wrapText="1"/>
    </xf>
    <xf numFmtId="170" fontId="15" fillId="0" borderId="9" xfId="0" applyNumberFormat="1" applyFont="1" applyBorder="1" applyAlignment="1">
      <alignment horizontal="center" vertical="center" wrapText="1"/>
    </xf>
    <xf numFmtId="170" fontId="15" fillId="0" borderId="10" xfId="0" applyNumberFormat="1" applyFont="1" applyBorder="1" applyAlignment="1">
      <alignment horizontal="center" vertical="center" wrapText="1"/>
    </xf>
    <xf numFmtId="170" fontId="15" fillId="0" borderId="7" xfId="0" applyNumberFormat="1" applyFont="1" applyBorder="1" applyAlignment="1">
      <alignment horizontal="center" vertical="center" wrapText="1"/>
    </xf>
    <xf numFmtId="177" fontId="8" fillId="0" borderId="22" xfId="1" applyNumberFormat="1" applyFont="1" applyBorder="1" applyAlignment="1">
      <alignment horizontal="center"/>
    </xf>
    <xf numFmtId="177" fontId="8" fillId="0" borderId="20" xfId="1" applyNumberFormat="1" applyFont="1" applyBorder="1" applyAlignment="1">
      <alignment horizontal="center"/>
    </xf>
    <xf numFmtId="0" fontId="58" fillId="7" borderId="0" xfId="20" applyFont="1" applyFill="1" applyAlignment="1">
      <alignment horizontal="center" vertical="center"/>
    </xf>
  </cellXfs>
  <cellStyles count="25">
    <cellStyle name="Border Thin" xfId="7" xr:uid="{7D89CFB2-2646-427D-BC8C-D528CB404059}"/>
    <cellStyle name="Border Thin 2" xfId="12" xr:uid="{7BBA3212-A8A2-4079-87DD-833239318A5C}"/>
    <cellStyle name="Comma" xfId="9" builtinId="3"/>
    <cellStyle name="Comma 2" xfId="5" xr:uid="{ED0F1DD6-5D5B-4B2E-A0E1-7489E1695512}"/>
    <cellStyle name="Currency" xfId="18" builtinId="4"/>
    <cellStyle name="Currency 2" xfId="11" xr:uid="{B1E6FC51-57EB-444F-85CF-0B38AB715216}"/>
    <cellStyle name="fa_data_standard_1_grouped" xfId="10" xr:uid="{4EE535A6-CAEB-44D4-AFB4-F1B67A22380C}"/>
    <cellStyle name="Hist Proj Title" xfId="22" xr:uid="{24740B27-3128-42D8-9BB0-EBF60D7CAE93}"/>
    <cellStyle name="Input 2" xfId="19" xr:uid="{69A6C12B-1832-43A0-9374-EB34DAD4DAA2}"/>
    <cellStyle name="Normal" xfId="0" builtinId="0"/>
    <cellStyle name="Normal 10" xfId="1" xr:uid="{33818CB3-A365-4433-8BBE-B4B2E65C3493}"/>
    <cellStyle name="Normal 10 2" xfId="4" xr:uid="{DFC63935-753B-47A0-BCE2-71E59A820D1A}"/>
    <cellStyle name="Normal 2" xfId="2" xr:uid="{31E42811-B4C2-4922-8087-C3DDB26BF3DB}"/>
    <cellStyle name="Normal 8 3" xfId="20" xr:uid="{55114CE9-FEB5-4BE9-BE0D-393F71CDB306}"/>
    <cellStyle name="Normal_Ahold3-backup" xfId="14" xr:uid="{EAF19DB3-B9CE-4AFC-BBD8-16C00F113B17}"/>
    <cellStyle name="Normal_BasicFCFModel" xfId="15" xr:uid="{0210D00D-5E36-417E-A4D3-A732D30900F1}"/>
    <cellStyle name="Normal_Copy of GAPValuationModelFullForecast2008" xfId="16" xr:uid="{3FB4BDD2-BF24-4CC4-87CA-AB2DCD806D10}"/>
    <cellStyle name="Normal_Sheet" xfId="17" xr:uid="{46F8F258-B68A-4A67-9822-36204A5498BB}"/>
    <cellStyle name="Normal_Sheet2" xfId="3" xr:uid="{091140D8-BD83-4132-A171-C4D74AB59926}"/>
    <cellStyle name="Percent" xfId="8" builtinId="5"/>
    <cellStyle name="Percent 2" xfId="6" xr:uid="{ABC8FC78-ADAC-44EA-8668-F172B7116186}"/>
    <cellStyle name="Primary Title" xfId="21" xr:uid="{1490C14D-9E10-4918-B7C2-078C58413B18}"/>
    <cellStyle name="Row Label" xfId="24" xr:uid="{4ED32D8C-B01C-4C72-948C-F7180FC9DFB2}"/>
    <cellStyle name="Table Sub Head" xfId="13" xr:uid="{357B0713-833B-4759-A820-7FCE1ABC23A3}"/>
    <cellStyle name="Tertiary Title" xfId="23" xr:uid="{EAAE36CF-9537-4597-AD29-166BED51CBE4}"/>
  </cellStyles>
  <dxfs count="26">
    <dxf>
      <font>
        <b/>
        <i val="0"/>
        <condense val="0"/>
        <extend val="0"/>
        <color indexed="12"/>
      </font>
      <border>
        <top style="thin">
          <color indexed="64"/>
        </top>
      </border>
    </dxf>
    <dxf>
      <font>
        <b/>
        <i val="0"/>
        <condense val="0"/>
        <extend val="0"/>
        <color indexed="9"/>
      </font>
      <fill>
        <patternFill>
          <bgColor indexed="10"/>
        </patternFill>
      </fill>
    </dxf>
    <dxf>
      <font>
        <b/>
        <i val="0"/>
        <condense val="0"/>
        <extend val="0"/>
        <color indexed="12"/>
      </font>
      <border>
        <top style="thin">
          <color indexed="64"/>
        </top>
      </border>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2"/>
      </font>
      <border>
        <top style="thin">
          <color indexed="64"/>
        </top>
      </border>
    </dxf>
    <dxf>
      <font>
        <condense val="0"/>
        <extend val="0"/>
        <color indexed="12"/>
      </font>
    </dxf>
    <dxf>
      <font>
        <condense val="0"/>
        <extend val="0"/>
        <color indexed="12"/>
      </font>
    </dxf>
    <dxf>
      <font>
        <condense val="0"/>
        <extend val="0"/>
        <color indexed="12"/>
      </font>
    </dxf>
    <dxf>
      <font>
        <b/>
        <i val="0"/>
        <condense val="0"/>
        <extend val="0"/>
        <color indexed="9"/>
      </font>
      <fill>
        <patternFill>
          <bgColor indexed="10"/>
        </patternFill>
      </fill>
    </dxf>
    <dxf>
      <font>
        <condense val="0"/>
        <extend val="0"/>
        <color rgb="FF0000FF"/>
      </font>
    </dxf>
    <dxf>
      <font>
        <condense val="0"/>
        <extend val="0"/>
        <color rgb="FF0000FF"/>
      </font>
    </dxf>
    <dxf>
      <font>
        <condense val="0"/>
        <extend val="0"/>
        <color rgb="FF0000FF"/>
      </font>
    </dxf>
    <dxf>
      <font>
        <condense val="0"/>
        <extend val="0"/>
        <color rgb="FF0000FF"/>
      </font>
    </dxf>
    <dxf>
      <font>
        <b/>
        <i val="0"/>
        <condense val="0"/>
        <extend val="0"/>
        <color rgb="FF0000FF"/>
      </font>
      <border>
        <top style="thin">
          <color rgb="FF000000"/>
        </top>
      </border>
    </dxf>
    <dxf>
      <font>
        <condense val="0"/>
        <extend val="0"/>
        <color rgb="FF0000FF"/>
      </font>
    </dxf>
    <dxf>
      <font>
        <condense val="0"/>
        <extend val="0"/>
        <color rgb="FF0000FF"/>
      </font>
    </dxf>
    <dxf>
      <font>
        <condense val="0"/>
        <extend val="0"/>
        <color rgb="FF0000FF"/>
      </font>
    </dxf>
    <dxf>
      <font>
        <condense val="0"/>
        <extend val="0"/>
        <color indexed="12"/>
      </font>
    </dxf>
    <dxf>
      <font>
        <condense val="0"/>
        <extend val="0"/>
        <color rgb="FF0000FF"/>
      </font>
    </dxf>
    <dxf>
      <font>
        <condense val="0"/>
        <extend val="0"/>
        <color indexed="12"/>
      </font>
    </dxf>
    <dxf>
      <font>
        <condense val="0"/>
        <extend val="0"/>
        <color indexed="12"/>
      </font>
    </dxf>
    <dxf>
      <font>
        <condense val="0"/>
        <extend val="0"/>
        <color indexed="12"/>
      </font>
    </dxf>
    <dxf>
      <font>
        <condense val="0"/>
        <extend val="0"/>
        <color indexed="12"/>
      </font>
    </dxf>
    <dxf>
      <font>
        <condense val="0"/>
        <extend val="0"/>
        <color indexed="12"/>
      </font>
    </dxf>
    <dxf>
      <font>
        <condense val="0"/>
        <extend val="0"/>
        <color indexed="12"/>
      </font>
    </dxf>
  </dxfs>
  <tableStyles count="0" defaultTableStyle="TableStyleMedium2" defaultPivotStyle="PivotStyleMedium9"/>
  <colors>
    <mruColors>
      <color rgb="FF7E350E"/>
      <color rgb="FF833C0C"/>
      <color rgb="FFD9D9D9"/>
      <color rgb="FFEE7F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800" b="1">
                <a:latin typeface="Arial" panose="020B0604020202020204" pitchFamily="34" charset="0"/>
                <a:cs typeface="Arial" panose="020B0604020202020204" pitchFamily="34" charset="0"/>
              </a:rPr>
              <a:t>Football Field Analysis</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stacked"/>
        <c:varyColors val="0"/>
        <c:ser>
          <c:idx val="0"/>
          <c:order val="0"/>
          <c:spPr>
            <a:no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Summary!$C$45:$C$52</c:f>
              <c:strCache>
                <c:ptCount val="8"/>
                <c:pt idx="0">
                  <c:v>EV/Sales Multiple Method</c:v>
                </c:pt>
                <c:pt idx="1">
                  <c:v>EV/EBITDA Multiple Method</c:v>
                </c:pt>
                <c:pt idx="2">
                  <c:v>DCF EV/Revenue Exit Multiple</c:v>
                </c:pt>
                <c:pt idx="3">
                  <c:v>52 week high low</c:v>
                </c:pt>
                <c:pt idx="4">
                  <c:v>P/S Multiple Method</c:v>
                </c:pt>
                <c:pt idx="5">
                  <c:v>P/E Multiple Method</c:v>
                </c:pt>
                <c:pt idx="6">
                  <c:v>Analyst Recommendation</c:v>
                </c:pt>
                <c:pt idx="7">
                  <c:v>DCF EV/EBITDA Exit Multiple</c:v>
                </c:pt>
              </c:strCache>
            </c:strRef>
          </c:cat>
          <c:val>
            <c:numRef>
              <c:f>Summary!$D$45:$D$52</c:f>
              <c:numCache>
                <c:formatCode>"$"#,##0.00_);[Red]\("$"#,##0.00\);\-</c:formatCode>
                <c:ptCount val="8"/>
                <c:pt idx="0">
                  <c:v>613.10851169094258</c:v>
                </c:pt>
                <c:pt idx="1">
                  <c:v>565.10699133565072</c:v>
                </c:pt>
                <c:pt idx="2" formatCode="_(&quot;$&quot;* #,##0.00_);_(&quot;$&quot;* \(#,##0.00\);_(&quot;$&quot;* &quot;-&quot;??_);_(@_)">
                  <c:v>607.79999999999995</c:v>
                </c:pt>
                <c:pt idx="3" formatCode="_(&quot;$&quot;* #,##0.00_);_(&quot;$&quot;* \(#,##0.00\);_(&quot;$&quot;* &quot;-&quot;??_);_(@_)">
                  <c:v>557.29</c:v>
                </c:pt>
                <c:pt idx="4" formatCode="_(&quot;$&quot;* #,##0.00_);_(&quot;$&quot;* \(#,##0.00\);_(&quot;$&quot;* &quot;-&quot;??_);_(@_)">
                  <c:v>524.28</c:v>
                </c:pt>
                <c:pt idx="5" formatCode="_(&quot;$&quot;* #,##0.00_);_(&quot;$&quot;* \(#,##0.00\);_(&quot;$&quot;* &quot;-&quot;??_);_(@_)">
                  <c:v>906.7</c:v>
                </c:pt>
                <c:pt idx="6" formatCode="_(&quot;$&quot;* #,##0.00_);_(&quot;$&quot;* \(#,##0.00\);_(&quot;$&quot;* &quot;-&quot;??_);_(@_)">
                  <c:v>645.20000000000005</c:v>
                </c:pt>
                <c:pt idx="7" formatCode="_(&quot;$&quot;* #,##0.00_);_(&quot;$&quot;* \(#,##0.00\);_(&quot;$&quot;* &quot;-&quot;??_);_(@_)">
                  <c:v>651.20000000000005</c:v>
                </c:pt>
              </c:numCache>
            </c:numRef>
          </c:val>
          <c:extLst>
            <c:ext xmlns:c16="http://schemas.microsoft.com/office/drawing/2014/chart" uri="{C3380CC4-5D6E-409C-BE32-E72D297353CC}">
              <c16:uniqueId val="{00000000-6B4E-4D15-9E35-3221442CE2B0}"/>
            </c:ext>
          </c:extLst>
        </c:ser>
        <c:ser>
          <c:idx val="1"/>
          <c:order val="1"/>
          <c:tx>
            <c:v>Valuation Price</c:v>
          </c:tx>
          <c:spPr>
            <a:solidFill>
              <a:schemeClr val="accent1">
                <a:lumMod val="75000"/>
              </a:schemeClr>
            </a:solidFill>
            <a:ln>
              <a:noFill/>
            </a:ln>
            <a:effectLst/>
          </c:spPr>
          <c:invertIfNegative val="0"/>
          <c:cat>
            <c:strRef>
              <c:f>Summary!$C$45:$C$52</c:f>
              <c:strCache>
                <c:ptCount val="8"/>
                <c:pt idx="0">
                  <c:v>EV/Sales Multiple Method</c:v>
                </c:pt>
                <c:pt idx="1">
                  <c:v>EV/EBITDA Multiple Method</c:v>
                </c:pt>
                <c:pt idx="2">
                  <c:v>DCF EV/Revenue Exit Multiple</c:v>
                </c:pt>
                <c:pt idx="3">
                  <c:v>52 week high low</c:v>
                </c:pt>
                <c:pt idx="4">
                  <c:v>P/S Multiple Method</c:v>
                </c:pt>
                <c:pt idx="5">
                  <c:v>P/E Multiple Method</c:v>
                </c:pt>
                <c:pt idx="6">
                  <c:v>Analyst Recommendation</c:v>
                </c:pt>
                <c:pt idx="7">
                  <c:v>DCF EV/EBITDA Exit Multiple</c:v>
                </c:pt>
              </c:strCache>
            </c:strRef>
          </c:cat>
          <c:val>
            <c:numRef>
              <c:f>Summary!$E$45:$E$52</c:f>
              <c:numCache>
                <c:formatCode>_("$"* #,##0.00_);_("$"* \(#,##0.00\);_("$"* "-"??_);_(@_)</c:formatCode>
                <c:ptCount val="8"/>
                <c:pt idx="0">
                  <c:v>136.24633593132069</c:v>
                </c:pt>
                <c:pt idx="1">
                  <c:v>125.57933140792238</c:v>
                </c:pt>
                <c:pt idx="2">
                  <c:v>135.10000000000002</c:v>
                </c:pt>
                <c:pt idx="3">
                  <c:v>157.49</c:v>
                </c:pt>
                <c:pt idx="4">
                  <c:v>116.50999999999999</c:v>
                </c:pt>
                <c:pt idx="5">
                  <c:v>201.39999999999986</c:v>
                </c:pt>
                <c:pt idx="6">
                  <c:v>143.39999999999998</c:v>
                </c:pt>
                <c:pt idx="7">
                  <c:v>144.69999999999993</c:v>
                </c:pt>
              </c:numCache>
            </c:numRef>
          </c:val>
          <c:extLst>
            <c:ext xmlns:c16="http://schemas.microsoft.com/office/drawing/2014/chart" uri="{C3380CC4-5D6E-409C-BE32-E72D297353CC}">
              <c16:uniqueId val="{00000001-6B4E-4D15-9E35-3221442CE2B0}"/>
            </c:ext>
          </c:extLst>
        </c:ser>
        <c:dLbls>
          <c:showLegendKey val="0"/>
          <c:showVal val="0"/>
          <c:showCatName val="0"/>
          <c:showSerName val="0"/>
          <c:showPercent val="0"/>
          <c:showBubbleSize val="0"/>
        </c:dLbls>
        <c:gapWidth val="150"/>
        <c:overlap val="100"/>
        <c:axId val="1437190336"/>
        <c:axId val="809820640"/>
      </c:barChart>
      <c:scatterChart>
        <c:scatterStyle val="lineMarker"/>
        <c:varyColors val="0"/>
        <c:ser>
          <c:idx val="2"/>
          <c:order val="2"/>
          <c:tx>
            <c:v>Current Share price</c:v>
          </c:tx>
          <c:spPr>
            <a:ln w="28575" cap="rnd">
              <a:solidFill>
                <a:srgbClr val="7E350E"/>
              </a:solidFill>
              <a:prstDash val="sysDot"/>
              <a:round/>
            </a:ln>
            <a:effectLst/>
          </c:spPr>
          <c:marker>
            <c:symbol val="circle"/>
            <c:size val="5"/>
            <c:spPr>
              <a:noFill/>
              <a:ln w="9525">
                <a:solidFill>
                  <a:srgbClr val="7E350E"/>
                </a:solidFill>
                <a:prstDash val="sysDot"/>
              </a:ln>
              <a:effectLst/>
            </c:spPr>
          </c:marker>
          <c:dPt>
            <c:idx val="1"/>
            <c:marker>
              <c:symbol val="circle"/>
              <c:size val="5"/>
              <c:spPr>
                <a:noFill/>
                <a:ln w="9525">
                  <a:solidFill>
                    <a:srgbClr val="7E350E"/>
                  </a:solidFill>
                  <a:prstDash val="sysDot"/>
                </a:ln>
                <a:effectLst/>
              </c:spPr>
            </c:marker>
            <c:bubble3D val="0"/>
            <c:spPr>
              <a:ln w="12700" cap="flat">
                <a:solidFill>
                  <a:srgbClr val="7E350E"/>
                </a:solidFill>
                <a:prstDash val="sysDot"/>
                <a:round/>
              </a:ln>
              <a:effectLst/>
            </c:spPr>
            <c:extLst>
              <c:ext xmlns:c16="http://schemas.microsoft.com/office/drawing/2014/chart" uri="{C3380CC4-5D6E-409C-BE32-E72D297353CC}">
                <c16:uniqueId val="{00000003-6B4E-4D15-9E35-3221442CE2B0}"/>
              </c:ext>
            </c:extLst>
          </c:dPt>
          <c:xVal>
            <c:numRef>
              <c:f>Summary!$H$56:$H$57</c:f>
              <c:numCache>
                <c:formatCode>General</c:formatCode>
                <c:ptCount val="2"/>
                <c:pt idx="0">
                  <c:v>613.84</c:v>
                </c:pt>
                <c:pt idx="1">
                  <c:v>613.84</c:v>
                </c:pt>
              </c:numCache>
            </c:numRef>
          </c:xVal>
          <c:yVal>
            <c:numRef>
              <c:f>Summary!$I$56:$I$57</c:f>
              <c:numCache>
                <c:formatCode>General</c:formatCode>
                <c:ptCount val="2"/>
                <c:pt idx="0">
                  <c:v>0</c:v>
                </c:pt>
                <c:pt idx="1">
                  <c:v>24</c:v>
                </c:pt>
              </c:numCache>
            </c:numRef>
          </c:yVal>
          <c:smooth val="0"/>
          <c:extLst>
            <c:ext xmlns:c16="http://schemas.microsoft.com/office/drawing/2014/chart" uri="{C3380CC4-5D6E-409C-BE32-E72D297353CC}">
              <c16:uniqueId val="{00000004-6B4E-4D15-9E35-3221442CE2B0}"/>
            </c:ext>
          </c:extLst>
        </c:ser>
        <c:ser>
          <c:idx val="3"/>
          <c:order val="3"/>
          <c:tx>
            <c:v>Data labels</c:v>
          </c:tx>
          <c:spPr>
            <a:ln w="25400" cap="rnd">
              <a:noFill/>
              <a:round/>
            </a:ln>
            <a:effectLst/>
          </c:spPr>
          <c:marker>
            <c:symbol val="circle"/>
            <c:size val="5"/>
            <c:spPr>
              <a:noFill/>
              <a:ln w="9525">
                <a:noFill/>
              </a:ln>
              <a:effectLst/>
            </c:spPr>
          </c:marker>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Summary!$G$45:$G$52</c:f>
              <c:numCache>
                <c:formatCode>"$"#,##0.00_);[Red]\("$"#,##0.00\);\-</c:formatCode>
                <c:ptCount val="8"/>
                <c:pt idx="0">
                  <c:v>749.35484762226326</c:v>
                </c:pt>
                <c:pt idx="1">
                  <c:v>690.6863227435731</c:v>
                </c:pt>
                <c:pt idx="2" formatCode="_(&quot;$&quot;* #,##0.00_);_(&quot;$&quot;* \(#,##0.00\);_(&quot;$&quot;* &quot;-&quot;??_);_(@_)">
                  <c:v>742.9</c:v>
                </c:pt>
                <c:pt idx="3" formatCode="_(&quot;$&quot;* #,##0.00_);_(&quot;$&quot;* \(#,##0.00\);_(&quot;$&quot;* &quot;-&quot;??_);_(@_)">
                  <c:v>714.78</c:v>
                </c:pt>
                <c:pt idx="4" formatCode="_(&quot;$&quot;* #,##0.00_);_(&quot;$&quot;* \(#,##0.00\);_(&quot;$&quot;* &quot;-&quot;??_);_(@_)">
                  <c:v>640.79</c:v>
                </c:pt>
                <c:pt idx="5" formatCode="_(&quot;$&quot;* #,##0.00_);_(&quot;$&quot;* \(#,##0.00\);_(&quot;$&quot;* &quot;-&quot;??_);_(@_)">
                  <c:v>1108.0999999999999</c:v>
                </c:pt>
                <c:pt idx="6" formatCode="_(&quot;$&quot;* #,##0.00_);_(&quot;$&quot;* \(#,##0.00\);_(&quot;$&quot;* &quot;-&quot;??_);_(@_)">
                  <c:v>788.6</c:v>
                </c:pt>
                <c:pt idx="7" formatCode="_(&quot;$&quot;* #,##0.00_);_(&quot;$&quot;* \(#,##0.00\);_(&quot;$&quot;* &quot;-&quot;??_);_(@_)">
                  <c:v>795.9</c:v>
                </c:pt>
              </c:numCache>
            </c:numRef>
          </c:xVal>
          <c:yVal>
            <c:numRef>
              <c:f>Summary!$F$45:$F$52</c:f>
              <c:numCache>
                <c:formatCode>General</c:formatCode>
                <c:ptCount val="8"/>
                <c:pt idx="0">
                  <c:v>6.56</c:v>
                </c:pt>
                <c:pt idx="1">
                  <c:v>5.7</c:v>
                </c:pt>
                <c:pt idx="2">
                  <c:v>4.82</c:v>
                </c:pt>
                <c:pt idx="3">
                  <c:v>3.9</c:v>
                </c:pt>
                <c:pt idx="4">
                  <c:v>3.05</c:v>
                </c:pt>
                <c:pt idx="5">
                  <c:v>2.2000000000000002</c:v>
                </c:pt>
                <c:pt idx="6">
                  <c:v>1.3</c:v>
                </c:pt>
                <c:pt idx="7">
                  <c:v>0.5</c:v>
                </c:pt>
              </c:numCache>
            </c:numRef>
          </c:yVal>
          <c:smooth val="0"/>
          <c:extLst>
            <c:ext xmlns:c16="http://schemas.microsoft.com/office/drawing/2014/chart" uri="{C3380CC4-5D6E-409C-BE32-E72D297353CC}">
              <c16:uniqueId val="{00000005-6B4E-4D15-9E35-3221442CE2B0}"/>
            </c:ext>
          </c:extLst>
        </c:ser>
        <c:dLbls>
          <c:showLegendKey val="0"/>
          <c:showVal val="0"/>
          <c:showCatName val="0"/>
          <c:showSerName val="0"/>
          <c:showPercent val="0"/>
          <c:showBubbleSize val="0"/>
        </c:dLbls>
        <c:axId val="1434383712"/>
        <c:axId val="1434384576"/>
      </c:scatterChart>
      <c:catAx>
        <c:axId val="1437190336"/>
        <c:scaling>
          <c:orientation val="maxMin"/>
        </c:scaling>
        <c:delete val="0"/>
        <c:axPos val="l"/>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800" b="0" i="1"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809820640"/>
        <c:crosses val="autoZero"/>
        <c:auto val="1"/>
        <c:lblAlgn val="ctr"/>
        <c:lblOffset val="100"/>
        <c:noMultiLvlLbl val="0"/>
      </c:catAx>
      <c:valAx>
        <c:axId val="809820640"/>
        <c:scaling>
          <c:orientation val="minMax"/>
          <c:min val="4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GB"/>
                  <a:t>Implied share price</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lgn="ctr">
              <a:defRPr lang="en-US"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37190336"/>
        <c:crosses val="max"/>
        <c:crossBetween val="between"/>
      </c:valAx>
      <c:valAx>
        <c:axId val="1434384576"/>
        <c:scaling>
          <c:orientation val="minMax"/>
          <c:max val="7"/>
        </c:scaling>
        <c:delete val="1"/>
        <c:axPos val="r"/>
        <c:numFmt formatCode="General" sourceLinked="1"/>
        <c:majorTickMark val="out"/>
        <c:minorTickMark val="none"/>
        <c:tickLblPos val="nextTo"/>
        <c:crossAx val="1434383712"/>
        <c:crosses val="max"/>
        <c:crossBetween val="midCat"/>
      </c:valAx>
      <c:valAx>
        <c:axId val="1434383712"/>
        <c:scaling>
          <c:orientation val="minMax"/>
        </c:scaling>
        <c:delete val="1"/>
        <c:axPos val="b"/>
        <c:numFmt formatCode="General" sourceLinked="1"/>
        <c:majorTickMark val="out"/>
        <c:minorTickMark val="none"/>
        <c:tickLblPos val="nextTo"/>
        <c:crossAx val="1434384576"/>
        <c:crosses val="autoZero"/>
        <c:crossBetween val="midCat"/>
      </c:valAx>
      <c:spPr>
        <a:noFill/>
        <a:ln>
          <a:noFill/>
        </a:ln>
        <a:effectLst/>
      </c:spPr>
    </c:plotArea>
    <c:legend>
      <c:legendPos val="b"/>
      <c:legendEntry>
        <c:idx val="0"/>
        <c:delete val="1"/>
      </c:legendEntry>
      <c:legendEntry>
        <c:idx val="3"/>
        <c:delete val="1"/>
      </c:legendEntry>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11</xdr:col>
      <xdr:colOff>561975</xdr:colOff>
      <xdr:row>27</xdr:row>
      <xdr:rowOff>114300</xdr:rowOff>
    </xdr:to>
    <xdr:graphicFrame macro="">
      <xdr:nvGraphicFramePr>
        <xdr:cNvPr id="16" name="Chart 1">
          <a:extLst>
            <a:ext uri="{FF2B5EF4-FFF2-40B4-BE49-F238E27FC236}">
              <a16:creationId xmlns:a16="http://schemas.microsoft.com/office/drawing/2014/main" id="{8A3CCEAB-CFC9-4FC6-8F05-464BD91B5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agaraj.su\Downloads\Valuation%20Model%20Template%20Summer%202024%20V5.xlsx" TargetMode="External"/><Relationship Id="rId1" Type="http://schemas.openxmlformats.org/officeDocument/2006/relationships/externalLinkPath" Target="/Users/nagaraj.su/Downloads/Valuation%20Model%20Template%20Summer%202024%20V5.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northeastern-my.sharepoint.com/personal/nagaraj_su_northeastern_edu/Documents/Diageo%20Model.xlsx" TargetMode="External"/><Relationship Id="rId1" Type="http://schemas.openxmlformats.org/officeDocument/2006/relationships/externalLinkPath" Target="https://northeastern-my.sharepoint.com/personal/nagaraj_su_northeastern_edu/Documents/Diageo%20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uation--&gt;"/>
      <sheetName val="PB_CACHE"/>
      <sheetName val="Assumptions"/>
      <sheetName val="Financials"/>
      <sheetName val="DCF"/>
      <sheetName val="DCF (H-Model for TV)"/>
      <sheetName val="PE Multiples"/>
      <sheetName val="EV-Sales Multiples"/>
      <sheetName val="Precedent Transaction Multiple"/>
      <sheetName val="DDM"/>
      <sheetName val="Summary"/>
      <sheetName val="IS Summary"/>
      <sheetName val="Addtl Support--&gt;"/>
      <sheetName val="Data_Input"/>
      <sheetName val="Data Visualisation"/>
    </sheetNames>
    <sheetDataSet>
      <sheetData sheetId="0" refreshError="1"/>
      <sheetData sheetId="1" refreshError="1"/>
      <sheetData sheetId="2">
        <row r="4">
          <cell r="B4">
            <v>341.61</v>
          </cell>
        </row>
        <row r="6">
          <cell r="C6">
            <v>1000</v>
          </cell>
        </row>
        <row r="22">
          <cell r="B22">
            <v>9.64E-2</v>
          </cell>
        </row>
      </sheetData>
      <sheetData sheetId="3" refreshError="1"/>
      <sheetData sheetId="4">
        <row r="54">
          <cell r="D54" t="e">
            <v>#DIV/0!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CF - Outputs"/>
      <sheetName val="DCF - Assumptions"/>
      <sheetName val="DCF - Financials"/>
      <sheetName val="DCF - Capital Structure"/>
      <sheetName val="DCF - Valuation"/>
      <sheetName val="Associates &amp; Joint Ventures"/>
      <sheetName val="DCF - Assumptions Document"/>
      <sheetName val="Comps - Outputs"/>
      <sheetName val="Comps - Selection"/>
      <sheetName val="Comps - Dataset"/>
      <sheetName val="Precedents - Selection"/>
      <sheetName val="Precedents - Dataset"/>
      <sheetName val="LBO - Outputs"/>
      <sheetName val="LBO - Assumptions"/>
      <sheetName val="LBO - Financials"/>
      <sheetName val="LBO - Assumptions Document"/>
    </sheetNames>
    <sheetDataSet>
      <sheetData sheetId="0">
        <row r="15">
          <cell r="L15">
            <v>17113</v>
          </cell>
          <cell r="M15">
            <v>18066.685799999999</v>
          </cell>
          <cell r="N15">
            <v>19078.97756929</v>
          </cell>
          <cell r="O15">
            <v>20235.090096774675</v>
          </cell>
          <cell r="P15">
            <v>21443.912462223016</v>
          </cell>
          <cell r="Q15">
            <v>22765.644917755133</v>
          </cell>
          <cell r="R15">
            <v>24179.686994827174</v>
          </cell>
          <cell r="S15">
            <v>25703.44006699614</v>
          </cell>
        </row>
        <row r="26">
          <cell r="L26">
            <v>6053</v>
          </cell>
          <cell r="M26">
            <v>6503.560655008001</v>
          </cell>
          <cell r="N26">
            <v>6460.2779724958364</v>
          </cell>
          <cell r="O26">
            <v>6843.6453709982034</v>
          </cell>
          <cell r="P26">
            <v>6848.1864568361434</v>
          </cell>
          <cell r="Q26">
            <v>7537.595842060734</v>
          </cell>
          <cell r="R26">
            <v>7999.5659191021614</v>
          </cell>
          <cell r="S26">
            <v>8905.8163978013454</v>
          </cell>
        </row>
        <row r="38">
          <cell r="L38">
            <v>-1197</v>
          </cell>
          <cell r="M38">
            <v>-1407.3948238200001</v>
          </cell>
          <cell r="N38">
            <v>-1411.8443401274599</v>
          </cell>
          <cell r="O38">
            <v>-1136.7061861863172</v>
          </cell>
          <cell r="P38">
            <v>-1002.2884684843037</v>
          </cell>
          <cell r="Q38">
            <v>-886.7218695465624</v>
          </cell>
          <cell r="R38">
            <v>-941.79880844851846</v>
          </cell>
          <cell r="S38">
            <v>-1001.1489906094997</v>
          </cell>
        </row>
      </sheetData>
      <sheetData sheetId="1">
        <row r="8">
          <cell r="F8" t="str">
            <v>Diageo PLC</v>
          </cell>
        </row>
      </sheetData>
      <sheetData sheetId="2">
        <row r="7">
          <cell r="G7"/>
          <cell r="H7"/>
          <cell r="I7"/>
        </row>
        <row r="11">
          <cell r="J11">
            <v>15452</v>
          </cell>
          <cell r="R11">
            <v>25703.44006699614</v>
          </cell>
        </row>
        <row r="49">
          <cell r="K49">
            <v>6396</v>
          </cell>
          <cell r="R49">
            <v>8923.548530951286</v>
          </cell>
        </row>
      </sheetData>
      <sheetData sheetId="3"/>
      <sheetData sheetId="4">
        <row r="8">
          <cell r="C8" t="str">
            <v>Benchmark rate</v>
          </cell>
          <cell r="R8">
            <v>1</v>
          </cell>
        </row>
        <row r="11">
          <cell r="C11" t="str">
            <v>Beta</v>
          </cell>
        </row>
        <row r="13">
          <cell r="C13" t="str">
            <v>Cost of debt</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Sumukh Sai Nagaraj" id="{084AD725-B052-4D0C-97E9-C500E56B8B45}" userId="S::nagaraj.su@northeastern.edu::03dcea47-c3c8-4800-b578-f6c69e3e02a5" providerId="AD"/>
  <person displayName="Sumit Sharma" id="{31835325-5A4E-4528-B5FA-3D93499E2DAD}" userId="S::sharma.sumi@northeastern.edu::ea7b4635-0ec0-4353-b1cf-1bef101c8ad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4" dT="2025-02-15T01:56:51.85" personId="{084AD725-B052-4D0C-97E9-C500E56B8B45}" id="{045C6DC9-F2E7-4649-80B7-8AA4C2170CCD}">
    <text>Excluding Workday since it's an outlier</text>
  </threadedComment>
</ThreadedComments>
</file>

<file path=xl/threadedComments/threadedComment2.xml><?xml version="1.0" encoding="utf-8"?>
<ThreadedComments xmlns="http://schemas.microsoft.com/office/spreadsheetml/2018/threadedcomments" xmlns:x="http://schemas.openxmlformats.org/spreadsheetml/2006/main">
  <threadedComment ref="J5" dT="2025-02-24T01:05:02.67" personId="{31835325-5A4E-4528-B5FA-3D93499E2DAD}" id="{CD47716F-2230-43E5-ACB3-EA2B5FDCC7DF}">
    <text>We dipped the % in 2025 just to adjust for the new presidential regime</text>
  </threadedComment>
  <threadedComment ref="L5" dT="2025-02-24T01:05:44.86" personId="{31835325-5A4E-4528-B5FA-3D93499E2DAD}" id="{6FF03C51-B674-4735-94EB-285D87CE92E6}">
    <text>More stability will give the segment more clarity (More business)</text>
  </threadedComment>
  <threadedComment ref="J52" dT="2025-02-20T01:46:43.21" personId="{31835325-5A4E-4528-B5FA-3D93499E2DAD}" id="{3CB3DE61-CB55-4FED-A664-4C320C8D307C}">
    <text>Expected to market more this year for the new product</text>
  </threadedComment>
  <threadedComment ref="J57" dT="2025-02-20T01:40:51.66" personId="{31835325-5A4E-4528-B5FA-3D93499E2DAD}" id="{D4262958-5E58-4668-A012-C82B80AA4AD2}">
    <text>Since, GBS will be using the Intuit gen AI. I have kept the growth in R&amp;D similar to the pattern of growth in GBS.</text>
  </threadedComment>
  <threadedComment ref="J62" dT="2025-02-20T01:47:37.17" personId="{31835325-5A4E-4528-B5FA-3D93499E2DAD}" id="{53A5A00B-63C4-42C3-BA81-70B97F2459D6}">
    <text>Conservative approach, since they will be laying off and hiring simultaneously.</text>
  </threadedComment>
  <threadedComment ref="J76" dT="2025-02-20T03:30:02.83" personId="{31835325-5A4E-4528-B5FA-3D93499E2DAD}" id="{37692CE6-AE2D-448C-A584-500F57E77812}">
    <text>Increasing because of the new tax refund program</text>
  </threadedComment>
  <threadedComment ref="J77" dT="2025-02-23T03:16:51.86" personId="{084AD725-B052-4D0C-97E9-C500E56B8B45}" id="{CD1C61D0-5285-48D8-B481-77B36D4F8D83}">
    <text>The company is getting better in a volatile environment so accrued expenses are growing faster  than prepaid expenses</text>
  </threadedComment>
  <threadedComment ref="J78" dT="2025-02-20T03:29:44.77" personId="{31835325-5A4E-4528-B5FA-3D93499E2DAD}" id="{F4A98C2A-E1FA-4B23-9E35-270AF29552CD}">
    <text>Increasing the % because theyare introducing the 5days refund program in turbotax</text>
  </threadedComment>
  <threadedComment ref="J79" dT="2025-02-23T03:12:56.18" personId="{084AD725-B052-4D0C-97E9-C500E56B8B45}" id="{CA57EDFA-A9FF-4E52-ACAA-A0A025684324}">
    <text>The company is getting better in a volatile environment so accrued expenses are growing faster  than prepaid expenses</text>
  </threadedComment>
  <threadedComment ref="E84" dT="2025-02-20T03:37:12.89" personId="{31835325-5A4E-4528-B5FA-3D93499E2DAD}" id="{D854150C-38C1-4476-AD9B-FBCEE7B07222}">
    <text xml:space="preserve">Intuit works on deferred revenue model where they accept cash for subscriptions which in turn goes in deferred revenue (liability)
</text>
  </threadedComment>
  <threadedComment ref="J92" dT="2025-02-20T03:07:59.54" personId="{31835325-5A4E-4528-B5FA-3D93499E2DAD}" id="{72D03F16-8862-4A57-B9D0-31445BAF56EE}">
    <text>Depreciation is taken only on addition because we want to see movement of Capex Yoy</text>
  </threadedComment>
  <threadedComment ref="J110" dT="2025-02-24T01:23:01.75" personId="{084AD725-B052-4D0C-97E9-C500E56B8B45}" id="{628C4E7D-38F6-4EF2-AE2D-86682F2B0FD2}">
    <text>The company never had a high short term debt ratio(almost 0) except during covid and during acquisitions and only expect it to get better considering company’s fiscally conservative nature.</text>
  </threadedComment>
  <threadedComment ref="J111" dT="2025-02-23T03:16:51.86" personId="{084AD725-B052-4D0C-97E9-C500E56B8B45}" id="{973E5DF8-664E-4ECF-91D6-4EA688896B3C}">
    <text>The debt of the company increased massively to fund the recent acquisitions and post covid environment. The company aims to get the debt under pre-covid levels(0.33x) with its improving efficiency. Unless the company targets a new acquisition, we expect it to get close to 0.33</text>
  </threadedComment>
  <threadedComment ref="J117" dT="2025-02-20T02:05:10.08" personId="{31835325-5A4E-4528-B5FA-3D93499E2DAD}" id="{A4FD3BBE-63E4-4946-BFE7-15E51B0E804D}">
    <text>New Presidential regime wants the tax to be reduced.</text>
  </threadedComment>
  <threadedComment ref="J120" dT="2025-02-22T00:43:46.64" personId="{31835325-5A4E-4528-B5FA-3D93499E2DAD}" id="{563099AF-08EC-4E59-A3D6-3C081DA66950}">
    <text xml:space="preserve">Used the Dilution rate of 1.2% (Average of last 5 years’ dilution rate) for the calculation of Diluted shares </text>
  </threadedComment>
  <threadedComment ref="J121" dT="2025-02-24T01:58:12.12" personId="{31835325-5A4E-4528-B5FA-3D93499E2DAD}" id="{9B0E16AC-236D-4EDC-9CDA-7B733663BA58}">
    <text>Their dividend growth rate is 15%.</text>
  </threadedComment>
  <threadedComment ref="J122" dT="2025-02-22T02:57:14.22" personId="{31835325-5A4E-4528-B5FA-3D93499E2DAD}" id="{48AF675F-B458-413D-87FE-013DA253945B}">
    <text xml:space="preserve">Keeping the increment rate same as the rate of Dilution </text>
  </threadedComment>
</ThreadedComments>
</file>

<file path=xl/threadedComments/threadedComment3.xml><?xml version="1.0" encoding="utf-8"?>
<ThreadedComments xmlns="http://schemas.microsoft.com/office/spreadsheetml/2018/threadedcomments" xmlns:x="http://schemas.openxmlformats.org/spreadsheetml/2006/main">
  <threadedComment ref="E9" dT="2025-02-19T01:28:48.08" personId="{31835325-5A4E-4528-B5FA-3D93499E2DAD}" id="{EF80E431-057F-496D-96E5-A91B81D7A31F}">
    <text xml:space="preserve">Includes other operating expenses
</text>
  </threadedComment>
  <threadedComment ref="I18" dT="2025-02-19T01:27:31.63" personId="{31835325-5A4E-4528-B5FA-3D93499E2DAD}" id="{621EB485-25D0-4CE5-BBC8-26B1AC6B915E}">
    <text xml:space="preserve">Added restructuring charges 
</text>
  </threadedComment>
  <threadedComment ref="J36" dT="2025-02-22T00:56:16.05" personId="{31835325-5A4E-4528-B5FA-3D93499E2DAD}" id="{72192078-C7AD-4D6E-92B5-3529FF90D8F4}">
    <text xml:space="preserve">Average of past
</text>
  </threadedComment>
  <threadedComment ref="J48" dT="2025-02-22T01:02:14.78" personId="{084AD725-B052-4D0C-97E9-C500E56B8B45}" id="{CCB3BA07-6B66-4716-A511-C344574F82E3}">
    <text>Potential Simplification of the tax code would lead them to pay a larger portion of their current income taxes and not defer it but could remain same</text>
  </threadedComment>
  <threadedComment ref="F62" dT="2025-02-19T02:49:28.57" personId="{31835325-5A4E-4528-B5FA-3D93499E2DAD}" id="{39CE5272-5891-45A7-BF1A-02B99CF76637}">
    <text>CreditKarma</text>
  </threadedComment>
  <threadedComment ref="G62" dT="2025-02-19T02:50:09.14" personId="{31835325-5A4E-4528-B5FA-3D93499E2DAD}" id="{84DA1AD5-48CC-4F2D-B637-61700CEE0950}">
    <text>CK continued</text>
  </threadedComment>
  <threadedComment ref="I87" dT="2025-03-03T07:52:07.23" personId="{31835325-5A4E-4528-B5FA-3D93499E2DAD}" id="{FB5D3A1A-E1E6-C44A-AE24-8536236D1B1D}">
    <text>This was because of their increase in amounts held for the customer (TR)</text>
  </threadedComment>
  <threadedComment ref="J87" dT="2025-02-23T02:38:44.07" personId="{31835325-5A4E-4528-B5FA-3D93499E2DAD}" id="{8A292774-C5EF-42E8-8C13-17AED9151015}">
    <text>Increased it by their terminal growth rate</text>
  </threadedComment>
  <threadedComment ref="I102" dT="2025-02-19T01:48:07.49" personId="{084AD725-B052-4D0C-97E9-C500E56B8B45}" id="{A12ED60F-6778-4F3E-AE6F-8FC4A2FA86B5}">
    <text>CK + Turbotax refund program</text>
  </threadedComment>
  <threadedComment ref="M106" dT="2025-02-22T02:37:34.59" personId="{084AD725-B052-4D0C-97E9-C500E56B8B45}" id="{C011E33C-32E5-4FBE-8AF6-3853578E4E4F}">
    <text>A lot of their debt expires this years which opens them up to raise at a faster rate next year</text>
  </threadedComment>
</ThreadedComments>
</file>

<file path=xl/threadedComments/threadedComment4.xml><?xml version="1.0" encoding="utf-8"?>
<ThreadedComments xmlns="http://schemas.microsoft.com/office/spreadsheetml/2018/threadedcomments" xmlns:x="http://schemas.openxmlformats.org/spreadsheetml/2006/main">
  <threadedComment ref="C8" dT="2025-02-23T03:28:15.77" personId="{31835325-5A4E-4528-B5FA-3D93499E2DAD}" id="{D23B23DF-A0EB-454D-9DDA-BECC8BBD1D31}">
    <text>5Y Monthly Beta</text>
  </threadedComment>
  <threadedComment ref="H35" dT="2025-02-22T04:27:42.70" personId="{084AD725-B052-4D0C-97E9-C500E56B8B45}" id="{85D4FE71-9462-4551-B4BD-0466A4370534}">
    <text xml:space="preserve">SaaS Multiples Benchmarking – </text>
    <extLst>
      <x:ext xmlns:xltc2="http://schemas.microsoft.com/office/spreadsheetml/2020/threadedcomments2" uri="{F7C98A9C-CBB3-438F-8F68-D28B6AF4A901}">
        <xltc2:checksum>3526397723</xltc2:checksum>
        <xltc2:hyperlink startIndex="0" length="29" url="https://publicsaascompanies.com/saas-multiples/"/>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F40" dT="2025-03-02T18:46:19.55" personId="{084AD725-B052-4D0C-97E9-C500E56B8B45}" id="{D44487B3-FD07-4AD2-8937-43D05D6BA4DA}">
    <text>Current Price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9734-712C-405C-8C70-C4D633DB8F72}">
  <dimension ref="B1:N36"/>
  <sheetViews>
    <sheetView showGridLines="0" tabSelected="1" workbookViewId="0">
      <selection activeCell="B41" sqref="B41"/>
    </sheetView>
  </sheetViews>
  <sheetFormatPr defaultColWidth="12.6640625" defaultRowHeight="14.4"/>
  <cols>
    <col min="1" max="1" width="1.33203125" customWidth="1"/>
    <col min="2" max="2" width="28.44140625" customWidth="1"/>
    <col min="3" max="3" width="2.109375" customWidth="1"/>
  </cols>
  <sheetData>
    <row r="1" spans="2:14" ht="5.25" customHeight="1"/>
    <row r="2" spans="2:14">
      <c r="B2" s="172" t="s">
        <v>0</v>
      </c>
      <c r="C2" s="213"/>
      <c r="D2" s="213"/>
      <c r="E2" s="213"/>
      <c r="F2" s="213"/>
      <c r="G2" s="213"/>
      <c r="H2" s="213"/>
      <c r="I2" s="213"/>
      <c r="J2" s="213"/>
      <c r="K2" s="213"/>
      <c r="L2" s="459"/>
      <c r="M2" s="458"/>
      <c r="N2" s="458"/>
    </row>
    <row r="3" spans="2:14">
      <c r="B3" s="387"/>
      <c r="C3" s="4"/>
      <c r="D3" s="5"/>
      <c r="E3" s="5"/>
      <c r="F3" s="5"/>
      <c r="G3" s="5"/>
      <c r="H3" s="5"/>
      <c r="I3" s="5"/>
      <c r="J3" s="5"/>
      <c r="K3" s="388"/>
    </row>
    <row r="4" spans="2:14">
      <c r="B4" s="172" t="s">
        <v>305</v>
      </c>
      <c r="C4" s="349"/>
      <c r="D4" s="372" t="s">
        <v>1</v>
      </c>
      <c r="E4" s="372" t="s">
        <v>2</v>
      </c>
      <c r="F4" s="372" t="s">
        <v>3</v>
      </c>
      <c r="G4" s="372" t="s">
        <v>4</v>
      </c>
      <c r="H4" s="372" t="s">
        <v>5</v>
      </c>
      <c r="I4" s="372" t="s">
        <v>6</v>
      </c>
      <c r="J4" s="372" t="s">
        <v>7</v>
      </c>
      <c r="K4" s="389" t="s">
        <v>8</v>
      </c>
    </row>
    <row r="5" spans="2:14">
      <c r="B5" s="172"/>
      <c r="C5" s="349"/>
      <c r="D5" s="372" t="s">
        <v>11</v>
      </c>
      <c r="E5" s="372" t="s">
        <v>12</v>
      </c>
      <c r="F5" s="372" t="s">
        <v>13</v>
      </c>
      <c r="G5" s="372" t="s">
        <v>14</v>
      </c>
      <c r="H5" s="372" t="s">
        <v>15</v>
      </c>
      <c r="I5" s="372" t="s">
        <v>15</v>
      </c>
      <c r="J5" s="372" t="s">
        <v>15</v>
      </c>
      <c r="K5" s="389" t="s">
        <v>16</v>
      </c>
    </row>
    <row r="6" spans="2:14">
      <c r="B6" s="390" t="s">
        <v>17</v>
      </c>
      <c r="C6" s="1"/>
      <c r="D6" s="391"/>
      <c r="E6" s="391"/>
      <c r="F6" s="391"/>
      <c r="G6" s="391"/>
      <c r="H6" s="391"/>
      <c r="I6" s="391"/>
      <c r="J6" s="391"/>
      <c r="K6" s="25"/>
    </row>
    <row r="7" spans="2:14">
      <c r="B7" s="390"/>
      <c r="C7" s="1"/>
      <c r="D7" s="391"/>
      <c r="E7" s="391"/>
      <c r="F7" s="391"/>
      <c r="G7" s="391"/>
      <c r="H7" s="391"/>
      <c r="I7" s="391"/>
      <c r="J7" s="391"/>
      <c r="K7" s="25"/>
    </row>
    <row r="8" spans="2:14">
      <c r="B8" s="373" t="s">
        <v>18</v>
      </c>
      <c r="C8" s="374"/>
      <c r="D8" s="375"/>
      <c r="E8" s="375"/>
      <c r="F8" s="375"/>
      <c r="G8" s="375"/>
      <c r="H8" s="375"/>
      <c r="I8" s="375"/>
      <c r="J8" s="375"/>
      <c r="K8" s="376"/>
    </row>
    <row r="9" spans="2:14">
      <c r="B9" s="377" t="s">
        <v>19</v>
      </c>
      <c r="C9" s="1"/>
      <c r="D9" s="406">
        <v>69958</v>
      </c>
      <c r="E9" s="378">
        <v>66163</v>
      </c>
      <c r="F9" s="378">
        <v>3362</v>
      </c>
      <c r="G9" s="378">
        <v>7157</v>
      </c>
      <c r="H9" s="378">
        <v>8157</v>
      </c>
      <c r="I9" s="378">
        <v>834.5</v>
      </c>
      <c r="J9" s="378">
        <v>1646</v>
      </c>
      <c r="K9" s="379">
        <v>-5.7358342275894383E-2</v>
      </c>
    </row>
    <row r="10" spans="2:14">
      <c r="B10" s="377" t="s">
        <v>20</v>
      </c>
      <c r="C10" s="1"/>
      <c r="D10" s="406">
        <v>199724.3</v>
      </c>
      <c r="E10" s="378">
        <v>197894.3</v>
      </c>
      <c r="F10" s="378">
        <v>6056</v>
      </c>
      <c r="G10" s="378">
        <v>7886</v>
      </c>
      <c r="H10" s="378">
        <v>21505</v>
      </c>
      <c r="I10" s="378">
        <v>8744</v>
      </c>
      <c r="J10" s="378">
        <v>6462</v>
      </c>
      <c r="K10" s="379">
        <v>-9.2473608385890849E-3</v>
      </c>
    </row>
    <row r="11" spans="2:14">
      <c r="B11" s="377" t="s">
        <v>21</v>
      </c>
      <c r="C11" s="1"/>
      <c r="D11" s="406">
        <v>495592</v>
      </c>
      <c r="E11" s="378">
        <v>573395.6</v>
      </c>
      <c r="F11" s="378">
        <v>88624</v>
      </c>
      <c r="G11" s="378">
        <v>11311</v>
      </c>
      <c r="H11" s="378">
        <v>54933</v>
      </c>
      <c r="I11" s="378">
        <v>23324</v>
      </c>
      <c r="J11" s="378">
        <v>12072.7</v>
      </c>
      <c r="K11" s="379">
        <v>0.13483361225652934</v>
      </c>
    </row>
    <row r="12" spans="2:14">
      <c r="B12" s="377" t="s">
        <v>22</v>
      </c>
      <c r="C12" s="1"/>
      <c r="D12" s="406">
        <v>341954.2</v>
      </c>
      <c r="E12" s="378">
        <v>342530.2</v>
      </c>
      <c r="F12" s="378">
        <v>11446</v>
      </c>
      <c r="G12" s="378">
        <v>11238</v>
      </c>
      <c r="H12" s="378">
        <v>34176</v>
      </c>
      <c r="I12" s="378">
        <v>9022</v>
      </c>
      <c r="J12" s="378">
        <v>5277</v>
      </c>
      <c r="K12" s="379">
        <v>6.0724572607028513E-4</v>
      </c>
    </row>
    <row r="13" spans="2:14">
      <c r="B13" s="377" t="s">
        <v>23</v>
      </c>
      <c r="C13" s="1"/>
      <c r="D13" s="406">
        <v>3058637.7</v>
      </c>
      <c r="E13" s="378">
        <v>3089991.7</v>
      </c>
      <c r="F13" s="378">
        <v>102909</v>
      </c>
      <c r="G13" s="378">
        <v>71555</v>
      </c>
      <c r="H13" s="378">
        <v>261802</v>
      </c>
      <c r="I13" s="378">
        <v>148746</v>
      </c>
      <c r="J13" s="378">
        <v>93078.6</v>
      </c>
      <c r="K13" s="379">
        <v>1.014695282191211E-2</v>
      </c>
    </row>
    <row r="14" spans="2:14">
      <c r="B14" s="377" t="s">
        <v>24</v>
      </c>
      <c r="C14" s="1"/>
      <c r="D14" s="406">
        <v>40496.1</v>
      </c>
      <c r="E14" s="378">
        <v>39316</v>
      </c>
      <c r="F14" s="378">
        <v>758</v>
      </c>
      <c r="G14" s="378">
        <v>1938</v>
      </c>
      <c r="H14" s="378">
        <v>2506.3000000000002</v>
      </c>
      <c r="I14" s="378">
        <v>44.9</v>
      </c>
      <c r="J14" s="378">
        <v>-12.2</v>
      </c>
      <c r="K14" s="379">
        <v>-3.0013226167463627E-2</v>
      </c>
    </row>
    <row r="15" spans="2:14">
      <c r="B15" s="377" t="s">
        <v>25</v>
      </c>
      <c r="C15" s="1"/>
      <c r="D15" s="406">
        <v>310450.8</v>
      </c>
      <c r="E15" s="378">
        <v>309871.8</v>
      </c>
      <c r="F15" s="378">
        <v>12178</v>
      </c>
      <c r="G15" s="378">
        <v>12757</v>
      </c>
      <c r="H15" s="378">
        <v>37189</v>
      </c>
      <c r="I15" s="378">
        <v>11627</v>
      </c>
      <c r="J15" s="378">
        <v>6360.8</v>
      </c>
      <c r="K15" s="379">
        <v>-1.8685146567064186E-3</v>
      </c>
    </row>
    <row r="16" spans="2:14">
      <c r="B16" s="380" t="s">
        <v>26</v>
      </c>
      <c r="C16" s="381"/>
      <c r="D16" s="384">
        <v>645259.01428571425</v>
      </c>
      <c r="E16" s="384">
        <v>659880.37142857141</v>
      </c>
      <c r="F16" s="384">
        <v>32190.428571428572</v>
      </c>
      <c r="G16" s="384">
        <v>17691.714285714286</v>
      </c>
      <c r="H16" s="384">
        <v>60038.328571428567</v>
      </c>
      <c r="I16" s="384">
        <v>28906.057142857142</v>
      </c>
      <c r="J16" s="384">
        <v>17840.7</v>
      </c>
      <c r="K16" s="382">
        <v>6.728623837979745E-3</v>
      </c>
      <c r="L16" s="405"/>
    </row>
    <row r="17" spans="2:11" ht="4.5" customHeight="1">
      <c r="B17" s="26"/>
      <c r="C17" s="1"/>
      <c r="D17" s="1"/>
      <c r="E17" s="47"/>
      <c r="F17" s="47"/>
      <c r="G17" s="47"/>
      <c r="H17" s="47"/>
      <c r="I17" s="47"/>
      <c r="J17" s="47"/>
      <c r="K17" s="392"/>
    </row>
    <row r="18" spans="2:11">
      <c r="B18" s="373" t="s">
        <v>27</v>
      </c>
      <c r="C18" s="374"/>
      <c r="D18" s="374"/>
      <c r="E18" s="375"/>
      <c r="F18" s="375"/>
      <c r="G18" s="375"/>
      <c r="H18" s="375"/>
      <c r="I18" s="375"/>
      <c r="J18" s="375"/>
      <c r="K18" s="376"/>
    </row>
    <row r="19" spans="2:11">
      <c r="B19" s="383" t="s">
        <v>28</v>
      </c>
      <c r="C19" s="39"/>
      <c r="D19" s="407">
        <v>7017.7</v>
      </c>
      <c r="E19" s="384">
        <v>9378.6</v>
      </c>
      <c r="F19" s="384">
        <v>2680.9</v>
      </c>
      <c r="G19" s="384">
        <v>320.10000000000002</v>
      </c>
      <c r="H19" s="384">
        <v>3620.3</v>
      </c>
      <c r="I19" s="384">
        <v>876.9</v>
      </c>
      <c r="J19" s="384">
        <v>536.1</v>
      </c>
      <c r="K19" s="382">
        <v>0.25172200541658668</v>
      </c>
    </row>
    <row r="20" spans="2:11" ht="4.5" customHeight="1">
      <c r="B20" s="26"/>
      <c r="C20" s="1"/>
      <c r="D20" s="1"/>
      <c r="E20" s="47"/>
      <c r="F20" s="47"/>
      <c r="G20" s="47"/>
      <c r="H20" s="47"/>
      <c r="I20" s="47"/>
      <c r="J20" s="47"/>
      <c r="K20" s="392"/>
    </row>
    <row r="21" spans="2:11">
      <c r="B21" s="373" t="s">
        <v>29</v>
      </c>
      <c r="C21" s="374"/>
      <c r="D21" s="374"/>
      <c r="E21" s="375"/>
      <c r="F21" s="375"/>
      <c r="G21" s="375"/>
      <c r="H21" s="375"/>
      <c r="I21" s="375"/>
      <c r="J21" s="375"/>
      <c r="K21" s="376"/>
    </row>
    <row r="22" spans="2:11">
      <c r="B22" s="377" t="s">
        <v>30</v>
      </c>
      <c r="C22" s="1"/>
      <c r="D22" s="406">
        <v>45252</v>
      </c>
      <c r="E22" s="378">
        <v>50314.2</v>
      </c>
      <c r="F22" s="378">
        <v>5238</v>
      </c>
      <c r="G22" s="378">
        <v>265</v>
      </c>
      <c r="H22" s="378">
        <v>7301</v>
      </c>
      <c r="I22" s="378">
        <v>2519</v>
      </c>
      <c r="J22" s="378">
        <v>1097.5999999999999</v>
      </c>
      <c r="K22" s="379">
        <v>9.8838896375178384E-2</v>
      </c>
    </row>
    <row r="23" spans="2:11">
      <c r="B23" s="377" t="s">
        <v>31</v>
      </c>
      <c r="C23" s="1"/>
      <c r="D23" s="406">
        <v>31359.9</v>
      </c>
      <c r="E23" s="378">
        <v>36323.199999999997</v>
      </c>
      <c r="F23" s="378">
        <v>5133.2</v>
      </c>
      <c r="G23" s="378">
        <v>169.9</v>
      </c>
      <c r="H23" s="378">
        <v>5681.1</v>
      </c>
      <c r="I23" s="378">
        <v>1866.1</v>
      </c>
      <c r="J23" s="378">
        <v>713.3</v>
      </c>
      <c r="K23" s="379">
        <v>0.13664269667870674</v>
      </c>
    </row>
    <row r="24" spans="2:11">
      <c r="B24" s="377" t="s">
        <v>32</v>
      </c>
      <c r="C24" s="1"/>
      <c r="D24" s="406">
        <v>51190.400000000001</v>
      </c>
      <c r="E24" s="378">
        <v>48476.2</v>
      </c>
      <c r="F24" s="378">
        <v>6090.5999999999995</v>
      </c>
      <c r="G24" s="378">
        <v>8804.7999999999993</v>
      </c>
      <c r="H24" s="378">
        <v>23861.5</v>
      </c>
      <c r="I24" s="378">
        <v>1644.7</v>
      </c>
      <c r="J24" s="378">
        <v>1616.7</v>
      </c>
      <c r="K24" s="379">
        <v>-5.5990362280871848E-2</v>
      </c>
    </row>
    <row r="25" spans="2:11">
      <c r="B25" s="380" t="s">
        <v>26</v>
      </c>
      <c r="C25" s="381"/>
      <c r="D25" s="384">
        <v>42600.766666666663</v>
      </c>
      <c r="E25" s="384">
        <v>45037.866666666661</v>
      </c>
      <c r="F25" s="384">
        <v>5487.2666666666664</v>
      </c>
      <c r="G25" s="384">
        <v>3079.8999999999996</v>
      </c>
      <c r="H25" s="384">
        <v>12281.199999999999</v>
      </c>
      <c r="I25" s="384">
        <v>2009.9333333333334</v>
      </c>
      <c r="J25" s="384">
        <v>1142.5333333333333</v>
      </c>
      <c r="K25" s="382">
        <v>5.9830410257671086E-2</v>
      </c>
    </row>
    <row r="26" spans="2:11" ht="4.5" customHeight="1">
      <c r="B26" s="26"/>
      <c r="C26" s="1"/>
      <c r="D26" s="1"/>
      <c r="E26" s="47"/>
      <c r="F26" s="47"/>
      <c r="G26" s="47"/>
      <c r="H26" s="47"/>
      <c r="I26" s="47"/>
      <c r="J26" s="47"/>
      <c r="K26" s="392"/>
    </row>
    <row r="27" spans="2:11">
      <c r="B27" s="373" t="s">
        <v>33</v>
      </c>
      <c r="C27" s="374"/>
      <c r="D27" s="374"/>
      <c r="E27" s="375"/>
      <c r="F27" s="375"/>
      <c r="G27" s="375"/>
      <c r="H27" s="375"/>
      <c r="I27" s="375"/>
      <c r="J27" s="375"/>
      <c r="K27" s="376"/>
    </row>
    <row r="28" spans="2:11">
      <c r="B28" s="377" t="s">
        <v>34</v>
      </c>
      <c r="C28" s="1"/>
      <c r="D28" s="406">
        <v>80128.7</v>
      </c>
      <c r="E28" s="378">
        <v>81070.399999999994</v>
      </c>
      <c r="F28" s="378">
        <v>2820</v>
      </c>
      <c r="G28" s="378">
        <v>1968</v>
      </c>
      <c r="H28" s="378">
        <v>7258</v>
      </c>
      <c r="I28" s="378">
        <v>2931</v>
      </c>
      <c r="J28" s="378">
        <v>1562.3</v>
      </c>
      <c r="K28" s="379">
        <v>1.0509384436243068E-2</v>
      </c>
    </row>
    <row r="29" spans="2:11">
      <c r="B29" s="377" t="s">
        <v>35</v>
      </c>
      <c r="C29" s="1"/>
      <c r="D29" s="406">
        <v>42992.5</v>
      </c>
      <c r="E29" s="378">
        <v>45889.5</v>
      </c>
      <c r="F29" s="378">
        <v>3742</v>
      </c>
      <c r="G29" s="378">
        <v>845</v>
      </c>
      <c r="H29" s="378">
        <v>5750</v>
      </c>
      <c r="I29" s="378">
        <v>1846</v>
      </c>
      <c r="J29" s="378">
        <v>1043.7</v>
      </c>
      <c r="K29" s="379">
        <v>6.312990989224114E-2</v>
      </c>
    </row>
    <row r="30" spans="2:11">
      <c r="B30" s="377" t="s">
        <v>36</v>
      </c>
      <c r="C30" s="1"/>
      <c r="D30" s="406">
        <v>21476.799999999999</v>
      </c>
      <c r="E30" s="378">
        <v>28168.7</v>
      </c>
      <c r="F30" s="378">
        <v>7184.7</v>
      </c>
      <c r="G30" s="378">
        <v>567.1</v>
      </c>
      <c r="H30" s="378">
        <v>5882</v>
      </c>
      <c r="I30" s="378">
        <v>2076</v>
      </c>
      <c r="J30" s="378">
        <v>811.8</v>
      </c>
      <c r="K30" s="379">
        <v>0.23492741944072673</v>
      </c>
    </row>
    <row r="31" spans="2:11">
      <c r="B31" s="380" t="s">
        <v>26</v>
      </c>
      <c r="C31" s="408"/>
      <c r="D31" s="407">
        <v>48199.333333333336</v>
      </c>
      <c r="E31" s="407">
        <v>51709.533333333333</v>
      </c>
      <c r="F31" s="407">
        <v>4582.2333333333336</v>
      </c>
      <c r="G31" s="407">
        <v>1126.7</v>
      </c>
      <c r="H31" s="407">
        <v>6296.666666666667</v>
      </c>
      <c r="I31" s="407">
        <v>2284.3333333333335</v>
      </c>
      <c r="J31" s="407">
        <v>1139.2666666666667</v>
      </c>
      <c r="K31" s="382">
        <v>0.10285557125640366</v>
      </c>
    </row>
    <row r="32" spans="2:11" ht="4.5" customHeight="1">
      <c r="B32" s="26"/>
      <c r="C32" s="1"/>
      <c r="D32" s="1"/>
      <c r="E32" s="47"/>
      <c r="F32" s="47"/>
      <c r="G32" s="47"/>
      <c r="H32" s="47"/>
      <c r="I32" s="47"/>
      <c r="J32" s="47"/>
      <c r="K32" s="392"/>
    </row>
    <row r="33" spans="2:11">
      <c r="B33" s="112" t="s">
        <v>37</v>
      </c>
      <c r="C33" s="385"/>
      <c r="D33" s="416">
        <v>245353.03809523807</v>
      </c>
      <c r="E33" s="416">
        <v>252209.25714285715</v>
      </c>
      <c r="F33" s="416">
        <v>14086.642857142857</v>
      </c>
      <c r="G33" s="416">
        <v>7299.4380952380952</v>
      </c>
      <c r="H33" s="416">
        <v>26205.398412698411</v>
      </c>
      <c r="I33" s="416">
        <v>11066.774603174601</v>
      </c>
      <c r="J33" s="416">
        <v>6707.5</v>
      </c>
      <c r="K33" s="386">
        <v>5.64715351173515E-2</v>
      </c>
    </row>
    <row r="34" spans="2:11" ht="4.5" customHeight="1">
      <c r="B34" s="26"/>
      <c r="C34" s="1"/>
      <c r="D34" s="1"/>
      <c r="E34" s="47"/>
      <c r="F34" s="47"/>
      <c r="G34" s="47"/>
      <c r="H34" s="47"/>
      <c r="I34" s="47"/>
      <c r="J34" s="47"/>
      <c r="K34" s="392"/>
    </row>
    <row r="35" spans="2:11">
      <c r="B35" s="112" t="s">
        <v>38</v>
      </c>
      <c r="C35" s="385"/>
      <c r="D35" s="415">
        <v>163997.6</v>
      </c>
      <c r="E35" s="415">
        <v>167420.6</v>
      </c>
      <c r="F35" s="415">
        <v>6781</v>
      </c>
      <c r="G35" s="415">
        <v>3358</v>
      </c>
      <c r="H35" s="415">
        <v>16590</v>
      </c>
      <c r="I35" s="415">
        <v>4738</v>
      </c>
      <c r="J35" s="415">
        <v>3111</v>
      </c>
      <c r="K35" s="386">
        <v>2.0445512678845972E-2</v>
      </c>
    </row>
    <row r="36" spans="2:11">
      <c r="D36" s="139"/>
      <c r="E36" s="139"/>
      <c r="F36" s="139"/>
      <c r="G36" s="139"/>
      <c r="H36" s="139"/>
      <c r="I36" s="139"/>
      <c r="J36" s="139"/>
      <c r="K36" s="139"/>
    </row>
  </sheetData>
  <conditionalFormatting sqref="D9:J16">
    <cfRule type="cellIs" dxfId="25" priority="1" stopIfTrue="1" operator="equal">
      <formula>#REF!</formula>
    </cfRule>
  </conditionalFormatting>
  <conditionalFormatting sqref="D19:J19">
    <cfRule type="cellIs" dxfId="24" priority="6" stopIfTrue="1" operator="equal">
      <formula>#REF!</formula>
    </cfRule>
  </conditionalFormatting>
  <conditionalFormatting sqref="D22:J25">
    <cfRule type="cellIs" dxfId="23" priority="2" stopIfTrue="1" operator="equal">
      <formula>#REF!</formula>
    </cfRule>
  </conditionalFormatting>
  <conditionalFormatting sqref="D28:J31">
    <cfRule type="cellIs" dxfId="22" priority="5" stopIfTrue="1" operator="equal">
      <formula>#REF!</formula>
    </cfRule>
  </conditionalFormatting>
  <conditionalFormatting sqref="D33:J33">
    <cfRule type="cellIs" dxfId="21" priority="3" stopIfTrue="1" operator="equal">
      <formula>#REF!</formula>
    </cfRule>
  </conditionalFormatting>
  <conditionalFormatting sqref="D35:J35">
    <cfRule type="cellIs" dxfId="20" priority="4" stopIfTrue="1" operator="equal">
      <formula>#REF!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BEB2E-6B49-4B81-91E0-B383345C63D4}">
  <dimension ref="B1:U53"/>
  <sheetViews>
    <sheetView showGridLines="0" workbookViewId="0">
      <selection activeCell="E7" sqref="E7"/>
    </sheetView>
  </sheetViews>
  <sheetFormatPr defaultColWidth="12.6640625" defaultRowHeight="14.4"/>
  <cols>
    <col min="1" max="1" width="1.33203125" customWidth="1"/>
    <col min="2" max="3" width="17.33203125" customWidth="1"/>
    <col min="4" max="4" width="1.6640625" customWidth="1"/>
    <col min="5" max="5" width="17.33203125" customWidth="1"/>
    <col min="6" max="6" width="1.6640625" customWidth="1"/>
    <col min="7" max="7" width="17.33203125" customWidth="1"/>
    <col min="8" max="8" width="1.6640625" customWidth="1"/>
    <col min="9" max="9" width="17.33203125" customWidth="1"/>
    <col min="10" max="10" width="1.6640625" customWidth="1"/>
    <col min="11" max="11" width="17.33203125" customWidth="1"/>
    <col min="12" max="12" width="1.6640625" customWidth="1"/>
    <col min="13" max="13" width="17.33203125" customWidth="1"/>
    <col min="14" max="14" width="1.6640625" customWidth="1"/>
    <col min="15" max="15" width="17.33203125" customWidth="1"/>
    <col min="16" max="16" width="1.6640625" customWidth="1"/>
    <col min="17" max="17" width="17.33203125" customWidth="1"/>
    <col min="18" max="18" width="1.6640625" customWidth="1"/>
    <col min="19" max="19" width="17.33203125" customWidth="1"/>
    <col min="20" max="20" width="15.6640625" customWidth="1"/>
  </cols>
  <sheetData>
    <row r="1" spans="2:21" ht="5.25" customHeight="1"/>
    <row r="2" spans="2:21">
      <c r="B2" s="455" t="s">
        <v>39</v>
      </c>
      <c r="C2" s="456"/>
      <c r="D2" s="456"/>
      <c r="E2" s="456"/>
      <c r="F2" s="456"/>
      <c r="G2" s="456"/>
      <c r="H2" s="456"/>
      <c r="I2" s="456"/>
      <c r="J2" s="456"/>
      <c r="K2" s="456"/>
      <c r="L2" s="456"/>
      <c r="M2" s="456"/>
      <c r="N2" s="456"/>
      <c r="O2" s="456"/>
      <c r="P2" s="456"/>
      <c r="Q2" s="456"/>
      <c r="R2" s="456"/>
      <c r="S2" s="457"/>
      <c r="T2" s="7"/>
      <c r="U2" s="7"/>
    </row>
    <row r="3" spans="2:21">
      <c r="B3" s="393"/>
      <c r="C3" s="394"/>
      <c r="D3" s="722"/>
      <c r="E3" s="722"/>
      <c r="F3" s="6"/>
      <c r="G3" s="722"/>
      <c r="H3" s="722"/>
      <c r="I3" s="6"/>
      <c r="J3" s="722"/>
      <c r="K3" s="722"/>
      <c r="L3" s="6"/>
      <c r="M3" s="722"/>
      <c r="N3" s="722"/>
      <c r="O3" s="6"/>
      <c r="P3" s="6"/>
      <c r="Q3" s="6"/>
      <c r="R3" s="6"/>
      <c r="S3" s="417"/>
      <c r="T3" s="350"/>
      <c r="U3" s="6"/>
    </row>
    <row r="4" spans="2:21">
      <c r="B4" s="488" t="s">
        <v>40</v>
      </c>
      <c r="C4" s="489" t="s">
        <v>48</v>
      </c>
      <c r="D4" s="489"/>
      <c r="E4" s="489" t="s">
        <v>41</v>
      </c>
      <c r="F4" s="489"/>
      <c r="G4" s="489" t="s">
        <v>42</v>
      </c>
      <c r="H4" s="489"/>
      <c r="I4" s="489" t="s">
        <v>43</v>
      </c>
      <c r="J4" s="489"/>
      <c r="K4" s="489" t="s">
        <v>44</v>
      </c>
      <c r="L4" s="489"/>
      <c r="M4" s="489" t="s">
        <v>45</v>
      </c>
      <c r="N4" s="489"/>
      <c r="O4" s="489" t="s">
        <v>46</v>
      </c>
      <c r="P4" s="489"/>
      <c r="Q4" s="489" t="s">
        <v>34</v>
      </c>
      <c r="R4" s="489"/>
      <c r="S4" s="489" t="s">
        <v>47</v>
      </c>
      <c r="T4" s="487"/>
      <c r="U4" s="54"/>
    </row>
    <row r="5" spans="2:21">
      <c r="B5" s="413" t="s">
        <v>17</v>
      </c>
      <c r="C5" s="414"/>
      <c r="D5" s="412"/>
      <c r="E5" s="412"/>
      <c r="F5" s="412"/>
      <c r="G5" s="412"/>
      <c r="H5" s="412"/>
      <c r="I5" s="412"/>
      <c r="J5" s="412"/>
      <c r="K5" s="412"/>
      <c r="L5" s="412"/>
      <c r="M5" s="412"/>
      <c r="N5" s="412"/>
      <c r="O5" s="412"/>
      <c r="P5" s="412"/>
      <c r="Q5" s="412"/>
      <c r="R5" s="414"/>
      <c r="S5" s="627"/>
    </row>
    <row r="6" spans="2:21" ht="4.5" customHeight="1">
      <c r="B6" s="395"/>
      <c r="C6" s="359"/>
      <c r="D6" s="358"/>
      <c r="E6" s="360"/>
      <c r="F6" s="358"/>
      <c r="G6" s="360"/>
      <c r="H6" s="358"/>
      <c r="I6" s="360"/>
      <c r="J6" s="358"/>
      <c r="K6" s="360"/>
      <c r="L6" s="360"/>
      <c r="M6" s="360"/>
      <c r="N6" s="360"/>
      <c r="O6" s="725"/>
      <c r="P6" s="725"/>
      <c r="Q6" s="360"/>
      <c r="R6" s="351"/>
      <c r="S6" s="354"/>
    </row>
    <row r="7" spans="2:21">
      <c r="B7" s="723" t="s">
        <v>49</v>
      </c>
      <c r="C7" s="364">
        <v>2021</v>
      </c>
      <c r="D7" s="366"/>
      <c r="E7" s="362">
        <v>144806</v>
      </c>
      <c r="F7" s="361"/>
      <c r="G7" s="362">
        <v>57061</v>
      </c>
      <c r="H7" s="363"/>
      <c r="I7" s="362">
        <v>302539</v>
      </c>
      <c r="J7" s="363"/>
      <c r="K7" s="362">
        <v>235506</v>
      </c>
      <c r="L7" s="362"/>
      <c r="M7" s="362">
        <v>5777</v>
      </c>
      <c r="N7" s="362"/>
      <c r="O7" s="362">
        <v>35151</v>
      </c>
      <c r="P7" s="362"/>
      <c r="Q7" s="362">
        <v>58545</v>
      </c>
      <c r="R7" s="362"/>
      <c r="S7" s="418">
        <f t="shared" ref="S7:S27" si="0">AVERAGE(G7:Q7)</f>
        <v>115763.16666666667</v>
      </c>
    </row>
    <row r="8" spans="2:21">
      <c r="B8" s="723"/>
      <c r="C8" s="364">
        <v>2022</v>
      </c>
      <c r="D8" s="366"/>
      <c r="E8" s="362">
        <v>128608.9</v>
      </c>
      <c r="F8" s="361"/>
      <c r="G8" s="362">
        <v>37524</v>
      </c>
      <c r="H8" s="363"/>
      <c r="I8" s="362">
        <v>207932</v>
      </c>
      <c r="J8" s="363"/>
      <c r="K8" s="362">
        <v>189422</v>
      </c>
      <c r="L8" s="362"/>
      <c r="M8" s="362">
        <v>8273</v>
      </c>
      <c r="N8" s="363"/>
      <c r="O8" s="362">
        <v>32690</v>
      </c>
      <c r="P8" s="363"/>
      <c r="Q8" s="362">
        <v>59851</v>
      </c>
      <c r="R8" s="363"/>
      <c r="S8" s="418">
        <f t="shared" si="0"/>
        <v>89282</v>
      </c>
    </row>
    <row r="9" spans="2:21">
      <c r="B9" s="723"/>
      <c r="C9" s="364">
        <v>2023</v>
      </c>
      <c r="D9" s="366"/>
      <c r="E9" s="362">
        <v>143491.4</v>
      </c>
      <c r="F9" s="361"/>
      <c r="G9" s="362">
        <v>58816</v>
      </c>
      <c r="H9" s="363"/>
      <c r="I9" s="362">
        <v>253553</v>
      </c>
      <c r="J9" s="363"/>
      <c r="K9" s="362">
        <v>205642</v>
      </c>
      <c r="L9" s="362"/>
      <c r="M9" s="362">
        <v>6312</v>
      </c>
      <c r="N9" s="363"/>
      <c r="O9" s="362">
        <v>29666</v>
      </c>
      <c r="P9" s="363"/>
      <c r="Q9" s="362">
        <v>63616</v>
      </c>
      <c r="R9" s="363"/>
      <c r="S9" s="418">
        <f t="shared" si="0"/>
        <v>102934.16666666667</v>
      </c>
    </row>
    <row r="10" spans="2:21">
      <c r="B10" s="724"/>
      <c r="C10" s="399">
        <v>2024</v>
      </c>
      <c r="D10" s="400"/>
      <c r="E10" s="401">
        <v>181431.5</v>
      </c>
      <c r="F10" s="357"/>
      <c r="G10" s="401">
        <v>56438</v>
      </c>
      <c r="H10" s="402"/>
      <c r="I10" s="401">
        <v>237367</v>
      </c>
      <c r="J10" s="402"/>
      <c r="K10" s="401">
        <v>242251</v>
      </c>
      <c r="L10" s="401"/>
      <c r="M10" s="401">
        <v>9038</v>
      </c>
      <c r="N10" s="402"/>
      <c r="O10" s="401">
        <v>42140</v>
      </c>
      <c r="P10" s="401"/>
      <c r="Q10" s="401">
        <v>76003</v>
      </c>
      <c r="R10" s="401"/>
      <c r="S10" s="420">
        <f t="shared" si="0"/>
        <v>110539.5</v>
      </c>
    </row>
    <row r="11" spans="2:21">
      <c r="B11" s="723" t="s">
        <v>50</v>
      </c>
      <c r="C11" s="364">
        <v>2021</v>
      </c>
      <c r="D11" s="366"/>
      <c r="E11" s="362">
        <v>7679</v>
      </c>
      <c r="F11" s="365"/>
      <c r="G11" s="362">
        <v>4673</v>
      </c>
      <c r="H11" s="365"/>
      <c r="I11" s="362">
        <v>15099</v>
      </c>
      <c r="J11" s="366"/>
      <c r="K11" s="362">
        <v>23539</v>
      </c>
      <c r="L11" s="365"/>
      <c r="M11" s="362">
        <v>3414</v>
      </c>
      <c r="N11" s="362"/>
      <c r="O11" s="362">
        <v>4634</v>
      </c>
      <c r="P11" s="362"/>
      <c r="Q11" s="362">
        <v>6171</v>
      </c>
      <c r="R11" s="365"/>
      <c r="S11" s="418">
        <f t="shared" si="0"/>
        <v>9588.3333333333339</v>
      </c>
    </row>
    <row r="12" spans="2:21">
      <c r="B12" s="723"/>
      <c r="C12" s="364">
        <v>2022</v>
      </c>
      <c r="D12" s="366"/>
      <c r="E12" s="362">
        <v>9633</v>
      </c>
      <c r="F12" s="365"/>
      <c r="G12" s="362">
        <v>5674</v>
      </c>
      <c r="H12" s="365"/>
      <c r="I12" s="362">
        <v>17191</v>
      </c>
      <c r="J12" s="366"/>
      <c r="K12" s="362">
        <v>29320</v>
      </c>
      <c r="L12" s="365"/>
      <c r="M12" s="362">
        <v>3463</v>
      </c>
      <c r="N12" s="362"/>
      <c r="O12" s="362">
        <v>5156</v>
      </c>
      <c r="P12" s="362"/>
      <c r="Q12" s="362">
        <v>6524</v>
      </c>
      <c r="R12" s="365"/>
      <c r="S12" s="418">
        <f t="shared" si="0"/>
        <v>11221.333333333334</v>
      </c>
    </row>
    <row r="13" spans="2:21">
      <c r="B13" s="723"/>
      <c r="C13" s="364">
        <v>2023</v>
      </c>
      <c r="D13" s="366"/>
      <c r="E13" s="362">
        <v>12726</v>
      </c>
      <c r="F13" s="365"/>
      <c r="G13" s="362">
        <v>6716</v>
      </c>
      <c r="H13" s="365"/>
      <c r="I13" s="362">
        <v>18886</v>
      </c>
      <c r="J13" s="366"/>
      <c r="K13" s="362">
        <v>33071</v>
      </c>
      <c r="L13" s="365"/>
      <c r="M13" s="362">
        <v>3472</v>
      </c>
      <c r="N13" s="362"/>
      <c r="O13" s="362">
        <v>5061.8</v>
      </c>
      <c r="P13" s="362"/>
      <c r="Q13" s="362">
        <v>6724</v>
      </c>
      <c r="R13" s="365"/>
      <c r="S13" s="418">
        <f t="shared" si="0"/>
        <v>12321.800000000001</v>
      </c>
    </row>
    <row r="14" spans="2:21">
      <c r="B14" s="724"/>
      <c r="C14" s="399">
        <v>2024</v>
      </c>
      <c r="D14" s="400"/>
      <c r="E14" s="401">
        <v>14368</v>
      </c>
      <c r="F14" s="403"/>
      <c r="G14" s="401">
        <v>7863</v>
      </c>
      <c r="H14" s="403"/>
      <c r="I14" s="401">
        <v>20947</v>
      </c>
      <c r="J14" s="400"/>
      <c r="K14" s="401">
        <v>36465</v>
      </c>
      <c r="L14" s="403"/>
      <c r="M14" s="401">
        <v>3610</v>
      </c>
      <c r="N14" s="401"/>
      <c r="O14" s="401">
        <v>5465.5</v>
      </c>
      <c r="P14" s="401"/>
      <c r="Q14" s="401">
        <v>7034</v>
      </c>
      <c r="R14" s="403"/>
      <c r="S14" s="420">
        <f t="shared" si="0"/>
        <v>13564.083333333334</v>
      </c>
    </row>
    <row r="15" spans="2:21">
      <c r="B15" s="720" t="s">
        <v>51</v>
      </c>
      <c r="C15" s="364">
        <v>2021</v>
      </c>
      <c r="D15" s="366"/>
      <c r="E15" s="362">
        <v>2891</v>
      </c>
      <c r="F15" s="365"/>
      <c r="G15" s="362">
        <v>310</v>
      </c>
      <c r="H15" s="365"/>
      <c r="I15" s="362">
        <v>6276</v>
      </c>
      <c r="J15" s="366"/>
      <c r="K15" s="362">
        <v>6175</v>
      </c>
      <c r="L15" s="362"/>
      <c r="M15" s="362">
        <v>932</v>
      </c>
      <c r="N15" s="362"/>
      <c r="O15" s="362">
        <v>1536</v>
      </c>
      <c r="P15" s="362"/>
      <c r="Q15" s="362">
        <v>2775</v>
      </c>
      <c r="R15" s="365"/>
      <c r="S15" s="418">
        <f t="shared" si="0"/>
        <v>3000.6666666666665</v>
      </c>
    </row>
    <row r="16" spans="2:21">
      <c r="B16" s="720"/>
      <c r="C16" s="364">
        <v>2022</v>
      </c>
      <c r="D16" s="366"/>
      <c r="E16" s="362">
        <v>3035</v>
      </c>
      <c r="F16" s="365"/>
      <c r="G16" s="362">
        <v>192</v>
      </c>
      <c r="H16" s="365"/>
      <c r="I16" s="362">
        <v>6900</v>
      </c>
      <c r="J16" s="366"/>
      <c r="K16" s="362">
        <v>4183</v>
      </c>
      <c r="L16" s="362"/>
      <c r="M16" s="362">
        <v>889</v>
      </c>
      <c r="N16" s="362"/>
      <c r="O16" s="362">
        <v>1661</v>
      </c>
      <c r="P16" s="362"/>
      <c r="Q16" s="362">
        <v>2516</v>
      </c>
      <c r="R16" s="365"/>
      <c r="S16" s="418">
        <f t="shared" si="0"/>
        <v>2723.5</v>
      </c>
    </row>
    <row r="17" spans="2:19">
      <c r="B17" s="720"/>
      <c r="C17" s="364">
        <v>2023</v>
      </c>
      <c r="D17" s="366"/>
      <c r="E17" s="362">
        <v>3959</v>
      </c>
      <c r="F17" s="365"/>
      <c r="G17" s="362">
        <v>216</v>
      </c>
      <c r="H17" s="365"/>
      <c r="I17" s="362">
        <v>7425</v>
      </c>
      <c r="J17" s="366"/>
      <c r="K17" s="362">
        <v>6518</v>
      </c>
      <c r="L17" s="362"/>
      <c r="M17" s="362">
        <v>914</v>
      </c>
      <c r="N17" s="362"/>
      <c r="O17" s="362">
        <v>1517</v>
      </c>
      <c r="P17" s="362"/>
      <c r="Q17" s="362">
        <v>2914</v>
      </c>
      <c r="R17" s="365"/>
      <c r="S17" s="418">
        <f t="shared" si="0"/>
        <v>3250.6666666666665</v>
      </c>
    </row>
    <row r="18" spans="2:19">
      <c r="B18" s="720"/>
      <c r="C18" s="364">
        <v>2024</v>
      </c>
      <c r="D18" s="366"/>
      <c r="E18" s="362">
        <v>4443</v>
      </c>
      <c r="F18" s="365"/>
      <c r="G18" s="362">
        <v>619</v>
      </c>
      <c r="H18" s="365"/>
      <c r="I18" s="362">
        <v>7487</v>
      </c>
      <c r="J18" s="366"/>
      <c r="K18" s="362">
        <v>12237</v>
      </c>
      <c r="L18" s="362"/>
      <c r="M18" s="362">
        <v>963</v>
      </c>
      <c r="N18" s="362"/>
      <c r="O18" s="362">
        <v>1653</v>
      </c>
      <c r="P18" s="362"/>
      <c r="Q18" s="362">
        <v>2756</v>
      </c>
      <c r="R18" s="365"/>
      <c r="S18" s="418">
        <f t="shared" si="0"/>
        <v>4285.833333333333</v>
      </c>
    </row>
    <row r="19" spans="2:19">
      <c r="B19" s="719" t="s">
        <v>52</v>
      </c>
      <c r="C19" s="481">
        <v>2021</v>
      </c>
      <c r="D19" s="482"/>
      <c r="E19" s="483">
        <f>E7/E11</f>
        <v>18.857403307722361</v>
      </c>
      <c r="F19" s="484"/>
      <c r="G19" s="483">
        <f>G7/G11</f>
        <v>12.210785362722021</v>
      </c>
      <c r="H19" s="484"/>
      <c r="I19" s="483">
        <f>I7/I11</f>
        <v>20.037022319358897</v>
      </c>
      <c r="J19" s="485"/>
      <c r="K19" s="483">
        <f>K7/K11</f>
        <v>10.004927991843324</v>
      </c>
      <c r="L19" s="484"/>
      <c r="M19" s="483">
        <f>M7/M11</f>
        <v>1.6921499707088459</v>
      </c>
      <c r="N19" s="484"/>
      <c r="O19" s="483">
        <f>O7/O11</f>
        <v>7.5854553301683207</v>
      </c>
      <c r="P19" s="484"/>
      <c r="Q19" s="483">
        <f>Q7/Q11</f>
        <v>9.487117160913952</v>
      </c>
      <c r="R19" s="484"/>
      <c r="S19" s="486">
        <f t="shared" si="0"/>
        <v>10.169576355952561</v>
      </c>
    </row>
    <row r="20" spans="2:19">
      <c r="B20" s="720"/>
      <c r="C20" s="364">
        <v>2022</v>
      </c>
      <c r="D20" s="358"/>
      <c r="E20" s="368">
        <f>E8/E12</f>
        <v>13.350866812000415</v>
      </c>
      <c r="F20" s="369"/>
      <c r="G20" s="368">
        <f>G8/G12</f>
        <v>6.6133239337328167</v>
      </c>
      <c r="H20" s="369"/>
      <c r="I20" s="368">
        <f>I8/I12</f>
        <v>12.095398755162584</v>
      </c>
      <c r="J20" s="370"/>
      <c r="K20" s="368">
        <f>K8/K12</f>
        <v>6.4605047748976805</v>
      </c>
      <c r="L20" s="369"/>
      <c r="M20" s="368">
        <f>M8/M12</f>
        <v>2.3889691019347388</v>
      </c>
      <c r="N20" s="369"/>
      <c r="O20" s="368">
        <f>O8/O12</f>
        <v>6.3401861908456167</v>
      </c>
      <c r="P20" s="369"/>
      <c r="Q20" s="368">
        <f>Q8/Q12</f>
        <v>9.1739730226854697</v>
      </c>
      <c r="R20" s="369"/>
      <c r="S20" s="419">
        <f t="shared" si="0"/>
        <v>7.1787259632098168</v>
      </c>
    </row>
    <row r="21" spans="2:19">
      <c r="B21" s="720"/>
      <c r="C21" s="364">
        <v>2023</v>
      </c>
      <c r="D21" s="358"/>
      <c r="E21" s="368">
        <f>E9/E13</f>
        <v>11.275451830897374</v>
      </c>
      <c r="F21" s="369"/>
      <c r="G21" s="368">
        <f>G9/G13</f>
        <v>8.757593805836807</v>
      </c>
      <c r="H21" s="369"/>
      <c r="I21" s="368">
        <f>I9/I13</f>
        <v>13.425447421370327</v>
      </c>
      <c r="J21" s="370"/>
      <c r="K21" s="368">
        <f>K9/K13</f>
        <v>6.2181972120589037</v>
      </c>
      <c r="L21" s="369"/>
      <c r="M21" s="368">
        <f>M9/M13</f>
        <v>1.8179723502304148</v>
      </c>
      <c r="N21" s="369"/>
      <c r="O21" s="368">
        <f>O9/O13</f>
        <v>5.8607609941127663</v>
      </c>
      <c r="P21" s="369"/>
      <c r="Q21" s="368">
        <f>Q9/Q13</f>
        <v>9.4610350981558593</v>
      </c>
      <c r="R21" s="369"/>
      <c r="S21" s="419">
        <f t="shared" si="0"/>
        <v>7.5901678136275139</v>
      </c>
    </row>
    <row r="22" spans="2:19">
      <c r="B22" s="720"/>
      <c r="C22" s="364">
        <v>2024</v>
      </c>
      <c r="D22" s="358"/>
      <c r="E22" s="368">
        <f>E10/E14</f>
        <v>12.627470768374165</v>
      </c>
      <c r="F22" s="369"/>
      <c r="G22" s="368">
        <f>G10/G14</f>
        <v>7.1776675569121204</v>
      </c>
      <c r="H22" s="369"/>
      <c r="I22" s="368">
        <f>I10/I14</f>
        <v>11.331789755096196</v>
      </c>
      <c r="J22" s="370"/>
      <c r="K22" s="368">
        <f>K10/K14</f>
        <v>6.6433840669134785</v>
      </c>
      <c r="L22" s="369"/>
      <c r="M22" s="368">
        <f>M10/M14</f>
        <v>2.5036011080332412</v>
      </c>
      <c r="N22" s="369"/>
      <c r="O22" s="368">
        <f>O10/O14</f>
        <v>7.7101820510474797</v>
      </c>
      <c r="P22" s="369"/>
      <c r="Q22" s="368">
        <f>Q10/Q14</f>
        <v>10.805089564970144</v>
      </c>
      <c r="R22" s="369"/>
      <c r="S22" s="419">
        <f t="shared" si="0"/>
        <v>7.695285683828776</v>
      </c>
    </row>
    <row r="23" spans="2:19">
      <c r="B23" s="721"/>
      <c r="C23" s="507" t="s">
        <v>26</v>
      </c>
      <c r="D23" s="504"/>
      <c r="E23" s="621">
        <f>AVERAGE(E19:E22)</f>
        <v>14.027798179748579</v>
      </c>
      <c r="F23" s="621"/>
      <c r="G23" s="621">
        <f>AVERAGE(G19:G22)</f>
        <v>8.6898426648009401</v>
      </c>
      <c r="H23" s="621"/>
      <c r="I23" s="621">
        <f>AVERAGE(I19:I22)</f>
        <v>14.222414562747002</v>
      </c>
      <c r="J23" s="622"/>
      <c r="K23" s="621">
        <f>AVERAGE(K19:K22)</f>
        <v>7.3317535114283459</v>
      </c>
      <c r="L23" s="621"/>
      <c r="M23" s="621">
        <f>AVERAGE(M19:M22)</f>
        <v>2.10067313272681</v>
      </c>
      <c r="N23" s="621"/>
      <c r="O23" s="621">
        <f>AVERAGE(O19:O22)</f>
        <v>6.8741461415435454</v>
      </c>
      <c r="P23" s="621"/>
      <c r="Q23" s="621">
        <f>AVERAGE(Q19:Q22)</f>
        <v>9.7318037116813567</v>
      </c>
      <c r="R23" s="621"/>
      <c r="S23" s="506">
        <f t="shared" si="0"/>
        <v>8.1584389541546667</v>
      </c>
    </row>
    <row r="24" spans="2:19">
      <c r="B24" s="719" t="s">
        <v>53</v>
      </c>
      <c r="C24" s="364">
        <v>2021</v>
      </c>
      <c r="D24" s="358"/>
      <c r="E24" s="368">
        <f>E7/E15</f>
        <v>50.08855067450709</v>
      </c>
      <c r="F24" s="368"/>
      <c r="G24" s="368">
        <f>G7/G15</f>
        <v>184.06774193548387</v>
      </c>
      <c r="H24" s="368"/>
      <c r="I24" s="368">
        <f>I7/I15</f>
        <v>48.20570427023582</v>
      </c>
      <c r="J24" s="371"/>
      <c r="K24" s="368">
        <f>K7/K15</f>
        <v>38.13862348178138</v>
      </c>
      <c r="L24" s="368"/>
      <c r="M24" s="368">
        <f>M7/M15</f>
        <v>6.1984978540772531</v>
      </c>
      <c r="N24" s="368"/>
      <c r="O24" s="368">
        <f>O7/O15</f>
        <v>22.884765625</v>
      </c>
      <c r="P24" s="368"/>
      <c r="Q24" s="368">
        <f>Q7/Q15</f>
        <v>21.097297297297299</v>
      </c>
      <c r="R24" s="368"/>
      <c r="S24" s="419">
        <f t="shared" si="0"/>
        <v>53.432105077312599</v>
      </c>
    </row>
    <row r="25" spans="2:19">
      <c r="B25" s="720"/>
      <c r="C25" s="364">
        <v>2022</v>
      </c>
      <c r="D25" s="358"/>
      <c r="E25" s="368">
        <f>E8/E16</f>
        <v>42.375255354200988</v>
      </c>
      <c r="F25" s="368"/>
      <c r="G25" s="368">
        <f>G8/G16</f>
        <v>195.4375</v>
      </c>
      <c r="H25" s="368"/>
      <c r="I25" s="368">
        <f>I8/I16</f>
        <v>30.135072463768115</v>
      </c>
      <c r="J25" s="371"/>
      <c r="K25" s="368">
        <f>K8/K16</f>
        <v>45.283767630886921</v>
      </c>
      <c r="L25" s="368"/>
      <c r="M25" s="368">
        <f>M8/M16</f>
        <v>9.3059617547806521</v>
      </c>
      <c r="N25" s="368"/>
      <c r="O25" s="368">
        <f>O8/O16</f>
        <v>19.680915111378688</v>
      </c>
      <c r="P25" s="368"/>
      <c r="Q25" s="368">
        <f>Q8/Q16</f>
        <v>23.788155802861684</v>
      </c>
      <c r="R25" s="368"/>
      <c r="S25" s="419">
        <f t="shared" si="0"/>
        <v>53.93856212727934</v>
      </c>
    </row>
    <row r="26" spans="2:19">
      <c r="B26" s="720"/>
      <c r="C26" s="364">
        <v>2023</v>
      </c>
      <c r="D26" s="358"/>
      <c r="E26" s="368">
        <f>E9/E17</f>
        <v>36.24435463500884</v>
      </c>
      <c r="F26" s="368"/>
      <c r="G26" s="368">
        <f>G9/G17</f>
        <v>272.2962962962963</v>
      </c>
      <c r="H26" s="368"/>
      <c r="I26" s="368">
        <f>I9/I17</f>
        <v>34.148552188552188</v>
      </c>
      <c r="J26" s="371"/>
      <c r="K26" s="368">
        <f>K9/K17</f>
        <v>31.549861920834612</v>
      </c>
      <c r="L26" s="368"/>
      <c r="M26" s="368">
        <f>M9/M17</f>
        <v>6.9059080962800872</v>
      </c>
      <c r="N26" s="368"/>
      <c r="O26" s="368">
        <f>O9/O17</f>
        <v>19.555702043506923</v>
      </c>
      <c r="P26" s="368"/>
      <c r="Q26" s="368">
        <f>Q9/Q17</f>
        <v>21.831159917638985</v>
      </c>
      <c r="R26" s="368"/>
      <c r="S26" s="419">
        <f t="shared" si="0"/>
        <v>64.38124674385152</v>
      </c>
    </row>
    <row r="27" spans="2:19">
      <c r="B27" s="720"/>
      <c r="C27" s="399">
        <v>2024</v>
      </c>
      <c r="D27" s="397"/>
      <c r="E27" s="404">
        <f>E10/E18</f>
        <v>40.835358991672294</v>
      </c>
      <c r="F27" s="404"/>
      <c r="G27" s="404">
        <f>G10/G18</f>
        <v>91.176090468497577</v>
      </c>
      <c r="H27" s="404"/>
      <c r="I27" s="404">
        <f>I10/I18</f>
        <v>31.703886737010819</v>
      </c>
      <c r="J27" s="398"/>
      <c r="K27" s="404">
        <f>K10/K18</f>
        <v>19.796600473972379</v>
      </c>
      <c r="L27" s="404"/>
      <c r="M27" s="404">
        <f>M10/M18</f>
        <v>9.385254413291797</v>
      </c>
      <c r="N27" s="404"/>
      <c r="O27" s="404">
        <f>O10/O18</f>
        <v>25.493042952208107</v>
      </c>
      <c r="P27" s="404"/>
      <c r="Q27" s="404">
        <f>Q10/Q18</f>
        <v>27.577285921625545</v>
      </c>
      <c r="R27" s="404"/>
      <c r="S27" s="419">
        <f t="shared" si="0"/>
        <v>34.188693494434368</v>
      </c>
    </row>
    <row r="28" spans="2:19">
      <c r="B28" s="721"/>
      <c r="C28" s="623" t="s">
        <v>26</v>
      </c>
      <c r="D28" s="508"/>
      <c r="E28" s="624">
        <f>AVERAGE(E24:E27)</f>
        <v>42.385879913847305</v>
      </c>
      <c r="F28" s="624"/>
      <c r="G28" s="624">
        <f>AVERAGE(G24:G27)</f>
        <v>185.74440717506943</v>
      </c>
      <c r="H28" s="624"/>
      <c r="I28" s="624">
        <f>AVERAGE(I24:I27)</f>
        <v>36.048303914891733</v>
      </c>
      <c r="J28" s="625"/>
      <c r="K28" s="624">
        <f>AVERAGE(K24:K27)</f>
        <v>33.692213376868821</v>
      </c>
      <c r="L28" s="624"/>
      <c r="M28" s="624">
        <f>AVERAGE(M24:M27)</f>
        <v>7.9489055296074476</v>
      </c>
      <c r="N28" s="624"/>
      <c r="O28" s="624">
        <f>AVERAGE(O24:O27)</f>
        <v>21.903606433023427</v>
      </c>
      <c r="P28" s="624"/>
      <c r="Q28" s="624">
        <f>AVERAGE(Q24:Q27)</f>
        <v>23.573474734855878</v>
      </c>
      <c r="R28" s="624"/>
      <c r="S28" s="506">
        <f>AVERAGE(I28:Q28)</f>
        <v>24.633300797849461</v>
      </c>
    </row>
    <row r="29" spans="2:19">
      <c r="B29" s="351"/>
      <c r="C29" s="351"/>
      <c r="D29" s="351"/>
      <c r="E29" s="351"/>
      <c r="F29" s="351"/>
      <c r="G29" s="351"/>
      <c r="H29" s="351"/>
      <c r="I29" s="351"/>
      <c r="J29" s="351"/>
      <c r="K29" s="351"/>
      <c r="L29" s="351"/>
      <c r="M29" s="351"/>
      <c r="N29" s="351"/>
      <c r="O29" s="351"/>
      <c r="P29" s="351"/>
      <c r="Q29" s="351"/>
      <c r="R29" s="351"/>
      <c r="S29" s="351"/>
    </row>
    <row r="30" spans="2:19">
      <c r="B30" s="460" t="s">
        <v>306</v>
      </c>
      <c r="C30" s="461"/>
      <c r="D30" s="461"/>
      <c r="E30" s="462"/>
      <c r="F30" s="442"/>
      <c r="G30" s="442"/>
      <c r="H30" s="442"/>
      <c r="I30" s="442"/>
      <c r="J30" s="442"/>
      <c r="K30" s="442"/>
      <c r="L30" s="442"/>
      <c r="M30" s="442"/>
      <c r="N30" s="442"/>
      <c r="O30" s="442"/>
      <c r="P30" s="442"/>
      <c r="Q30" s="442"/>
      <c r="R30" s="442"/>
      <c r="S30" s="442"/>
    </row>
    <row r="31" spans="2:19">
      <c r="B31" s="439" t="s">
        <v>307</v>
      </c>
      <c r="C31" s="429"/>
      <c r="D31" s="429"/>
      <c r="E31" s="86"/>
    </row>
    <row r="32" spans="2:19" ht="14.55" customHeight="1">
      <c r="B32" s="713" t="s">
        <v>54</v>
      </c>
      <c r="C32" s="714"/>
      <c r="D32" s="715"/>
      <c r="E32" s="432">
        <f>S23</f>
        <v>8.1584389541546667</v>
      </c>
      <c r="G32" s="351"/>
      <c r="H32" s="351"/>
      <c r="I32" s="351"/>
      <c r="K32" s="351"/>
      <c r="N32" s="423"/>
      <c r="O32" s="423"/>
      <c r="P32" s="423"/>
      <c r="Q32" s="423"/>
      <c r="R32" s="423"/>
      <c r="S32" s="351"/>
    </row>
    <row r="33" spans="2:19" ht="14.55" customHeight="1">
      <c r="B33" s="716" t="s">
        <v>55</v>
      </c>
      <c r="C33" s="717"/>
      <c r="D33" s="718"/>
      <c r="E33" s="433">
        <f>E23</f>
        <v>14.027798179748579</v>
      </c>
      <c r="N33" s="423"/>
      <c r="O33" s="423"/>
      <c r="P33" s="423"/>
      <c r="Q33" s="423"/>
      <c r="R33" s="423"/>
      <c r="S33" s="351"/>
    </row>
    <row r="34" spans="2:19" ht="14.55" customHeight="1">
      <c r="B34" s="716" t="s">
        <v>56</v>
      </c>
      <c r="C34" s="717"/>
      <c r="D34" s="718"/>
      <c r="E34" s="352">
        <f>AVERAGE(E32,E33)</f>
        <v>11.093118566951624</v>
      </c>
      <c r="N34" s="423"/>
      <c r="O34" s="423"/>
      <c r="P34" s="423"/>
      <c r="Q34" s="423"/>
      <c r="R34" s="423"/>
      <c r="S34" s="351"/>
    </row>
    <row r="35" spans="2:19" ht="14.55" customHeight="1">
      <c r="B35" s="716" t="s">
        <v>58</v>
      </c>
      <c r="C35" s="717"/>
      <c r="D35" s="718"/>
      <c r="E35" s="434">
        <f>E14*1.15</f>
        <v>16523.199999999997</v>
      </c>
      <c r="N35" s="423"/>
      <c r="O35" s="423"/>
      <c r="P35" s="423"/>
      <c r="Q35" s="423"/>
      <c r="R35" s="423"/>
      <c r="S35" s="351"/>
    </row>
    <row r="36" spans="2:19" ht="14.55" customHeight="1">
      <c r="B36" s="716" t="s">
        <v>60</v>
      </c>
      <c r="C36" s="717"/>
      <c r="D36" s="718"/>
      <c r="E36" s="435">
        <f>E34*E35</f>
        <v>183293.81670545504</v>
      </c>
      <c r="N36" s="423"/>
      <c r="O36" s="423"/>
      <c r="P36" s="423"/>
      <c r="Q36" s="423"/>
      <c r="R36" s="423"/>
      <c r="S36" s="351"/>
    </row>
    <row r="37" spans="2:19" ht="14.55" customHeight="1">
      <c r="B37" s="716" t="s">
        <v>61</v>
      </c>
      <c r="C37" s="717"/>
      <c r="D37" s="718"/>
      <c r="E37" s="434">
        <f>DCF!H41</f>
        <v>5221.0016778360723</v>
      </c>
      <c r="N37" s="423"/>
      <c r="O37" s="423"/>
      <c r="P37" s="423"/>
      <c r="Q37" s="423"/>
      <c r="R37" s="423"/>
      <c r="S37" s="351"/>
    </row>
    <row r="38" spans="2:19" ht="14.55" customHeight="1">
      <c r="B38" s="716" t="s">
        <v>62</v>
      </c>
      <c r="C38" s="717"/>
      <c r="D38" s="718"/>
      <c r="E38" s="436">
        <f>DCF!H42</f>
        <v>-4784.8260483353815</v>
      </c>
      <c r="N38" s="423"/>
      <c r="O38" s="423"/>
      <c r="P38" s="423"/>
      <c r="Q38" s="423"/>
      <c r="R38" s="423"/>
      <c r="S38" s="351"/>
    </row>
    <row r="39" spans="2:19" ht="14.55" customHeight="1">
      <c r="B39" s="716" t="s">
        <v>63</v>
      </c>
      <c r="C39" s="717"/>
      <c r="D39" s="718"/>
      <c r="E39" s="434">
        <f>E36-E37+E38</f>
        <v>173287.9889792836</v>
      </c>
      <c r="N39" s="423"/>
      <c r="O39" s="423"/>
      <c r="P39" s="423"/>
      <c r="Q39" s="423"/>
      <c r="R39" s="423"/>
      <c r="S39" s="351"/>
    </row>
    <row r="40" spans="2:19" ht="7.5" customHeight="1">
      <c r="B40" s="424"/>
      <c r="C40" s="425"/>
      <c r="D40" s="423"/>
      <c r="E40" s="430"/>
      <c r="N40" s="423"/>
      <c r="O40" s="426"/>
      <c r="P40" s="423"/>
      <c r="Q40" s="423"/>
      <c r="R40" s="426"/>
      <c r="S40" s="351"/>
    </row>
    <row r="41" spans="2:19">
      <c r="B41" s="628" t="s">
        <v>64</v>
      </c>
      <c r="C41" s="629"/>
      <c r="D41" s="629"/>
      <c r="E41" s="630">
        <f>E39/'3 Statement model'!J32</f>
        <v>611.54710961068463</v>
      </c>
      <c r="N41" s="428"/>
      <c r="O41" s="428"/>
      <c r="P41" s="428"/>
      <c r="Q41" s="428"/>
      <c r="R41" s="428"/>
      <c r="S41" s="351"/>
    </row>
    <row r="42" spans="2:19" ht="7.5" customHeight="1">
      <c r="B42" s="396"/>
      <c r="C42" s="351"/>
      <c r="D42" s="351"/>
      <c r="E42" s="431"/>
      <c r="F42" s="351"/>
      <c r="G42" s="351"/>
      <c r="H42" s="351"/>
      <c r="I42" s="351"/>
      <c r="J42" s="351"/>
      <c r="N42" s="351"/>
      <c r="O42" s="351"/>
      <c r="P42" s="351"/>
      <c r="Q42" s="351"/>
      <c r="R42" s="351"/>
      <c r="S42" s="351"/>
    </row>
    <row r="43" spans="2:19">
      <c r="B43" s="441" t="s">
        <v>9</v>
      </c>
      <c r="C43" s="437"/>
      <c r="D43" s="437"/>
      <c r="E43" s="438"/>
      <c r="G43" s="351"/>
      <c r="H43" s="351"/>
      <c r="I43" s="351"/>
      <c r="J43" s="351"/>
      <c r="N43" s="351"/>
      <c r="O43" s="351"/>
      <c r="P43" s="351"/>
      <c r="Q43" s="351"/>
      <c r="R43" s="351"/>
      <c r="S43" s="351"/>
    </row>
    <row r="44" spans="2:19">
      <c r="B44" s="713" t="s">
        <v>54</v>
      </c>
      <c r="C44" s="714"/>
      <c r="D44" s="715"/>
      <c r="E44" s="440">
        <f>S28</f>
        <v>24.633300797849461</v>
      </c>
    </row>
    <row r="45" spans="2:19">
      <c r="B45" s="716" t="s">
        <v>55</v>
      </c>
      <c r="C45" s="717"/>
      <c r="D45" s="718"/>
      <c r="E45" s="352">
        <f>E28</f>
        <v>42.385879913847305</v>
      </c>
    </row>
    <row r="46" spans="2:19">
      <c r="B46" s="716" t="s">
        <v>57</v>
      </c>
      <c r="C46" s="717"/>
      <c r="D46" s="718"/>
      <c r="E46" s="352">
        <f>AVERAGE(E44,E45)</f>
        <v>33.509590355848381</v>
      </c>
    </row>
    <row r="47" spans="2:19">
      <c r="B47" s="422" t="s">
        <v>59</v>
      </c>
      <c r="C47" s="423"/>
      <c r="D47" s="423"/>
      <c r="E47" s="434">
        <f>E18*1.14</f>
        <v>5065.0199999999995</v>
      </c>
    </row>
    <row r="48" spans="2:19">
      <c r="B48" s="422" t="s">
        <v>60</v>
      </c>
      <c r="C48" s="423"/>
      <c r="D48" s="423"/>
      <c r="E48" s="435">
        <f>E46*E47</f>
        <v>169726.74534417916</v>
      </c>
    </row>
    <row r="49" spans="2:5">
      <c r="B49" s="422" t="s">
        <v>61</v>
      </c>
      <c r="C49" s="423"/>
      <c r="D49" s="423"/>
      <c r="E49" s="434">
        <f>E37</f>
        <v>5221.0016778360723</v>
      </c>
    </row>
    <row r="50" spans="2:5">
      <c r="B50" s="422" t="s">
        <v>62</v>
      </c>
      <c r="C50" s="423"/>
      <c r="D50" s="423"/>
      <c r="E50" s="436">
        <f>E38</f>
        <v>-4784.8260483353815</v>
      </c>
    </row>
    <row r="51" spans="2:5">
      <c r="B51" s="422" t="s">
        <v>63</v>
      </c>
      <c r="C51" s="423"/>
      <c r="D51" s="423"/>
      <c r="E51" s="434">
        <f>E48-E49+E50</f>
        <v>159720.91761800772</v>
      </c>
    </row>
    <row r="52" spans="2:5" ht="7.5" customHeight="1">
      <c r="B52" s="424"/>
      <c r="C52" s="425"/>
      <c r="D52" s="423"/>
      <c r="E52" s="430"/>
    </row>
    <row r="53" spans="2:5">
      <c r="B53" s="631" t="s">
        <v>65</v>
      </c>
      <c r="C53" s="629"/>
      <c r="D53" s="629"/>
      <c r="E53" s="630">
        <f>E51/'3 Statement model'!J32</f>
        <v>563.66783462029821</v>
      </c>
    </row>
  </sheetData>
  <mergeCells count="21">
    <mergeCell ref="J3:K3"/>
    <mergeCell ref="M3:N3"/>
    <mergeCell ref="B7:B10"/>
    <mergeCell ref="O6:P6"/>
    <mergeCell ref="B11:B14"/>
    <mergeCell ref="B24:B28"/>
    <mergeCell ref="B32:D32"/>
    <mergeCell ref="B33:D33"/>
    <mergeCell ref="D3:E3"/>
    <mergeCell ref="G3:H3"/>
    <mergeCell ref="B15:B18"/>
    <mergeCell ref="B19:B23"/>
    <mergeCell ref="B44:D44"/>
    <mergeCell ref="B45:D45"/>
    <mergeCell ref="B46:D46"/>
    <mergeCell ref="B34:D34"/>
    <mergeCell ref="B35:D35"/>
    <mergeCell ref="B36:D36"/>
    <mergeCell ref="B37:D37"/>
    <mergeCell ref="B38:D38"/>
    <mergeCell ref="B39:D3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1D52-352E-42EC-989E-7D4C580455E0}">
  <dimension ref="B1:AB45"/>
  <sheetViews>
    <sheetView showGridLines="0" topLeftCell="A12" zoomScale="78" workbookViewId="0">
      <selection activeCell="H36" sqref="H36"/>
    </sheetView>
  </sheetViews>
  <sheetFormatPr defaultColWidth="17.44140625" defaultRowHeight="11.4"/>
  <cols>
    <col min="1" max="1" width="1.33203125" style="421" customWidth="1"/>
    <col min="2" max="2" width="17" style="421" customWidth="1"/>
    <col min="3" max="3" width="15.6640625" style="421" customWidth="1"/>
    <col min="4" max="4" width="0.6640625" style="421" customWidth="1"/>
    <col min="5" max="6" width="15.6640625" style="421" customWidth="1"/>
    <col min="7" max="7" width="0.6640625" style="421" customWidth="1"/>
    <col min="8" max="9" width="15.6640625" style="421" customWidth="1"/>
    <col min="10" max="10" width="0.6640625" style="421" customWidth="1"/>
    <col min="11" max="12" width="15.6640625" style="421" customWidth="1"/>
    <col min="13" max="13" width="0.6640625" style="421" customWidth="1"/>
    <col min="14" max="15" width="15.6640625" style="421" customWidth="1"/>
    <col min="16" max="16" width="0.6640625" style="421" customWidth="1"/>
    <col min="17" max="18" width="15.6640625" style="421" customWidth="1"/>
    <col min="19" max="19" width="0.6640625" style="421" customWidth="1"/>
    <col min="20" max="21" width="15.6640625" style="421" customWidth="1"/>
    <col min="22" max="22" width="0.6640625" style="421" customWidth="1"/>
    <col min="23" max="24" width="15.6640625" style="421" customWidth="1"/>
    <col min="25" max="25" width="0.6640625" style="421" customWidth="1"/>
    <col min="26" max="27" width="15.6640625" style="421" customWidth="1"/>
    <col min="28" max="16384" width="17.44140625" style="421"/>
  </cols>
  <sheetData>
    <row r="1" spans="2:28" ht="5.25" customHeight="1"/>
    <row r="2" spans="2:28" ht="12">
      <c r="B2" s="172" t="s">
        <v>66</v>
      </c>
      <c r="C2" s="213"/>
      <c r="D2" s="213"/>
      <c r="E2" s="213"/>
      <c r="F2" s="213"/>
      <c r="G2" s="213"/>
      <c r="H2" s="213"/>
      <c r="I2" s="213"/>
      <c r="J2" s="213"/>
      <c r="K2" s="213"/>
      <c r="L2" s="213"/>
      <c r="M2" s="213"/>
      <c r="N2" s="213"/>
      <c r="O2" s="213"/>
      <c r="P2" s="213"/>
      <c r="Q2" s="213"/>
      <c r="R2" s="213"/>
      <c r="S2" s="213"/>
      <c r="T2" s="213"/>
      <c r="U2" s="213"/>
      <c r="V2" s="213"/>
      <c r="W2" s="213"/>
      <c r="X2" s="213"/>
      <c r="Y2" s="213"/>
      <c r="Z2" s="463"/>
      <c r="AA2" s="214"/>
    </row>
    <row r="3" spans="2:28" ht="12">
      <c r="B3" s="444"/>
      <c r="C3" s="447"/>
      <c r="D3" s="449"/>
      <c r="E3" s="449"/>
      <c r="F3" s="448"/>
      <c r="G3" s="448"/>
      <c r="H3" s="449"/>
      <c r="I3" s="449"/>
      <c r="J3" s="449"/>
      <c r="K3" s="448"/>
      <c r="L3" s="448"/>
      <c r="M3" s="449"/>
      <c r="N3" s="449"/>
      <c r="O3" s="449"/>
      <c r="P3" s="448"/>
      <c r="Q3" s="449"/>
      <c r="R3" s="449"/>
      <c r="S3" s="449"/>
      <c r="T3" s="448"/>
      <c r="U3" s="448"/>
      <c r="V3" s="448"/>
      <c r="W3" s="448"/>
      <c r="X3" s="448"/>
      <c r="Y3" s="448"/>
      <c r="Z3" s="464"/>
      <c r="AA3" s="445"/>
    </row>
    <row r="4" spans="2:28" ht="12">
      <c r="B4" s="477" t="s">
        <v>40</v>
      </c>
      <c r="C4" s="516" t="s">
        <v>48</v>
      </c>
      <c r="D4" s="478"/>
      <c r="E4" s="760" t="s">
        <v>41</v>
      </c>
      <c r="F4" s="761"/>
      <c r="G4" s="479"/>
      <c r="H4" s="760" t="s">
        <v>42</v>
      </c>
      <c r="I4" s="761"/>
      <c r="J4" s="478"/>
      <c r="K4" s="760" t="s">
        <v>43</v>
      </c>
      <c r="L4" s="761"/>
      <c r="M4" s="480"/>
      <c r="N4" s="760" t="s">
        <v>44</v>
      </c>
      <c r="O4" s="761"/>
      <c r="P4" s="478"/>
      <c r="Q4" s="760" t="s">
        <v>45</v>
      </c>
      <c r="R4" s="761"/>
      <c r="S4" s="478"/>
      <c r="T4" s="760" t="s">
        <v>46</v>
      </c>
      <c r="U4" s="761"/>
      <c r="V4" s="479"/>
      <c r="W4" s="760" t="s">
        <v>34</v>
      </c>
      <c r="X4" s="761"/>
      <c r="Y4" s="478"/>
      <c r="Z4" s="762" t="s">
        <v>47</v>
      </c>
      <c r="AA4" s="763"/>
      <c r="AB4" s="446"/>
    </row>
    <row r="5" spans="2:28">
      <c r="B5" s="411"/>
      <c r="C5" s="355"/>
      <c r="D5" s="366"/>
      <c r="E5" s="490" t="s">
        <v>67</v>
      </c>
      <c r="F5" s="451" t="s">
        <v>68</v>
      </c>
      <c r="G5" s="366"/>
      <c r="H5" s="490" t="s">
        <v>67</v>
      </c>
      <c r="I5" s="451" t="s">
        <v>68</v>
      </c>
      <c r="J5" s="366"/>
      <c r="K5" s="490" t="s">
        <v>67</v>
      </c>
      <c r="L5" s="451" t="s">
        <v>68</v>
      </c>
      <c r="M5" s="366"/>
      <c r="N5" s="490" t="s">
        <v>67</v>
      </c>
      <c r="O5" s="451" t="s">
        <v>68</v>
      </c>
      <c r="P5" s="366"/>
      <c r="Q5" s="490" t="s">
        <v>67</v>
      </c>
      <c r="R5" s="451" t="s">
        <v>68</v>
      </c>
      <c r="S5" s="366"/>
      <c r="T5" s="490" t="s">
        <v>67</v>
      </c>
      <c r="U5" s="451" t="s">
        <v>68</v>
      </c>
      <c r="V5" s="366"/>
      <c r="W5" s="490" t="s">
        <v>69</v>
      </c>
      <c r="X5" s="451" t="s">
        <v>68</v>
      </c>
      <c r="Y5" s="366"/>
      <c r="Z5" s="450"/>
      <c r="AA5" s="451"/>
    </row>
    <row r="6" spans="2:28">
      <c r="B6" s="752" t="s">
        <v>70</v>
      </c>
      <c r="C6" s="367">
        <v>2021</v>
      </c>
      <c r="D6" s="366"/>
      <c r="E6" s="491">
        <v>299.2</v>
      </c>
      <c r="F6" s="492">
        <v>529.97</v>
      </c>
      <c r="G6" s="363"/>
      <c r="H6" s="491">
        <v>177.47</v>
      </c>
      <c r="I6" s="492">
        <v>281.36</v>
      </c>
      <c r="J6" s="363"/>
      <c r="K6" s="491">
        <v>421.2</v>
      </c>
      <c r="L6" s="492">
        <v>625.87</v>
      </c>
      <c r="M6" s="363"/>
      <c r="N6" s="491">
        <v>191.99</v>
      </c>
      <c r="O6" s="492">
        <v>281.25</v>
      </c>
      <c r="P6" s="362"/>
      <c r="Q6" s="491">
        <v>13.9</v>
      </c>
      <c r="R6" s="492">
        <v>26.19</v>
      </c>
      <c r="S6" s="362"/>
      <c r="T6" s="491">
        <v>136.6</v>
      </c>
      <c r="U6" s="492">
        <v>260.61</v>
      </c>
      <c r="V6" s="362"/>
      <c r="W6" s="491">
        <v>72.948999999999998</v>
      </c>
      <c r="X6" s="492">
        <v>109.953</v>
      </c>
      <c r="Y6" s="418"/>
      <c r="Z6" s="409"/>
      <c r="AA6" s="418"/>
    </row>
    <row r="7" spans="2:28">
      <c r="B7" s="752"/>
      <c r="C7" s="367">
        <v>2022</v>
      </c>
      <c r="D7" s="366"/>
      <c r="E7" s="491">
        <v>353.31</v>
      </c>
      <c r="F7" s="492">
        <v>694.66</v>
      </c>
      <c r="G7" s="363"/>
      <c r="H7" s="491">
        <v>136.59</v>
      </c>
      <c r="I7" s="492">
        <v>300.89999999999998</v>
      </c>
      <c r="J7" s="363"/>
      <c r="K7" s="491">
        <v>360.79</v>
      </c>
      <c r="L7" s="492">
        <v>688.37</v>
      </c>
      <c r="M7" s="363"/>
      <c r="N7" s="491">
        <v>155.6</v>
      </c>
      <c r="O7" s="492">
        <v>309.95999999999998</v>
      </c>
      <c r="P7" s="362"/>
      <c r="Q7" s="491">
        <v>21.44</v>
      </c>
      <c r="R7" s="492">
        <v>39.96</v>
      </c>
      <c r="S7" s="363"/>
      <c r="T7" s="491">
        <v>170.35</v>
      </c>
      <c r="U7" s="492">
        <v>297.05</v>
      </c>
      <c r="V7" s="363"/>
      <c r="W7" s="491">
        <v>96.04</v>
      </c>
      <c r="X7" s="492">
        <v>127.96</v>
      </c>
      <c r="Y7" s="452"/>
      <c r="Z7" s="465"/>
      <c r="AA7" s="452"/>
    </row>
    <row r="8" spans="2:28">
      <c r="B8" s="752"/>
      <c r="C8" s="367">
        <v>2023</v>
      </c>
      <c r="D8" s="366"/>
      <c r="E8" s="491">
        <v>361.19</v>
      </c>
      <c r="F8" s="492">
        <v>511.84</v>
      </c>
      <c r="G8" s="363"/>
      <c r="H8" s="491">
        <v>132.63</v>
      </c>
      <c r="I8" s="492">
        <v>227.12</v>
      </c>
      <c r="J8" s="363"/>
      <c r="K8" s="491">
        <v>275.2</v>
      </c>
      <c r="L8" s="492">
        <v>546.16999999999996</v>
      </c>
      <c r="M8" s="363"/>
      <c r="N8" s="491">
        <v>128.27000000000001</v>
      </c>
      <c r="O8" s="492">
        <v>234.37</v>
      </c>
      <c r="P8" s="362"/>
      <c r="Q8" s="491">
        <v>28.87</v>
      </c>
      <c r="R8" s="492">
        <v>48.44</v>
      </c>
      <c r="S8" s="363"/>
      <c r="T8" s="491">
        <v>150.24</v>
      </c>
      <c r="U8" s="492">
        <v>237.81</v>
      </c>
      <c r="V8" s="363"/>
      <c r="W8" s="491">
        <v>102.68</v>
      </c>
      <c r="X8" s="492">
        <v>138.13</v>
      </c>
      <c r="Y8" s="452"/>
      <c r="Z8" s="465"/>
      <c r="AA8" s="452"/>
    </row>
    <row r="9" spans="2:28">
      <c r="B9" s="753"/>
      <c r="C9" s="356">
        <v>2024</v>
      </c>
      <c r="D9" s="400"/>
      <c r="E9" s="493">
        <v>479.45</v>
      </c>
      <c r="F9" s="494">
        <v>670.27</v>
      </c>
      <c r="G9" s="402"/>
      <c r="H9" s="493">
        <v>205.14</v>
      </c>
      <c r="I9" s="494">
        <v>307.20999999999998</v>
      </c>
      <c r="J9" s="402"/>
      <c r="K9" s="493">
        <v>439.02</v>
      </c>
      <c r="L9" s="494">
        <v>634.76</v>
      </c>
      <c r="M9" s="402"/>
      <c r="N9" s="493">
        <v>196.25</v>
      </c>
      <c r="O9" s="494">
        <v>316.88</v>
      </c>
      <c r="P9" s="401"/>
      <c r="Q9" s="493">
        <v>33.74</v>
      </c>
      <c r="R9" s="494">
        <v>58.07</v>
      </c>
      <c r="S9" s="402"/>
      <c r="T9" s="493">
        <v>162.68</v>
      </c>
      <c r="U9" s="494">
        <v>279.37</v>
      </c>
      <c r="V9" s="401"/>
      <c r="W9" s="493">
        <v>117.88</v>
      </c>
      <c r="X9" s="494">
        <v>175.79</v>
      </c>
      <c r="Y9" s="420"/>
      <c r="Z9" s="409"/>
      <c r="AA9" s="418"/>
    </row>
    <row r="10" spans="2:28" ht="11.55" customHeight="1">
      <c r="B10" s="752" t="s">
        <v>71</v>
      </c>
      <c r="C10" s="367">
        <v>2021</v>
      </c>
      <c r="D10" s="366"/>
      <c r="E10" s="754">
        <f>9633/273.24</f>
        <v>35.254721124286341</v>
      </c>
      <c r="F10" s="755"/>
      <c r="G10" s="365"/>
      <c r="H10" s="728">
        <v>18.98</v>
      </c>
      <c r="I10" s="729"/>
      <c r="J10" s="469"/>
      <c r="K10" s="728">
        <v>31.37</v>
      </c>
      <c r="L10" s="729"/>
      <c r="M10" s="470"/>
      <c r="N10" s="728">
        <v>24.96</v>
      </c>
      <c r="O10" s="729"/>
      <c r="P10" s="469"/>
      <c r="Q10" s="730">
        <v>18.079999999999998</v>
      </c>
      <c r="R10" s="731"/>
      <c r="S10" s="469"/>
      <c r="T10" s="728">
        <f>37.63</f>
        <v>37.630000000000003</v>
      </c>
      <c r="U10" s="729"/>
      <c r="V10" s="471"/>
      <c r="W10" s="728">
        <v>12.86</v>
      </c>
      <c r="X10" s="729"/>
      <c r="Y10" s="472"/>
      <c r="Z10" s="409"/>
      <c r="AA10" s="418"/>
    </row>
    <row r="11" spans="2:28">
      <c r="B11" s="752"/>
      <c r="C11" s="367">
        <v>2022</v>
      </c>
      <c r="D11" s="366"/>
      <c r="E11" s="754">
        <f>12726/281.93</f>
        <v>45.138864257085089</v>
      </c>
      <c r="F11" s="755"/>
      <c r="G11" s="365"/>
      <c r="H11" s="728">
        <v>22.36</v>
      </c>
      <c r="I11" s="729"/>
      <c r="J11" s="469"/>
      <c r="K11" s="728">
        <v>36.19</v>
      </c>
      <c r="L11" s="729"/>
      <c r="M11" s="470"/>
      <c r="N11" s="728">
        <v>29.26</v>
      </c>
      <c r="O11" s="729"/>
      <c r="P11" s="469"/>
      <c r="Q11" s="728">
        <v>20.2</v>
      </c>
      <c r="R11" s="729"/>
      <c r="S11" s="469"/>
      <c r="T11" s="728">
        <f>41.72</f>
        <v>41.72</v>
      </c>
      <c r="U11" s="729"/>
      <c r="V11" s="471"/>
      <c r="W11" s="764">
        <v>13.82</v>
      </c>
      <c r="X11" s="765"/>
      <c r="Y11" s="472"/>
      <c r="Z11" s="465"/>
      <c r="AA11" s="452"/>
    </row>
    <row r="12" spans="2:28">
      <c r="B12" s="752"/>
      <c r="C12" s="367">
        <v>2023</v>
      </c>
      <c r="D12" s="366"/>
      <c r="E12" s="754">
        <f>14368/280.42</f>
        <v>51.237429569930818</v>
      </c>
      <c r="F12" s="755"/>
      <c r="G12" s="365"/>
      <c r="H12" s="728">
        <v>25.86</v>
      </c>
      <c r="I12" s="729"/>
      <c r="J12" s="469"/>
      <c r="K12" s="728">
        <v>41.01</v>
      </c>
      <c r="L12" s="729"/>
      <c r="M12" s="470"/>
      <c r="N12" s="728">
        <v>33.409999999999997</v>
      </c>
      <c r="O12" s="729"/>
      <c r="P12" s="469"/>
      <c r="Q12" s="728">
        <v>22.08</v>
      </c>
      <c r="R12" s="729"/>
      <c r="S12" s="469"/>
      <c r="T12" s="728">
        <f>41</f>
        <v>41</v>
      </c>
      <c r="U12" s="729"/>
      <c r="V12" s="471"/>
      <c r="W12" s="728">
        <v>14.35</v>
      </c>
      <c r="X12" s="729"/>
      <c r="Y12" s="472"/>
      <c r="Z12" s="465"/>
      <c r="AA12" s="452"/>
    </row>
    <row r="13" spans="2:28">
      <c r="B13" s="753"/>
      <c r="C13" s="356">
        <v>2024</v>
      </c>
      <c r="D13" s="400"/>
      <c r="E13" s="756">
        <f>16285/280.27</f>
        <v>58.104684768259183</v>
      </c>
      <c r="F13" s="757"/>
      <c r="G13" s="403"/>
      <c r="H13" s="758">
        <v>29.3</v>
      </c>
      <c r="I13" s="759"/>
      <c r="J13" s="473"/>
      <c r="K13" s="732">
        <v>46.16</v>
      </c>
      <c r="L13" s="733"/>
      <c r="M13" s="474"/>
      <c r="N13" s="732">
        <v>37.21</v>
      </c>
      <c r="O13" s="733"/>
      <c r="P13" s="473"/>
      <c r="Q13" s="732">
        <v>25.09</v>
      </c>
      <c r="R13" s="733"/>
      <c r="S13" s="473"/>
      <c r="T13" s="732">
        <f>43.93</f>
        <v>43.93</v>
      </c>
      <c r="U13" s="733"/>
      <c r="V13" s="475"/>
      <c r="W13" s="732">
        <v>15.51</v>
      </c>
      <c r="X13" s="733"/>
      <c r="Y13" s="476"/>
      <c r="Z13" s="409"/>
      <c r="AA13" s="418"/>
    </row>
    <row r="14" spans="2:28" ht="14.55" customHeight="1">
      <c r="B14" s="752" t="s">
        <v>72</v>
      </c>
      <c r="C14" s="367">
        <v>2021</v>
      </c>
      <c r="D14" s="366"/>
      <c r="E14" s="726">
        <v>7.56</v>
      </c>
      <c r="F14" s="727"/>
      <c r="G14" s="365"/>
      <c r="H14" s="726">
        <v>3.69</v>
      </c>
      <c r="I14" s="727"/>
      <c r="J14" s="365"/>
      <c r="K14" s="726">
        <v>13.71</v>
      </c>
      <c r="L14" s="727"/>
      <c r="M14" s="366"/>
      <c r="N14" s="726">
        <v>5.47</v>
      </c>
      <c r="O14" s="727"/>
      <c r="P14" s="365"/>
      <c r="Q14" s="726">
        <v>3.39</v>
      </c>
      <c r="R14" s="727"/>
      <c r="S14" s="365"/>
      <c r="T14" s="726">
        <v>6.2</v>
      </c>
      <c r="U14" s="727"/>
      <c r="V14" s="362"/>
      <c r="W14" s="726">
        <v>2.06</v>
      </c>
      <c r="X14" s="727"/>
      <c r="Y14" s="467"/>
      <c r="Z14" s="409"/>
      <c r="AA14" s="418"/>
    </row>
    <row r="15" spans="2:28">
      <c r="B15" s="752"/>
      <c r="C15" s="367">
        <v>2022</v>
      </c>
      <c r="D15" s="366"/>
      <c r="E15" s="726">
        <v>7.28</v>
      </c>
      <c r="F15" s="727"/>
      <c r="G15" s="365"/>
      <c r="H15" s="726">
        <v>3.54</v>
      </c>
      <c r="I15" s="727"/>
      <c r="J15" s="365"/>
      <c r="K15" s="726">
        <v>12.65</v>
      </c>
      <c r="L15" s="727"/>
      <c r="M15" s="366"/>
      <c r="N15" s="726">
        <v>4.28</v>
      </c>
      <c r="O15" s="727"/>
      <c r="P15" s="365"/>
      <c r="Q15" s="726">
        <v>3.51</v>
      </c>
      <c r="R15" s="727"/>
      <c r="S15" s="365"/>
      <c r="T15" s="726">
        <v>6.42</v>
      </c>
      <c r="U15" s="727"/>
      <c r="V15" s="362"/>
      <c r="W15" s="726">
        <v>1.91</v>
      </c>
      <c r="X15" s="727"/>
      <c r="Y15" s="467"/>
      <c r="Z15" s="465"/>
      <c r="AA15" s="452"/>
    </row>
    <row r="16" spans="2:28">
      <c r="B16" s="752"/>
      <c r="C16" s="367">
        <v>2023</v>
      </c>
      <c r="D16" s="366"/>
      <c r="E16" s="726">
        <v>8.42</v>
      </c>
      <c r="F16" s="727"/>
      <c r="G16" s="365"/>
      <c r="H16" s="726">
        <v>4.78</v>
      </c>
      <c r="I16" s="727"/>
      <c r="J16" s="365"/>
      <c r="K16" s="726">
        <v>14.02</v>
      </c>
      <c r="L16" s="727"/>
      <c r="M16" s="366"/>
      <c r="N16" s="726">
        <v>6.9</v>
      </c>
      <c r="O16" s="727"/>
      <c r="P16" s="365"/>
      <c r="Q16" s="726">
        <v>3.82</v>
      </c>
      <c r="R16" s="727"/>
      <c r="S16" s="365"/>
      <c r="T16" s="726">
        <v>4.72</v>
      </c>
      <c r="U16" s="727"/>
      <c r="V16" s="362"/>
      <c r="W16" s="726">
        <v>3.04</v>
      </c>
      <c r="X16" s="727"/>
      <c r="Y16" s="467"/>
      <c r="Z16" s="465"/>
      <c r="AA16" s="452"/>
    </row>
    <row r="17" spans="2:27">
      <c r="B17" s="753"/>
      <c r="C17" s="356">
        <v>2024</v>
      </c>
      <c r="D17" s="400"/>
      <c r="E17" s="734">
        <v>10.43</v>
      </c>
      <c r="F17" s="735"/>
      <c r="G17" s="403"/>
      <c r="H17" s="734">
        <v>10.27</v>
      </c>
      <c r="I17" s="735"/>
      <c r="J17" s="403"/>
      <c r="K17" s="734">
        <v>16.79</v>
      </c>
      <c r="L17" s="735"/>
      <c r="M17" s="400"/>
      <c r="N17" s="734">
        <v>9.41</v>
      </c>
      <c r="O17" s="735"/>
      <c r="P17" s="403"/>
      <c r="Q17" s="734">
        <v>4.3899999999999997</v>
      </c>
      <c r="R17" s="735"/>
      <c r="S17" s="403"/>
      <c r="T17" s="734">
        <v>5.18</v>
      </c>
      <c r="U17" s="735"/>
      <c r="V17" s="401"/>
      <c r="W17" s="734">
        <v>3.77</v>
      </c>
      <c r="X17" s="735"/>
      <c r="Y17" s="468"/>
      <c r="Z17" s="409"/>
      <c r="AA17" s="418"/>
    </row>
    <row r="18" spans="2:27">
      <c r="B18" s="748" t="s">
        <v>73</v>
      </c>
      <c r="C18" s="367">
        <v>2021</v>
      </c>
      <c r="D18" s="366"/>
      <c r="E18" s="410">
        <f>E6/E10</f>
        <v>8.4868066023045774</v>
      </c>
      <c r="F18" s="419">
        <f>F6/E10</f>
        <v>15.032596574275928</v>
      </c>
      <c r="G18" s="453"/>
      <c r="H18" s="410">
        <f>H6/H10</f>
        <v>9.3503688092729185</v>
      </c>
      <c r="I18" s="419">
        <f>I6/H10</f>
        <v>14.824025289778715</v>
      </c>
      <c r="J18" s="453"/>
      <c r="K18" s="410">
        <f>K6/K10</f>
        <v>13.426840930825628</v>
      </c>
      <c r="L18" s="419">
        <f>L6/K10</f>
        <v>19.951227287217087</v>
      </c>
      <c r="M18" s="366"/>
      <c r="N18" s="410">
        <f>N6/N10</f>
        <v>7.6919070512820511</v>
      </c>
      <c r="O18" s="419">
        <f>O6/N10</f>
        <v>11.268028846153845</v>
      </c>
      <c r="P18" s="453"/>
      <c r="Q18" s="410">
        <f>Q6/Q10</f>
        <v>0.76880530973451333</v>
      </c>
      <c r="R18" s="419">
        <f>R6/Q10</f>
        <v>1.4485619469026552</v>
      </c>
      <c r="S18" s="453"/>
      <c r="T18" s="410">
        <f>T6/T10</f>
        <v>3.630082381078926</v>
      </c>
      <c r="U18" s="419">
        <f>U6/T10</f>
        <v>6.925591283550359</v>
      </c>
      <c r="V18" s="453"/>
      <c r="W18" s="410">
        <f>W6/W10</f>
        <v>5.6725505443234834</v>
      </c>
      <c r="X18" s="419">
        <f>X6/W10</f>
        <v>8.5500000000000007</v>
      </c>
      <c r="Y18" s="453"/>
      <c r="Z18" s="410"/>
      <c r="AA18" s="419"/>
    </row>
    <row r="19" spans="2:27">
      <c r="B19" s="749"/>
      <c r="C19" s="367">
        <v>2022</v>
      </c>
      <c r="D19" s="366"/>
      <c r="E19" s="410">
        <f>E7/E11</f>
        <v>7.827179655822726</v>
      </c>
      <c r="F19" s="419">
        <f>F7/E11</f>
        <v>15.389399167059564</v>
      </c>
      <c r="G19" s="453"/>
      <c r="H19" s="410">
        <f>H7/H11</f>
        <v>6.1086762075134171</v>
      </c>
      <c r="I19" s="419">
        <f>I7/H11</f>
        <v>13.457066189624328</v>
      </c>
      <c r="J19" s="453"/>
      <c r="K19" s="410">
        <f>K7/K11</f>
        <v>9.9693285437966299</v>
      </c>
      <c r="L19" s="419">
        <f>L7/K11</f>
        <v>19.021000276319427</v>
      </c>
      <c r="M19" s="366"/>
      <c r="N19" s="410">
        <f>N7/N11</f>
        <v>5.3178400546821596</v>
      </c>
      <c r="O19" s="419">
        <f>O7/N11</f>
        <v>10.593301435406698</v>
      </c>
      <c r="P19" s="453"/>
      <c r="Q19" s="410">
        <f>Q7/Q11</f>
        <v>1.0613861386138614</v>
      </c>
      <c r="R19" s="419">
        <f>R7/Q11</f>
        <v>1.9782178217821784</v>
      </c>
      <c r="S19" s="453"/>
      <c r="T19" s="410">
        <f>T7/T11</f>
        <v>4.0831735378715246</v>
      </c>
      <c r="U19" s="419">
        <f>U7/T11</f>
        <v>7.1200862895493771</v>
      </c>
      <c r="V19" s="453"/>
      <c r="W19" s="410">
        <f>W7/W12</f>
        <v>6.6926829268292689</v>
      </c>
      <c r="X19" s="419">
        <f>X7/W12</f>
        <v>8.9170731707317064</v>
      </c>
      <c r="Y19" s="453"/>
      <c r="Z19" s="410"/>
      <c r="AA19" s="419"/>
    </row>
    <row r="20" spans="2:27">
      <c r="B20" s="749"/>
      <c r="C20" s="367">
        <v>2023</v>
      </c>
      <c r="D20" s="366"/>
      <c r="E20" s="410">
        <f>E8/E12</f>
        <v>7.0493387945434298</v>
      </c>
      <c r="F20" s="419">
        <f>F8/E12</f>
        <v>9.9895721603563477</v>
      </c>
      <c r="G20" s="453"/>
      <c r="H20" s="410">
        <f>H8/H12</f>
        <v>5.1287703016241295</v>
      </c>
      <c r="I20" s="419">
        <f>I8/H12</f>
        <v>8.7826759474091265</v>
      </c>
      <c r="J20" s="453"/>
      <c r="K20" s="410">
        <f>K8/K12</f>
        <v>6.7105584003901484</v>
      </c>
      <c r="L20" s="419">
        <f>L8/K12</f>
        <v>13.317971226530114</v>
      </c>
      <c r="M20" s="366"/>
      <c r="N20" s="410">
        <f>N8/N12</f>
        <v>3.8392696797366064</v>
      </c>
      <c r="O20" s="419">
        <f>O8/N12</f>
        <v>7.0149655791679146</v>
      </c>
      <c r="P20" s="453"/>
      <c r="Q20" s="410">
        <f>Q8/Q12</f>
        <v>1.307518115942029</v>
      </c>
      <c r="R20" s="419">
        <f>R8/Q12</f>
        <v>2.193840579710145</v>
      </c>
      <c r="S20" s="453"/>
      <c r="T20" s="410">
        <f>T8/T12</f>
        <v>3.6643902439024392</v>
      </c>
      <c r="U20" s="419">
        <f>U8/T12</f>
        <v>5.8002439024390249</v>
      </c>
      <c r="V20" s="453"/>
      <c r="W20" s="410">
        <f>W8/W12</f>
        <v>7.1554006968641124</v>
      </c>
      <c r="X20" s="419">
        <f>X8/W12</f>
        <v>9.6257839721254363</v>
      </c>
      <c r="Y20" s="453"/>
      <c r="Z20" s="410"/>
      <c r="AA20" s="419"/>
    </row>
    <row r="21" spans="2:27">
      <c r="B21" s="749"/>
      <c r="C21" s="367">
        <v>2024</v>
      </c>
      <c r="D21" s="366"/>
      <c r="E21" s="410">
        <f>E9/E13</f>
        <v>8.251486122198342</v>
      </c>
      <c r="F21" s="419">
        <f>F9/E13</f>
        <v>11.535558667485414</v>
      </c>
      <c r="G21" s="453"/>
      <c r="H21" s="410">
        <f>H9/H13</f>
        <v>7.0013651877133096</v>
      </c>
      <c r="I21" s="419">
        <f>I9/H13</f>
        <v>10.484982935153583</v>
      </c>
      <c r="J21" s="453"/>
      <c r="K21" s="410">
        <f>K9/K13</f>
        <v>9.5108318890814569</v>
      </c>
      <c r="L21" s="419">
        <f>L9/K13</f>
        <v>13.751299826689776</v>
      </c>
      <c r="M21" s="366"/>
      <c r="N21" s="410">
        <f>N9/N13</f>
        <v>5.27411986025262</v>
      </c>
      <c r="O21" s="419">
        <f>O9/N13</f>
        <v>8.5159903251814022</v>
      </c>
      <c r="P21" s="453"/>
      <c r="Q21" s="410">
        <f>Q9/Q13</f>
        <v>1.3447588680749303</v>
      </c>
      <c r="R21" s="419">
        <f>R9/Q13</f>
        <v>2.314467915504185</v>
      </c>
      <c r="S21" s="453"/>
      <c r="T21" s="410">
        <f>T9/T13</f>
        <v>3.7031641247439109</v>
      </c>
      <c r="U21" s="419">
        <f>U9/T13</f>
        <v>6.3594354655133172</v>
      </c>
      <c r="V21" s="453"/>
      <c r="W21" s="410">
        <f>W9/W13</f>
        <v>7.6002578981302387</v>
      </c>
      <c r="X21" s="419">
        <f>X9/W13</f>
        <v>11.33397807865893</v>
      </c>
      <c r="Y21" s="453"/>
      <c r="Z21" s="410"/>
      <c r="AA21" s="419"/>
    </row>
    <row r="22" spans="2:27">
      <c r="B22" s="749"/>
      <c r="C22" s="503" t="s">
        <v>26</v>
      </c>
      <c r="D22" s="504"/>
      <c r="E22" s="505">
        <f>AVERAGE(E18:E21)</f>
        <v>7.9037027937172688</v>
      </c>
      <c r="F22" s="506">
        <f>AVERAGE(F18:F21)</f>
        <v>12.986781642294314</v>
      </c>
      <c r="G22" s="507"/>
      <c r="H22" s="505">
        <f>AVERAGE(H18:H21)</f>
        <v>6.8972951265309437</v>
      </c>
      <c r="I22" s="506">
        <f>AVERAGE(I18:I21)</f>
        <v>11.887187590491438</v>
      </c>
      <c r="J22" s="507"/>
      <c r="K22" s="505">
        <f>AVERAGE(K18:K21)</f>
        <v>9.9043899410234655</v>
      </c>
      <c r="L22" s="506">
        <f>AVERAGE(L18:L21)</f>
        <v>16.5103746541891</v>
      </c>
      <c r="M22" s="504"/>
      <c r="N22" s="505">
        <f>AVERAGE(N18:N21)</f>
        <v>5.5307841614883593</v>
      </c>
      <c r="O22" s="506">
        <f>AVERAGE(O18:O21)</f>
        <v>9.3480715464774633</v>
      </c>
      <c r="P22" s="507"/>
      <c r="Q22" s="505">
        <f>AVERAGE(Q18:Q21)</f>
        <v>1.1206171080913334</v>
      </c>
      <c r="R22" s="506">
        <f>AVERAGE(R18:R21)</f>
        <v>1.9837720659747911</v>
      </c>
      <c r="S22" s="507"/>
      <c r="T22" s="505">
        <f>AVERAGE(T18:T21)</f>
        <v>3.7702025718991998</v>
      </c>
      <c r="U22" s="506">
        <f>AVERAGE(U18:U21)</f>
        <v>6.5513392352630193</v>
      </c>
      <c r="V22" s="507"/>
      <c r="W22" s="505">
        <f>AVERAGE(W18:W21)</f>
        <v>6.7802230165367758</v>
      </c>
      <c r="X22" s="506">
        <f>AVERAGE(X18:X21)</f>
        <v>9.6067088053790179</v>
      </c>
      <c r="Y22" s="507"/>
      <c r="Z22" s="505">
        <f>AVERAGE(H22,K22,N22,Q22,T22,W22)</f>
        <v>5.6672519875950131</v>
      </c>
      <c r="AA22" s="506">
        <f>AVERAGE(I22,L22,O22,R22,U22,X22)</f>
        <v>9.3145756496291394</v>
      </c>
    </row>
    <row r="23" spans="2:27">
      <c r="B23" s="750" t="s">
        <v>74</v>
      </c>
      <c r="C23" s="367">
        <v>2021</v>
      </c>
      <c r="D23" s="366"/>
      <c r="E23" s="410">
        <f>E6/E14</f>
        <v>39.576719576719576</v>
      </c>
      <c r="F23" s="419">
        <f>F6/E14</f>
        <v>70.101851851851862</v>
      </c>
      <c r="G23" s="453"/>
      <c r="H23" s="410">
        <f>H6/H14</f>
        <v>48.094850948509489</v>
      </c>
      <c r="I23" s="419">
        <f>I6/H14</f>
        <v>76.249322493224938</v>
      </c>
      <c r="J23" s="453"/>
      <c r="K23" s="410">
        <f>K6/K14</f>
        <v>30.72210065645514</v>
      </c>
      <c r="L23" s="419">
        <f>L6/K14</f>
        <v>45.650619985412106</v>
      </c>
      <c r="M23" s="366"/>
      <c r="N23" s="410">
        <f>N6/N14</f>
        <v>35.098720292504574</v>
      </c>
      <c r="O23" s="419">
        <f>O6/N14</f>
        <v>51.416819012797077</v>
      </c>
      <c r="P23" s="453"/>
      <c r="Q23" s="410">
        <f>Q6/Q14</f>
        <v>4.1002949852507378</v>
      </c>
      <c r="R23" s="419">
        <f>R6/Q14</f>
        <v>7.7256637168141591</v>
      </c>
      <c r="S23" s="453"/>
      <c r="T23" s="410">
        <f>T6/T14</f>
        <v>22.032258064516128</v>
      </c>
      <c r="U23" s="419">
        <f>U6/T14</f>
        <v>42.033870967741933</v>
      </c>
      <c r="V23" s="453"/>
      <c r="W23" s="410">
        <f>W6/W14</f>
        <v>35.412135922330094</v>
      </c>
      <c r="X23" s="419">
        <f>X6/W14</f>
        <v>53.3752427184466</v>
      </c>
      <c r="Y23" s="453"/>
      <c r="Z23" s="409"/>
      <c r="AA23" s="454"/>
    </row>
    <row r="24" spans="2:27">
      <c r="B24" s="750"/>
      <c r="C24" s="367">
        <v>2022</v>
      </c>
      <c r="D24" s="366"/>
      <c r="E24" s="410">
        <f>E7/E15</f>
        <v>48.531593406593409</v>
      </c>
      <c r="F24" s="419">
        <f>F7/E15</f>
        <v>95.420329670329664</v>
      </c>
      <c r="G24" s="453"/>
      <c r="H24" s="410">
        <f>H7/H15</f>
        <v>38.584745762711862</v>
      </c>
      <c r="I24" s="419">
        <f>I7/H15</f>
        <v>84.999999999999986</v>
      </c>
      <c r="J24" s="453"/>
      <c r="K24" s="410">
        <f>K7/K15</f>
        <v>28.520948616600791</v>
      </c>
      <c r="L24" s="419">
        <f>L7/K15</f>
        <v>54.416600790513833</v>
      </c>
      <c r="M24" s="366"/>
      <c r="N24" s="410">
        <f>N7/N15</f>
        <v>36.355140186915882</v>
      </c>
      <c r="O24" s="419">
        <f>O7/N15</f>
        <v>72.420560747663544</v>
      </c>
      <c r="P24" s="453"/>
      <c r="Q24" s="410">
        <f>Q7/Q15</f>
        <v>6.1082621082621094</v>
      </c>
      <c r="R24" s="419">
        <f>R7/Q15</f>
        <v>11.384615384615385</v>
      </c>
      <c r="S24" s="453"/>
      <c r="T24" s="410">
        <f>T7/T15</f>
        <v>26.534267912772584</v>
      </c>
      <c r="U24" s="419">
        <f>U7/T15</f>
        <v>46.269470404984425</v>
      </c>
      <c r="V24" s="453"/>
      <c r="W24" s="410">
        <f>W7/W15</f>
        <v>50.282722513089013</v>
      </c>
      <c r="X24" s="419">
        <f>X7/W15</f>
        <v>66.994764397905755</v>
      </c>
      <c r="Y24" s="453"/>
      <c r="Z24" s="465"/>
      <c r="AA24" s="454"/>
    </row>
    <row r="25" spans="2:27">
      <c r="B25" s="750"/>
      <c r="C25" s="367">
        <v>2023</v>
      </c>
      <c r="D25" s="366"/>
      <c r="E25" s="410">
        <f>+E8/E16</f>
        <v>42.896674584323037</v>
      </c>
      <c r="F25" s="419">
        <f>F8/E16</f>
        <v>60.788598574821847</v>
      </c>
      <c r="G25" s="453"/>
      <c r="H25" s="410">
        <f>H8/H16</f>
        <v>27.74686192468619</v>
      </c>
      <c r="I25" s="419">
        <f>I8/H16</f>
        <v>47.514644351464433</v>
      </c>
      <c r="J25" s="453"/>
      <c r="K25" s="410">
        <f>K8/K16</f>
        <v>19.629101283880171</v>
      </c>
      <c r="L25" s="419">
        <f>L8/K16</f>
        <v>38.956490727532092</v>
      </c>
      <c r="M25" s="366"/>
      <c r="N25" s="410">
        <f>N8/N16</f>
        <v>18.58985507246377</v>
      </c>
      <c r="O25" s="419">
        <f>O8/N16</f>
        <v>33.966666666666669</v>
      </c>
      <c r="P25" s="453"/>
      <c r="Q25" s="410">
        <f>Q8/Q16</f>
        <v>7.5575916230366502</v>
      </c>
      <c r="R25" s="419">
        <f>R8/Q16</f>
        <v>12.680628272251308</v>
      </c>
      <c r="S25" s="453"/>
      <c r="T25" s="410">
        <f>T8/T16</f>
        <v>31.830508474576273</v>
      </c>
      <c r="U25" s="419">
        <f>U8/T16</f>
        <v>50.38347457627119</v>
      </c>
      <c r="V25" s="453"/>
      <c r="W25" s="410">
        <f>W8/W16</f>
        <v>33.776315789473685</v>
      </c>
      <c r="X25" s="419">
        <f>X8/W16</f>
        <v>45.4375</v>
      </c>
      <c r="Y25" s="453"/>
      <c r="Z25" s="465"/>
      <c r="AA25" s="454"/>
    </row>
    <row r="26" spans="2:27">
      <c r="B26" s="750"/>
      <c r="C26" s="367">
        <v>2024</v>
      </c>
      <c r="D26" s="366"/>
      <c r="E26" s="410">
        <f>E9/E17</f>
        <v>45.968360498561843</v>
      </c>
      <c r="F26" s="419">
        <f>F9/E17</f>
        <v>64.263662511984663</v>
      </c>
      <c r="G26" s="453"/>
      <c r="H26" s="410">
        <f>H9/H17</f>
        <v>19.974683544303797</v>
      </c>
      <c r="I26" s="419">
        <f>I9/H17</f>
        <v>29.91333982473223</v>
      </c>
      <c r="J26" s="453"/>
      <c r="K26" s="410">
        <f>K9/K17</f>
        <v>26.147706968433592</v>
      </c>
      <c r="L26" s="419">
        <f>L9/K17</f>
        <v>37.805836807623585</v>
      </c>
      <c r="M26" s="366"/>
      <c r="N26" s="410">
        <f>N9/N17</f>
        <v>20.855472901168969</v>
      </c>
      <c r="O26" s="419">
        <f>O9/N17</f>
        <v>33.674814027630177</v>
      </c>
      <c r="P26" s="453"/>
      <c r="Q26" s="410">
        <f>Q9/Q17</f>
        <v>7.6856492027334866</v>
      </c>
      <c r="R26" s="419">
        <f>R9/Q17</f>
        <v>13.227790432801823</v>
      </c>
      <c r="S26" s="453"/>
      <c r="T26" s="410">
        <f>T9/T17</f>
        <v>31.405405405405407</v>
      </c>
      <c r="U26" s="419">
        <f>U9/T17</f>
        <v>53.932432432432435</v>
      </c>
      <c r="V26" s="453"/>
      <c r="W26" s="410">
        <f>W9/W17</f>
        <v>31.267904509283817</v>
      </c>
      <c r="X26" s="419">
        <f>X9/W17</f>
        <v>46.628647214854112</v>
      </c>
      <c r="Y26" s="453"/>
      <c r="Z26" s="466"/>
      <c r="AA26" s="454"/>
    </row>
    <row r="27" spans="2:27">
      <c r="B27" s="751"/>
      <c r="C27" s="503" t="s">
        <v>26</v>
      </c>
      <c r="D27" s="504"/>
      <c r="E27" s="505">
        <f>AVERAGE(E23:E26)</f>
        <v>44.243337016549468</v>
      </c>
      <c r="F27" s="506">
        <f>AVERAGE(F23:F26)</f>
        <v>72.643610652247006</v>
      </c>
      <c r="G27" s="507"/>
      <c r="H27" s="505">
        <f>AVERAGE(H23:H26)</f>
        <v>33.600285545052834</v>
      </c>
      <c r="I27" s="506">
        <f>AVERAGE(I23:I26)</f>
        <v>59.669326667355392</v>
      </c>
      <c r="J27" s="507"/>
      <c r="K27" s="505">
        <f>AVERAGE(K23:K26)</f>
        <v>26.254964381342425</v>
      </c>
      <c r="L27" s="506">
        <f>AVERAGE(L23:L26)</f>
        <v>44.207387077770406</v>
      </c>
      <c r="M27" s="504"/>
      <c r="N27" s="505">
        <f>AVERAGE(N23:N26)</f>
        <v>27.724797113263296</v>
      </c>
      <c r="O27" s="506">
        <f>AVERAGE(O23:O26)</f>
        <v>47.869715113689367</v>
      </c>
      <c r="P27" s="507"/>
      <c r="Q27" s="505">
        <f>AVERAGE(Q23:Q26)</f>
        <v>6.3629494798207462</v>
      </c>
      <c r="R27" s="506">
        <f>AVERAGE(R23:R26)</f>
        <v>11.254674451620669</v>
      </c>
      <c r="S27" s="507"/>
      <c r="T27" s="505">
        <f>AVERAGE(T23:T26)</f>
        <v>27.950609964317596</v>
      </c>
      <c r="U27" s="506">
        <f>AVERAGE(U23:U26)</f>
        <v>48.154812095357499</v>
      </c>
      <c r="V27" s="507"/>
      <c r="W27" s="505">
        <f>AVERAGE(W23:W26)</f>
        <v>37.684769683544154</v>
      </c>
      <c r="X27" s="506">
        <f>AVERAGE(X23:X26)</f>
        <v>53.109038582801617</v>
      </c>
      <c r="Y27" s="507"/>
      <c r="Z27" s="505">
        <f>AVERAGE(H27,K27,N27,Q27,T27,W27)</f>
        <v>26.596396027890176</v>
      </c>
      <c r="AA27" s="506">
        <f>AVERAGE(I27,L27,O27,R27,U27,X27)</f>
        <v>44.044158998099157</v>
      </c>
    </row>
    <row r="29" spans="2:27" ht="15.75" customHeight="1">
      <c r="B29" s="460" t="s">
        <v>306</v>
      </c>
      <c r="C29" s="456"/>
      <c r="D29" s="456"/>
      <c r="E29" s="457"/>
      <c r="F29" s="544"/>
      <c r="G29" s="544"/>
      <c r="H29" s="443"/>
      <c r="L29" s="512"/>
      <c r="M29" s="512"/>
      <c r="N29" s="512"/>
      <c r="O29" s="512"/>
      <c r="P29" s="512"/>
      <c r="Q29" s="512"/>
      <c r="R29" s="512"/>
      <c r="S29" s="512"/>
      <c r="T29" s="512"/>
      <c r="U29" s="512"/>
      <c r="V29" s="512"/>
      <c r="W29" s="512"/>
      <c r="X29" s="512"/>
      <c r="Y29" s="512"/>
      <c r="Z29" s="458"/>
      <c r="AA29" s="458"/>
    </row>
    <row r="30" spans="2:27" ht="15.75" customHeight="1">
      <c r="B30" s="518" t="s">
        <v>308</v>
      </c>
      <c r="C30" s="517"/>
      <c r="D30" s="517"/>
      <c r="E30" s="543"/>
      <c r="F30" s="544"/>
      <c r="G30" s="544"/>
      <c r="H30" s="443"/>
      <c r="L30" s="512"/>
      <c r="M30" s="512"/>
      <c r="N30" s="512"/>
      <c r="O30" s="512"/>
      <c r="P30" s="512"/>
      <c r="Q30" s="512"/>
      <c r="R30" s="512"/>
      <c r="S30" s="512"/>
      <c r="T30" s="512"/>
      <c r="U30" s="512"/>
      <c r="V30" s="512"/>
      <c r="W30" s="512"/>
      <c r="X30" s="512"/>
      <c r="Y30" s="512"/>
      <c r="Z30" s="458"/>
      <c r="AA30" s="458"/>
    </row>
    <row r="31" spans="2:27" ht="14.55" customHeight="1">
      <c r="B31" s="745" t="s">
        <v>54</v>
      </c>
      <c r="C31" s="746"/>
      <c r="D31" s="747"/>
      <c r="E31" s="632">
        <f>AVERAGE(Z22,AA22)</f>
        <v>7.4909138186120767</v>
      </c>
      <c r="F31" s="443"/>
      <c r="G31" s="443"/>
      <c r="H31" s="443"/>
      <c r="L31" s="513"/>
      <c r="M31" s="736"/>
      <c r="N31" s="736"/>
      <c r="Q31" s="736"/>
      <c r="R31" s="736"/>
      <c r="S31" s="736"/>
      <c r="V31" s="736"/>
      <c r="W31" s="736"/>
    </row>
    <row r="32" spans="2:27" ht="14.55" customHeight="1">
      <c r="B32" s="739" t="s">
        <v>55</v>
      </c>
      <c r="C32" s="740"/>
      <c r="D32" s="741"/>
      <c r="E32" s="498">
        <f>AVERAGE(E22,F22)</f>
        <v>10.445242218005792</v>
      </c>
      <c r="F32" s="443"/>
      <c r="G32" s="443"/>
      <c r="H32" s="443"/>
      <c r="M32" s="736"/>
      <c r="N32" s="736"/>
      <c r="Q32" s="736"/>
      <c r="R32" s="736"/>
      <c r="S32" s="736"/>
      <c r="V32" s="736"/>
      <c r="W32" s="736"/>
    </row>
    <row r="33" spans="2:23" ht="14.55" customHeight="1">
      <c r="B33" s="739" t="s">
        <v>75</v>
      </c>
      <c r="C33" s="740"/>
      <c r="D33" s="741"/>
      <c r="E33" s="633">
        <f>AVERAGE(E31,E32)</f>
        <v>8.9680780183089333</v>
      </c>
      <c r="F33" s="443"/>
      <c r="G33" s="443"/>
      <c r="H33" s="443"/>
      <c r="M33" s="736"/>
      <c r="N33" s="736"/>
      <c r="Q33" s="736"/>
      <c r="R33" s="736"/>
      <c r="S33" s="736"/>
      <c r="V33" s="736"/>
      <c r="W33" s="736"/>
    </row>
    <row r="34" spans="2:23" ht="14.55" customHeight="1">
      <c r="B34" s="739" t="s">
        <v>58</v>
      </c>
      <c r="C34" s="740"/>
      <c r="D34" s="741"/>
      <c r="E34" s="712">
        <f>'EV Model'!E35</f>
        <v>16523.199999999997</v>
      </c>
      <c r="F34" s="443"/>
      <c r="G34" s="443"/>
      <c r="H34" s="443"/>
      <c r="M34" s="736"/>
      <c r="N34" s="736"/>
      <c r="Q34" s="736"/>
      <c r="R34" s="736"/>
      <c r="S34" s="736"/>
      <c r="V34" s="736"/>
      <c r="W34" s="736"/>
    </row>
    <row r="35" spans="2:23" ht="14.55" customHeight="1">
      <c r="B35" s="742" t="s">
        <v>78</v>
      </c>
      <c r="C35" s="743"/>
      <c r="D35" s="744"/>
      <c r="E35" s="636">
        <f>E34/'3 Statement model'!J32</f>
        <v>58.3116883116883</v>
      </c>
      <c r="F35" s="443"/>
      <c r="G35" s="443"/>
      <c r="H35" s="443"/>
      <c r="M35" s="736"/>
      <c r="N35" s="736"/>
      <c r="Q35" s="736"/>
      <c r="R35" s="736"/>
      <c r="S35" s="736"/>
      <c r="V35" s="736"/>
      <c r="W35" s="736"/>
    </row>
    <row r="36" spans="2:23" ht="7.5" customHeight="1">
      <c r="B36" s="515"/>
      <c r="C36" s="351"/>
      <c r="D36" s="351"/>
      <c r="E36" s="677"/>
      <c r="F36" s="443"/>
      <c r="G36" s="443"/>
      <c r="H36" s="443"/>
    </row>
    <row r="37" spans="2:23">
      <c r="B37" s="737" t="s">
        <v>310</v>
      </c>
      <c r="C37" s="738"/>
      <c r="D37" s="738"/>
      <c r="E37" s="630">
        <f>E33*E35</f>
        <v>522.94377015853377</v>
      </c>
      <c r="F37" s="428"/>
      <c r="G37" s="428"/>
      <c r="H37" s="443"/>
      <c r="M37" s="736"/>
      <c r="N37" s="736"/>
      <c r="Q37" s="736"/>
      <c r="R37" s="736"/>
      <c r="S37" s="736"/>
      <c r="V37" s="736"/>
      <c r="W37" s="736"/>
    </row>
    <row r="38" spans="2:23" ht="7.5" customHeight="1">
      <c r="B38" s="427"/>
      <c r="C38" s="366"/>
      <c r="D38" s="366"/>
      <c r="E38" s="554"/>
      <c r="F38" s="428"/>
      <c r="G38" s="428"/>
      <c r="H38" s="443"/>
    </row>
    <row r="39" spans="2:23" ht="12">
      <c r="B39" s="555" t="s">
        <v>309</v>
      </c>
      <c r="C39" s="546"/>
      <c r="D39" s="546"/>
      <c r="E39" s="634"/>
    </row>
    <row r="40" spans="2:23" ht="14.25" customHeight="1">
      <c r="B40" s="745" t="s">
        <v>54</v>
      </c>
      <c r="C40" s="746"/>
      <c r="D40" s="747"/>
      <c r="E40" s="632">
        <f>AVERAGE(Z27,AA27)</f>
        <v>35.320277512994664</v>
      </c>
    </row>
    <row r="41" spans="2:23">
      <c r="B41" s="739" t="s">
        <v>55</v>
      </c>
      <c r="C41" s="740"/>
      <c r="D41" s="741"/>
      <c r="E41" s="498">
        <f>AVERAGE(E27,F27)</f>
        <v>58.443473834398233</v>
      </c>
    </row>
    <row r="42" spans="2:23">
      <c r="B42" s="739" t="s">
        <v>76</v>
      </c>
      <c r="C42" s="740"/>
      <c r="D42" s="741"/>
      <c r="E42" s="635">
        <f>AVERAGE(E40,E41)</f>
        <v>46.881875673696449</v>
      </c>
    </row>
    <row r="43" spans="2:23">
      <c r="B43" s="739" t="s">
        <v>77</v>
      </c>
      <c r="C43" s="740"/>
      <c r="D43" s="740"/>
      <c r="E43" s="637">
        <v>19.29</v>
      </c>
    </row>
    <row r="44" spans="2:23" ht="7.5" customHeight="1">
      <c r="B44" s="514"/>
      <c r="C44" s="351"/>
      <c r="D44" s="351"/>
      <c r="E44" s="678"/>
    </row>
    <row r="45" spans="2:23">
      <c r="B45" s="737" t="s">
        <v>311</v>
      </c>
      <c r="C45" s="738"/>
      <c r="D45" s="738"/>
      <c r="E45" s="630">
        <f>E42*E43</f>
        <v>904.3513817456045</v>
      </c>
    </row>
  </sheetData>
  <mergeCells count="98">
    <mergeCell ref="T12:U12"/>
    <mergeCell ref="T13:U13"/>
    <mergeCell ref="W15:X15"/>
    <mergeCell ref="W16:X16"/>
    <mergeCell ref="W17:X17"/>
    <mergeCell ref="T14:U14"/>
    <mergeCell ref="T15:U15"/>
    <mergeCell ref="T16:U16"/>
    <mergeCell ref="T17:U17"/>
    <mergeCell ref="E4:F4"/>
    <mergeCell ref="W4:X4"/>
    <mergeCell ref="Z4:AA4"/>
    <mergeCell ref="W10:X10"/>
    <mergeCell ref="W11:X11"/>
    <mergeCell ref="T10:U10"/>
    <mergeCell ref="T11:U11"/>
    <mergeCell ref="K4:L4"/>
    <mergeCell ref="H4:I4"/>
    <mergeCell ref="N4:O4"/>
    <mergeCell ref="Q4:R4"/>
    <mergeCell ref="T4:U4"/>
    <mergeCell ref="H10:I10"/>
    <mergeCell ref="H11:I11"/>
    <mergeCell ref="N10:O10"/>
    <mergeCell ref="N11:O11"/>
    <mergeCell ref="B6:B9"/>
    <mergeCell ref="B10:B13"/>
    <mergeCell ref="K13:L13"/>
    <mergeCell ref="E10:F10"/>
    <mergeCell ref="E11:F11"/>
    <mergeCell ref="E12:F12"/>
    <mergeCell ref="E13:F13"/>
    <mergeCell ref="K11:L11"/>
    <mergeCell ref="K12:L12"/>
    <mergeCell ref="K10:L10"/>
    <mergeCell ref="H12:I12"/>
    <mergeCell ref="H13:I13"/>
    <mergeCell ref="E14:F14"/>
    <mergeCell ref="E15:F15"/>
    <mergeCell ref="E16:F16"/>
    <mergeCell ref="E17:F17"/>
    <mergeCell ref="B33:D33"/>
    <mergeCell ref="B31:D31"/>
    <mergeCell ref="B32:D32"/>
    <mergeCell ref="B18:B22"/>
    <mergeCell ref="B23:B27"/>
    <mergeCell ref="B14:B17"/>
    <mergeCell ref="B34:D34"/>
    <mergeCell ref="B35:D35"/>
    <mergeCell ref="B40:D40"/>
    <mergeCell ref="B41:D41"/>
    <mergeCell ref="B45:D45"/>
    <mergeCell ref="B43:D43"/>
    <mergeCell ref="M37:N37"/>
    <mergeCell ref="Q37:S37"/>
    <mergeCell ref="V37:W37"/>
    <mergeCell ref="B37:D37"/>
    <mergeCell ref="B42:D42"/>
    <mergeCell ref="V35:W35"/>
    <mergeCell ref="M33:N33"/>
    <mergeCell ref="Q33:S33"/>
    <mergeCell ref="V33:W33"/>
    <mergeCell ref="M34:N34"/>
    <mergeCell ref="Q34:S34"/>
    <mergeCell ref="V34:W34"/>
    <mergeCell ref="Q35:S35"/>
    <mergeCell ref="M35:N35"/>
    <mergeCell ref="V32:W32"/>
    <mergeCell ref="M31:N31"/>
    <mergeCell ref="Q31:S31"/>
    <mergeCell ref="V31:W31"/>
    <mergeCell ref="W12:X12"/>
    <mergeCell ref="W13:X13"/>
    <mergeCell ref="W14:X14"/>
    <mergeCell ref="Q14:R14"/>
    <mergeCell ref="M32:N32"/>
    <mergeCell ref="Q32:S32"/>
    <mergeCell ref="Q16:R16"/>
    <mergeCell ref="Q17:R17"/>
    <mergeCell ref="N16:O16"/>
    <mergeCell ref="N17:O17"/>
    <mergeCell ref="Q12:R12"/>
    <mergeCell ref="Q13:R13"/>
    <mergeCell ref="K17:L17"/>
    <mergeCell ref="H14:I14"/>
    <mergeCell ref="K14:L14"/>
    <mergeCell ref="K15:L15"/>
    <mergeCell ref="H15:I15"/>
    <mergeCell ref="H17:I17"/>
    <mergeCell ref="N14:O14"/>
    <mergeCell ref="N15:O15"/>
    <mergeCell ref="Q11:R11"/>
    <mergeCell ref="Q10:R10"/>
    <mergeCell ref="H16:I16"/>
    <mergeCell ref="N12:O12"/>
    <mergeCell ref="N13:O13"/>
    <mergeCell ref="Q15:R15"/>
    <mergeCell ref="K16:L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AC4C-8422-47AC-A27A-47F127C29677}">
  <dimension ref="A1:D18"/>
  <sheetViews>
    <sheetView workbookViewId="0">
      <selection activeCell="B15" sqref="B15"/>
    </sheetView>
  </sheetViews>
  <sheetFormatPr defaultColWidth="8.77734375" defaultRowHeight="14.4"/>
  <cols>
    <col min="1" max="1" width="50.44140625" bestFit="1" customWidth="1"/>
    <col min="2" max="2" width="9.77734375" bestFit="1" customWidth="1"/>
    <col min="3" max="3" width="8.6640625" customWidth="1"/>
    <col min="4" max="4" width="36.109375" customWidth="1"/>
  </cols>
  <sheetData>
    <row r="1" spans="1:4">
      <c r="A1" s="8" t="str">
        <f>'[2]DCF - Assumptions'!$F$8&amp;" | Discounted Cash Flows - Assumptions Summary"</f>
        <v>Diageo PLC | Discounted Cash Flows - Assumptions Summary</v>
      </c>
      <c r="B1" s="2"/>
      <c r="C1" s="2"/>
      <c r="D1" s="2"/>
    </row>
    <row r="2" spans="1:4">
      <c r="A2" s="24"/>
      <c r="B2" s="24"/>
      <c r="C2" s="24"/>
      <c r="D2" s="24"/>
    </row>
    <row r="3" spans="1:4">
      <c r="A3" s="2"/>
      <c r="B3" s="2"/>
      <c r="C3" s="2"/>
      <c r="D3" s="2"/>
    </row>
    <row r="4" spans="1:4">
      <c r="A4" s="9"/>
      <c r="B4" s="10"/>
      <c r="C4" s="10"/>
      <c r="D4" s="11"/>
    </row>
    <row r="5" spans="1:4">
      <c r="A5" s="12" t="s">
        <v>79</v>
      </c>
      <c r="B5" s="13"/>
      <c r="C5" s="13"/>
      <c r="D5" s="13"/>
    </row>
    <row r="6" spans="1:4">
      <c r="A6" s="14" t="s">
        <v>80</v>
      </c>
      <c r="B6" s="15" t="s">
        <v>81</v>
      </c>
      <c r="C6" s="16"/>
      <c r="D6" s="16" t="s">
        <v>82</v>
      </c>
    </row>
    <row r="7" spans="1:4" ht="20.399999999999999">
      <c r="A7" s="17" t="s">
        <v>83</v>
      </c>
      <c r="B7" s="18">
        <f>('[2]DCF - Financials'!R11/'[2]DCF - Financials'!J11)^(1/9)-1</f>
        <v>5.8172043841721033E-2</v>
      </c>
      <c r="C7" s="767" t="s">
        <v>84</v>
      </c>
      <c r="D7" s="767"/>
    </row>
    <row r="8" spans="1:4" ht="20.399999999999999">
      <c r="A8" s="17" t="s">
        <v>85</v>
      </c>
      <c r="B8" s="18">
        <f>IFERROR(SUM('[2]DCF - Outputs'!L26:S26)/SUM('[2]DCF - Outputs'!L15:S15),0)</f>
        <v>0.33900501916729664</v>
      </c>
      <c r="C8" s="18"/>
      <c r="D8" s="18"/>
    </row>
    <row r="9" spans="1:4" ht="20.399999999999999">
      <c r="A9" s="17" t="s">
        <v>86</v>
      </c>
      <c r="B9" s="18">
        <f>('[2]DCF - Financials'!R49/'[2]DCF - Financials'!K49)^(1/9)-1</f>
        <v>3.7695429428272087E-2</v>
      </c>
      <c r="C9" s="768" t="s">
        <v>87</v>
      </c>
      <c r="D9" s="768"/>
    </row>
    <row r="10" spans="1:4" ht="20.399999999999999">
      <c r="A10" s="17" t="s">
        <v>88</v>
      </c>
      <c r="B10" s="18">
        <f>IFERROR(SUM('[2]DCF - Outputs'!L26:S26)/SUM('[2]DCF - Outputs'!L15:S15),0)</f>
        <v>0.33900501916729664</v>
      </c>
      <c r="C10" s="18"/>
      <c r="D10" s="18"/>
    </row>
    <row r="11" spans="1:4" ht="20.399999999999999">
      <c r="A11" s="17" t="s">
        <v>89</v>
      </c>
      <c r="B11" s="18">
        <f>IFERROR(-SUM('[2]DCF - Outputs'!L38:S38)/SUM('[2]DCF - Outputs'!L15:S15),0)</f>
        <v>5.3295529573576875E-2</v>
      </c>
      <c r="C11" s="769" t="s">
        <v>90</v>
      </c>
      <c r="D11" s="769"/>
    </row>
    <row r="12" spans="1:4">
      <c r="A12" s="9"/>
      <c r="B12" s="9"/>
      <c r="C12" s="9"/>
      <c r="D12" s="55"/>
    </row>
    <row r="13" spans="1:4">
      <c r="A13" s="12" t="s">
        <v>91</v>
      </c>
      <c r="B13" s="13"/>
      <c r="C13" s="13"/>
      <c r="D13" s="13"/>
    </row>
    <row r="14" spans="1:4">
      <c r="A14" s="14" t="s">
        <v>80</v>
      </c>
      <c r="B14" s="15" t="s">
        <v>92</v>
      </c>
      <c r="C14" s="16"/>
      <c r="D14" s="16" t="s">
        <v>82</v>
      </c>
    </row>
    <row r="15" spans="1:4" ht="37.950000000000003" customHeight="1">
      <c r="A15" s="17" t="s">
        <v>93</v>
      </c>
      <c r="B15" s="19" t="str">
        <f>'[2]DCF - Valuation'!C11</f>
        <v>Beta</v>
      </c>
      <c r="C15" s="767" t="s">
        <v>94</v>
      </c>
      <c r="D15" s="767"/>
    </row>
    <row r="16" spans="1:4" ht="28.5" customHeight="1">
      <c r="A16" s="20" t="s">
        <v>95</v>
      </c>
      <c r="B16" s="18" t="str">
        <f>'[2]DCF - Valuation'!C8</f>
        <v>Benchmark rate</v>
      </c>
      <c r="C16" s="767" t="s">
        <v>96</v>
      </c>
      <c r="D16" s="767"/>
    </row>
    <row r="17" spans="1:4" ht="17.55" customHeight="1">
      <c r="A17" s="21" t="s">
        <v>97</v>
      </c>
      <c r="B17" s="18" t="str">
        <f>'[2]DCF - Valuation'!C13</f>
        <v>Cost of debt</v>
      </c>
      <c r="C17" s="770" t="s">
        <v>98</v>
      </c>
      <c r="D17" s="770"/>
    </row>
    <row r="18" spans="1:4" ht="18.45" customHeight="1">
      <c r="A18" s="22" t="s">
        <v>99</v>
      </c>
      <c r="B18" s="23">
        <f>'[2]DCF - Valuation'!R8</f>
        <v>1</v>
      </c>
      <c r="C18" s="766" t="s">
        <v>100</v>
      </c>
      <c r="D18" s="766"/>
    </row>
  </sheetData>
  <mergeCells count="7">
    <mergeCell ref="C18:D18"/>
    <mergeCell ref="C7:D7"/>
    <mergeCell ref="C9:D9"/>
    <mergeCell ref="C11:D11"/>
    <mergeCell ref="C15:D15"/>
    <mergeCell ref="C16:D16"/>
    <mergeCell ref="C17:D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F52AF-FE3E-4532-A848-6D59D59541DE}">
  <dimension ref="B2:Q122"/>
  <sheetViews>
    <sheetView showGridLines="0" topLeftCell="A72" zoomScale="104" zoomScaleNormal="115" workbookViewId="0">
      <selection activeCell="P53" sqref="P53"/>
    </sheetView>
  </sheetViews>
  <sheetFormatPr defaultColWidth="12.6640625" defaultRowHeight="14.4"/>
  <cols>
    <col min="1" max="1" width="1.33203125" customWidth="1"/>
    <col min="2" max="2" width="36.44140625" customWidth="1"/>
    <col min="3" max="4" width="6.109375" customWidth="1"/>
  </cols>
  <sheetData>
    <row r="2" spans="2:15">
      <c r="B2" s="172" t="s">
        <v>298</v>
      </c>
      <c r="C2" s="213"/>
      <c r="D2" s="213"/>
      <c r="E2" s="213"/>
      <c r="F2" s="213"/>
      <c r="G2" s="213"/>
      <c r="H2" s="213"/>
      <c r="I2" s="213"/>
      <c r="J2" s="213"/>
      <c r="K2" s="213"/>
      <c r="L2" s="213"/>
      <c r="M2" s="213"/>
      <c r="N2" s="214"/>
    </row>
    <row r="3" spans="2:15">
      <c r="B3" s="175"/>
      <c r="J3" s="176">
        <v>45869</v>
      </c>
      <c r="K3" s="176">
        <v>46234</v>
      </c>
      <c r="L3" s="176">
        <v>46599</v>
      </c>
      <c r="M3" s="176">
        <v>46965</v>
      </c>
      <c r="N3" s="177">
        <v>47330</v>
      </c>
    </row>
    <row r="4" spans="2:15">
      <c r="B4" s="148" t="s">
        <v>18</v>
      </c>
      <c r="C4" s="149"/>
      <c r="D4" s="167">
        <v>2</v>
      </c>
      <c r="E4" s="150"/>
      <c r="F4" s="150"/>
      <c r="G4" s="150"/>
      <c r="H4" s="150"/>
      <c r="I4" s="265"/>
      <c r="J4" s="300">
        <f>CHOOSE($D$4,J5,J6,J7)</f>
        <v>0.16874999999999998</v>
      </c>
      <c r="K4" s="300">
        <f t="shared" ref="K4:L4" si="0">CHOOSE($D$4,K5,K6,K7)</f>
        <v>0.17375000000000002</v>
      </c>
      <c r="L4" s="300">
        <f t="shared" si="0"/>
        <v>0.18375000000000002</v>
      </c>
      <c r="M4" s="300">
        <f>CHOOSE($D$4,M5,M6,M7)</f>
        <v>0.19375000000000003</v>
      </c>
      <c r="N4" s="301">
        <f>CHOOSE($D$4,N5,N6,N7)</f>
        <v>0.20375000000000004</v>
      </c>
      <c r="O4" s="29"/>
    </row>
    <row r="5" spans="2:15">
      <c r="B5" s="144" t="str">
        <f>"Scenario "&amp;TEXT(D5,"0")&amp;" - Best Case Net Sales Growth"</f>
        <v>Scenario 1 - Best Case Net Sales Growth</v>
      </c>
      <c r="C5" s="151"/>
      <c r="D5" s="168">
        <v>1</v>
      </c>
      <c r="E5" s="152"/>
      <c r="F5" s="152"/>
      <c r="G5" s="152"/>
      <c r="H5" s="152"/>
      <c r="I5" s="155"/>
      <c r="J5" s="206">
        <v>0.185</v>
      </c>
      <c r="K5" s="206">
        <f>J5+0.5%</f>
        <v>0.19</v>
      </c>
      <c r="L5" s="206">
        <f>K5+1%</f>
        <v>0.2</v>
      </c>
      <c r="M5" s="206">
        <f>L5+1%</f>
        <v>0.21000000000000002</v>
      </c>
      <c r="N5" s="210">
        <f>M5+1%</f>
        <v>0.22000000000000003</v>
      </c>
      <c r="O5" s="29"/>
    </row>
    <row r="6" spans="2:15">
      <c r="B6" s="145" t="str">
        <f>"Scenario "&amp;TEXT(D6,"0")&amp;" - Median Net Sales Growth"</f>
        <v>Scenario 2 - Median Net Sales Growth</v>
      </c>
      <c r="C6" s="153"/>
      <c r="D6" s="169">
        <v>2</v>
      </c>
      <c r="E6" s="155"/>
      <c r="F6" s="155"/>
      <c r="G6" s="155"/>
      <c r="H6" s="155"/>
      <c r="I6" s="155"/>
      <c r="J6" s="206">
        <f>J5*0.75 +J7*0.25</f>
        <v>0.16874999999999998</v>
      </c>
      <c r="K6" s="206">
        <f t="shared" ref="K6:L6" si="1">K5*0.75 +K7*0.25</f>
        <v>0.17375000000000002</v>
      </c>
      <c r="L6" s="206">
        <f t="shared" si="1"/>
        <v>0.18375000000000002</v>
      </c>
      <c r="M6" s="206">
        <f>M5*0.75 +M7*0.25</f>
        <v>0.19375000000000003</v>
      </c>
      <c r="N6" s="210">
        <f>N5*0.75 +N7*0.25</f>
        <v>0.20375000000000004</v>
      </c>
      <c r="O6" s="29"/>
    </row>
    <row r="7" spans="2:15">
      <c r="B7" s="146" t="str">
        <f>"Scenario "&amp;TEXT(D7,"0")&amp;" - Worst Case Net Sales Growth"</f>
        <v>Scenario 3 - Worst Case Net Sales Growth</v>
      </c>
      <c r="C7" s="156"/>
      <c r="D7" s="170">
        <v>3</v>
      </c>
      <c r="E7" s="157"/>
      <c r="F7" s="157"/>
      <c r="G7" s="157"/>
      <c r="H7" s="157"/>
      <c r="I7" s="157"/>
      <c r="J7" s="211">
        <v>0.12</v>
      </c>
      <c r="K7" s="211">
        <f>J7+0.5%</f>
        <v>0.125</v>
      </c>
      <c r="L7" s="211">
        <f>K7+1%</f>
        <v>0.13500000000000001</v>
      </c>
      <c r="M7" s="211">
        <f>L7+1%</f>
        <v>0.14500000000000002</v>
      </c>
      <c r="N7" s="212">
        <f>M7+1%</f>
        <v>0.15500000000000003</v>
      </c>
    </row>
    <row r="8" spans="2:15">
      <c r="B8" s="178"/>
      <c r="C8" s="159"/>
      <c r="D8" s="160"/>
      <c r="E8" s="155"/>
      <c r="F8" s="155"/>
      <c r="G8" s="155"/>
      <c r="H8" s="155"/>
      <c r="I8" s="155"/>
      <c r="J8" s="297"/>
      <c r="K8" s="297"/>
      <c r="L8" s="297"/>
      <c r="M8" s="297"/>
      <c r="N8" s="298"/>
    </row>
    <row r="9" spans="2:15">
      <c r="B9" s="148" t="s">
        <v>27</v>
      </c>
      <c r="C9" s="149"/>
      <c r="D9" s="167">
        <v>2</v>
      </c>
      <c r="E9" s="150"/>
      <c r="F9" s="150"/>
      <c r="G9" s="150"/>
      <c r="H9" s="150"/>
      <c r="I9" s="150"/>
      <c r="J9" s="300">
        <f>CHOOSE($D$4,J10,J11,J12)</f>
        <v>9.3750000000000014E-2</v>
      </c>
      <c r="K9" s="300">
        <f t="shared" ref="K9:N9" si="2">CHOOSE($D$4,K10,K11,K12)</f>
        <v>9.3750000000000014E-2</v>
      </c>
      <c r="L9" s="300">
        <f t="shared" si="2"/>
        <v>8.3750000000000005E-2</v>
      </c>
      <c r="M9" s="300">
        <f t="shared" si="2"/>
        <v>8.3750000000000005E-2</v>
      </c>
      <c r="N9" s="301">
        <f t="shared" si="2"/>
        <v>8.3750000000000005E-2</v>
      </c>
      <c r="O9" s="29"/>
    </row>
    <row r="10" spans="2:15">
      <c r="B10" s="144" t="str">
        <f>"Scenario "&amp;TEXT(D10,"0")&amp;" - Best Case Net Sales Growth"</f>
        <v>Scenario 1 - Best Case Net Sales Growth</v>
      </c>
      <c r="C10" s="151"/>
      <c r="D10" s="168">
        <v>1</v>
      </c>
      <c r="E10" s="152"/>
      <c r="F10" s="152"/>
      <c r="G10" s="152"/>
      <c r="H10" s="152"/>
      <c r="I10" s="152"/>
      <c r="J10" s="206">
        <v>0.1</v>
      </c>
      <c r="K10" s="206">
        <f>J10</f>
        <v>0.1</v>
      </c>
      <c r="L10" s="206">
        <f>K10-1%</f>
        <v>9.0000000000000011E-2</v>
      </c>
      <c r="M10" s="206">
        <f>L10</f>
        <v>9.0000000000000011E-2</v>
      </c>
      <c r="N10" s="210">
        <f>M10</f>
        <v>9.0000000000000011E-2</v>
      </c>
      <c r="O10" s="29"/>
    </row>
    <row r="11" spans="2:15">
      <c r="B11" s="145" t="str">
        <f>"Scenario "&amp;TEXT(D11,"0")&amp;" - Median Net Sales Growth"</f>
        <v>Scenario 2 - Median Net Sales Growth</v>
      </c>
      <c r="C11" s="153"/>
      <c r="D11" s="169">
        <v>2</v>
      </c>
      <c r="E11" s="155"/>
      <c r="F11" s="155"/>
      <c r="G11" s="155"/>
      <c r="H11" s="155"/>
      <c r="I11" s="155"/>
      <c r="J11" s="206">
        <f>J10*0.75 +J12*0.25</f>
        <v>9.3750000000000014E-2</v>
      </c>
      <c r="K11" s="206">
        <f>K10*0.75 +K12*0.25</f>
        <v>9.3750000000000014E-2</v>
      </c>
      <c r="L11" s="206">
        <f>L10*0.75 +L12*0.25</f>
        <v>8.3750000000000005E-2</v>
      </c>
      <c r="M11" s="206">
        <f>M10*0.75 +M12*0.25</f>
        <v>8.3750000000000005E-2</v>
      </c>
      <c r="N11" s="210">
        <f>N10*0.75 +N12*0.25</f>
        <v>8.3750000000000005E-2</v>
      </c>
      <c r="O11" s="29"/>
    </row>
    <row r="12" spans="2:15">
      <c r="B12" s="146" t="str">
        <f>"Scenario "&amp;TEXT(D12,"0")&amp;" - Worst Case Net Sales Growth"</f>
        <v>Scenario 3 - Worst Case Net Sales Growth</v>
      </c>
      <c r="C12" s="156"/>
      <c r="D12" s="170">
        <v>3</v>
      </c>
      <c r="E12" s="157"/>
      <c r="F12" s="157"/>
      <c r="G12" s="157"/>
      <c r="H12" s="157"/>
      <c r="I12" s="157"/>
      <c r="J12" s="211">
        <v>7.4999999999999997E-2</v>
      </c>
      <c r="K12" s="211">
        <f>J12</f>
        <v>7.4999999999999997E-2</v>
      </c>
      <c r="L12" s="211">
        <f>K12-1%</f>
        <v>6.5000000000000002E-2</v>
      </c>
      <c r="M12" s="211">
        <f>L12</f>
        <v>6.5000000000000002E-2</v>
      </c>
      <c r="N12" s="212">
        <f>M12</f>
        <v>6.5000000000000002E-2</v>
      </c>
    </row>
    <row r="13" spans="2:15">
      <c r="B13" s="178"/>
      <c r="C13" s="159"/>
      <c r="D13" s="160"/>
      <c r="E13" s="155"/>
      <c r="F13" s="155"/>
      <c r="G13" s="155"/>
      <c r="H13" s="155"/>
      <c r="I13" s="155"/>
      <c r="J13" s="299"/>
      <c r="K13" s="299"/>
      <c r="L13" s="299"/>
      <c r="M13" s="299"/>
      <c r="N13" s="298"/>
    </row>
    <row r="14" spans="2:15">
      <c r="B14" s="148" t="s">
        <v>101</v>
      </c>
      <c r="C14" s="149"/>
      <c r="D14" s="167">
        <v>2</v>
      </c>
      <c r="E14" s="150"/>
      <c r="F14" s="150"/>
      <c r="G14" s="150"/>
      <c r="H14" s="150"/>
      <c r="I14" s="150"/>
      <c r="J14" s="300">
        <f>CHOOSE($D$4,J15,J16,J17)</f>
        <v>6.5124999999999988E-2</v>
      </c>
      <c r="K14" s="300">
        <f t="shared" ref="K14:N14" si="3">CHOOSE($D$4,K15,K16,K17)</f>
        <v>8.5874999999999993E-2</v>
      </c>
      <c r="L14" s="300">
        <f t="shared" si="3"/>
        <v>9.0874999999999997E-2</v>
      </c>
      <c r="M14" s="300">
        <f t="shared" si="3"/>
        <v>9.5875000000000002E-2</v>
      </c>
      <c r="N14" s="301">
        <f t="shared" si="3"/>
        <v>0.10087500000000001</v>
      </c>
    </row>
    <row r="15" spans="2:15">
      <c r="B15" s="144" t="str">
        <f>"Scenario "&amp;TEXT(D15,"0")&amp;" - Best Case Net Sales Growth"</f>
        <v>Scenario 1 - Best Case Net Sales Growth</v>
      </c>
      <c r="C15" s="151"/>
      <c r="D15" s="168">
        <v>1</v>
      </c>
      <c r="E15" s="152"/>
      <c r="F15" s="152"/>
      <c r="G15" s="152"/>
      <c r="H15" s="152"/>
      <c r="I15" s="152"/>
      <c r="J15" s="206">
        <v>7.2499999999999995E-2</v>
      </c>
      <c r="K15" s="206">
        <f>J15+2.2%</f>
        <v>9.4500000000000001E-2</v>
      </c>
      <c r="L15" s="206">
        <f>K15+0.5%</f>
        <v>9.9500000000000005E-2</v>
      </c>
      <c r="M15" s="206">
        <f>L15+0.5%</f>
        <v>0.10450000000000001</v>
      </c>
      <c r="N15" s="210">
        <f>M15+0.5%</f>
        <v>0.10950000000000001</v>
      </c>
    </row>
    <row r="16" spans="2:15">
      <c r="B16" s="145" t="str">
        <f>"Scenario "&amp;TEXT(D16,"0")&amp;" - Median Net Sales Growth"</f>
        <v>Scenario 2 - Median Net Sales Growth</v>
      </c>
      <c r="C16" s="153"/>
      <c r="D16" s="169">
        <v>2</v>
      </c>
      <c r="E16" s="155"/>
      <c r="F16" s="155"/>
      <c r="G16" s="155"/>
      <c r="H16" s="155"/>
      <c r="I16" s="155"/>
      <c r="J16" s="206">
        <f>J15*0.75 +J17*0.25</f>
        <v>6.5124999999999988E-2</v>
      </c>
      <c r="K16" s="206">
        <f>K15*0.75 +K17*0.25</f>
        <v>8.5874999999999993E-2</v>
      </c>
      <c r="L16" s="206">
        <f>L15*0.75 +L17*0.25</f>
        <v>9.0874999999999997E-2</v>
      </c>
      <c r="M16" s="206">
        <f>M15*0.75 +M17*0.25</f>
        <v>9.5875000000000002E-2</v>
      </c>
      <c r="N16" s="210">
        <f>N15*0.75 +N17*0.25</f>
        <v>0.10087500000000001</v>
      </c>
    </row>
    <row r="17" spans="2:15">
      <c r="B17" s="146" t="str">
        <f>"Scenario "&amp;TEXT(D17,"0")&amp;" - Worst Case Net Sales Growth"</f>
        <v>Scenario 3 - Worst Case Net Sales Growth</v>
      </c>
      <c r="C17" s="156"/>
      <c r="D17" s="170">
        <v>3</v>
      </c>
      <c r="E17" s="157"/>
      <c r="F17" s="157"/>
      <c r="G17" s="157"/>
      <c r="H17" s="157"/>
      <c r="I17" s="157"/>
      <c r="J17" s="211">
        <v>4.2999999999999997E-2</v>
      </c>
      <c r="K17" s="211">
        <f>J17+1.7%</f>
        <v>0.06</v>
      </c>
      <c r="L17" s="211">
        <f>K17+0.5%</f>
        <v>6.5000000000000002E-2</v>
      </c>
      <c r="M17" s="211">
        <f>L17+0.5%</f>
        <v>7.0000000000000007E-2</v>
      </c>
      <c r="N17" s="212">
        <f>M17+0.5%</f>
        <v>7.5000000000000011E-2</v>
      </c>
    </row>
    <row r="18" spans="2:15">
      <c r="B18" s="178"/>
      <c r="C18" s="159"/>
      <c r="D18" s="160"/>
      <c r="E18" s="155"/>
      <c r="F18" s="155"/>
      <c r="G18" s="155"/>
      <c r="H18" s="155"/>
      <c r="I18" s="155"/>
      <c r="J18" s="297"/>
      <c r="K18" s="297"/>
      <c r="L18" s="297"/>
      <c r="M18" s="297"/>
      <c r="N18" s="298"/>
    </row>
    <row r="19" spans="2:15">
      <c r="B19" s="148" t="s">
        <v>33</v>
      </c>
      <c r="C19" s="149"/>
      <c r="D19" s="167">
        <v>2</v>
      </c>
      <c r="E19" s="150"/>
      <c r="F19" s="150"/>
      <c r="G19" s="150"/>
      <c r="H19" s="150"/>
      <c r="I19" s="150"/>
      <c r="J19" s="300">
        <f>CHOOSE($D$4,J20,J21,J22)</f>
        <v>4.7500000000000001E-2</v>
      </c>
      <c r="K19" s="300">
        <f t="shared" ref="K19:N19" si="4">CHOOSE($D$4,K20,K21,K22)</f>
        <v>5.5E-2</v>
      </c>
      <c r="L19" s="300">
        <f t="shared" si="4"/>
        <v>4.0750000000000001E-2</v>
      </c>
      <c r="M19" s="300">
        <f t="shared" si="4"/>
        <v>4.2250000000000003E-2</v>
      </c>
      <c r="N19" s="301">
        <f t="shared" si="4"/>
        <v>5.7250000000000002E-2</v>
      </c>
      <c r="O19" s="215"/>
    </row>
    <row r="20" spans="2:15">
      <c r="B20" s="144" t="str">
        <f>"Scenario "&amp;TEXT(D20,"0")&amp;" - Best Case Net Sales Growth"</f>
        <v>Scenario 1 - Best Case Net Sales Growth</v>
      </c>
      <c r="C20" s="151"/>
      <c r="D20" s="168">
        <v>1</v>
      </c>
      <c r="E20" s="152"/>
      <c r="F20" s="152"/>
      <c r="G20" s="152"/>
      <c r="H20" s="152"/>
      <c r="I20" s="152"/>
      <c r="J20" s="206">
        <v>5.5E-2</v>
      </c>
      <c r="K20" s="206">
        <f>J20+1%</f>
        <v>6.5000000000000002E-2</v>
      </c>
      <c r="L20" s="206">
        <f>K20-2%</f>
        <v>4.4999999999999998E-2</v>
      </c>
      <c r="M20" s="206">
        <f>L20+0.2%</f>
        <v>4.7E-2</v>
      </c>
      <c r="N20" s="210">
        <f>M20+2%</f>
        <v>6.7000000000000004E-2</v>
      </c>
      <c r="O20" s="215"/>
    </row>
    <row r="21" spans="2:15">
      <c r="B21" s="145" t="str">
        <f>"Scenario "&amp;TEXT(D21,"0")&amp;" - Median Net Sales Growth"</f>
        <v>Scenario 2 - Median Net Sales Growth</v>
      </c>
      <c r="C21" s="153"/>
      <c r="D21" s="169">
        <v>2</v>
      </c>
      <c r="E21" s="155"/>
      <c r="F21" s="155"/>
      <c r="G21" s="155"/>
      <c r="H21" s="155"/>
      <c r="I21" s="155"/>
      <c r="J21" s="206">
        <f>J20*0.75 +J22*0.25</f>
        <v>4.7500000000000001E-2</v>
      </c>
      <c r="K21" s="206">
        <f>K20*0.75 +K22*0.25</f>
        <v>5.5E-2</v>
      </c>
      <c r="L21" s="206">
        <f>L20*0.75 +L22*0.25</f>
        <v>4.0750000000000001E-2</v>
      </c>
      <c r="M21" s="206">
        <f>M20*0.75 +M22*0.25</f>
        <v>4.2250000000000003E-2</v>
      </c>
      <c r="N21" s="210">
        <f>N20*0.75 +N22*0.25</f>
        <v>5.7250000000000002E-2</v>
      </c>
      <c r="O21" s="215"/>
    </row>
    <row r="22" spans="2:15">
      <c r="B22" s="146" t="str">
        <f>"Scenario "&amp;TEXT(D22,"0")&amp;" - Worst Case Net Sales Growth"</f>
        <v>Scenario 3 - Worst Case Net Sales Growth</v>
      </c>
      <c r="C22" s="156"/>
      <c r="D22" s="170">
        <v>3</v>
      </c>
      <c r="E22" s="157"/>
      <c r="F22" s="157"/>
      <c r="G22" s="157"/>
      <c r="H22" s="157"/>
      <c r="I22" s="157"/>
      <c r="J22" s="211">
        <v>2.5000000000000001E-2</v>
      </c>
      <c r="K22" s="211">
        <v>2.5000000000000001E-2</v>
      </c>
      <c r="L22" s="211">
        <v>2.8000000000000001E-2</v>
      </c>
      <c r="M22" s="211">
        <v>2.8000000000000001E-2</v>
      </c>
      <c r="N22" s="212">
        <v>2.8000000000000001E-2</v>
      </c>
      <c r="O22" s="147"/>
    </row>
    <row r="23" spans="2:15">
      <c r="B23" s="158"/>
      <c r="C23" s="159"/>
      <c r="D23" s="160"/>
      <c r="E23" s="159"/>
      <c r="F23" s="155"/>
      <c r="G23" s="155"/>
      <c r="H23" s="155"/>
      <c r="I23" s="155"/>
      <c r="J23" s="155"/>
      <c r="K23" s="147"/>
      <c r="L23" s="147"/>
      <c r="M23" s="147"/>
      <c r="N23" s="147"/>
      <c r="O23" s="216"/>
    </row>
    <row r="24" spans="2:15">
      <c r="B24" s="217"/>
      <c r="C24" s="159"/>
      <c r="D24" s="159"/>
      <c r="E24" s="159"/>
      <c r="F24" s="218"/>
      <c r="G24" s="155"/>
      <c r="H24" s="216"/>
      <c r="I24" s="216"/>
      <c r="J24" s="216"/>
      <c r="K24" s="216"/>
      <c r="L24" s="216"/>
      <c r="M24" s="216"/>
      <c r="N24" s="216"/>
    </row>
    <row r="25" spans="2:15">
      <c r="B25" s="172" t="s">
        <v>102</v>
      </c>
      <c r="C25" s="213"/>
      <c r="D25" s="213"/>
      <c r="E25" s="213"/>
      <c r="F25" s="213"/>
      <c r="G25" s="213"/>
      <c r="H25" s="213"/>
      <c r="I25" s="213"/>
      <c r="J25" s="213"/>
      <c r="K25" s="213"/>
      <c r="L25" s="213"/>
      <c r="M25" s="213"/>
      <c r="N25" s="214"/>
    </row>
    <row r="26" spans="2:15" ht="4.5" customHeight="1">
      <c r="B26" s="191"/>
      <c r="C26" s="159"/>
      <c r="D26" s="159"/>
      <c r="E26" s="155"/>
      <c r="F26" s="155"/>
      <c r="G26" s="155"/>
      <c r="H26" s="155"/>
      <c r="I26" s="155"/>
      <c r="J26" s="179"/>
      <c r="K26" s="179"/>
      <c r="L26" s="179"/>
      <c r="M26" s="179"/>
      <c r="N26" s="180"/>
    </row>
    <row r="27" spans="2:15" ht="15" thickBot="1">
      <c r="B27" s="186" t="s">
        <v>103</v>
      </c>
      <c r="C27" s="161"/>
      <c r="D27" s="162"/>
      <c r="E27" s="163">
        <v>44043</v>
      </c>
      <c r="F27" s="163">
        <v>44408</v>
      </c>
      <c r="G27" s="163">
        <v>44773</v>
      </c>
      <c r="H27" s="163">
        <v>45138</v>
      </c>
      <c r="I27" s="163">
        <v>45504</v>
      </c>
      <c r="J27" s="163">
        <v>45869</v>
      </c>
      <c r="K27" s="163">
        <v>46234</v>
      </c>
      <c r="L27" s="163">
        <v>46599</v>
      </c>
      <c r="M27" s="163">
        <v>46965</v>
      </c>
      <c r="N27" s="187">
        <v>47330</v>
      </c>
    </row>
    <row r="28" spans="2:15">
      <c r="B28" s="145" t="s">
        <v>18</v>
      </c>
      <c r="C28" s="159" t="s">
        <v>256</v>
      </c>
      <c r="D28" s="188"/>
      <c r="E28" s="189">
        <v>4050</v>
      </c>
      <c r="F28" s="189">
        <v>4688</v>
      </c>
      <c r="G28" s="189">
        <v>6460</v>
      </c>
      <c r="H28" s="189">
        <v>8038</v>
      </c>
      <c r="I28" s="296">
        <v>9533</v>
      </c>
      <c r="J28" s="183">
        <f>I28*(1+J29)</f>
        <v>11141.69375</v>
      </c>
      <c r="K28" s="183">
        <f>J28*(1+K29)</f>
        <v>13077.563039062501</v>
      </c>
      <c r="L28" s="183">
        <f>K28*(1+L29)</f>
        <v>15480.565247490236</v>
      </c>
      <c r="M28" s="183">
        <f>L28*(1+M29)</f>
        <v>18479.92476419147</v>
      </c>
      <c r="N28" s="190">
        <f>M28*(1+N29)</f>
        <v>22245.209434895485</v>
      </c>
      <c r="O28" s="215"/>
    </row>
    <row r="29" spans="2:15">
      <c r="B29" s="191" t="str">
        <f>B28&amp;" Net Sales Growth"</f>
        <v>Global Business Solutions Net Sales Growth</v>
      </c>
      <c r="C29" s="159" t="s">
        <v>104</v>
      </c>
      <c r="D29" s="188"/>
      <c r="E29" s="189"/>
      <c r="F29" s="192">
        <f>F28/E28 - 1</f>
        <v>0.15753086419753082</v>
      </c>
      <c r="G29" s="192">
        <f>G28/F28 - 1</f>
        <v>0.37798634812286691</v>
      </c>
      <c r="H29" s="192">
        <f>H28/G28 - 1</f>
        <v>0.2442724458204335</v>
      </c>
      <c r="I29" s="192">
        <f>I28/H28 - 1</f>
        <v>0.18599154018412545</v>
      </c>
      <c r="J29" s="206">
        <f>J4</f>
        <v>0.16874999999999998</v>
      </c>
      <c r="K29" s="206">
        <f>K4</f>
        <v>0.17375000000000002</v>
      </c>
      <c r="L29" s="206">
        <f>L4</f>
        <v>0.18375000000000002</v>
      </c>
      <c r="M29" s="206">
        <f>M4</f>
        <v>0.19375000000000003</v>
      </c>
      <c r="N29" s="210">
        <f>N4</f>
        <v>0.20375000000000004</v>
      </c>
    </row>
    <row r="30" spans="2:15">
      <c r="B30" s="145" t="s">
        <v>27</v>
      </c>
      <c r="C30" s="159" t="s">
        <v>256</v>
      </c>
      <c r="D30" s="188"/>
      <c r="E30" s="189">
        <v>3136</v>
      </c>
      <c r="F30" s="189">
        <v>3563</v>
      </c>
      <c r="G30" s="189">
        <v>3915</v>
      </c>
      <c r="H30" s="189">
        <v>4135</v>
      </c>
      <c r="I30" s="189">
        <v>4445</v>
      </c>
      <c r="J30" s="183">
        <f>I30*(1+J31)</f>
        <v>4861.71875</v>
      </c>
      <c r="K30" s="183">
        <f>J30*(1+K31)</f>
        <v>5317.5048828125</v>
      </c>
      <c r="L30" s="183">
        <f>K30*(1+L31)</f>
        <v>5762.8459167480469</v>
      </c>
      <c r="M30" s="183">
        <f>L30*(1+M31)</f>
        <v>6245.484262275696</v>
      </c>
      <c r="N30" s="190">
        <f>M30*(1+N31)</f>
        <v>6768.5435692412857</v>
      </c>
    </row>
    <row r="31" spans="2:15">
      <c r="B31" s="191" t="str">
        <f>B30&amp;" Net Sales Growth"</f>
        <v>Consumer Net Sales Growth</v>
      </c>
      <c r="C31" s="159" t="s">
        <v>104</v>
      </c>
      <c r="D31" s="188"/>
      <c r="E31" s="193"/>
      <c r="F31" s="192">
        <f>F30/E30 - 1</f>
        <v>0.13616071428571419</v>
      </c>
      <c r="G31" s="192">
        <f>G30/F30 - 1</f>
        <v>9.8793151838338478E-2</v>
      </c>
      <c r="H31" s="192">
        <f>H30/G30 - 1</f>
        <v>5.6194125159642505E-2</v>
      </c>
      <c r="I31" s="192">
        <f>I30/H30 - 1</f>
        <v>7.4969770253929813E-2</v>
      </c>
      <c r="J31" s="206">
        <f>J9</f>
        <v>9.3750000000000014E-2</v>
      </c>
      <c r="K31" s="206">
        <f>K9</f>
        <v>9.3750000000000014E-2</v>
      </c>
      <c r="L31" s="206">
        <f>L9</f>
        <v>8.3750000000000005E-2</v>
      </c>
      <c r="M31" s="206">
        <f>M9</f>
        <v>8.3750000000000005E-2</v>
      </c>
      <c r="N31" s="210">
        <f>N9</f>
        <v>8.3750000000000005E-2</v>
      </c>
    </row>
    <row r="32" spans="2:15">
      <c r="B32" s="145" t="s">
        <v>105</v>
      </c>
      <c r="C32" s="159" t="s">
        <v>256</v>
      </c>
      <c r="D32" s="188"/>
      <c r="E32" s="189">
        <v>0</v>
      </c>
      <c r="F32" s="189">
        <v>865</v>
      </c>
      <c r="G32" s="189">
        <v>1805</v>
      </c>
      <c r="H32" s="189">
        <v>1634</v>
      </c>
      <c r="I32" s="189">
        <v>1708</v>
      </c>
      <c r="J32" s="183">
        <f>I32*(1+J33)</f>
        <v>1819.2335000000003</v>
      </c>
      <c r="K32" s="183">
        <f>J32*(1+K33)</f>
        <v>1975.4601768125001</v>
      </c>
      <c r="L32" s="183">
        <f>K32*(1+L33)</f>
        <v>2154.9801203803363</v>
      </c>
      <c r="M32" s="183">
        <f>L32*(1+M33)</f>
        <v>2361.5888394218009</v>
      </c>
      <c r="N32" s="190">
        <f>M32*(1+N33)</f>
        <v>2599.8141135984752</v>
      </c>
    </row>
    <row r="33" spans="2:14">
      <c r="B33" s="191" t="str">
        <f>B32&amp;" Net Sales Growth"</f>
        <v>Personal Finance  Net Sales Growth</v>
      </c>
      <c r="C33" s="159" t="s">
        <v>104</v>
      </c>
      <c r="D33" s="188"/>
      <c r="E33" s="189"/>
      <c r="F33" s="192" t="s">
        <v>106</v>
      </c>
      <c r="G33" s="192">
        <f>G32/F32 - 1</f>
        <v>1.0867052023121389</v>
      </c>
      <c r="H33" s="192">
        <f>H32/G32 - 1</f>
        <v>-9.4736842105263119E-2</v>
      </c>
      <c r="I33" s="192">
        <f>I32/H32 - 1</f>
        <v>4.5287637698898431E-2</v>
      </c>
      <c r="J33" s="206">
        <f>J14</f>
        <v>6.5124999999999988E-2</v>
      </c>
      <c r="K33" s="206">
        <f>K14</f>
        <v>8.5874999999999993E-2</v>
      </c>
      <c r="L33" s="206">
        <f>L14</f>
        <v>9.0874999999999997E-2</v>
      </c>
      <c r="M33" s="206">
        <f>M14</f>
        <v>9.5875000000000002E-2</v>
      </c>
      <c r="N33" s="210">
        <f>N14</f>
        <v>0.10087500000000001</v>
      </c>
    </row>
    <row r="34" spans="2:14">
      <c r="B34" s="145" t="s">
        <v>33</v>
      </c>
      <c r="C34" s="159" t="s">
        <v>256</v>
      </c>
      <c r="D34" s="188"/>
      <c r="E34" s="189">
        <v>493</v>
      </c>
      <c r="F34" s="189">
        <v>517</v>
      </c>
      <c r="G34" s="189">
        <v>546</v>
      </c>
      <c r="H34" s="189">
        <v>561</v>
      </c>
      <c r="I34" s="189">
        <v>599</v>
      </c>
      <c r="J34" s="183">
        <f>I34*(1+J35)</f>
        <v>627.4525000000001</v>
      </c>
      <c r="K34" s="183">
        <f>J34*(1+K35)</f>
        <v>661.96238750000009</v>
      </c>
      <c r="L34" s="183">
        <f>K34*(1+L35)</f>
        <v>688.93735479062514</v>
      </c>
      <c r="M34" s="183">
        <f>L34*(1+M35)</f>
        <v>718.04495803052896</v>
      </c>
      <c r="N34" s="190">
        <f>M34*(1+N35)</f>
        <v>759.15303187777681</v>
      </c>
    </row>
    <row r="35" spans="2:14">
      <c r="B35" s="191" t="str">
        <f>B34&amp;" Net Sales Growth"</f>
        <v>ProConnect Net Sales Growth</v>
      </c>
      <c r="C35" s="159" t="s">
        <v>104</v>
      </c>
      <c r="D35" s="188"/>
      <c r="E35" s="189"/>
      <c r="F35" s="192">
        <f>F34/E34 - 1</f>
        <v>4.8681541582150212E-2</v>
      </c>
      <c r="G35" s="192">
        <f>G34/F34 - 1</f>
        <v>5.6092843326885911E-2</v>
      </c>
      <c r="H35" s="192">
        <f>H34/G34 - 1</f>
        <v>2.7472527472527375E-2</v>
      </c>
      <c r="I35" s="192">
        <f>I34/H34 - 1</f>
        <v>6.7736185383244107E-2</v>
      </c>
      <c r="J35" s="211">
        <f>J19</f>
        <v>4.7500000000000001E-2</v>
      </c>
      <c r="K35" s="211">
        <f>K19</f>
        <v>5.5E-2</v>
      </c>
      <c r="L35" s="211">
        <f>L19</f>
        <v>4.0750000000000001E-2</v>
      </c>
      <c r="M35" s="211">
        <f>M19</f>
        <v>4.2250000000000003E-2</v>
      </c>
      <c r="N35" s="212">
        <f>N19</f>
        <v>5.7250000000000002E-2</v>
      </c>
    </row>
    <row r="36" spans="2:14">
      <c r="B36" s="148" t="s">
        <v>107</v>
      </c>
      <c r="C36" s="165" t="s">
        <v>256</v>
      </c>
      <c r="D36" s="165"/>
      <c r="E36" s="166">
        <f t="shared" ref="E36:N36" si="5">E28+E30+E32+E34</f>
        <v>7679</v>
      </c>
      <c r="F36" s="166">
        <f t="shared" si="5"/>
        <v>9633</v>
      </c>
      <c r="G36" s="166">
        <f t="shared" si="5"/>
        <v>12726</v>
      </c>
      <c r="H36" s="166">
        <f t="shared" si="5"/>
        <v>14368</v>
      </c>
      <c r="I36" s="166">
        <f t="shared" si="5"/>
        <v>16285</v>
      </c>
      <c r="J36" s="261">
        <f t="shared" si="5"/>
        <v>18450.0985</v>
      </c>
      <c r="K36" s="261">
        <f t="shared" si="5"/>
        <v>21032.4904861875</v>
      </c>
      <c r="L36" s="261">
        <f t="shared" si="5"/>
        <v>24087.328639409247</v>
      </c>
      <c r="M36" s="261">
        <f t="shared" si="5"/>
        <v>27805.042823919495</v>
      </c>
      <c r="N36" s="262">
        <f t="shared" si="5"/>
        <v>32372.720149613026</v>
      </c>
    </row>
    <row r="37" spans="2:14">
      <c r="B37" s="191" t="s">
        <v>108</v>
      </c>
      <c r="C37" s="194" t="s">
        <v>104</v>
      </c>
      <c r="D37" s="159"/>
      <c r="E37" s="189"/>
      <c r="F37" s="195">
        <f t="shared" ref="F37:N37" si="6">F36/E36 - 1</f>
        <v>0.25446021617398107</v>
      </c>
      <c r="G37" s="195">
        <f t="shared" si="6"/>
        <v>0.32108377452507009</v>
      </c>
      <c r="H37" s="195">
        <f t="shared" si="6"/>
        <v>0.1290271884331291</v>
      </c>
      <c r="I37" s="195">
        <f t="shared" si="6"/>
        <v>0.13342149220489974</v>
      </c>
      <c r="J37" s="207">
        <f t="shared" si="6"/>
        <v>0.13295047589806575</v>
      </c>
      <c r="K37" s="207">
        <f t="shared" si="6"/>
        <v>0.1399662980762677</v>
      </c>
      <c r="L37" s="207">
        <f t="shared" si="6"/>
        <v>0.14524376726702548</v>
      </c>
      <c r="M37" s="207">
        <f t="shared" si="6"/>
        <v>0.15434315029968504</v>
      </c>
      <c r="N37" s="208">
        <f t="shared" si="6"/>
        <v>0.16427514083035866</v>
      </c>
    </row>
    <row r="38" spans="2:14" ht="4.5" customHeight="1">
      <c r="B38" s="191"/>
      <c r="C38" s="194"/>
      <c r="D38" s="159"/>
      <c r="E38" s="189"/>
      <c r="F38" s="195"/>
      <c r="G38" s="195"/>
      <c r="H38" s="195"/>
      <c r="I38" s="195"/>
      <c r="J38" s="204"/>
      <c r="K38" s="204"/>
      <c r="L38" s="204"/>
      <c r="M38" s="204"/>
      <c r="N38" s="205"/>
    </row>
    <row r="39" spans="2:14">
      <c r="B39" s="175"/>
      <c r="N39" s="710" t="s">
        <v>299</v>
      </c>
    </row>
    <row r="40" spans="2:14">
      <c r="B40" s="219"/>
      <c r="C40" s="136"/>
      <c r="D40" s="136"/>
      <c r="E40" s="136"/>
      <c r="F40" s="136"/>
      <c r="G40" s="136"/>
      <c r="H40" s="136"/>
      <c r="I40" s="136"/>
      <c r="J40" s="136"/>
      <c r="K40" s="136"/>
      <c r="L40" s="136"/>
      <c r="M40" s="136"/>
      <c r="N40" s="711">
        <f>(N36/I36)^(1/5) - 1</f>
        <v>0.14730341427991367</v>
      </c>
    </row>
    <row r="41" spans="2:14">
      <c r="N41" s="193"/>
    </row>
    <row r="42" spans="2:14" ht="12.75" customHeight="1">
      <c r="B42" s="263" t="s">
        <v>109</v>
      </c>
      <c r="C42" s="220"/>
      <c r="D42" s="220"/>
      <c r="E42" s="220"/>
      <c r="F42" s="220"/>
      <c r="G42" s="220"/>
      <c r="H42" s="220"/>
      <c r="I42" s="220"/>
      <c r="J42" s="220"/>
      <c r="K42" s="220"/>
      <c r="L42" s="220"/>
      <c r="M42" s="220"/>
      <c r="N42" s="221"/>
    </row>
    <row r="43" spans="2:14" ht="4.5" customHeight="1">
      <c r="B43" s="222"/>
      <c r="C43" s="159"/>
      <c r="D43" s="159"/>
      <c r="E43" s="218"/>
      <c r="F43" s="155"/>
      <c r="G43" s="216"/>
      <c r="H43" s="216"/>
      <c r="I43" s="216"/>
      <c r="J43" s="216"/>
      <c r="K43" s="216"/>
      <c r="L43" s="216"/>
      <c r="M43" s="216"/>
      <c r="N43" s="223"/>
    </row>
    <row r="44" spans="2:14" ht="15" thickBot="1">
      <c r="B44" s="186" t="s">
        <v>110</v>
      </c>
      <c r="C44" s="224"/>
      <c r="D44" s="224"/>
      <c r="E44" s="163">
        <v>44043</v>
      </c>
      <c r="F44" s="163">
        <v>44408</v>
      </c>
      <c r="G44" s="163">
        <v>44773</v>
      </c>
      <c r="H44" s="163">
        <v>45138</v>
      </c>
      <c r="I44" s="163">
        <v>45504</v>
      </c>
      <c r="J44" s="163">
        <v>45869</v>
      </c>
      <c r="K44" s="163">
        <v>46234</v>
      </c>
      <c r="L44" s="163">
        <v>46599</v>
      </c>
      <c r="M44" s="163">
        <v>46965</v>
      </c>
      <c r="N44" s="187">
        <v>47330</v>
      </c>
    </row>
    <row r="45" spans="2:14">
      <c r="B45" s="222" t="s">
        <v>111</v>
      </c>
      <c r="C45" s="159"/>
      <c r="D45" s="159"/>
      <c r="E45" s="289"/>
      <c r="F45" s="289"/>
      <c r="G45" s="289"/>
      <c r="H45" s="289"/>
      <c r="I45" s="289"/>
      <c r="J45" s="289"/>
      <c r="K45" s="289"/>
      <c r="L45" s="289"/>
      <c r="M45" s="289"/>
      <c r="N45" s="326"/>
    </row>
    <row r="46" spans="2:14">
      <c r="B46" s="144" t="s">
        <v>140</v>
      </c>
      <c r="C46" s="149" t="s">
        <v>104</v>
      </c>
      <c r="D46" s="149"/>
      <c r="E46" s="287">
        <f>'3 Statement model'!E13/E36</f>
        <v>0.81976819898424269</v>
      </c>
      <c r="F46" s="287">
        <f>'3 Statement model'!F13/F36</f>
        <v>0.8101318384719195</v>
      </c>
      <c r="G46" s="287">
        <f>'3 Statement model'!G13/G36</f>
        <v>0.7782492534967782</v>
      </c>
      <c r="H46" s="287">
        <f>'3 Statement model'!H13/H36</f>
        <v>0.74763363028953234</v>
      </c>
      <c r="I46" s="287">
        <f>'3 Statement model'!I13/I36</f>
        <v>0.75756831439975436</v>
      </c>
      <c r="J46" s="290">
        <v>0.77700000000000002</v>
      </c>
      <c r="K46" s="290">
        <v>0.77800000000000002</v>
      </c>
      <c r="L46" s="290">
        <v>0.77900000000000003</v>
      </c>
      <c r="M46" s="290">
        <v>0.78</v>
      </c>
      <c r="N46" s="291">
        <v>0.78</v>
      </c>
    </row>
    <row r="47" spans="2:14">
      <c r="B47" s="145" t="s">
        <v>302</v>
      </c>
      <c r="C47" s="159" t="s">
        <v>104</v>
      </c>
      <c r="D47" s="228"/>
      <c r="E47" s="288">
        <f>(1-E46)</f>
        <v>0.18023180101575731</v>
      </c>
      <c r="F47" s="288">
        <f>(1-F46)</f>
        <v>0.1898681615280805</v>
      </c>
      <c r="G47" s="288">
        <f>(1-G46)</f>
        <v>0.2217507465032218</v>
      </c>
      <c r="H47" s="288">
        <f>(1-H46)</f>
        <v>0.25236636971046766</v>
      </c>
      <c r="I47" s="288">
        <f>(1-I46)</f>
        <v>0.24243168560024564</v>
      </c>
      <c r="J47" s="207">
        <f>1-J46</f>
        <v>0.22299999999999998</v>
      </c>
      <c r="K47" s="207">
        <f t="shared" ref="K47:N47" si="7">1-K46</f>
        <v>0.22199999999999998</v>
      </c>
      <c r="L47" s="207">
        <f t="shared" si="7"/>
        <v>0.22099999999999997</v>
      </c>
      <c r="M47" s="207">
        <f t="shared" si="7"/>
        <v>0.21999999999999997</v>
      </c>
      <c r="N47" s="208">
        <f t="shared" si="7"/>
        <v>0.21999999999999997</v>
      </c>
    </row>
    <row r="48" spans="2:14">
      <c r="B48" s="266" t="s">
        <v>112</v>
      </c>
      <c r="C48" s="227" t="s">
        <v>256</v>
      </c>
      <c r="D48" s="267"/>
      <c r="E48" s="268">
        <f t="shared" ref="E48:N48" si="8">-E47*E36</f>
        <v>-1384.0000000000005</v>
      </c>
      <c r="F48" s="268">
        <f t="shared" si="8"/>
        <v>-1828.9999999999995</v>
      </c>
      <c r="G48" s="268">
        <f t="shared" si="8"/>
        <v>-2822.0000000000005</v>
      </c>
      <c r="H48" s="268">
        <f t="shared" si="8"/>
        <v>-3625.9999999999995</v>
      </c>
      <c r="I48" s="268">
        <f t="shared" si="8"/>
        <v>-3948.0000000000005</v>
      </c>
      <c r="J48" s="269">
        <f t="shared" si="8"/>
        <v>-4114.3719654999995</v>
      </c>
      <c r="K48" s="269">
        <f t="shared" si="8"/>
        <v>-4669.2128879336242</v>
      </c>
      <c r="L48" s="269">
        <f t="shared" si="8"/>
        <v>-5323.2996293094429</v>
      </c>
      <c r="M48" s="269">
        <f t="shared" si="8"/>
        <v>-6117.1094212622884</v>
      </c>
      <c r="N48" s="270">
        <f t="shared" si="8"/>
        <v>-7121.9984329148647</v>
      </c>
    </row>
    <row r="49" spans="2:14">
      <c r="B49" s="145"/>
      <c r="C49" s="159"/>
      <c r="D49" s="228"/>
      <c r="E49" s="197"/>
      <c r="F49" s="197"/>
      <c r="G49" s="197"/>
      <c r="H49" s="197"/>
      <c r="I49" s="197"/>
      <c r="J49" s="197"/>
      <c r="K49" s="197"/>
      <c r="L49" s="197"/>
      <c r="M49" s="197"/>
      <c r="N49" s="230"/>
    </row>
    <row r="50" spans="2:14" ht="15" thickBot="1">
      <c r="B50" s="186" t="s">
        <v>201</v>
      </c>
      <c r="C50" s="224"/>
      <c r="D50" s="224"/>
      <c r="E50" s="224"/>
      <c r="F50" s="224"/>
      <c r="G50" s="224"/>
      <c r="H50" s="224"/>
      <c r="I50" s="224"/>
      <c r="J50" s="224"/>
      <c r="K50" s="224"/>
      <c r="L50" s="224"/>
      <c r="M50" s="224"/>
      <c r="N50" s="225"/>
    </row>
    <row r="51" spans="2:14">
      <c r="B51" s="222" t="s">
        <v>111</v>
      </c>
      <c r="C51" s="159"/>
      <c r="D51" s="159"/>
      <c r="E51" s="289"/>
      <c r="F51" s="289"/>
      <c r="G51" s="289"/>
      <c r="H51" s="289"/>
      <c r="I51" s="289"/>
      <c r="J51" s="289"/>
      <c r="K51" s="289"/>
      <c r="L51" s="289"/>
      <c r="M51" s="289"/>
      <c r="N51" s="326"/>
    </row>
    <row r="52" spans="2:14">
      <c r="B52" s="144" t="s">
        <v>201</v>
      </c>
      <c r="C52" s="149" t="s">
        <v>104</v>
      </c>
      <c r="D52" s="165"/>
      <c r="E52" s="292">
        <f>-'3 Statement model'!E16/'3 Statement model'!E6</f>
        <v>0.26670139341060034</v>
      </c>
      <c r="F52" s="292">
        <f>-'3 Statement model'!F16/'3 Statement model'!F6</f>
        <v>0.27447316516142428</v>
      </c>
      <c r="G52" s="292">
        <f>-'3 Statement model'!G16/'3 Statement model'!G6</f>
        <v>0.27707056419927706</v>
      </c>
      <c r="H52" s="292">
        <f>-'3 Statement model'!H16/'3 Statement model'!H6</f>
        <v>0.26183184855233854</v>
      </c>
      <c r="I52" s="292">
        <f>-'3 Statement model'!I16/'3 Statement model'!I6</f>
        <v>0.2647835431378569</v>
      </c>
      <c r="J52" s="290">
        <v>0.27</v>
      </c>
      <c r="K52" s="290">
        <f>J52+0.5%</f>
        <v>0.27500000000000002</v>
      </c>
      <c r="L52" s="290">
        <f>K52-0.5%</f>
        <v>0.27</v>
      </c>
      <c r="M52" s="290">
        <f>L52-0.5%</f>
        <v>0.26500000000000001</v>
      </c>
      <c r="N52" s="291">
        <f>M52-0.5%</f>
        <v>0.26</v>
      </c>
    </row>
    <row r="53" spans="2:14">
      <c r="B53" s="266" t="s">
        <v>113</v>
      </c>
      <c r="C53" s="227" t="s">
        <v>256</v>
      </c>
      <c r="D53" s="267"/>
      <c r="E53" s="268">
        <f t="shared" ref="E53:N53" si="9">-E52*E36</f>
        <v>-2048</v>
      </c>
      <c r="F53" s="268">
        <f>-F52*F36</f>
        <v>-2644</v>
      </c>
      <c r="G53" s="268">
        <f>-G52*G36</f>
        <v>-3526</v>
      </c>
      <c r="H53" s="268">
        <f>-H52*H36</f>
        <v>-3762</v>
      </c>
      <c r="I53" s="268">
        <f>-I52*I36</f>
        <v>-4312</v>
      </c>
      <c r="J53" s="269">
        <f t="shared" si="9"/>
        <v>-4981.5265950000003</v>
      </c>
      <c r="K53" s="269">
        <f t="shared" si="9"/>
        <v>-5783.9348837015632</v>
      </c>
      <c r="L53" s="269">
        <f t="shared" si="9"/>
        <v>-6503.578732640497</v>
      </c>
      <c r="M53" s="269">
        <f t="shared" si="9"/>
        <v>-7368.3363483386665</v>
      </c>
      <c r="N53" s="270">
        <f t="shared" si="9"/>
        <v>-8416.9072388993864</v>
      </c>
    </row>
    <row r="54" spans="2:14">
      <c r="B54" s="145"/>
      <c r="C54" s="159"/>
      <c r="D54" s="228"/>
      <c r="E54" s="197"/>
      <c r="F54" s="197"/>
      <c r="G54" s="197"/>
      <c r="H54" s="197"/>
      <c r="I54" s="197"/>
      <c r="J54" s="202"/>
      <c r="K54" s="202"/>
      <c r="L54" s="202"/>
      <c r="M54" s="202"/>
      <c r="N54" s="203"/>
    </row>
    <row r="55" spans="2:14" ht="15" thickBot="1">
      <c r="B55" s="186" t="s">
        <v>200</v>
      </c>
      <c r="C55" s="224"/>
      <c r="D55" s="224"/>
      <c r="E55" s="224"/>
      <c r="F55" s="224"/>
      <c r="G55" s="224"/>
      <c r="H55" s="224"/>
      <c r="I55" s="224"/>
      <c r="J55" s="224"/>
      <c r="K55" s="224"/>
      <c r="L55" s="224"/>
      <c r="M55" s="224"/>
      <c r="N55" s="225"/>
    </row>
    <row r="56" spans="2:14">
      <c r="B56" s="222" t="s">
        <v>111</v>
      </c>
      <c r="C56" s="159"/>
      <c r="D56" s="159"/>
      <c r="E56" s="289"/>
      <c r="F56" s="289"/>
      <c r="G56" s="289"/>
      <c r="H56" s="289"/>
      <c r="I56" s="289"/>
      <c r="J56" s="289"/>
      <c r="K56" s="289"/>
      <c r="L56" s="289"/>
      <c r="M56" s="289"/>
      <c r="N56" s="326"/>
    </row>
    <row r="57" spans="2:14">
      <c r="B57" s="144" t="s">
        <v>200</v>
      </c>
      <c r="C57" s="149" t="s">
        <v>104</v>
      </c>
      <c r="D57" s="165"/>
      <c r="E57" s="293">
        <f>-('3 Statement model'!E17/Schedules!E36)</f>
        <v>0.18127360333376741</v>
      </c>
      <c r="F57" s="293">
        <f>-('3 Statement model'!F17/Schedules!F36)</f>
        <v>0.17419287864631994</v>
      </c>
      <c r="G57" s="293">
        <f>-('3 Statement model'!G17/Schedules!G36)</f>
        <v>0.18442558541568443</v>
      </c>
      <c r="H57" s="293">
        <f>-('3 Statement model'!H17/Schedules!H36)</f>
        <v>0.17671213808463251</v>
      </c>
      <c r="I57" s="293">
        <f>-('3 Statement model'!I17/Schedules!I36)</f>
        <v>0.16911268038071844</v>
      </c>
      <c r="J57" s="290">
        <v>0.17899999999999999</v>
      </c>
      <c r="K57" s="290">
        <f>J57+0.5%</f>
        <v>0.184</v>
      </c>
      <c r="L57" s="290">
        <f>K57+0.7%</f>
        <v>0.191</v>
      </c>
      <c r="M57" s="290">
        <f>L57+0.7%</f>
        <v>0.19800000000000001</v>
      </c>
      <c r="N57" s="291">
        <f>M57+0.7%</f>
        <v>0.20500000000000002</v>
      </c>
    </row>
    <row r="58" spans="2:14">
      <c r="B58" s="266" t="s">
        <v>244</v>
      </c>
      <c r="C58" s="227" t="s">
        <v>256</v>
      </c>
      <c r="D58" s="267"/>
      <c r="E58" s="268">
        <f>-E57*E36</f>
        <v>-1392</v>
      </c>
      <c r="F58" s="268">
        <f t="shared" ref="F58:J58" si="10">-F57*F36</f>
        <v>-1678</v>
      </c>
      <c r="G58" s="268">
        <f t="shared" si="10"/>
        <v>-2347</v>
      </c>
      <c r="H58" s="268">
        <f t="shared" si="10"/>
        <v>-2539</v>
      </c>
      <c r="I58" s="268">
        <f t="shared" si="10"/>
        <v>-2754</v>
      </c>
      <c r="J58" s="269">
        <f t="shared" si="10"/>
        <v>-3302.5676315000001</v>
      </c>
      <c r="K58" s="269">
        <f t="shared" ref="K58" si="11">-K57*K36</f>
        <v>-3869.9782494585002</v>
      </c>
      <c r="L58" s="269">
        <f t="shared" ref="L58" si="12">-L57*L36</f>
        <v>-4600.6797701271662</v>
      </c>
      <c r="M58" s="269">
        <f t="shared" ref="M58" si="13">-M57*M36</f>
        <v>-5505.3984791360599</v>
      </c>
      <c r="N58" s="270">
        <f t="shared" ref="N58" si="14">-N57*N36</f>
        <v>-6636.4076306706711</v>
      </c>
    </row>
    <row r="59" spans="2:14">
      <c r="B59" s="222"/>
      <c r="C59" s="228"/>
      <c r="D59" s="229"/>
      <c r="E59" s="182"/>
      <c r="F59" s="182"/>
      <c r="G59" s="182"/>
      <c r="H59" s="182"/>
      <c r="I59" s="182"/>
      <c r="J59" s="182"/>
      <c r="K59" s="182"/>
      <c r="L59" s="182"/>
      <c r="M59" s="182"/>
      <c r="N59" s="209"/>
    </row>
    <row r="60" spans="2:14" ht="15" thickBot="1">
      <c r="B60" s="186" t="s">
        <v>243</v>
      </c>
      <c r="C60" s="224"/>
      <c r="D60" s="224"/>
      <c r="E60" s="224"/>
      <c r="F60" s="224"/>
      <c r="G60" s="224"/>
      <c r="H60" s="224"/>
      <c r="I60" s="224"/>
      <c r="J60" s="224"/>
      <c r="K60" s="224"/>
      <c r="L60" s="224"/>
      <c r="M60" s="224"/>
      <c r="N60" s="225"/>
    </row>
    <row r="61" spans="2:14">
      <c r="B61" s="222" t="s">
        <v>111</v>
      </c>
      <c r="C61" s="159"/>
      <c r="D61" s="159"/>
      <c r="E61" s="159"/>
      <c r="F61" s="159"/>
      <c r="G61" s="159"/>
      <c r="H61" s="159"/>
      <c r="I61" s="159"/>
      <c r="J61" s="159"/>
      <c r="K61" s="159"/>
      <c r="L61" s="159"/>
      <c r="M61" s="159"/>
      <c r="N61" s="153"/>
    </row>
    <row r="62" spans="2:14">
      <c r="B62" s="144" t="s">
        <v>243</v>
      </c>
      <c r="C62" s="149" t="s">
        <v>104</v>
      </c>
      <c r="D62" s="165"/>
      <c r="E62" s="294">
        <f>-'3 Statement model'!E18/Schedules!E36</f>
        <v>8.8422971741112119E-2</v>
      </c>
      <c r="F62" s="294">
        <f>-'3 Statement model'!F18/Schedules!F36</f>
        <v>0.1019412436416485</v>
      </c>
      <c r="G62" s="294">
        <f>-'3 Statement model'!G18/Schedules!G36</f>
        <v>0.11472575829011472</v>
      </c>
      <c r="H62" s="294">
        <f>-'3 Statement model'!H18/Schedules!H36</f>
        <v>9.0478841870824056E-2</v>
      </c>
      <c r="I62" s="294">
        <f>-'3 Statement model'!I18/Schedules!I36</f>
        <v>0.10076757752533005</v>
      </c>
      <c r="J62" s="290">
        <f>I62-0.6%</f>
        <v>9.4767577525330049E-2</v>
      </c>
      <c r="K62" s="290">
        <f>J62-0.5%</f>
        <v>8.9767577525330045E-2</v>
      </c>
      <c r="L62" s="290">
        <f>K62-0.5%</f>
        <v>8.476757752533004E-2</v>
      </c>
      <c r="M62" s="290">
        <v>8.476757752533004E-2</v>
      </c>
      <c r="N62" s="291">
        <v>8.476757752533004E-2</v>
      </c>
    </row>
    <row r="63" spans="2:14">
      <c r="B63" s="266" t="s">
        <v>114</v>
      </c>
      <c r="C63" s="227" t="s">
        <v>256</v>
      </c>
      <c r="D63" s="267"/>
      <c r="E63" s="268">
        <f t="shared" ref="E63:N63" si="15">-E62*E36</f>
        <v>-679</v>
      </c>
      <c r="F63" s="268">
        <f t="shared" si="15"/>
        <v>-982</v>
      </c>
      <c r="G63" s="268">
        <f t="shared" si="15"/>
        <v>-1460</v>
      </c>
      <c r="H63" s="268">
        <f t="shared" si="15"/>
        <v>-1300</v>
      </c>
      <c r="I63" s="268">
        <f t="shared" si="15"/>
        <v>-1641</v>
      </c>
      <c r="J63" s="269">
        <f t="shared" si="15"/>
        <v>-1748.4711399487257</v>
      </c>
      <c r="K63" s="269">
        <f t="shared" si="15"/>
        <v>-1888.035720269603</v>
      </c>
      <c r="L63" s="269">
        <f t="shared" si="15"/>
        <v>-2041.8244978192258</v>
      </c>
      <c r="M63" s="269">
        <f t="shared" si="15"/>
        <v>-2356.9661231717173</v>
      </c>
      <c r="N63" s="270">
        <f t="shared" si="15"/>
        <v>-2744.157064988136</v>
      </c>
    </row>
    <row r="64" spans="2:14">
      <c r="B64" s="222"/>
      <c r="C64" s="228"/>
      <c r="D64" s="229"/>
      <c r="E64" s="182"/>
      <c r="F64" s="182"/>
      <c r="G64" s="182"/>
      <c r="H64" s="182"/>
      <c r="I64" s="182"/>
      <c r="J64" s="182"/>
      <c r="K64" s="182"/>
      <c r="L64" s="182"/>
      <c r="M64" s="182"/>
      <c r="N64" s="209"/>
    </row>
    <row r="65" spans="2:14">
      <c r="B65" s="278" t="s">
        <v>115</v>
      </c>
      <c r="C65" s="272" t="s">
        <v>256</v>
      </c>
      <c r="D65" s="272"/>
      <c r="E65" s="279">
        <f>E63+E53+E58</f>
        <v>-4119</v>
      </c>
      <c r="F65" s="279">
        <f t="shared" ref="F65:H65" si="16">F63+F53+F58</f>
        <v>-5304</v>
      </c>
      <c r="G65" s="279">
        <f t="shared" si="16"/>
        <v>-7333</v>
      </c>
      <c r="H65" s="279">
        <f t="shared" si="16"/>
        <v>-7601</v>
      </c>
      <c r="I65" s="279">
        <f t="shared" ref="I65:N65" si="17">I63+I53+I58</f>
        <v>-8707</v>
      </c>
      <c r="J65" s="239">
        <f t="shared" si="17"/>
        <v>-10032.565366448725</v>
      </c>
      <c r="K65" s="239">
        <f t="shared" si="17"/>
        <v>-11541.948853429667</v>
      </c>
      <c r="L65" s="239">
        <f t="shared" si="17"/>
        <v>-13146.083000586888</v>
      </c>
      <c r="M65" s="239">
        <f t="shared" si="17"/>
        <v>-15230.700950646444</v>
      </c>
      <c r="N65" s="240">
        <f t="shared" si="17"/>
        <v>-17797.471934558194</v>
      </c>
    </row>
    <row r="66" spans="2:14">
      <c r="B66" s="154"/>
      <c r="C66" s="228"/>
      <c r="D66" s="228"/>
      <c r="E66" s="228"/>
      <c r="F66" s="228"/>
      <c r="G66" s="228"/>
      <c r="H66" s="228"/>
      <c r="I66" s="228"/>
      <c r="J66" s="228"/>
      <c r="K66" s="228"/>
      <c r="L66" s="228"/>
      <c r="M66" s="228"/>
      <c r="N66" s="231"/>
    </row>
    <row r="67" spans="2:14" ht="12.75" customHeight="1" thickBot="1">
      <c r="B67" s="232" t="s">
        <v>10</v>
      </c>
      <c r="C67" s="233"/>
      <c r="D67" s="233"/>
      <c r="E67" s="233"/>
      <c r="F67" s="233"/>
      <c r="G67" s="233"/>
      <c r="H67" s="233"/>
      <c r="I67" s="233"/>
      <c r="J67" s="233"/>
      <c r="K67" s="233"/>
      <c r="L67" s="233"/>
      <c r="M67" s="233"/>
      <c r="N67" s="234"/>
    </row>
    <row r="68" spans="2:14">
      <c r="B68" s="235" t="s">
        <v>116</v>
      </c>
      <c r="C68" s="236"/>
      <c r="D68" s="236"/>
      <c r="E68" s="237"/>
      <c r="F68" s="237"/>
      <c r="G68" s="237"/>
      <c r="H68" s="237"/>
      <c r="I68" s="237"/>
      <c r="J68" s="237"/>
      <c r="K68" s="237"/>
      <c r="L68" s="237"/>
      <c r="M68" s="237"/>
      <c r="N68" s="238"/>
    </row>
    <row r="69" spans="2:14">
      <c r="B69" s="280" t="s">
        <v>117</v>
      </c>
      <c r="C69" s="281" t="s">
        <v>104</v>
      </c>
      <c r="D69" s="281"/>
      <c r="E69" s="295">
        <f t="shared" ref="E69:N69" si="18">E70/E36</f>
        <v>0.32165646568563616</v>
      </c>
      <c r="F69" s="295">
        <f t="shared" si="18"/>
        <v>0.29720751583099764</v>
      </c>
      <c r="G69" s="295">
        <f t="shared" si="18"/>
        <v>0.27298444130127297</v>
      </c>
      <c r="H69" s="295">
        <f t="shared" si="18"/>
        <v>0.28326837416481071</v>
      </c>
      <c r="I69" s="295">
        <f t="shared" si="18"/>
        <v>0.29186367823150139</v>
      </c>
      <c r="J69" s="290">
        <f t="shared" si="18"/>
        <v>0.29369525632891741</v>
      </c>
      <c r="K69" s="290">
        <f t="shared" si="18"/>
        <v>0.28985106320048692</v>
      </c>
      <c r="L69" s="290">
        <f t="shared" si="18"/>
        <v>0.28887854463441376</v>
      </c>
      <c r="M69" s="290">
        <f t="shared" si="18"/>
        <v>0.28735958625814534</v>
      </c>
      <c r="N69" s="291">
        <f t="shared" si="18"/>
        <v>0.28269527092738639</v>
      </c>
    </row>
    <row r="70" spans="2:14">
      <c r="B70" s="283" t="s">
        <v>118</v>
      </c>
      <c r="C70" s="284" t="s">
        <v>256</v>
      </c>
      <c r="D70" s="284"/>
      <c r="E70" s="285">
        <f>'3 Statement model'!E37</f>
        <v>2470</v>
      </c>
      <c r="F70" s="285">
        <f>'3 Statement model'!F37</f>
        <v>2863</v>
      </c>
      <c r="G70" s="285">
        <f>'3 Statement model'!G37</f>
        <v>3474</v>
      </c>
      <c r="H70" s="285">
        <f>'3 Statement model'!H37</f>
        <v>4070</v>
      </c>
      <c r="I70" s="286">
        <f>'3 Statement model'!I37</f>
        <v>4753</v>
      </c>
      <c r="J70" s="269">
        <f>'3 Statement model'!J37</f>
        <v>5418.7064082512743</v>
      </c>
      <c r="K70" s="269">
        <f>'3 Statement model'!K37</f>
        <v>6096.2897291755726</v>
      </c>
      <c r="L70" s="269">
        <f>'3 Statement model'!L37</f>
        <v>6958.3124414833765</v>
      </c>
      <c r="M70" s="269">
        <f>'3 Statement model'!M37</f>
        <v>7990.0456017715196</v>
      </c>
      <c r="N70" s="270">
        <f>'3 Statement model'!N37</f>
        <v>9151.6148933513141</v>
      </c>
    </row>
    <row r="72" spans="2:14">
      <c r="B72" s="263" t="s">
        <v>119</v>
      </c>
      <c r="C72" s="220"/>
      <c r="D72" s="220"/>
      <c r="E72" s="220"/>
      <c r="F72" s="220"/>
      <c r="G72" s="220"/>
      <c r="H72" s="220"/>
      <c r="I72" s="220"/>
      <c r="J72" s="220"/>
      <c r="K72" s="220"/>
      <c r="L72" s="220"/>
      <c r="M72" s="220"/>
      <c r="N72" s="221"/>
    </row>
    <row r="73" spans="2:14" ht="4.5" customHeight="1">
      <c r="B73" s="145"/>
      <c r="C73" s="159"/>
      <c r="D73" s="159"/>
      <c r="E73" s="197"/>
      <c r="F73" s="197"/>
      <c r="G73" s="197"/>
      <c r="H73" s="197"/>
      <c r="I73" s="197"/>
      <c r="J73" s="197"/>
      <c r="K73" s="197"/>
      <c r="L73" s="197"/>
      <c r="M73" s="197"/>
      <c r="N73" s="230"/>
    </row>
    <row r="74" spans="2:14" ht="15" thickBot="1">
      <c r="B74" s="186" t="s">
        <v>120</v>
      </c>
      <c r="C74" s="224"/>
      <c r="D74" s="224"/>
      <c r="E74" s="163">
        <v>44043</v>
      </c>
      <c r="F74" s="163">
        <v>44408</v>
      </c>
      <c r="G74" s="163">
        <v>44773</v>
      </c>
      <c r="H74" s="163">
        <v>45138</v>
      </c>
      <c r="I74" s="163">
        <v>45504</v>
      </c>
      <c r="J74" s="163">
        <v>45869</v>
      </c>
      <c r="K74" s="163">
        <v>46234</v>
      </c>
      <c r="L74" s="163">
        <v>46599</v>
      </c>
      <c r="M74" s="163">
        <v>46965</v>
      </c>
      <c r="N74" s="187">
        <v>47330</v>
      </c>
    </row>
    <row r="75" spans="2:14">
      <c r="B75" s="222" t="s">
        <v>245</v>
      </c>
      <c r="C75" s="159"/>
      <c r="D75" s="159"/>
      <c r="E75" s="273"/>
      <c r="F75" s="273"/>
      <c r="G75" s="273"/>
      <c r="H75" s="273"/>
      <c r="I75" s="273"/>
      <c r="J75" s="159"/>
      <c r="K75" s="159"/>
      <c r="L75" s="159"/>
      <c r="M75" s="159"/>
      <c r="N75" s="153"/>
    </row>
    <row r="76" spans="2:14">
      <c r="B76" s="304" t="s">
        <v>121</v>
      </c>
      <c r="C76" s="149" t="s">
        <v>104</v>
      </c>
      <c r="D76" s="149"/>
      <c r="E76" s="305">
        <f>'3 Statement model'!E85/'3 Statement model'!E$6</f>
        <v>1.9403568172939183E-2</v>
      </c>
      <c r="F76" s="305">
        <f>'3 Statement model'!F85/'3 Statement model'!F$6</f>
        <v>5.4292536073912594E-2</v>
      </c>
      <c r="G76" s="305">
        <f>'3 Statement model'!G85/'3 Statement model'!G$6</f>
        <v>7.5043218607575041E-2</v>
      </c>
      <c r="H76" s="305">
        <f>'3 Statement model'!H85/'3 Statement model'!H$6</f>
        <v>7.6002227171492201E-2</v>
      </c>
      <c r="I76" s="305">
        <f>'3 Statement model'!I85/'3 Statement model'!I$6</f>
        <v>7.6082284310715384E-2</v>
      </c>
      <c r="J76" s="290">
        <v>8.6099999999999996E-2</v>
      </c>
      <c r="K76" s="290">
        <v>9.2999999999999999E-2</v>
      </c>
      <c r="L76" s="290">
        <v>9.8000000000000004E-2</v>
      </c>
      <c r="M76" s="290">
        <v>0.10100000000000001</v>
      </c>
      <c r="N76" s="291">
        <v>0.10299999999999999</v>
      </c>
    </row>
    <row r="77" spans="2:14">
      <c r="B77" s="253" t="s">
        <v>263</v>
      </c>
      <c r="C77" s="159" t="s">
        <v>104</v>
      </c>
      <c r="D77" s="159"/>
      <c r="E77" s="302">
        <f>'3 Statement model'!E86/'3 Statement model'!E$6</f>
        <v>4.2453444458913921E-2</v>
      </c>
      <c r="F77" s="302">
        <f>'3 Statement model'!F86/'3 Statement model'!F$6</f>
        <v>3.1869614865566283E-2</v>
      </c>
      <c r="G77" s="302">
        <f>'3 Statement model'!G86/'3 Statement model'!G$6</f>
        <v>2.986012887002986E-2</v>
      </c>
      <c r="H77" s="302">
        <f>'3 Statement model'!H86/'3 Statement model'!H$6</f>
        <v>2.6656458797327393E-2</v>
      </c>
      <c r="I77" s="302">
        <f>'3 Statement model'!I86/'3 Statement model'!I$6</f>
        <v>2.7264353699723673E-2</v>
      </c>
      <c r="J77" s="207">
        <v>2.6700000000000002E-2</v>
      </c>
      <c r="K77" s="207">
        <v>2.5000000000000001E-2</v>
      </c>
      <c r="L77" s="207">
        <v>2.4E-2</v>
      </c>
      <c r="M77" s="207">
        <v>2.35E-2</v>
      </c>
      <c r="N77" s="208">
        <v>2.3E-2</v>
      </c>
    </row>
    <row r="78" spans="2:14">
      <c r="B78" s="253" t="s">
        <v>122</v>
      </c>
      <c r="C78" s="159" t="s">
        <v>104</v>
      </c>
      <c r="D78" s="159"/>
      <c r="E78" s="303">
        <f>'3 Statement model'!E100/'3 Statement model'!E$6</f>
        <v>0.10326865477275687</v>
      </c>
      <c r="F78" s="303">
        <f>'3 Statement model'!F100/'3 Statement model'!F$6</f>
        <v>0.12062701131527043</v>
      </c>
      <c r="G78" s="303">
        <f>'3 Statement model'!G100/'3 Statement model'!G$6</f>
        <v>0.10411755461260412</v>
      </c>
      <c r="H78" s="303">
        <f>'3 Statement model'!H100/'3 Statement model'!H$6</f>
        <v>0.14038140311804009</v>
      </c>
      <c r="I78" s="303">
        <f>'3 Statement model'!I100/'3 Statement model'!I$6</f>
        <v>0.10248695118206939</v>
      </c>
      <c r="J78" s="207">
        <v>0.112</v>
      </c>
      <c r="K78" s="207">
        <f>J78+0.69%</f>
        <v>0.11890000000000001</v>
      </c>
      <c r="L78" s="207">
        <f>0.5%+K78</f>
        <v>0.12390000000000001</v>
      </c>
      <c r="M78" s="207">
        <f>12.59%</f>
        <v>0.12590000000000001</v>
      </c>
      <c r="N78" s="208">
        <v>0.12889999999999999</v>
      </c>
    </row>
    <row r="79" spans="2:14">
      <c r="B79" s="253" t="s">
        <v>266</v>
      </c>
      <c r="C79" s="159" t="s">
        <v>104</v>
      </c>
      <c r="D79" s="159"/>
      <c r="E79" s="303">
        <f>'3 Statement model'!E101/'3 Statement model'!E$6</f>
        <v>4.5448626123193121E-2</v>
      </c>
      <c r="F79" s="303">
        <f>'3 Statement model'!F101/'3 Statement model'!F$6</f>
        <v>4.526108169832866E-2</v>
      </c>
      <c r="G79" s="303">
        <f>'3 Statement model'!G101/'3 Statement model'!G$6</f>
        <v>5.3041018387553041E-2</v>
      </c>
      <c r="H79" s="303">
        <f>'3 Statement model'!H101/'3 Statement model'!H$6</f>
        <v>3.8488307349665928E-2</v>
      </c>
      <c r="I79" s="303">
        <f>'3 Statement model'!I101/'3 Statement model'!I$6</f>
        <v>3.9238563094872579E-2</v>
      </c>
      <c r="J79" s="207">
        <v>4.7E-2</v>
      </c>
      <c r="K79" s="207">
        <v>4.8000000000000001E-2</v>
      </c>
      <c r="L79" s="207">
        <v>0.05</v>
      </c>
      <c r="M79" s="207">
        <v>5.5E-2</v>
      </c>
      <c r="N79" s="208">
        <v>6.5000000000000002E-2</v>
      </c>
    </row>
    <row r="80" spans="2:14">
      <c r="B80" s="253" t="s">
        <v>121</v>
      </c>
      <c r="C80" s="159" t="s">
        <v>256</v>
      </c>
      <c r="D80" s="159"/>
      <c r="E80" s="243">
        <f>E76*'3 Statement model'!E$6</f>
        <v>149</v>
      </c>
      <c r="F80" s="243">
        <f>F76*'3 Statement model'!F$6</f>
        <v>523</v>
      </c>
      <c r="G80" s="243">
        <f>G76*'3 Statement model'!G$6</f>
        <v>955</v>
      </c>
      <c r="H80" s="243">
        <f>H76*'3 Statement model'!H$6</f>
        <v>1092</v>
      </c>
      <c r="I80" s="243">
        <f>I76*'3 Statement model'!I$6</f>
        <v>1239</v>
      </c>
      <c r="J80" s="274">
        <f>J76*J$36</f>
        <v>1588.5534808499999</v>
      </c>
      <c r="K80" s="274">
        <f>K76*K$36</f>
        <v>1956.0216152154376</v>
      </c>
      <c r="L80" s="274">
        <f>L76*L$36</f>
        <v>2360.5582066621064</v>
      </c>
      <c r="M80" s="274">
        <f>M76*M$36</f>
        <v>2808.3093252158692</v>
      </c>
      <c r="N80" s="275">
        <f>N76*N$36</f>
        <v>3334.3901754101416</v>
      </c>
    </row>
    <row r="81" spans="2:15">
      <c r="B81" s="253" t="s">
        <v>263</v>
      </c>
      <c r="C81" s="159" t="s">
        <v>256</v>
      </c>
      <c r="D81" s="159"/>
      <c r="E81" s="243">
        <f>E77*'3 Statement model'!E$6</f>
        <v>326</v>
      </c>
      <c r="F81" s="243">
        <f>F77*'3 Statement model'!F$6</f>
        <v>307</v>
      </c>
      <c r="G81" s="243">
        <f>G77*'3 Statement model'!G$6</f>
        <v>380</v>
      </c>
      <c r="H81" s="243">
        <f>H77*'3 Statement model'!H$6</f>
        <v>383</v>
      </c>
      <c r="I81" s="243">
        <f>I77*'3 Statement model'!I$6</f>
        <v>444</v>
      </c>
      <c r="J81" s="274">
        <f>J77*J$36</f>
        <v>492.61762995000004</v>
      </c>
      <c r="K81" s="274">
        <f t="shared" ref="K81:N81" si="19">K77*K$36</f>
        <v>525.81226215468757</v>
      </c>
      <c r="L81" s="274">
        <f t="shared" si="19"/>
        <v>578.09588734582189</v>
      </c>
      <c r="M81" s="274">
        <f t="shared" si="19"/>
        <v>653.41850636210813</v>
      </c>
      <c r="N81" s="275">
        <f t="shared" si="19"/>
        <v>744.57256344109953</v>
      </c>
    </row>
    <row r="82" spans="2:15">
      <c r="B82" s="253" t="s">
        <v>122</v>
      </c>
      <c r="C82" s="159" t="s">
        <v>256</v>
      </c>
      <c r="D82" s="159"/>
      <c r="E82" s="243">
        <f>E78*E36</f>
        <v>793</v>
      </c>
      <c r="F82" s="243">
        <f>F78*F36</f>
        <v>1162</v>
      </c>
      <c r="G82" s="243">
        <f>G78*G36</f>
        <v>1325</v>
      </c>
      <c r="H82" s="243">
        <f>H78*H36</f>
        <v>2017</v>
      </c>
      <c r="I82" s="243">
        <f>I78*I36</f>
        <v>1669</v>
      </c>
      <c r="J82" s="274">
        <f>J78*J$36</f>
        <v>2066.411032</v>
      </c>
      <c r="K82" s="274">
        <f>K78*K$36</f>
        <v>2500.7631188076939</v>
      </c>
      <c r="L82" s="274">
        <f>L78*L$36</f>
        <v>2984.4200184228057</v>
      </c>
      <c r="M82" s="274">
        <f>M78*M$36</f>
        <v>3500.6548915314647</v>
      </c>
      <c r="N82" s="275">
        <f>N78*N$36</f>
        <v>4172.8436272851186</v>
      </c>
    </row>
    <row r="83" spans="2:15">
      <c r="B83" s="253" t="s">
        <v>266</v>
      </c>
      <c r="C83" s="159" t="s">
        <v>256</v>
      </c>
      <c r="D83" s="159"/>
      <c r="E83" s="243">
        <f>E79*E36</f>
        <v>349</v>
      </c>
      <c r="F83" s="243">
        <f t="shared" ref="F83:I83" si="20">F79*F36</f>
        <v>436</v>
      </c>
      <c r="G83" s="243">
        <f t="shared" si="20"/>
        <v>675</v>
      </c>
      <c r="H83" s="243">
        <f t="shared" si="20"/>
        <v>553</v>
      </c>
      <c r="I83" s="243">
        <f t="shared" si="20"/>
        <v>639</v>
      </c>
      <c r="J83" s="274">
        <f>J79*J$36</f>
        <v>867.15462950000006</v>
      </c>
      <c r="K83" s="274">
        <f t="shared" ref="K83:N83" si="21">K79*K$36</f>
        <v>1009.559543337</v>
      </c>
      <c r="L83" s="274">
        <f t="shared" si="21"/>
        <v>1204.3664319704624</v>
      </c>
      <c r="M83" s="274">
        <f t="shared" si="21"/>
        <v>1529.2773553155723</v>
      </c>
      <c r="N83" s="275">
        <f t="shared" si="21"/>
        <v>2104.2268097248466</v>
      </c>
    </row>
    <row r="84" spans="2:15">
      <c r="B84" s="311" t="s">
        <v>246</v>
      </c>
      <c r="C84" s="271" t="s">
        <v>104</v>
      </c>
      <c r="D84" s="312"/>
      <c r="E84" s="313">
        <f>(E80+E81)-(E82+E83)</f>
        <v>-667</v>
      </c>
      <c r="F84" s="313">
        <f t="shared" ref="F84:I84" si="22">(F80+F81)-(F82+F83)</f>
        <v>-768</v>
      </c>
      <c r="G84" s="313">
        <f t="shared" si="22"/>
        <v>-665</v>
      </c>
      <c r="H84" s="313">
        <f t="shared" si="22"/>
        <v>-1095</v>
      </c>
      <c r="I84" s="313">
        <f t="shared" si="22"/>
        <v>-625</v>
      </c>
      <c r="J84" s="314">
        <f t="shared" ref="J84" si="23">(J80+J81)-(J82+J83)</f>
        <v>-852.39455069999985</v>
      </c>
      <c r="K84" s="314">
        <f t="shared" ref="K84" si="24">(K80+K81)-(K82+K83)</f>
        <v>-1028.4887847745686</v>
      </c>
      <c r="L84" s="314">
        <f t="shared" ref="L84" si="25">(L80+L81)-(L82+L83)</f>
        <v>-1250.1323563853393</v>
      </c>
      <c r="M84" s="314">
        <f t="shared" ref="M84" si="26">(M80+M81)-(M82+M83)</f>
        <v>-1568.2044152690601</v>
      </c>
      <c r="N84" s="315">
        <f t="shared" ref="N84" si="27">(N80+N81)-(N82+N83)</f>
        <v>-2198.1076981587235</v>
      </c>
    </row>
    <row r="85" spans="2:15">
      <c r="B85" s="277" t="s">
        <v>123</v>
      </c>
      <c r="C85" s="226" t="s">
        <v>104</v>
      </c>
      <c r="D85" s="242"/>
      <c r="E85" s="308">
        <f t="shared" ref="E85:N85" si="28">(E84/E36)</f>
        <v>-8.6860268264096888E-2</v>
      </c>
      <c r="F85" s="308">
        <f t="shared" si="28"/>
        <v>-7.9725942074120218E-2</v>
      </c>
      <c r="G85" s="308">
        <f t="shared" si="28"/>
        <v>-5.2255225522552254E-2</v>
      </c>
      <c r="H85" s="308">
        <f t="shared" si="28"/>
        <v>-7.621102449888642E-2</v>
      </c>
      <c r="I85" s="308">
        <f t="shared" si="28"/>
        <v>-3.8378876266502916E-2</v>
      </c>
      <c r="J85" s="309">
        <f t="shared" si="28"/>
        <v>-4.6199999999999991E-2</v>
      </c>
      <c r="K85" s="309">
        <f t="shared" si="28"/>
        <v>-4.8899999999999992E-2</v>
      </c>
      <c r="L85" s="309">
        <f t="shared" si="28"/>
        <v>-5.1899999999999974E-2</v>
      </c>
      <c r="M85" s="309">
        <f t="shared" si="28"/>
        <v>-5.640000000000002E-2</v>
      </c>
      <c r="N85" s="310">
        <f t="shared" si="28"/>
        <v>-6.7899999999999974E-2</v>
      </c>
    </row>
    <row r="86" spans="2:15">
      <c r="B86" s="244"/>
      <c r="C86" s="159"/>
      <c r="D86" s="159"/>
      <c r="E86" s="245"/>
      <c r="F86" s="245"/>
      <c r="G86" s="245"/>
      <c r="H86" s="245"/>
      <c r="I86" s="245"/>
      <c r="J86" s="245"/>
      <c r="K86" s="245"/>
      <c r="L86" s="245"/>
      <c r="M86" s="245"/>
      <c r="N86" s="245"/>
    </row>
    <row r="87" spans="2:15">
      <c r="B87" s="263" t="s">
        <v>124</v>
      </c>
      <c r="C87" s="220"/>
      <c r="D87" s="220"/>
      <c r="E87" s="220"/>
      <c r="F87" s="220"/>
      <c r="G87" s="220"/>
      <c r="H87" s="220"/>
      <c r="I87" s="220"/>
      <c r="J87" s="220"/>
      <c r="K87" s="220"/>
      <c r="L87" s="220"/>
      <c r="M87" s="220"/>
      <c r="N87" s="221"/>
    </row>
    <row r="88" spans="2:15" ht="4.5" customHeight="1">
      <c r="B88" s="316"/>
      <c r="C88" s="159"/>
      <c r="D88" s="159"/>
      <c r="E88" s="245"/>
      <c r="F88" s="245"/>
      <c r="G88" s="245"/>
      <c r="H88" s="245"/>
      <c r="I88" s="245"/>
      <c r="J88" s="245"/>
      <c r="K88" s="245"/>
      <c r="L88" s="245"/>
      <c r="M88" s="245"/>
      <c r="N88" s="317"/>
    </row>
    <row r="89" spans="2:15" ht="15" thickBot="1">
      <c r="B89" s="186" t="s">
        <v>303</v>
      </c>
      <c r="C89" s="224"/>
      <c r="D89" s="224"/>
      <c r="E89" s="163">
        <v>44043</v>
      </c>
      <c r="F89" s="163">
        <v>44408</v>
      </c>
      <c r="G89" s="163">
        <v>44773</v>
      </c>
      <c r="H89" s="163">
        <v>45138</v>
      </c>
      <c r="I89" s="163">
        <v>45504</v>
      </c>
      <c r="J89" s="163">
        <v>45869</v>
      </c>
      <c r="K89" s="163">
        <v>46234</v>
      </c>
      <c r="L89" s="163">
        <v>46599</v>
      </c>
      <c r="M89" s="163">
        <v>46965</v>
      </c>
      <c r="N89" s="187">
        <v>47330</v>
      </c>
    </row>
    <row r="90" spans="2:15">
      <c r="B90" s="320" t="s">
        <v>300</v>
      </c>
      <c r="C90" s="159" t="s">
        <v>256</v>
      </c>
      <c r="D90" s="159"/>
      <c r="E90" s="245"/>
      <c r="F90" s="245">
        <f t="shared" ref="F90:N90" si="29">E93</f>
        <v>960</v>
      </c>
      <c r="G90" s="245">
        <f t="shared" si="29"/>
        <v>1160</v>
      </c>
      <c r="H90" s="245">
        <f t="shared" si="29"/>
        <v>1437</v>
      </c>
      <c r="I90" s="245">
        <f t="shared" si="29"/>
        <v>1438</v>
      </c>
      <c r="J90" s="246">
        <f t="shared" si="29"/>
        <v>1420</v>
      </c>
      <c r="K90" s="246">
        <f t="shared" si="29"/>
        <v>1360.9596848000001</v>
      </c>
      <c r="L90" s="246">
        <f t="shared" si="29"/>
        <v>1293.6557152442001</v>
      </c>
      <c r="M90" s="246">
        <f t="shared" si="29"/>
        <v>1216.5762635980905</v>
      </c>
      <c r="N90" s="255">
        <f t="shared" si="29"/>
        <v>1127.600126561548</v>
      </c>
    </row>
    <row r="91" spans="2:15">
      <c r="B91" s="318" t="s">
        <v>125</v>
      </c>
      <c r="C91" s="149" t="s">
        <v>256</v>
      </c>
      <c r="D91" s="149"/>
      <c r="E91" s="150"/>
      <c r="F91" s="150">
        <f>F93+F92-F90</f>
        <v>366</v>
      </c>
      <c r="G91" s="150">
        <f>G93+G92-G90</f>
        <v>464</v>
      </c>
      <c r="H91" s="150">
        <f>H93+H92-H90</f>
        <v>161</v>
      </c>
      <c r="I91" s="150">
        <f>I93+I92-I90</f>
        <v>141</v>
      </c>
      <c r="J91" s="247">
        <f>J94*J36</f>
        <v>184.50098500000001</v>
      </c>
      <c r="K91" s="247">
        <f>K94*K36</f>
        <v>210.32490486187501</v>
      </c>
      <c r="L91" s="247">
        <f>L94*L36</f>
        <v>240.87328639409247</v>
      </c>
      <c r="M91" s="247">
        <f>M94*M36</f>
        <v>278.05042823919496</v>
      </c>
      <c r="N91" s="319">
        <f>N94*N36</f>
        <v>323.72720149613025</v>
      </c>
    </row>
    <row r="92" spans="2:15">
      <c r="B92" s="316" t="s">
        <v>126</v>
      </c>
      <c r="C92" s="159" t="s">
        <v>256</v>
      </c>
      <c r="D92" s="159"/>
      <c r="E92" s="245">
        <f>'3 Statement model'!E45</f>
        <v>189</v>
      </c>
      <c r="F92" s="245">
        <f>'3 Statement model'!F45</f>
        <v>166</v>
      </c>
      <c r="G92" s="245">
        <f>'3 Statement model'!G45</f>
        <v>187</v>
      </c>
      <c r="H92" s="245">
        <f>'3 Statement model'!H45</f>
        <v>160</v>
      </c>
      <c r="I92" s="245">
        <f>'3 Statement model'!I45</f>
        <v>159</v>
      </c>
      <c r="J92" s="246">
        <f>J95*J36</f>
        <v>243.54130019999999</v>
      </c>
      <c r="K92" s="246">
        <f>K95*K36</f>
        <v>277.62887441767498</v>
      </c>
      <c r="L92" s="246">
        <f>L95*L36</f>
        <v>317.95273804020206</v>
      </c>
      <c r="M92" s="246">
        <f>M95*M36</f>
        <v>367.02656527573731</v>
      </c>
      <c r="N92" s="255">
        <f>N95*N36</f>
        <v>427.31990597489192</v>
      </c>
      <c r="O92" s="325"/>
    </row>
    <row r="93" spans="2:15">
      <c r="B93" s="318" t="s">
        <v>127</v>
      </c>
      <c r="C93" s="149" t="s">
        <v>256</v>
      </c>
      <c r="D93" s="149"/>
      <c r="E93" s="150">
        <f>'3 Statement model'!E93</f>
        <v>960</v>
      </c>
      <c r="F93" s="150">
        <f>'3 Statement model'!F93</f>
        <v>1160</v>
      </c>
      <c r="G93" s="150">
        <f>'3 Statement model'!G93</f>
        <v>1437</v>
      </c>
      <c r="H93" s="150">
        <f>'3 Statement model'!H93</f>
        <v>1438</v>
      </c>
      <c r="I93" s="150">
        <f>'3 Statement model'!I93</f>
        <v>1420</v>
      </c>
      <c r="J93" s="247">
        <f>J90+J91-J92</f>
        <v>1360.9596848000001</v>
      </c>
      <c r="K93" s="247">
        <f>K90+K91-K92</f>
        <v>1293.6557152442001</v>
      </c>
      <c r="L93" s="247">
        <f>L90+L91-L92</f>
        <v>1216.5762635980905</v>
      </c>
      <c r="M93" s="247">
        <f>M90+M91-M92</f>
        <v>1127.600126561548</v>
      </c>
      <c r="N93" s="319">
        <f>N90+N91-N92</f>
        <v>1024.0074220827862</v>
      </c>
    </row>
    <row r="94" spans="2:15">
      <c r="B94" s="330" t="s">
        <v>128</v>
      </c>
      <c r="C94" s="159" t="s">
        <v>104</v>
      </c>
      <c r="D94" s="159"/>
      <c r="E94" s="216"/>
      <c r="F94" s="193">
        <f>F91/$F$36</f>
        <v>3.7994394269697911E-2</v>
      </c>
      <c r="G94" s="193">
        <f>G91/G36</f>
        <v>3.6460788936036458E-2</v>
      </c>
      <c r="H94" s="193">
        <f>H91/H36</f>
        <v>1.1205456570155902E-2</v>
      </c>
      <c r="I94" s="193">
        <f>I91/I36</f>
        <v>8.6582744857230578E-3</v>
      </c>
      <c r="J94" s="323">
        <v>0.01</v>
      </c>
      <c r="K94" s="323">
        <v>0.01</v>
      </c>
      <c r="L94" s="323">
        <v>0.01</v>
      </c>
      <c r="M94" s="323">
        <v>0.01</v>
      </c>
      <c r="N94" s="324">
        <v>0.01</v>
      </c>
    </row>
    <row r="95" spans="2:15">
      <c r="B95" s="331" t="s">
        <v>251</v>
      </c>
      <c r="C95" s="226" t="s">
        <v>104</v>
      </c>
      <c r="D95" s="226"/>
      <c r="E95" s="181"/>
      <c r="F95" s="327">
        <f>F92/F36</f>
        <v>1.7232430187895775E-2</v>
      </c>
      <c r="G95" s="327">
        <f>G92/G36</f>
        <v>1.4694326575514694E-2</v>
      </c>
      <c r="H95" s="327">
        <f>H92/H36</f>
        <v>1.1135857461024499E-2</v>
      </c>
      <c r="I95" s="327">
        <f>I92/I36</f>
        <v>9.7635861221983412E-3</v>
      </c>
      <c r="J95" s="328">
        <v>1.32E-2</v>
      </c>
      <c r="K95" s="328">
        <v>1.32E-2</v>
      </c>
      <c r="L95" s="328">
        <v>1.32E-2</v>
      </c>
      <c r="M95" s="328">
        <v>1.32E-2</v>
      </c>
      <c r="N95" s="329">
        <v>1.32E-2</v>
      </c>
    </row>
    <row r="96" spans="2:15">
      <c r="B96" s="316"/>
      <c r="C96" s="159"/>
      <c r="D96" s="159"/>
      <c r="E96" s="245"/>
      <c r="F96" s="245"/>
      <c r="G96" s="245"/>
      <c r="H96" s="245"/>
      <c r="I96" s="245"/>
      <c r="J96" s="245"/>
      <c r="K96" s="245"/>
      <c r="L96" s="245"/>
      <c r="M96" s="245"/>
      <c r="N96" s="317"/>
    </row>
    <row r="97" spans="2:17">
      <c r="B97" s="320" t="s">
        <v>301</v>
      </c>
      <c r="C97" s="159" t="s">
        <v>256</v>
      </c>
      <c r="D97" s="159"/>
      <c r="E97" s="245"/>
      <c r="F97" s="245">
        <f t="shared" ref="F97:N97" si="30">E100</f>
        <v>1682</v>
      </c>
      <c r="G97" s="245">
        <f t="shared" si="30"/>
        <v>8865</v>
      </c>
      <c r="H97" s="245">
        <f t="shared" si="30"/>
        <v>20797</v>
      </c>
      <c r="I97" s="245">
        <f t="shared" si="30"/>
        <v>20199</v>
      </c>
      <c r="J97" s="246">
        <f t="shared" si="30"/>
        <v>19664</v>
      </c>
      <c r="K97" s="246">
        <f t="shared" si="30"/>
        <v>19848.500985000002</v>
      </c>
      <c r="L97" s="246">
        <f t="shared" si="30"/>
        <v>19196.493779928191</v>
      </c>
      <c r="M97" s="246">
        <f t="shared" si="30"/>
        <v>18502.778715113207</v>
      </c>
      <c r="N97" s="255">
        <f t="shared" si="30"/>
        <v>17668.627430395623</v>
      </c>
    </row>
    <row r="98" spans="2:17">
      <c r="B98" s="318" t="s">
        <v>250</v>
      </c>
      <c r="C98" s="149" t="s">
        <v>256</v>
      </c>
      <c r="D98" s="149"/>
      <c r="E98" s="150"/>
      <c r="F98" s="150">
        <f>F100+F99-F97</f>
        <v>7380</v>
      </c>
      <c r="G98" s="150">
        <f>G100+G99-G97</f>
        <v>12491</v>
      </c>
      <c r="H98" s="150">
        <f>H100+H99-H97</f>
        <v>48</v>
      </c>
      <c r="I98" s="150">
        <f>I100+I99-I97</f>
        <v>95</v>
      </c>
      <c r="J98" s="247">
        <f>J101*J36</f>
        <v>922.50492500000007</v>
      </c>
      <c r="K98" s="247">
        <f>K101*K36</f>
        <v>210.32490486187501</v>
      </c>
      <c r="L98" s="247">
        <f>L101*L36</f>
        <v>192.69862911527397</v>
      </c>
      <c r="M98" s="247">
        <f>M101*M36</f>
        <v>194.63529976743644</v>
      </c>
      <c r="N98" s="319">
        <f>N101*N36</f>
        <v>226.60904104729116</v>
      </c>
    </row>
    <row r="99" spans="2:17">
      <c r="B99" s="316" t="s">
        <v>129</v>
      </c>
      <c r="C99" s="159" t="s">
        <v>256</v>
      </c>
      <c r="D99" s="159"/>
      <c r="E99" s="245"/>
      <c r="F99" s="245">
        <f>'3 Statement model'!F46</f>
        <v>197</v>
      </c>
      <c r="G99" s="245">
        <f>'3 Statement model'!G46</f>
        <v>559</v>
      </c>
      <c r="H99" s="245">
        <f>'3 Statement model'!H46</f>
        <v>646</v>
      </c>
      <c r="I99" s="245">
        <f>'3 Statement model'!I46</f>
        <v>630</v>
      </c>
      <c r="J99" s="246">
        <f>J102*J36</f>
        <v>738.00394000000006</v>
      </c>
      <c r="K99" s="246">
        <f>K102*K36</f>
        <v>862.33210993368755</v>
      </c>
      <c r="L99" s="246">
        <f>L102*L36</f>
        <v>886.41369393026025</v>
      </c>
      <c r="M99" s="246">
        <f>M102*M36</f>
        <v>1028.7865844850212</v>
      </c>
      <c r="N99" s="255">
        <f>N102*N36</f>
        <v>1133.045205236456</v>
      </c>
    </row>
    <row r="100" spans="2:17">
      <c r="B100" s="318" t="s">
        <v>127</v>
      </c>
      <c r="C100" s="149" t="s">
        <v>256</v>
      </c>
      <c r="D100" s="149"/>
      <c r="E100" s="150">
        <f>'3 Statement model'!E94</f>
        <v>1682</v>
      </c>
      <c r="F100" s="150">
        <f>'3 Statement model'!F94</f>
        <v>8865</v>
      </c>
      <c r="G100" s="150">
        <f>'3 Statement model'!G94</f>
        <v>20797</v>
      </c>
      <c r="H100" s="150">
        <f>'3 Statement model'!H94</f>
        <v>20199</v>
      </c>
      <c r="I100" s="150">
        <f>'3 Statement model'!I94</f>
        <v>19664</v>
      </c>
      <c r="J100" s="247">
        <f>J97+J98-J99</f>
        <v>19848.500985000002</v>
      </c>
      <c r="K100" s="247">
        <f>K97+K98-K99</f>
        <v>19196.493779928191</v>
      </c>
      <c r="L100" s="247">
        <f>L97+L98-L99</f>
        <v>18502.778715113207</v>
      </c>
      <c r="M100" s="247">
        <f>M97+M98-M99</f>
        <v>17668.627430395623</v>
      </c>
      <c r="N100" s="319">
        <f>N97+N98-N99</f>
        <v>16762.191266206457</v>
      </c>
    </row>
    <row r="101" spans="2:17">
      <c r="B101" s="330" t="s">
        <v>130</v>
      </c>
      <c r="C101" s="159" t="s">
        <v>104</v>
      </c>
      <c r="D101" s="159"/>
      <c r="E101" s="216"/>
      <c r="F101" s="193">
        <f>F98/$F$36</f>
        <v>0.76611647461849885</v>
      </c>
      <c r="G101" s="193">
        <f>G98/$F$36</f>
        <v>1.2966884667289527</v>
      </c>
      <c r="H101" s="193">
        <f>H98/$F$36</f>
        <v>4.9828713796325136E-3</v>
      </c>
      <c r="I101" s="193">
        <f>I98/$F$36</f>
        <v>9.8619329388560158E-3</v>
      </c>
      <c r="J101" s="323">
        <v>0.05</v>
      </c>
      <c r="K101" s="323">
        <v>0.01</v>
      </c>
      <c r="L101" s="323">
        <f>0.8%</f>
        <v>8.0000000000000002E-3</v>
      </c>
      <c r="M101" s="323">
        <f>0.7%</f>
        <v>6.9999999999999993E-3</v>
      </c>
      <c r="N101" s="324">
        <f>0.7%</f>
        <v>6.9999999999999993E-3</v>
      </c>
    </row>
    <row r="102" spans="2:17">
      <c r="B102" s="331" t="s">
        <v>252</v>
      </c>
      <c r="C102" s="226" t="s">
        <v>104</v>
      </c>
      <c r="D102" s="226"/>
      <c r="E102" s="181"/>
      <c r="F102" s="327">
        <f>F99/F36</f>
        <v>2.0450534620575108E-2</v>
      </c>
      <c r="G102" s="327">
        <f>G99/G36</f>
        <v>4.3925821153543924E-2</v>
      </c>
      <c r="H102" s="327">
        <f>H99/H36</f>
        <v>4.4961024498886414E-2</v>
      </c>
      <c r="I102" s="327">
        <f>I99/I36</f>
        <v>3.8685907276634943E-2</v>
      </c>
      <c r="J102" s="328">
        <v>0.04</v>
      </c>
      <c r="K102" s="328">
        <v>4.1000000000000002E-2</v>
      </c>
      <c r="L102" s="328">
        <v>3.6799999999999999E-2</v>
      </c>
      <c r="M102" s="328">
        <v>3.6999999999999998E-2</v>
      </c>
      <c r="N102" s="329">
        <v>3.5000000000000003E-2</v>
      </c>
      <c r="O102" s="159"/>
      <c r="P102" s="159"/>
      <c r="Q102" s="159"/>
    </row>
    <row r="103" spans="2:17">
      <c r="B103" s="316"/>
      <c r="C103" s="159"/>
      <c r="D103" s="159"/>
      <c r="E103" s="245"/>
      <c r="F103" s="245"/>
      <c r="G103" s="245"/>
      <c r="H103" s="245"/>
      <c r="I103" s="245"/>
      <c r="J103" s="245"/>
      <c r="K103" s="245"/>
      <c r="L103" s="245"/>
      <c r="M103" s="245"/>
      <c r="N103" s="317"/>
      <c r="O103" s="159"/>
      <c r="P103" s="159"/>
      <c r="Q103" s="159"/>
    </row>
    <row r="104" spans="2:17">
      <c r="B104" s="321" t="s">
        <v>131</v>
      </c>
      <c r="C104" s="271" t="s">
        <v>256</v>
      </c>
      <c r="D104" s="272"/>
      <c r="E104" s="322"/>
      <c r="F104" s="322">
        <f t="shared" ref="F104:N104" si="31">F99+F92</f>
        <v>363</v>
      </c>
      <c r="G104" s="322">
        <f t="shared" si="31"/>
        <v>746</v>
      </c>
      <c r="H104" s="322">
        <f t="shared" si="31"/>
        <v>806</v>
      </c>
      <c r="I104" s="322">
        <f t="shared" si="31"/>
        <v>789</v>
      </c>
      <c r="J104" s="239">
        <f t="shared" si="31"/>
        <v>981.54524020000008</v>
      </c>
      <c r="K104" s="239">
        <f t="shared" si="31"/>
        <v>1139.9609843513626</v>
      </c>
      <c r="L104" s="239">
        <f t="shared" si="31"/>
        <v>1204.3664319704624</v>
      </c>
      <c r="M104" s="239">
        <f t="shared" si="31"/>
        <v>1395.8131497607585</v>
      </c>
      <c r="N104" s="240">
        <f t="shared" si="31"/>
        <v>1560.365111211348</v>
      </c>
      <c r="O104" s="159"/>
      <c r="P104" s="159"/>
      <c r="Q104" s="159"/>
    </row>
    <row r="105" spans="2:17">
      <c r="B105" s="248"/>
      <c r="C105" s="159"/>
      <c r="D105" s="228"/>
      <c r="E105" s="249"/>
      <c r="F105" s="249"/>
      <c r="G105" s="249"/>
      <c r="H105" s="249"/>
      <c r="I105" s="249"/>
      <c r="J105" s="249"/>
      <c r="K105" s="249"/>
      <c r="L105" s="249"/>
      <c r="M105" s="249"/>
      <c r="N105" s="249"/>
    </row>
    <row r="106" spans="2:17">
      <c r="B106" s="263" t="s">
        <v>294</v>
      </c>
      <c r="C106" s="220"/>
      <c r="D106" s="220"/>
      <c r="E106" s="220"/>
      <c r="F106" s="220"/>
      <c r="G106" s="220"/>
      <c r="H106" s="220"/>
      <c r="I106" s="220"/>
      <c r="J106" s="220"/>
      <c r="K106" s="220"/>
      <c r="L106" s="220"/>
      <c r="M106" s="220"/>
      <c r="N106" s="221"/>
    </row>
    <row r="107" spans="2:17" ht="4.5" customHeight="1">
      <c r="B107" s="145"/>
      <c r="C107" s="159"/>
      <c r="D107" s="159"/>
      <c r="E107" s="197"/>
      <c r="F107" s="197"/>
      <c r="G107" s="197"/>
      <c r="H107" s="197"/>
      <c r="I107" s="197"/>
      <c r="J107" s="197"/>
      <c r="K107" s="197"/>
      <c r="L107" s="197"/>
      <c r="M107" s="197"/>
      <c r="N107" s="230"/>
    </row>
    <row r="108" spans="2:17" ht="15" thickBot="1">
      <c r="B108" s="186" t="s">
        <v>295</v>
      </c>
      <c r="C108" s="224"/>
      <c r="D108" s="224"/>
      <c r="E108" s="163">
        <v>44043</v>
      </c>
      <c r="F108" s="163">
        <v>44408</v>
      </c>
      <c r="G108" s="163">
        <v>44773</v>
      </c>
      <c r="H108" s="163">
        <v>45138</v>
      </c>
      <c r="I108" s="163">
        <v>45504</v>
      </c>
      <c r="J108" s="163">
        <v>45869</v>
      </c>
      <c r="K108" s="163">
        <v>46234</v>
      </c>
      <c r="L108" s="163">
        <v>46599</v>
      </c>
      <c r="M108" s="163">
        <v>46965</v>
      </c>
      <c r="N108" s="187">
        <v>47330</v>
      </c>
    </row>
    <row r="109" spans="2:17">
      <c r="B109" s="335" t="s">
        <v>304</v>
      </c>
      <c r="C109" s="282"/>
      <c r="D109" s="282"/>
      <c r="E109" s="336"/>
      <c r="F109" s="336"/>
      <c r="G109" s="336"/>
      <c r="H109" s="336"/>
      <c r="I109" s="336"/>
      <c r="J109" s="282"/>
      <c r="K109" s="282"/>
      <c r="L109" s="282"/>
      <c r="M109" s="282"/>
      <c r="N109" s="337"/>
    </row>
    <row r="110" spans="2:17">
      <c r="B110" s="253" t="s">
        <v>296</v>
      </c>
      <c r="C110" s="159"/>
      <c r="D110" s="159"/>
      <c r="E110" s="344">
        <f>'3 Statement model'!E99/'3 Statement model'!E37</f>
        <v>0.56032388663967614</v>
      </c>
      <c r="F110" s="344">
        <f>'3 Statement model'!F99/'3 Statement model'!F37</f>
        <v>2.3052741879147746E-2</v>
      </c>
      <c r="G110" s="344">
        <f>'3 Statement model'!G99/'3 Statement model'!G37</f>
        <v>0.167818077144502</v>
      </c>
      <c r="H110" s="344">
        <f>'3 Statement model'!H99/'3 Statement model'!H37</f>
        <v>2.1867321867321866E-2</v>
      </c>
      <c r="I110" s="344">
        <f>'3 Statement model'!I99/'3 Statement model'!I37</f>
        <v>0.11992425836313907</v>
      </c>
      <c r="J110" s="338">
        <v>0.11</v>
      </c>
      <c r="K110" s="338">
        <v>0.1</v>
      </c>
      <c r="L110" s="338">
        <v>0.09</v>
      </c>
      <c r="M110" s="338">
        <v>0.08</v>
      </c>
      <c r="N110" s="339">
        <v>7.0000000000000007E-2</v>
      </c>
    </row>
    <row r="111" spans="2:17">
      <c r="B111" s="257" t="s">
        <v>297</v>
      </c>
      <c r="C111" s="226"/>
      <c r="D111" s="226"/>
      <c r="E111" s="345">
        <f>'3 Statement model'!E105/'3 Statement model'!E37</f>
        <v>0.91174089068825914</v>
      </c>
      <c r="F111" s="345">
        <f>'3 Statement model'!F105/'3 Statement model'!F37</f>
        <v>0.84317149842822214</v>
      </c>
      <c r="G111" s="345">
        <f>'3 Statement model'!G105/'3 Statement model'!G37</f>
        <v>2.0025906735751295</v>
      </c>
      <c r="H111" s="345">
        <f>'3 Statement model'!H105/'3 Statement model'!H37</f>
        <v>1.6216216216216217</v>
      </c>
      <c r="I111" s="345">
        <f>'3 Statement model'!I105/'3 Statement model'!I37</f>
        <v>1.2617294340416578</v>
      </c>
      <c r="J111" s="340">
        <v>0.9</v>
      </c>
      <c r="K111" s="340">
        <v>0.75</v>
      </c>
      <c r="L111" s="340">
        <v>0.7</v>
      </c>
      <c r="M111" s="340">
        <v>0.6</v>
      </c>
      <c r="N111" s="341">
        <v>0.55000000000000004</v>
      </c>
    </row>
    <row r="112" spans="2:17">
      <c r="B112" s="253" t="s">
        <v>296</v>
      </c>
      <c r="C112" s="159" t="s">
        <v>256</v>
      </c>
      <c r="D112" s="159"/>
      <c r="E112" s="250">
        <f t="shared" ref="E112:N112" si="32">E110*E$70</f>
        <v>1384</v>
      </c>
      <c r="F112" s="250">
        <f t="shared" si="32"/>
        <v>66</v>
      </c>
      <c r="G112" s="250">
        <f t="shared" si="32"/>
        <v>583</v>
      </c>
      <c r="H112" s="250">
        <f t="shared" si="32"/>
        <v>89</v>
      </c>
      <c r="I112" s="250">
        <f t="shared" si="32"/>
        <v>570</v>
      </c>
      <c r="J112" s="332">
        <f t="shared" si="32"/>
        <v>596.05770490764019</v>
      </c>
      <c r="K112" s="332">
        <f t="shared" si="32"/>
        <v>609.62897291755723</v>
      </c>
      <c r="L112" s="332">
        <f t="shared" si="32"/>
        <v>626.24811973350381</v>
      </c>
      <c r="M112" s="332">
        <f t="shared" si="32"/>
        <v>639.2036481417216</v>
      </c>
      <c r="N112" s="333">
        <f t="shared" si="32"/>
        <v>640.61304253459207</v>
      </c>
      <c r="O112" s="196"/>
    </row>
    <row r="113" spans="2:14">
      <c r="B113" s="257" t="s">
        <v>297</v>
      </c>
      <c r="C113" s="226"/>
      <c r="D113" s="226"/>
      <c r="E113" s="251">
        <f t="shared" ref="E113:N113" si="33">E111*E$70</f>
        <v>2252</v>
      </c>
      <c r="F113" s="251">
        <f t="shared" si="33"/>
        <v>2414</v>
      </c>
      <c r="G113" s="251">
        <f t="shared" si="33"/>
        <v>6957</v>
      </c>
      <c r="H113" s="251">
        <f t="shared" si="33"/>
        <v>6600</v>
      </c>
      <c r="I113" s="251">
        <f t="shared" si="33"/>
        <v>5997</v>
      </c>
      <c r="J113" s="252">
        <f t="shared" si="33"/>
        <v>4876.835767426147</v>
      </c>
      <c r="K113" s="252">
        <f t="shared" si="33"/>
        <v>4572.2172968816794</v>
      </c>
      <c r="L113" s="252">
        <f t="shared" si="33"/>
        <v>4870.8187090383635</v>
      </c>
      <c r="M113" s="252">
        <f t="shared" si="33"/>
        <v>4794.027361062912</v>
      </c>
      <c r="N113" s="334">
        <f t="shared" si="33"/>
        <v>5033.3881913432233</v>
      </c>
    </row>
    <row r="114" spans="2:14">
      <c r="B114" s="164"/>
      <c r="C114" s="159"/>
      <c r="D114" s="159"/>
      <c r="E114" s="159"/>
      <c r="F114" s="159"/>
      <c r="G114" s="159"/>
      <c r="H114" s="159"/>
      <c r="I114" s="159"/>
      <c r="J114" s="245"/>
      <c r="K114" s="245"/>
      <c r="L114" s="245"/>
      <c r="M114" s="245"/>
      <c r="N114" s="245"/>
    </row>
    <row r="115" spans="2:14">
      <c r="B115" s="264" t="s">
        <v>132</v>
      </c>
      <c r="C115" s="241"/>
      <c r="D115" s="241"/>
      <c r="E115" s="241"/>
      <c r="F115" s="241"/>
      <c r="G115" s="241"/>
      <c r="H115" s="241"/>
      <c r="I115" s="241"/>
      <c r="J115" s="241"/>
      <c r="K115" s="241"/>
      <c r="L115" s="241"/>
      <c r="M115" s="241"/>
      <c r="N115" s="241"/>
    </row>
    <row r="116" spans="2:14">
      <c r="B116" s="144"/>
      <c r="C116" s="149"/>
      <c r="D116" s="149"/>
      <c r="E116" s="347">
        <v>44043</v>
      </c>
      <c r="F116" s="347">
        <v>44408</v>
      </c>
      <c r="G116" s="347">
        <v>44773</v>
      </c>
      <c r="H116" s="347">
        <v>45138</v>
      </c>
      <c r="I116" s="347">
        <v>45504</v>
      </c>
      <c r="J116" s="347">
        <v>45869</v>
      </c>
      <c r="K116" s="347">
        <v>46234</v>
      </c>
      <c r="L116" s="347">
        <v>46599</v>
      </c>
      <c r="M116" s="347">
        <v>46965</v>
      </c>
      <c r="N116" s="348">
        <v>47330</v>
      </c>
    </row>
    <row r="117" spans="2:14">
      <c r="B117" s="144" t="s">
        <v>133</v>
      </c>
      <c r="C117" s="149" t="s">
        <v>104</v>
      </c>
      <c r="D117" s="149"/>
      <c r="E117" s="346">
        <f>-('3 Statement model'!E27/'3 Statement model'!E25)</f>
        <v>0.16924476797088261</v>
      </c>
      <c r="F117" s="346">
        <f>-('3 Statement model'!F27/'3 Statement model'!F25)</f>
        <v>0.19327073552425664</v>
      </c>
      <c r="G117" s="346">
        <f>-('3 Statement model'!G27/'3 Statement model'!G25)</f>
        <v>0.18725413060582219</v>
      </c>
      <c r="H117" s="346">
        <f>-('3 Statement model'!H27/'3 Statement model'!H25)</f>
        <v>0.20240883238541318</v>
      </c>
      <c r="I117" s="346">
        <f>-('3 Statement model'!I27/'3 Statement model'!I25)</f>
        <v>0.16535211267605635</v>
      </c>
      <c r="J117" s="323">
        <f>15%</f>
        <v>0.15</v>
      </c>
      <c r="K117" s="323">
        <f>12%</f>
        <v>0.12</v>
      </c>
      <c r="L117" s="323">
        <f>12%</f>
        <v>0.12</v>
      </c>
      <c r="M117" s="323">
        <f>12%</f>
        <v>0.12</v>
      </c>
      <c r="N117" s="324">
        <v>0.16</v>
      </c>
    </row>
    <row r="118" spans="2:14">
      <c r="B118" s="253" t="s">
        <v>207</v>
      </c>
      <c r="C118" s="276"/>
      <c r="D118" s="276"/>
      <c r="E118" s="254">
        <v>435</v>
      </c>
      <c r="F118" s="254">
        <v>753</v>
      </c>
      <c r="G118" s="254">
        <v>1308</v>
      </c>
      <c r="H118" s="254">
        <v>1712</v>
      </c>
      <c r="I118" s="254">
        <v>1940</v>
      </c>
      <c r="J118" s="246">
        <f>I118*(1+J37)</f>
        <v>2197.9239232422474</v>
      </c>
      <c r="K118" s="246">
        <f>J118*(1+K37)</f>
        <v>2505.5591982317314</v>
      </c>
      <c r="L118" s="246">
        <f>K118*(1+L37)</f>
        <v>2869.4760552934558</v>
      </c>
      <c r="M118" s="246">
        <f>L118*(1+M37)</f>
        <v>3312.3600293769609</v>
      </c>
      <c r="N118" s="255">
        <f>M118*(1+N37)</f>
        <v>3856.4984396837121</v>
      </c>
    </row>
    <row r="119" spans="2:14">
      <c r="B119" s="145" t="s">
        <v>134</v>
      </c>
      <c r="C119" s="159" t="s">
        <v>256</v>
      </c>
      <c r="D119" s="159"/>
      <c r="E119" s="245">
        <v>261</v>
      </c>
      <c r="F119" s="245">
        <v>270</v>
      </c>
      <c r="G119" s="245">
        <v>280</v>
      </c>
      <c r="H119" s="245">
        <v>281</v>
      </c>
      <c r="I119" s="245">
        <v>280</v>
      </c>
      <c r="J119" s="246">
        <v>280</v>
      </c>
      <c r="K119" s="246">
        <v>279</v>
      </c>
      <c r="L119" s="246">
        <v>281</v>
      </c>
      <c r="M119" s="246">
        <v>282</v>
      </c>
      <c r="N119" s="255">
        <v>280</v>
      </c>
    </row>
    <row r="120" spans="2:14">
      <c r="B120" s="145" t="s">
        <v>253</v>
      </c>
      <c r="C120" s="159"/>
      <c r="D120" s="159"/>
      <c r="E120" s="245">
        <v>264</v>
      </c>
      <c r="F120" s="245">
        <v>273</v>
      </c>
      <c r="G120" s="245">
        <v>284</v>
      </c>
      <c r="H120" s="245">
        <v>283</v>
      </c>
      <c r="I120" s="245">
        <v>284</v>
      </c>
      <c r="J120" s="246">
        <f>J119 + J119*1.2%</f>
        <v>283.36</v>
      </c>
      <c r="K120" s="246">
        <f>K119 + K119*1.2%</f>
        <v>282.34800000000001</v>
      </c>
      <c r="L120" s="246">
        <f t="shared" ref="L120:N120" si="34">L119 + L119*1.2%</f>
        <v>284.37200000000001</v>
      </c>
      <c r="M120" s="246">
        <f t="shared" si="34"/>
        <v>285.38400000000001</v>
      </c>
      <c r="N120" s="255">
        <f t="shared" si="34"/>
        <v>283.36</v>
      </c>
    </row>
    <row r="121" spans="2:14">
      <c r="B121" s="145" t="s">
        <v>210</v>
      </c>
      <c r="C121" s="159"/>
      <c r="D121" s="159"/>
      <c r="E121" s="342">
        <v>-561</v>
      </c>
      <c r="F121" s="342">
        <v>-646</v>
      </c>
      <c r="G121" s="342">
        <v>-774</v>
      </c>
      <c r="H121" s="342">
        <v>-889</v>
      </c>
      <c r="I121" s="342">
        <v>-1034</v>
      </c>
      <c r="J121" s="343">
        <f>I121*1.15</f>
        <v>-1189.0999999999999</v>
      </c>
      <c r="K121" s="343">
        <f>J121*1.16</f>
        <v>-1379.3559999999998</v>
      </c>
      <c r="L121" s="343">
        <f>K121*1.17</f>
        <v>-1613.8465199999996</v>
      </c>
      <c r="M121" s="343">
        <f>L121*1.17</f>
        <v>-1888.2004283999995</v>
      </c>
      <c r="N121" s="256">
        <f>M121*1.18</f>
        <v>-2228.0765055119991</v>
      </c>
    </row>
    <row r="122" spans="2:14">
      <c r="B122" s="257" t="s">
        <v>205</v>
      </c>
      <c r="C122" s="226" t="s">
        <v>256</v>
      </c>
      <c r="D122" s="226"/>
      <c r="E122" s="258">
        <v>6182</v>
      </c>
      <c r="F122" s="258">
        <v>10548</v>
      </c>
      <c r="G122" s="258">
        <v>17725</v>
      </c>
      <c r="H122" s="258">
        <v>19029</v>
      </c>
      <c r="I122" s="258">
        <v>20251</v>
      </c>
      <c r="J122" s="259">
        <f>I122 + I122*1.2%</f>
        <v>20494.011999999999</v>
      </c>
      <c r="K122" s="259">
        <f t="shared" ref="K122:N122" si="35">J122 + J122*1.2%</f>
        <v>20739.940144</v>
      </c>
      <c r="L122" s="259">
        <f t="shared" si="35"/>
        <v>20988.819425728001</v>
      </c>
      <c r="M122" s="259">
        <f t="shared" si="35"/>
        <v>21240.685258836736</v>
      </c>
      <c r="N122" s="260">
        <f t="shared" si="35"/>
        <v>21495.573481942778</v>
      </c>
    </row>
  </sheetData>
  <conditionalFormatting sqref="E121:N121">
    <cfRule type="cellIs" dxfId="19" priority="2" stopIfTrue="1" operator="equal">
      <formula>#REF!</formula>
    </cfRule>
  </conditionalFormatting>
  <conditionalFormatting sqref="N39:N40">
    <cfRule type="cellIs" dxfId="18" priority="1" stopIfTrue="1" operator="equal">
      <formula>#REF!</formula>
    </cfRule>
  </conditionalFormatting>
  <pageMargins left="0.7" right="0.7" top="0.75" bottom="0.75" header="0.3" footer="0.3"/>
  <pageSetup orientation="portrait" r:id="rId1"/>
  <ignoredErrors>
    <ignoredError sqref="J29:N29 J31:N31 J33:L33" formula="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D7B9-B383-4185-BF65-249F36380227}">
  <dimension ref="B2:AD117"/>
  <sheetViews>
    <sheetView showGridLines="0" zoomScale="104" zoomScaleNormal="115" workbookViewId="0">
      <selection activeCell="P26" sqref="P26"/>
    </sheetView>
  </sheetViews>
  <sheetFormatPr defaultColWidth="8.77734375" defaultRowHeight="14.4"/>
  <cols>
    <col min="1" max="1" width="1.33203125" customWidth="1"/>
    <col min="2" max="2" width="46.77734375" customWidth="1"/>
    <col min="10" max="10" width="9.44140625" customWidth="1"/>
    <col min="16" max="16" width="13.44140625" customWidth="1"/>
    <col min="17" max="17" width="10.44140625" bestFit="1" customWidth="1"/>
  </cols>
  <sheetData>
    <row r="2" spans="2:16">
      <c r="B2" s="199" t="s">
        <v>135</v>
      </c>
      <c r="C2" s="200"/>
      <c r="D2" s="200"/>
      <c r="E2" s="200"/>
      <c r="F2" s="200"/>
      <c r="G2" s="200"/>
      <c r="H2" s="200"/>
      <c r="I2" s="200"/>
      <c r="J2" s="200"/>
      <c r="K2" s="200"/>
      <c r="L2" s="200"/>
      <c r="M2" s="200"/>
      <c r="N2" s="201"/>
    </row>
    <row r="3" spans="2:16" ht="12" customHeight="1">
      <c r="B3" s="26"/>
      <c r="C3" s="1"/>
      <c r="D3" s="1"/>
      <c r="E3" s="519"/>
      <c r="F3" s="519"/>
      <c r="G3" s="519"/>
      <c r="H3" s="520"/>
      <c r="I3" s="521"/>
      <c r="J3" s="88" t="s">
        <v>237</v>
      </c>
      <c r="K3" s="88"/>
      <c r="L3" s="88"/>
      <c r="M3" s="88"/>
      <c r="N3" s="626"/>
    </row>
    <row r="4" spans="2:16" ht="15" thickBot="1">
      <c r="B4" s="522" t="s">
        <v>293</v>
      </c>
      <c r="C4" s="30"/>
      <c r="D4" s="30"/>
      <c r="E4" s="73">
        <f>Schedules!E27</f>
        <v>44043</v>
      </c>
      <c r="F4" s="73">
        <f>Schedules!F27</f>
        <v>44408</v>
      </c>
      <c r="G4" s="73">
        <f>Schedules!G27</f>
        <v>44773</v>
      </c>
      <c r="H4" s="73">
        <f>Schedules!H27</f>
        <v>45138</v>
      </c>
      <c r="I4" s="73">
        <f>Schedules!I27</f>
        <v>45504</v>
      </c>
      <c r="J4" s="73">
        <f>Schedules!J27</f>
        <v>45869</v>
      </c>
      <c r="K4" s="73">
        <f>Schedules!K27</f>
        <v>46234</v>
      </c>
      <c r="L4" s="73">
        <f>Schedules!L27</f>
        <v>46599</v>
      </c>
      <c r="M4" s="73">
        <f>Schedules!M27</f>
        <v>46965</v>
      </c>
      <c r="N4" s="523">
        <f>Schedules!N27</f>
        <v>47330</v>
      </c>
    </row>
    <row r="5" spans="2:16">
      <c r="B5" s="26" t="s">
        <v>136</v>
      </c>
      <c r="C5" s="1"/>
      <c r="D5" s="1"/>
      <c r="E5" s="35">
        <v>7679</v>
      </c>
      <c r="F5" s="35">
        <v>9633</v>
      </c>
      <c r="G5" s="35">
        <v>12726</v>
      </c>
      <c r="H5" s="35">
        <v>14368</v>
      </c>
      <c r="I5" s="35">
        <v>16285</v>
      </c>
      <c r="J5" s="3"/>
      <c r="K5" s="3"/>
      <c r="L5" s="3"/>
      <c r="M5" s="3"/>
      <c r="N5" s="533"/>
    </row>
    <row r="6" spans="2:16">
      <c r="B6" s="524" t="s">
        <v>103</v>
      </c>
      <c r="C6" s="24"/>
      <c r="D6" s="24"/>
      <c r="E6" s="58">
        <v>7679</v>
      </c>
      <c r="F6" s="58">
        <v>9633</v>
      </c>
      <c r="G6" s="58">
        <v>12726</v>
      </c>
      <c r="H6" s="58">
        <v>14368</v>
      </c>
      <c r="I6" s="58">
        <v>16285</v>
      </c>
      <c r="J6" s="59">
        <f>Schedules!J36</f>
        <v>18450.0985</v>
      </c>
      <c r="K6" s="59">
        <f>Schedules!K36</f>
        <v>21032.4904861875</v>
      </c>
      <c r="L6" s="59">
        <f>Schedules!L36</f>
        <v>24087.328639409247</v>
      </c>
      <c r="M6" s="59">
        <f>Schedules!M36</f>
        <v>27805.042823919495</v>
      </c>
      <c r="N6" s="499">
        <f>Schedules!N36</f>
        <v>32372.720149613026</v>
      </c>
    </row>
    <row r="7" spans="2:16">
      <c r="B7" s="184" t="s">
        <v>137</v>
      </c>
      <c r="C7" s="414"/>
      <c r="D7" s="414"/>
      <c r="E7" s="36"/>
      <c r="F7" s="171">
        <f t="shared" ref="F7:N7" si="0">F6/E6-1</f>
        <v>0.25446021617398107</v>
      </c>
      <c r="G7" s="171">
        <f t="shared" si="0"/>
        <v>0.32108377452507009</v>
      </c>
      <c r="H7" s="171">
        <f t="shared" si="0"/>
        <v>0.1290271884331291</v>
      </c>
      <c r="I7" s="171">
        <f t="shared" si="0"/>
        <v>0.13342149220489974</v>
      </c>
      <c r="J7" s="207">
        <f>J6/I6-1</f>
        <v>0.13295047589806575</v>
      </c>
      <c r="K7" s="207">
        <f t="shared" si="0"/>
        <v>0.1399662980762677</v>
      </c>
      <c r="L7" s="207">
        <f t="shared" si="0"/>
        <v>0.14524376726702548</v>
      </c>
      <c r="M7" s="207">
        <f t="shared" si="0"/>
        <v>0.15434315029968504</v>
      </c>
      <c r="N7" s="208">
        <f t="shared" si="0"/>
        <v>0.16427514083035866</v>
      </c>
    </row>
    <row r="8" spans="2:16">
      <c r="B8" s="26"/>
      <c r="C8" s="1"/>
      <c r="D8" s="1"/>
      <c r="E8" s="525"/>
      <c r="F8" s="525"/>
      <c r="G8" s="525"/>
      <c r="H8" s="525"/>
      <c r="I8" s="526"/>
      <c r="J8" s="1"/>
      <c r="K8" s="527"/>
      <c r="L8" s="527"/>
      <c r="M8" s="527"/>
      <c r="N8" s="528"/>
    </row>
    <row r="9" spans="2:16">
      <c r="B9" s="26" t="s">
        <v>138</v>
      </c>
      <c r="C9" s="1"/>
      <c r="D9" s="1"/>
      <c r="E9" s="529">
        <f>-1378-6</f>
        <v>-1384</v>
      </c>
      <c r="F9" s="529">
        <f>-1683-146</f>
        <v>-1829</v>
      </c>
      <c r="G9" s="529">
        <f>-2406-416</f>
        <v>-2822</v>
      </c>
      <c r="H9" s="529">
        <f>-3143-483</f>
        <v>-3626</v>
      </c>
      <c r="I9" s="529">
        <f>-3465-483</f>
        <v>-3948</v>
      </c>
      <c r="J9" s="530">
        <f>Schedules!J48</f>
        <v>-4114.3719654999995</v>
      </c>
      <c r="K9" s="530">
        <f>Schedules!K48</f>
        <v>-4669.2128879336242</v>
      </c>
      <c r="L9" s="530">
        <f>Schedules!L48</f>
        <v>-5323.2996293094429</v>
      </c>
      <c r="M9" s="530">
        <f>Schedules!M48</f>
        <v>-6117.1094212622884</v>
      </c>
      <c r="N9" s="76">
        <f>Schedules!N48</f>
        <v>-7121.9984329148647</v>
      </c>
    </row>
    <row r="10" spans="2:16">
      <c r="B10" s="531" t="s">
        <v>139</v>
      </c>
      <c r="C10" s="56"/>
      <c r="D10" s="56"/>
      <c r="E10" s="58">
        <f t="shared" ref="E10:N10" si="1">SUM(E9)</f>
        <v>-1384</v>
      </c>
      <c r="F10" s="58">
        <f t="shared" si="1"/>
        <v>-1829</v>
      </c>
      <c r="G10" s="58">
        <f t="shared" si="1"/>
        <v>-2822</v>
      </c>
      <c r="H10" s="58">
        <f t="shared" si="1"/>
        <v>-3626</v>
      </c>
      <c r="I10" s="58">
        <f t="shared" si="1"/>
        <v>-3948</v>
      </c>
      <c r="J10" s="59">
        <f t="shared" si="1"/>
        <v>-4114.3719654999995</v>
      </c>
      <c r="K10" s="59">
        <f t="shared" si="1"/>
        <v>-4669.2128879336242</v>
      </c>
      <c r="L10" s="59">
        <f t="shared" si="1"/>
        <v>-5323.2996293094429</v>
      </c>
      <c r="M10" s="59">
        <f t="shared" si="1"/>
        <v>-6117.1094212622884</v>
      </c>
      <c r="N10" s="499">
        <f t="shared" si="1"/>
        <v>-7121.9984329148647</v>
      </c>
    </row>
    <row r="11" spans="2:16">
      <c r="B11" s="184" t="s">
        <v>202</v>
      </c>
      <c r="C11" s="414"/>
      <c r="D11" s="414"/>
      <c r="E11" s="171">
        <f>E10/E6</f>
        <v>-0.18023180101575725</v>
      </c>
      <c r="F11" s="171">
        <f>F10/F6</f>
        <v>-0.18986816152808056</v>
      </c>
      <c r="G11" s="171">
        <f>G10/G6</f>
        <v>-0.22175074650322174</v>
      </c>
      <c r="H11" s="171">
        <f>H10/H6</f>
        <v>-0.25236636971046772</v>
      </c>
      <c r="I11" s="171">
        <f>I10/I6</f>
        <v>-0.24243168560024561</v>
      </c>
      <c r="J11" s="207">
        <f>-Schedules!J47</f>
        <v>-0.22299999999999998</v>
      </c>
      <c r="K11" s="207">
        <f>-Schedules!K47</f>
        <v>-0.22199999999999998</v>
      </c>
      <c r="L11" s="207">
        <f>-Schedules!L47</f>
        <v>-0.22099999999999997</v>
      </c>
      <c r="M11" s="207">
        <f>-Schedules!M47</f>
        <v>-0.21999999999999997</v>
      </c>
      <c r="N11" s="208">
        <f>-Schedules!N47</f>
        <v>-0.21999999999999997</v>
      </c>
    </row>
    <row r="12" spans="2:16">
      <c r="B12" s="532"/>
      <c r="C12" s="1"/>
      <c r="D12" s="1"/>
      <c r="E12" s="3"/>
      <c r="F12" s="3"/>
      <c r="G12" s="3"/>
      <c r="H12" s="3"/>
      <c r="I12" s="3"/>
      <c r="J12" s="3"/>
      <c r="K12" s="3"/>
      <c r="L12" s="3"/>
      <c r="M12" s="3"/>
      <c r="N12" s="533"/>
    </row>
    <row r="13" spans="2:16">
      <c r="B13" s="531" t="s">
        <v>140</v>
      </c>
      <c r="C13" s="56"/>
      <c r="D13" s="56"/>
      <c r="E13" s="58">
        <f t="shared" ref="E13:N13" si="2">E6+E10</f>
        <v>6295</v>
      </c>
      <c r="F13" s="58">
        <f t="shared" si="2"/>
        <v>7804</v>
      </c>
      <c r="G13" s="58">
        <f t="shared" si="2"/>
        <v>9904</v>
      </c>
      <c r="H13" s="58">
        <f t="shared" si="2"/>
        <v>10742</v>
      </c>
      <c r="I13" s="58">
        <f t="shared" si="2"/>
        <v>12337</v>
      </c>
      <c r="J13" s="59">
        <f t="shared" si="2"/>
        <v>14335.726534500001</v>
      </c>
      <c r="K13" s="59">
        <f t="shared" si="2"/>
        <v>16363.277598253877</v>
      </c>
      <c r="L13" s="59">
        <f t="shared" si="2"/>
        <v>18764.029010099803</v>
      </c>
      <c r="M13" s="59">
        <f t="shared" si="2"/>
        <v>21687.933402657207</v>
      </c>
      <c r="N13" s="499">
        <f t="shared" si="2"/>
        <v>25250.721716698161</v>
      </c>
    </row>
    <row r="14" spans="2:16">
      <c r="B14" s="184" t="s">
        <v>141</v>
      </c>
      <c r="C14" s="414"/>
      <c r="D14" s="414"/>
      <c r="E14" s="171"/>
      <c r="F14" s="171">
        <f t="shared" ref="F14:N14" si="3">F13/F6</f>
        <v>0.8101318384719195</v>
      </c>
      <c r="G14" s="171">
        <f t="shared" si="3"/>
        <v>0.7782492534967782</v>
      </c>
      <c r="H14" s="171">
        <f t="shared" si="3"/>
        <v>0.74763363028953234</v>
      </c>
      <c r="I14" s="171">
        <f t="shared" si="3"/>
        <v>0.75756831439975436</v>
      </c>
      <c r="J14" s="207">
        <f t="shared" si="3"/>
        <v>0.77700000000000002</v>
      </c>
      <c r="K14" s="207">
        <f t="shared" si="3"/>
        <v>0.77800000000000014</v>
      </c>
      <c r="L14" s="207">
        <f t="shared" si="3"/>
        <v>0.77900000000000003</v>
      </c>
      <c r="M14" s="207">
        <f t="shared" si="3"/>
        <v>0.78</v>
      </c>
      <c r="N14" s="208">
        <f t="shared" si="3"/>
        <v>0.78</v>
      </c>
    </row>
    <row r="15" spans="2:16">
      <c r="B15" s="532"/>
      <c r="C15" s="1"/>
      <c r="D15" s="1"/>
      <c r="E15" s="3"/>
      <c r="F15" s="3"/>
      <c r="G15" s="527"/>
      <c r="H15" s="527"/>
      <c r="I15" s="527"/>
      <c r="J15" s="3"/>
      <c r="K15" s="3"/>
      <c r="L15" s="3"/>
      <c r="M15" s="3"/>
      <c r="N15" s="533"/>
      <c r="P15" s="143"/>
    </row>
    <row r="16" spans="2:16">
      <c r="B16" s="99" t="s">
        <v>142</v>
      </c>
      <c r="C16" s="1"/>
      <c r="D16" s="1"/>
      <c r="E16" s="245">
        <v>-2048</v>
      </c>
      <c r="F16" s="245">
        <v>-2644</v>
      </c>
      <c r="G16" s="245">
        <v>-3526</v>
      </c>
      <c r="H16" s="245">
        <v>-3762</v>
      </c>
      <c r="I16" s="245">
        <v>-4312</v>
      </c>
      <c r="J16" s="530">
        <f>Schedules!J53</f>
        <v>-4981.5265950000003</v>
      </c>
      <c r="K16" s="530">
        <f>Schedules!K53</f>
        <v>-5783.9348837015632</v>
      </c>
      <c r="L16" s="530">
        <f>Schedules!L53</f>
        <v>-6503.578732640497</v>
      </c>
      <c r="M16" s="530">
        <f>Schedules!M53</f>
        <v>-7368.3363483386665</v>
      </c>
      <c r="N16" s="76">
        <f>Schedules!N53</f>
        <v>-8416.9072388993864</v>
      </c>
    </row>
    <row r="17" spans="2:15">
      <c r="B17" s="99" t="s">
        <v>143</v>
      </c>
      <c r="C17" s="1"/>
      <c r="D17" s="1"/>
      <c r="E17" s="245">
        <v>-1392</v>
      </c>
      <c r="F17" s="245">
        <v>-1678</v>
      </c>
      <c r="G17" s="245">
        <v>-2347</v>
      </c>
      <c r="H17" s="245">
        <v>-2539</v>
      </c>
      <c r="I17" s="245">
        <v>-2754</v>
      </c>
      <c r="J17" s="530">
        <f>Schedules!J58</f>
        <v>-3302.5676315000001</v>
      </c>
      <c r="K17" s="530">
        <f>Schedules!K58</f>
        <v>-3869.9782494585002</v>
      </c>
      <c r="L17" s="530">
        <f>Schedules!L58</f>
        <v>-4600.6797701271662</v>
      </c>
      <c r="M17" s="530">
        <f>Schedules!M58</f>
        <v>-5505.3984791360599</v>
      </c>
      <c r="N17" s="76">
        <f>Schedules!N58</f>
        <v>-6636.4076306706711</v>
      </c>
    </row>
    <row r="18" spans="2:15">
      <c r="B18" s="99" t="s">
        <v>144</v>
      </c>
      <c r="C18" s="1"/>
      <c r="D18" s="1"/>
      <c r="E18" s="245">
        <v>-679</v>
      </c>
      <c r="F18" s="245">
        <v>-982</v>
      </c>
      <c r="G18" s="245">
        <v>-1460</v>
      </c>
      <c r="H18" s="245">
        <v>-1300</v>
      </c>
      <c r="I18" s="245">
        <f>-1418-223</f>
        <v>-1641</v>
      </c>
      <c r="J18" s="530">
        <f>Schedules!J63</f>
        <v>-1748.4711399487257</v>
      </c>
      <c r="K18" s="530">
        <f>Schedules!K63</f>
        <v>-1888.035720269603</v>
      </c>
      <c r="L18" s="530">
        <f>Schedules!L63</f>
        <v>-2041.8244978192258</v>
      </c>
      <c r="M18" s="530">
        <f>Schedules!M63</f>
        <v>-2356.9661231717173</v>
      </c>
      <c r="N18" s="76">
        <f>Schedules!N63</f>
        <v>-2744.157064988136</v>
      </c>
    </row>
    <row r="19" spans="2:15">
      <c r="B19" s="531" t="s">
        <v>145</v>
      </c>
      <c r="C19" s="56"/>
      <c r="D19" s="56"/>
      <c r="E19" s="58">
        <f t="shared" ref="E19:N19" si="4">SUM(E16:E18)</f>
        <v>-4119</v>
      </c>
      <c r="F19" s="58">
        <f t="shared" si="4"/>
        <v>-5304</v>
      </c>
      <c r="G19" s="58">
        <f t="shared" si="4"/>
        <v>-7333</v>
      </c>
      <c r="H19" s="58">
        <f t="shared" si="4"/>
        <v>-7601</v>
      </c>
      <c r="I19" s="58">
        <f t="shared" si="4"/>
        <v>-8707</v>
      </c>
      <c r="J19" s="59">
        <f t="shared" si="4"/>
        <v>-10032.565366448727</v>
      </c>
      <c r="K19" s="59">
        <f t="shared" si="4"/>
        <v>-11541.948853429667</v>
      </c>
      <c r="L19" s="59">
        <f t="shared" si="4"/>
        <v>-13146.083000586888</v>
      </c>
      <c r="M19" s="59">
        <f t="shared" si="4"/>
        <v>-15230.700950646446</v>
      </c>
      <c r="N19" s="499">
        <f t="shared" si="4"/>
        <v>-17797.471934558194</v>
      </c>
    </row>
    <row r="20" spans="2:15">
      <c r="B20" s="184" t="s">
        <v>146</v>
      </c>
      <c r="C20" s="414"/>
      <c r="D20" s="414"/>
      <c r="E20" s="171">
        <f>E19/E$6</f>
        <v>-0.53639796848547983</v>
      </c>
      <c r="F20" s="171">
        <f>F19/F$6</f>
        <v>-0.55060728744939269</v>
      </c>
      <c r="G20" s="171">
        <f>G19/G$6</f>
        <v>-0.57622190790507621</v>
      </c>
      <c r="H20" s="171">
        <f>H19/H$6</f>
        <v>-0.52902282850779514</v>
      </c>
      <c r="I20" s="171">
        <f>I19/I$6</f>
        <v>-0.53466380104390543</v>
      </c>
      <c r="J20" s="207">
        <f t="shared" ref="J20:N20" si="5">J19/J6</f>
        <v>-0.54376757752533011</v>
      </c>
      <c r="K20" s="207">
        <f t="shared" si="5"/>
        <v>-0.54876757752533012</v>
      </c>
      <c r="L20" s="207">
        <f t="shared" si="5"/>
        <v>-0.54576757752533001</v>
      </c>
      <c r="M20" s="207">
        <f t="shared" si="5"/>
        <v>-0.54776757752533012</v>
      </c>
      <c r="N20" s="208">
        <f t="shared" si="5"/>
        <v>-0.54976757752533012</v>
      </c>
    </row>
    <row r="21" spans="2:15">
      <c r="B21" s="184"/>
      <c r="C21" s="414"/>
      <c r="D21" s="414"/>
      <c r="E21" s="171"/>
      <c r="F21" s="171"/>
      <c r="G21" s="171"/>
      <c r="H21" s="171"/>
      <c r="I21" s="171"/>
      <c r="J21" s="202"/>
      <c r="K21" s="202"/>
      <c r="L21" s="202"/>
      <c r="M21" s="202"/>
      <c r="N21" s="203"/>
    </row>
    <row r="22" spans="2:15">
      <c r="B22" s="77" t="s">
        <v>147</v>
      </c>
      <c r="C22" s="24"/>
      <c r="D22" s="60"/>
      <c r="E22" s="58">
        <f t="shared" ref="E22:N22" si="6">E13+E19</f>
        <v>2176</v>
      </c>
      <c r="F22" s="58">
        <f t="shared" si="6"/>
        <v>2500</v>
      </c>
      <c r="G22" s="58">
        <f t="shared" si="6"/>
        <v>2571</v>
      </c>
      <c r="H22" s="58">
        <f>H13+H19</f>
        <v>3141</v>
      </c>
      <c r="I22" s="58">
        <f t="shared" si="6"/>
        <v>3630</v>
      </c>
      <c r="J22" s="59">
        <f t="shared" si="6"/>
        <v>4303.1611680512742</v>
      </c>
      <c r="K22" s="59">
        <f t="shared" si="6"/>
        <v>4821.3287448242099</v>
      </c>
      <c r="L22" s="59">
        <f t="shared" si="6"/>
        <v>5617.9460095129143</v>
      </c>
      <c r="M22" s="59">
        <f t="shared" si="6"/>
        <v>6457.2324520107613</v>
      </c>
      <c r="N22" s="499">
        <f t="shared" si="6"/>
        <v>7453.2497821399666</v>
      </c>
    </row>
    <row r="23" spans="2:15">
      <c r="B23" s="534"/>
      <c r="C23" s="1"/>
      <c r="D23" s="62"/>
      <c r="E23" s="63"/>
      <c r="F23" s="63"/>
      <c r="G23" s="63"/>
      <c r="H23" s="63"/>
      <c r="I23" s="535"/>
      <c r="J23" s="536"/>
      <c r="K23" s="536"/>
      <c r="L23" s="202"/>
      <c r="M23" s="202"/>
      <c r="N23" s="203"/>
    </row>
    <row r="24" spans="2:15">
      <c r="B24" s="26" t="s">
        <v>248</v>
      </c>
      <c r="C24" s="537"/>
      <c r="D24" s="1"/>
      <c r="E24" s="495">
        <f>36-14</f>
        <v>22</v>
      </c>
      <c r="F24" s="495">
        <f>85-29</f>
        <v>56</v>
      </c>
      <c r="G24" s="495">
        <f>52-81</f>
        <v>-29</v>
      </c>
      <c r="H24" s="495">
        <f>96-248</f>
        <v>-152</v>
      </c>
      <c r="I24" s="495">
        <f>162-242</f>
        <v>-80</v>
      </c>
      <c r="J24" s="530">
        <f>-60-230</f>
        <v>-290</v>
      </c>
      <c r="K24" s="530">
        <f>-50</f>
        <v>-50</v>
      </c>
      <c r="L24" s="530">
        <f>-40</f>
        <v>-40</v>
      </c>
      <c r="M24" s="530">
        <f>-37</f>
        <v>-37</v>
      </c>
      <c r="N24" s="76">
        <v>-37</v>
      </c>
    </row>
    <row r="25" spans="2:15">
      <c r="B25" s="531" t="s">
        <v>148</v>
      </c>
      <c r="C25" s="24"/>
      <c r="D25" s="24"/>
      <c r="E25" s="58">
        <f t="shared" ref="E25:N25" si="7">E22+E24</f>
        <v>2198</v>
      </c>
      <c r="F25" s="58">
        <f t="shared" si="7"/>
        <v>2556</v>
      </c>
      <c r="G25" s="58">
        <f t="shared" si="7"/>
        <v>2542</v>
      </c>
      <c r="H25" s="58">
        <f t="shared" si="7"/>
        <v>2989</v>
      </c>
      <c r="I25" s="58">
        <f t="shared" si="7"/>
        <v>3550</v>
      </c>
      <c r="J25" s="59">
        <f t="shared" si="7"/>
        <v>4013.1611680512742</v>
      </c>
      <c r="K25" s="59">
        <f t="shared" si="7"/>
        <v>4771.3287448242099</v>
      </c>
      <c r="L25" s="59">
        <f t="shared" si="7"/>
        <v>5577.9460095129143</v>
      </c>
      <c r="M25" s="59">
        <f t="shared" si="7"/>
        <v>6420.2324520107613</v>
      </c>
      <c r="N25" s="499">
        <f t="shared" si="7"/>
        <v>7416.2497821399666</v>
      </c>
    </row>
    <row r="26" spans="2:15">
      <c r="B26" s="26"/>
      <c r="C26" s="1"/>
      <c r="D26" s="1"/>
      <c r="E26" s="538"/>
      <c r="F26" s="538"/>
      <c r="G26" s="538"/>
      <c r="H26" s="538"/>
      <c r="I26" s="527"/>
      <c r="J26" s="538"/>
      <c r="K26" s="538"/>
      <c r="L26" s="538"/>
      <c r="M26" s="538"/>
      <c r="N26" s="539"/>
    </row>
    <row r="27" spans="2:15">
      <c r="B27" s="28" t="s">
        <v>149</v>
      </c>
      <c r="C27" s="39"/>
      <c r="D27" s="39"/>
      <c r="E27" s="258">
        <f>-372</f>
        <v>-372</v>
      </c>
      <c r="F27" s="258">
        <f>-494</f>
        <v>-494</v>
      </c>
      <c r="G27" s="258">
        <f>-476</f>
        <v>-476</v>
      </c>
      <c r="H27" s="258">
        <f>-605</f>
        <v>-605</v>
      </c>
      <c r="I27" s="258">
        <f>-587</f>
        <v>-587</v>
      </c>
      <c r="J27" s="40">
        <f>-J25*Schedules!J117</f>
        <v>-601.97417520769113</v>
      </c>
      <c r="K27" s="40">
        <f>-K25*Schedules!K117</f>
        <v>-572.55944937890513</v>
      </c>
      <c r="L27" s="40">
        <f>-L25*Schedules!L117</f>
        <v>-669.35352114154966</v>
      </c>
      <c r="M27" s="40">
        <f>-M25*Schedules!M117</f>
        <v>-770.42789424129137</v>
      </c>
      <c r="N27" s="502">
        <f>-N25*Schedules!N117</f>
        <v>-1186.5999651423947</v>
      </c>
    </row>
    <row r="28" spans="2:15">
      <c r="B28" s="532" t="s">
        <v>150</v>
      </c>
      <c r="C28" s="1"/>
      <c r="D28" s="1"/>
      <c r="E28" s="63">
        <f t="shared" ref="E28:N28" si="8">SUM(E25:E27)</f>
        <v>1826</v>
      </c>
      <c r="F28" s="63">
        <f t="shared" si="8"/>
        <v>2062</v>
      </c>
      <c r="G28" s="63">
        <f t="shared" si="8"/>
        <v>2066</v>
      </c>
      <c r="H28" s="63">
        <f t="shared" si="8"/>
        <v>2384</v>
      </c>
      <c r="I28" s="63">
        <f t="shared" si="8"/>
        <v>2963</v>
      </c>
      <c r="J28" s="497">
        <f>SUM(J25:J27)</f>
        <v>3411.1869928435831</v>
      </c>
      <c r="K28" s="497">
        <f>SUM(K25:K27)</f>
        <v>4198.769295445305</v>
      </c>
      <c r="L28" s="497">
        <f>SUM(L25:L27)</f>
        <v>4908.5924883713651</v>
      </c>
      <c r="M28" s="497">
        <f>SUM(M25:M27)</f>
        <v>5649.8045577694702</v>
      </c>
      <c r="N28" s="496">
        <f t="shared" si="8"/>
        <v>6229.6498169975721</v>
      </c>
    </row>
    <row r="29" spans="2:15">
      <c r="B29" s="540"/>
      <c r="C29" s="1"/>
      <c r="D29" s="1"/>
      <c r="E29" s="63"/>
      <c r="F29" s="63"/>
      <c r="G29" s="63"/>
      <c r="H29" s="63"/>
      <c r="I29" s="63"/>
      <c r="J29" s="63"/>
      <c r="K29" s="63"/>
      <c r="L29" s="63"/>
      <c r="M29" s="63"/>
      <c r="N29" s="541"/>
    </row>
    <row r="30" spans="2:15">
      <c r="B30" s="26" t="s">
        <v>151</v>
      </c>
      <c r="C30" s="1"/>
      <c r="D30" s="1"/>
      <c r="E30" s="245">
        <v>261</v>
      </c>
      <c r="F30" s="245">
        <v>270</v>
      </c>
      <c r="G30" s="245">
        <v>280</v>
      </c>
      <c r="H30" s="245">
        <v>281</v>
      </c>
      <c r="I30" s="245">
        <v>280</v>
      </c>
      <c r="J30" s="41">
        <f>Schedules!J119</f>
        <v>280</v>
      </c>
      <c r="K30" s="41">
        <f>Schedules!K119</f>
        <v>279</v>
      </c>
      <c r="L30" s="41">
        <f>Schedules!L119</f>
        <v>281</v>
      </c>
      <c r="M30" s="41">
        <f>Schedules!M119</f>
        <v>282</v>
      </c>
      <c r="N30" s="542">
        <f>Schedules!N119</f>
        <v>280</v>
      </c>
    </row>
    <row r="31" spans="2:15">
      <c r="B31" s="26"/>
      <c r="C31" s="1"/>
      <c r="D31" s="1"/>
      <c r="E31" s="185"/>
      <c r="F31" s="185"/>
      <c r="G31" s="185"/>
      <c r="H31" s="185"/>
      <c r="I31" s="185"/>
      <c r="J31" s="1"/>
      <c r="K31" s="1"/>
      <c r="L31" s="1"/>
      <c r="M31" s="1"/>
      <c r="N31" s="25"/>
      <c r="O31" s="29"/>
    </row>
    <row r="32" spans="2:15">
      <c r="B32" s="75" t="s">
        <v>152</v>
      </c>
      <c r="C32" s="1"/>
      <c r="D32" s="1"/>
      <c r="E32" s="254">
        <v>264</v>
      </c>
      <c r="F32" s="254">
        <v>273</v>
      </c>
      <c r="G32" s="254">
        <v>284</v>
      </c>
      <c r="H32" s="254">
        <v>283</v>
      </c>
      <c r="I32" s="254">
        <v>284</v>
      </c>
      <c r="J32" s="38">
        <f>Schedules!J120</f>
        <v>283.36</v>
      </c>
      <c r="K32" s="38">
        <f>Schedules!K120</f>
        <v>282.34800000000001</v>
      </c>
      <c r="L32" s="38">
        <f>Schedules!L120</f>
        <v>284.37200000000001</v>
      </c>
      <c r="M32" s="38">
        <f>Schedules!M120</f>
        <v>285.38400000000001</v>
      </c>
      <c r="N32" s="550">
        <f>Schedules!N120</f>
        <v>283.36</v>
      </c>
    </row>
    <row r="33" spans="2:14">
      <c r="B33" s="75" t="s">
        <v>153</v>
      </c>
      <c r="C33" s="1"/>
      <c r="D33" s="1"/>
      <c r="E33" s="548">
        <f t="shared" ref="E33:J33" si="9">E28/E32</f>
        <v>6.916666666666667</v>
      </c>
      <c r="F33" s="548">
        <f t="shared" si="9"/>
        <v>7.5531135531135529</v>
      </c>
      <c r="G33" s="548">
        <f t="shared" si="9"/>
        <v>7.274647887323944</v>
      </c>
      <c r="H33" s="548">
        <f t="shared" si="9"/>
        <v>8.4240282685512362</v>
      </c>
      <c r="I33" s="548">
        <f t="shared" si="9"/>
        <v>10.433098591549296</v>
      </c>
      <c r="J33" s="549">
        <f t="shared" si="9"/>
        <v>12.038350482931898</v>
      </c>
      <c r="K33" s="549">
        <f t="shared" ref="K33:N33" si="10">K28/K32</f>
        <v>14.870901495478293</v>
      </c>
      <c r="L33" s="549">
        <f t="shared" si="10"/>
        <v>17.261166670316925</v>
      </c>
      <c r="M33" s="549">
        <f t="shared" si="10"/>
        <v>19.797201517146966</v>
      </c>
      <c r="N33" s="551">
        <f t="shared" si="10"/>
        <v>21.984930184209386</v>
      </c>
    </row>
    <row r="34" spans="2:14">
      <c r="B34" s="552"/>
      <c r="C34" s="39"/>
      <c r="D34" s="39"/>
      <c r="E34" s="553"/>
      <c r="F34" s="39"/>
      <c r="G34" s="39"/>
      <c r="H34" s="39"/>
      <c r="I34" s="501"/>
      <c r="J34" s="501"/>
      <c r="K34" s="39"/>
      <c r="L34" s="39"/>
      <c r="M34" s="39"/>
      <c r="N34" s="27"/>
    </row>
    <row r="35" spans="2:14">
      <c r="B35" s="500" t="s">
        <v>154</v>
      </c>
      <c r="C35" s="24"/>
      <c r="D35" s="24"/>
      <c r="E35" s="32">
        <f t="shared" ref="E35:N35" si="11">E45+E46</f>
        <v>218</v>
      </c>
      <c r="F35" s="32">
        <f t="shared" si="11"/>
        <v>363</v>
      </c>
      <c r="G35" s="32">
        <f t="shared" si="11"/>
        <v>746</v>
      </c>
      <c r="H35" s="32">
        <f t="shared" si="11"/>
        <v>806</v>
      </c>
      <c r="I35" s="32">
        <f t="shared" si="11"/>
        <v>789</v>
      </c>
      <c r="J35" s="34">
        <f t="shared" si="11"/>
        <v>981.54524020000008</v>
      </c>
      <c r="K35" s="34">
        <f t="shared" si="11"/>
        <v>1139.9609843513626</v>
      </c>
      <c r="L35" s="34">
        <f t="shared" si="11"/>
        <v>1204.3664319704624</v>
      </c>
      <c r="M35" s="34">
        <f t="shared" si="11"/>
        <v>1395.8131497607585</v>
      </c>
      <c r="N35" s="545">
        <f t="shared" si="11"/>
        <v>1560.365111211348</v>
      </c>
    </row>
    <row r="36" spans="2:14">
      <c r="B36" s="101" t="s">
        <v>213</v>
      </c>
      <c r="C36" s="39"/>
      <c r="D36" s="39"/>
      <c r="E36" s="501">
        <f>47+29</f>
        <v>76</v>
      </c>
      <c r="F36" s="501">
        <v>0</v>
      </c>
      <c r="G36" s="501">
        <f>88+69</f>
        <v>157</v>
      </c>
      <c r="H36" s="501">
        <f>112+11</f>
        <v>123</v>
      </c>
      <c r="I36" s="501">
        <f>334</f>
        <v>334</v>
      </c>
      <c r="J36" s="40">
        <v>134</v>
      </c>
      <c r="K36" s="40">
        <v>135</v>
      </c>
      <c r="L36" s="40">
        <v>136</v>
      </c>
      <c r="M36" s="40">
        <v>137</v>
      </c>
      <c r="N36" s="502">
        <v>138</v>
      </c>
    </row>
    <row r="37" spans="2:14">
      <c r="B37" s="534" t="s">
        <v>155</v>
      </c>
      <c r="C37" s="1"/>
      <c r="D37" s="62"/>
      <c r="E37" s="63">
        <f t="shared" ref="E37:N37" si="12">E22+E35+E36</f>
        <v>2470</v>
      </c>
      <c r="F37" s="63">
        <f t="shared" si="12"/>
        <v>2863</v>
      </c>
      <c r="G37" s="63">
        <f t="shared" si="12"/>
        <v>3474</v>
      </c>
      <c r="H37" s="63">
        <f t="shared" si="12"/>
        <v>4070</v>
      </c>
      <c r="I37" s="63">
        <f t="shared" si="12"/>
        <v>4753</v>
      </c>
      <c r="J37" s="497">
        <f t="shared" si="12"/>
        <v>5418.7064082512743</v>
      </c>
      <c r="K37" s="497">
        <f t="shared" si="12"/>
        <v>6096.2897291755726</v>
      </c>
      <c r="L37" s="497">
        <f t="shared" si="12"/>
        <v>6958.3124414833765</v>
      </c>
      <c r="M37" s="497">
        <f t="shared" si="12"/>
        <v>7990.0456017715196</v>
      </c>
      <c r="N37" s="496">
        <f t="shared" si="12"/>
        <v>9151.6148933513141</v>
      </c>
    </row>
    <row r="38" spans="2:14">
      <c r="B38" s="80" t="s">
        <v>214</v>
      </c>
      <c r="C38" s="78"/>
      <c r="D38" s="79"/>
      <c r="E38" s="81">
        <f t="shared" ref="E38:N38" si="13">E37/E6</f>
        <v>0.32165646568563616</v>
      </c>
      <c r="F38" s="81">
        <f t="shared" si="13"/>
        <v>0.29720751583099764</v>
      </c>
      <c r="G38" s="81">
        <f t="shared" si="13"/>
        <v>0.27298444130127297</v>
      </c>
      <c r="H38" s="81">
        <f t="shared" si="13"/>
        <v>0.28326837416481071</v>
      </c>
      <c r="I38" s="81">
        <f t="shared" si="13"/>
        <v>0.29186367823150139</v>
      </c>
      <c r="J38" s="306">
        <f t="shared" si="13"/>
        <v>0.29369525632891741</v>
      </c>
      <c r="K38" s="306">
        <f t="shared" si="13"/>
        <v>0.28985106320048692</v>
      </c>
      <c r="L38" s="306">
        <f t="shared" si="13"/>
        <v>0.28887854463441376</v>
      </c>
      <c r="M38" s="306">
        <f t="shared" si="13"/>
        <v>0.28735958625814534</v>
      </c>
      <c r="N38" s="307">
        <f t="shared" si="13"/>
        <v>0.28269527092738639</v>
      </c>
    </row>
    <row r="39" spans="2:14">
      <c r="B39" s="61"/>
      <c r="C39" s="62"/>
      <c r="D39" s="62"/>
      <c r="E39" s="63"/>
      <c r="F39" s="63"/>
      <c r="G39" s="63"/>
      <c r="H39" s="63"/>
      <c r="I39" s="63"/>
      <c r="J39" s="63"/>
      <c r="K39" s="63"/>
      <c r="L39" s="63"/>
      <c r="M39" s="63"/>
      <c r="N39" s="63"/>
    </row>
    <row r="40" spans="2:14">
      <c r="B40" s="199" t="s">
        <v>156</v>
      </c>
      <c r="C40" s="200"/>
      <c r="D40" s="200"/>
      <c r="E40" s="200"/>
      <c r="F40" s="200"/>
      <c r="G40" s="200"/>
      <c r="H40" s="200"/>
      <c r="I40" s="200"/>
      <c r="J40" s="200"/>
      <c r="K40" s="200"/>
      <c r="L40" s="200"/>
      <c r="M40" s="200"/>
      <c r="N40" s="201"/>
    </row>
    <row r="41" spans="2:14">
      <c r="B41" s="26"/>
      <c r="C41" s="1"/>
      <c r="D41" s="1"/>
      <c r="E41" s="519"/>
      <c r="F41" s="519"/>
      <c r="G41" s="519"/>
      <c r="H41" s="520"/>
      <c r="I41" s="520"/>
      <c r="J41" s="88" t="str">
        <f>J3</f>
        <v>Projected Fiscal Years Ending July 31</v>
      </c>
      <c r="K41" s="88"/>
      <c r="L41" s="88"/>
      <c r="M41" s="88"/>
      <c r="N41" s="626"/>
    </row>
    <row r="42" spans="2:14" ht="15" thickBot="1">
      <c r="B42" s="556"/>
      <c r="C42" s="30"/>
      <c r="D42" s="30"/>
      <c r="E42" s="73">
        <f>E4</f>
        <v>44043</v>
      </c>
      <c r="F42" s="73">
        <f>F4</f>
        <v>44408</v>
      </c>
      <c r="G42" s="73">
        <f>G4</f>
        <v>44773</v>
      </c>
      <c r="H42" s="73">
        <f>H4</f>
        <v>45138</v>
      </c>
      <c r="I42" s="73">
        <f>I4</f>
        <v>45504</v>
      </c>
      <c r="J42" s="73">
        <f>J4</f>
        <v>45869</v>
      </c>
      <c r="K42" s="73">
        <f>K4</f>
        <v>46234</v>
      </c>
      <c r="L42" s="73">
        <f>L4</f>
        <v>46599</v>
      </c>
      <c r="M42" s="73">
        <f>M4</f>
        <v>46965</v>
      </c>
      <c r="N42" s="523">
        <f>N4</f>
        <v>47330</v>
      </c>
    </row>
    <row r="43" spans="2:14">
      <c r="B43" s="557" t="s">
        <v>157</v>
      </c>
      <c r="C43" s="547"/>
      <c r="D43" s="547"/>
      <c r="E43" s="558"/>
      <c r="F43" s="37"/>
      <c r="G43" s="37"/>
      <c r="H43" s="37"/>
      <c r="I43" s="37"/>
      <c r="J43" s="559"/>
      <c r="K43" s="559"/>
      <c r="L43" s="559"/>
      <c r="M43" s="559"/>
      <c r="N43" s="560"/>
    </row>
    <row r="44" spans="2:14">
      <c r="B44" s="75" t="s">
        <v>158</v>
      </c>
      <c r="C44" s="547"/>
      <c r="D44" s="547"/>
      <c r="E44" s="42">
        <f t="shared" ref="E44:N44" si="14">E28</f>
        <v>1826</v>
      </c>
      <c r="F44" s="42">
        <f t="shared" si="14"/>
        <v>2062</v>
      </c>
      <c r="G44" s="42">
        <f t="shared" si="14"/>
        <v>2066</v>
      </c>
      <c r="H44" s="42">
        <f t="shared" si="14"/>
        <v>2384</v>
      </c>
      <c r="I44" s="42">
        <f t="shared" si="14"/>
        <v>2963</v>
      </c>
      <c r="J44" s="43">
        <f t="shared" si="14"/>
        <v>3411.1869928435831</v>
      </c>
      <c r="K44" s="43">
        <f t="shared" si="14"/>
        <v>4198.769295445305</v>
      </c>
      <c r="L44" s="43">
        <f t="shared" si="14"/>
        <v>4908.5924883713651</v>
      </c>
      <c r="M44" s="43">
        <f t="shared" si="14"/>
        <v>5649.8045577694702</v>
      </c>
      <c r="N44" s="561">
        <f t="shared" si="14"/>
        <v>6229.6498169975721</v>
      </c>
    </row>
    <row r="45" spans="2:14">
      <c r="B45" s="75" t="s">
        <v>126</v>
      </c>
      <c r="C45" s="547"/>
      <c r="D45" s="547"/>
      <c r="E45" s="42">
        <v>189</v>
      </c>
      <c r="F45" s="42">
        <v>166</v>
      </c>
      <c r="G45" s="42">
        <v>187</v>
      </c>
      <c r="H45" s="42">
        <v>160</v>
      </c>
      <c r="I45" s="42">
        <v>159</v>
      </c>
      <c r="J45" s="43">
        <f>Schedules!J92</f>
        <v>243.54130019999999</v>
      </c>
      <c r="K45" s="43">
        <f>Schedules!K92</f>
        <v>277.62887441767498</v>
      </c>
      <c r="L45" s="43">
        <f>Schedules!L92</f>
        <v>317.95273804020206</v>
      </c>
      <c r="M45" s="43">
        <f>Schedules!M92</f>
        <v>367.02656527573731</v>
      </c>
      <c r="N45" s="561">
        <f>Schedules!N92</f>
        <v>427.31990597489192</v>
      </c>
    </row>
    <row r="46" spans="2:14">
      <c r="B46" s="562" t="s">
        <v>249</v>
      </c>
      <c r="C46" s="547"/>
      <c r="D46" s="547"/>
      <c r="E46" s="254">
        <v>29</v>
      </c>
      <c r="F46" s="254">
        <v>197</v>
      </c>
      <c r="G46" s="254">
        <v>559</v>
      </c>
      <c r="H46" s="254">
        <v>646</v>
      </c>
      <c r="I46" s="254">
        <v>630</v>
      </c>
      <c r="J46" s="97">
        <f>Schedules!J99</f>
        <v>738.00394000000006</v>
      </c>
      <c r="K46" s="97">
        <f>Schedules!K99</f>
        <v>862.33210993368755</v>
      </c>
      <c r="L46" s="97">
        <f>Schedules!L99</f>
        <v>886.41369393026025</v>
      </c>
      <c r="M46" s="97">
        <f>Schedules!M99</f>
        <v>1028.7865844850212</v>
      </c>
      <c r="N46" s="563">
        <f>Schedules!N99</f>
        <v>1133.045205236456</v>
      </c>
    </row>
    <row r="47" spans="2:14">
      <c r="B47" s="75" t="s">
        <v>207</v>
      </c>
      <c r="C47" s="564"/>
      <c r="D47" s="547"/>
      <c r="E47" s="254">
        <v>435</v>
      </c>
      <c r="F47" s="254">
        <v>753</v>
      </c>
      <c r="G47" s="254">
        <v>1308</v>
      </c>
      <c r="H47" s="254">
        <v>1712</v>
      </c>
      <c r="I47" s="254">
        <v>1940</v>
      </c>
      <c r="J47" s="44">
        <f>Schedules!J118</f>
        <v>2197.9239232422474</v>
      </c>
      <c r="K47" s="44">
        <f>Schedules!K118</f>
        <v>2505.5591982317314</v>
      </c>
      <c r="L47" s="44">
        <f>Schedules!L118</f>
        <v>2869.4760552934558</v>
      </c>
      <c r="M47" s="44">
        <f>Schedules!M118</f>
        <v>3312.3600293769609</v>
      </c>
      <c r="N47" s="565">
        <f>Schedules!N118</f>
        <v>3856.4984396837121</v>
      </c>
    </row>
    <row r="48" spans="2:14">
      <c r="B48" s="75" t="s">
        <v>159</v>
      </c>
      <c r="C48" s="547"/>
      <c r="D48" s="547"/>
      <c r="E48" s="254">
        <v>-179</v>
      </c>
      <c r="F48" s="254">
        <v>-42</v>
      </c>
      <c r="G48" s="254">
        <v>120</v>
      </c>
      <c r="H48" s="254">
        <v>-628</v>
      </c>
      <c r="I48" s="254">
        <v>-554</v>
      </c>
      <c r="J48" s="44">
        <f>I48*0.965</f>
        <v>-534.61</v>
      </c>
      <c r="K48" s="44">
        <f t="shared" ref="K48:N48" si="15">J48*0.965</f>
        <v>-515.89864999999998</v>
      </c>
      <c r="L48" s="44">
        <f t="shared" si="15"/>
        <v>-497.84219724999997</v>
      </c>
      <c r="M48" s="44">
        <f t="shared" si="15"/>
        <v>-480.41772034624995</v>
      </c>
      <c r="N48" s="565">
        <f t="shared" si="15"/>
        <v>-463.60310013413118</v>
      </c>
    </row>
    <row r="49" spans="2:14">
      <c r="B49" s="75" t="s">
        <v>160</v>
      </c>
      <c r="C49" s="547"/>
      <c r="D49" s="547"/>
      <c r="E49" s="254">
        <v>-20</v>
      </c>
      <c r="F49" s="254">
        <v>81</v>
      </c>
      <c r="G49" s="254">
        <v>153</v>
      </c>
      <c r="H49" s="254">
        <v>-51</v>
      </c>
      <c r="I49" s="254">
        <v>226</v>
      </c>
      <c r="J49" s="44">
        <f>469</f>
        <v>469</v>
      </c>
      <c r="K49" s="44">
        <v>78</v>
      </c>
      <c r="L49" s="44">
        <v>78</v>
      </c>
      <c r="M49" s="44">
        <v>78</v>
      </c>
      <c r="N49" s="565">
        <v>78</v>
      </c>
    </row>
    <row r="50" spans="2:14">
      <c r="B50" s="566" t="s">
        <v>161</v>
      </c>
      <c r="C50" s="64"/>
      <c r="D50" s="64"/>
      <c r="E50" s="65">
        <f t="shared" ref="E50:N50" si="16">SUM(E44:E49)</f>
        <v>2280</v>
      </c>
      <c r="F50" s="65">
        <f t="shared" si="16"/>
        <v>3217</v>
      </c>
      <c r="G50" s="65">
        <f t="shared" si="16"/>
        <v>4393</v>
      </c>
      <c r="H50" s="65">
        <f t="shared" si="16"/>
        <v>4223</v>
      </c>
      <c r="I50" s="65">
        <f t="shared" si="16"/>
        <v>5364</v>
      </c>
      <c r="J50" s="65">
        <f t="shared" si="16"/>
        <v>6525.0461562858318</v>
      </c>
      <c r="K50" s="65">
        <f t="shared" si="16"/>
        <v>7406.3908280283986</v>
      </c>
      <c r="L50" s="65">
        <f t="shared" si="16"/>
        <v>8562.5927783852821</v>
      </c>
      <c r="M50" s="65">
        <f t="shared" si="16"/>
        <v>9955.5600165609394</v>
      </c>
      <c r="N50" s="567">
        <f t="shared" si="16"/>
        <v>11260.910267758502</v>
      </c>
    </row>
    <row r="51" spans="2:14">
      <c r="B51" s="568"/>
      <c r="C51" s="547"/>
      <c r="D51" s="547"/>
      <c r="E51" s="547"/>
      <c r="F51" s="569"/>
      <c r="G51" s="547"/>
      <c r="H51" s="559"/>
      <c r="I51" s="559"/>
      <c r="J51" s="559"/>
      <c r="K51" s="559"/>
      <c r="L51" s="559"/>
      <c r="M51" s="559"/>
      <c r="N51" s="560"/>
    </row>
    <row r="52" spans="2:14">
      <c r="B52" s="75" t="s">
        <v>257</v>
      </c>
      <c r="C52" s="547"/>
      <c r="D52" s="547"/>
      <c r="E52" s="495">
        <f>149-87</f>
        <v>62</v>
      </c>
      <c r="F52" s="495">
        <f t="shared" ref="F52:N52" si="17">F85-E85</f>
        <v>374</v>
      </c>
      <c r="G52" s="495">
        <f t="shared" si="17"/>
        <v>432</v>
      </c>
      <c r="H52" s="495">
        <f t="shared" si="17"/>
        <v>137</v>
      </c>
      <c r="I52" s="495">
        <f t="shared" si="17"/>
        <v>147</v>
      </c>
      <c r="J52" s="97">
        <f t="shared" si="17"/>
        <v>349.55348084999991</v>
      </c>
      <c r="K52" s="97">
        <f t="shared" si="17"/>
        <v>367.46813436543766</v>
      </c>
      <c r="L52" s="97">
        <f t="shared" si="17"/>
        <v>404.53659144666881</v>
      </c>
      <c r="M52" s="97">
        <f t="shared" si="17"/>
        <v>447.75111855376281</v>
      </c>
      <c r="N52" s="563">
        <f t="shared" si="17"/>
        <v>526.08085019427244</v>
      </c>
    </row>
    <row r="53" spans="2:14">
      <c r="B53" s="75" t="s">
        <v>263</v>
      </c>
      <c r="C53" s="547"/>
      <c r="D53" s="547"/>
      <c r="E53" s="495"/>
      <c r="F53" s="495">
        <f>F86-E86</f>
        <v>-19</v>
      </c>
      <c r="G53" s="495">
        <f t="shared" ref="G53:N53" si="18">G86-F86</f>
        <v>73</v>
      </c>
      <c r="H53" s="495">
        <f t="shared" si="18"/>
        <v>3</v>
      </c>
      <c r="I53" s="495">
        <f t="shared" si="18"/>
        <v>61</v>
      </c>
      <c r="J53" s="44">
        <f>J86-I86</f>
        <v>48.617629950000037</v>
      </c>
      <c r="K53" s="44">
        <f t="shared" si="18"/>
        <v>33.194632204687537</v>
      </c>
      <c r="L53" s="44">
        <f t="shared" si="18"/>
        <v>52.28362519113432</v>
      </c>
      <c r="M53" s="44">
        <f t="shared" si="18"/>
        <v>75.322619016286239</v>
      </c>
      <c r="N53" s="565">
        <f t="shared" si="18"/>
        <v>91.1540570789914</v>
      </c>
    </row>
    <row r="54" spans="2:14">
      <c r="B54" s="75" t="s">
        <v>258</v>
      </c>
      <c r="C54" s="547"/>
      <c r="D54" s="547"/>
      <c r="E54" s="495">
        <f>793-666</f>
        <v>127</v>
      </c>
      <c r="F54" s="495">
        <f t="shared" ref="F54:N55" si="19">F100-E100</f>
        <v>369</v>
      </c>
      <c r="G54" s="495">
        <f t="shared" si="19"/>
        <v>163</v>
      </c>
      <c r="H54" s="495">
        <f t="shared" si="19"/>
        <v>692</v>
      </c>
      <c r="I54" s="495">
        <f t="shared" si="19"/>
        <v>-348</v>
      </c>
      <c r="J54" s="44">
        <f t="shared" si="19"/>
        <v>397.41103199999998</v>
      </c>
      <c r="K54" s="44">
        <f t="shared" si="19"/>
        <v>434.35208680769392</v>
      </c>
      <c r="L54" s="44">
        <f t="shared" si="19"/>
        <v>483.6568996151118</v>
      </c>
      <c r="M54" s="44">
        <f t="shared" si="19"/>
        <v>516.23487310865903</v>
      </c>
      <c r="N54" s="565">
        <f t="shared" si="19"/>
        <v>672.18873575365387</v>
      </c>
    </row>
    <row r="55" spans="2:14">
      <c r="B55" s="75" t="s">
        <v>266</v>
      </c>
      <c r="C55" s="547"/>
      <c r="D55" s="547"/>
      <c r="E55" s="495"/>
      <c r="F55" s="495">
        <f t="shared" si="19"/>
        <v>87</v>
      </c>
      <c r="G55" s="495">
        <f t="shared" si="19"/>
        <v>239</v>
      </c>
      <c r="H55" s="495">
        <f t="shared" si="19"/>
        <v>-122</v>
      </c>
      <c r="I55" s="495">
        <f t="shared" si="19"/>
        <v>86</v>
      </c>
      <c r="J55" s="44">
        <f>J101-I101</f>
        <v>228.15462950000006</v>
      </c>
      <c r="K55" s="44">
        <f t="shared" si="19"/>
        <v>142.40491383699998</v>
      </c>
      <c r="L55" s="44">
        <f t="shared" si="19"/>
        <v>194.80688863346234</v>
      </c>
      <c r="M55" s="44">
        <f t="shared" si="19"/>
        <v>324.91092334510995</v>
      </c>
      <c r="N55" s="565">
        <f t="shared" si="19"/>
        <v>574.94945440927427</v>
      </c>
    </row>
    <row r="56" spans="2:14">
      <c r="B56" s="570" t="s">
        <v>162</v>
      </c>
      <c r="C56" s="64"/>
      <c r="D56" s="64"/>
      <c r="E56" s="65">
        <f>(E52+E53)-(E54+E55)</f>
        <v>-65</v>
      </c>
      <c r="F56" s="65">
        <f t="shared" ref="F56:N56" si="20">(F52+F53)-(F54+F55)</f>
        <v>-101</v>
      </c>
      <c r="G56" s="65">
        <f t="shared" si="20"/>
        <v>103</v>
      </c>
      <c r="H56" s="65">
        <f t="shared" si="20"/>
        <v>-430</v>
      </c>
      <c r="I56" s="65">
        <f t="shared" si="20"/>
        <v>470</v>
      </c>
      <c r="J56" s="65">
        <f t="shared" si="20"/>
        <v>-227.39455070000008</v>
      </c>
      <c r="K56" s="65">
        <f t="shared" si="20"/>
        <v>-176.0942340745687</v>
      </c>
      <c r="L56" s="65">
        <f t="shared" si="20"/>
        <v>-221.643571610771</v>
      </c>
      <c r="M56" s="65">
        <f t="shared" si="20"/>
        <v>-318.07205888371993</v>
      </c>
      <c r="N56" s="567">
        <f t="shared" si="20"/>
        <v>-629.9032828896643</v>
      </c>
    </row>
    <row r="57" spans="2:14">
      <c r="B57" s="568"/>
      <c r="C57" s="547"/>
      <c r="D57" s="547"/>
      <c r="E57" s="547"/>
      <c r="F57" s="547"/>
      <c r="G57" s="547"/>
      <c r="H57" s="547"/>
      <c r="I57" s="547"/>
      <c r="J57" s="53"/>
      <c r="K57" s="53"/>
      <c r="L57" s="53"/>
      <c r="M57" s="53"/>
      <c r="N57" s="571"/>
    </row>
    <row r="58" spans="2:14">
      <c r="B58" s="572" t="s">
        <v>163</v>
      </c>
      <c r="C58" s="31"/>
      <c r="D58" s="31"/>
      <c r="E58" s="65">
        <f t="shared" ref="E58:N58" si="21">E56+E50</f>
        <v>2215</v>
      </c>
      <c r="F58" s="65">
        <f t="shared" si="21"/>
        <v>3116</v>
      </c>
      <c r="G58" s="65">
        <f t="shared" si="21"/>
        <v>4496</v>
      </c>
      <c r="H58" s="65">
        <f t="shared" si="21"/>
        <v>3793</v>
      </c>
      <c r="I58" s="65">
        <f t="shared" si="21"/>
        <v>5834</v>
      </c>
      <c r="J58" s="66">
        <f t="shared" si="21"/>
        <v>6297.6516055858319</v>
      </c>
      <c r="K58" s="66">
        <f t="shared" si="21"/>
        <v>7230.2965939538299</v>
      </c>
      <c r="L58" s="66">
        <f t="shared" si="21"/>
        <v>8340.9492067745105</v>
      </c>
      <c r="M58" s="66">
        <f t="shared" si="21"/>
        <v>9637.48795767722</v>
      </c>
      <c r="N58" s="573">
        <f t="shared" si="21"/>
        <v>10631.006984868836</v>
      </c>
    </row>
    <row r="59" spans="2:14">
      <c r="B59" s="75"/>
      <c r="C59" s="547"/>
      <c r="D59" s="547"/>
      <c r="E59" s="1"/>
      <c r="F59" s="547"/>
      <c r="G59" s="547"/>
      <c r="H59" s="547"/>
      <c r="I59" s="547"/>
      <c r="J59" s="547"/>
      <c r="K59" s="547"/>
      <c r="L59" s="547"/>
      <c r="M59" s="547"/>
      <c r="N59" s="574"/>
    </row>
    <row r="60" spans="2:14">
      <c r="B60" s="557" t="s">
        <v>164</v>
      </c>
      <c r="C60" s="564"/>
      <c r="D60" s="547"/>
      <c r="E60" s="575"/>
      <c r="F60" s="575"/>
      <c r="G60" s="575"/>
      <c r="H60" s="575"/>
      <c r="I60" s="575"/>
      <c r="J60" s="575"/>
      <c r="K60" s="575"/>
      <c r="L60" s="575"/>
      <c r="M60" s="575"/>
      <c r="N60" s="576"/>
    </row>
    <row r="61" spans="2:14">
      <c r="B61" s="75" t="s">
        <v>260</v>
      </c>
      <c r="C61" s="547"/>
      <c r="D61" s="547"/>
      <c r="E61" s="342">
        <f>(960-780)+(1682-1709)</f>
        <v>153</v>
      </c>
      <c r="F61" s="342">
        <f t="shared" ref="F61:I61" si="22">(F93-E93)+(F94-E94)</f>
        <v>7383</v>
      </c>
      <c r="G61" s="342">
        <f t="shared" si="22"/>
        <v>12209</v>
      </c>
      <c r="H61" s="342">
        <f t="shared" si="22"/>
        <v>-597</v>
      </c>
      <c r="I61" s="342">
        <f t="shared" si="22"/>
        <v>-553</v>
      </c>
      <c r="J61" s="577">
        <f>-(Schedules!J91+Schedules!J98)</f>
        <v>-1107.0059100000001</v>
      </c>
      <c r="K61" s="577">
        <f>-(Schedules!K91+Schedules!K98)</f>
        <v>-420.64980972375002</v>
      </c>
      <c r="L61" s="577">
        <f>-(Schedules!L91+Schedules!L98)</f>
        <v>-433.57191550936648</v>
      </c>
      <c r="M61" s="577">
        <f>-(Schedules!M91+Schedules!M98)</f>
        <v>-472.68572800663139</v>
      </c>
      <c r="N61" s="100">
        <f>-(Schedules!N91+Schedules!N98)</f>
        <v>-550.33624254342135</v>
      </c>
    </row>
    <row r="62" spans="2:14">
      <c r="B62" s="75" t="s">
        <v>208</v>
      </c>
      <c r="C62" s="547"/>
      <c r="D62" s="547"/>
      <c r="E62" s="342">
        <v>0</v>
      </c>
      <c r="F62" s="342">
        <v>-3064</v>
      </c>
      <c r="G62" s="342">
        <v>-5682</v>
      </c>
      <c r="H62" s="342">
        <v>-33</v>
      </c>
      <c r="I62" s="342">
        <v>-83</v>
      </c>
      <c r="J62" s="577">
        <v>151</v>
      </c>
      <c r="K62" s="577">
        <f>J62</f>
        <v>151</v>
      </c>
      <c r="L62" s="577">
        <f>K62</f>
        <v>151</v>
      </c>
      <c r="M62" s="577">
        <f>L62</f>
        <v>151</v>
      </c>
      <c r="N62" s="100">
        <f>M62</f>
        <v>151</v>
      </c>
    </row>
    <row r="63" spans="2:14">
      <c r="B63" s="75" t="s">
        <v>209</v>
      </c>
      <c r="C63" s="547"/>
      <c r="D63" s="547"/>
      <c r="E63" s="342">
        <v>40</v>
      </c>
      <c r="F63" s="342">
        <v>-776</v>
      </c>
      <c r="G63" s="342">
        <v>490</v>
      </c>
      <c r="H63" s="342">
        <v>-629</v>
      </c>
      <c r="I63" s="342">
        <v>106</v>
      </c>
      <c r="J63" s="577">
        <v>146</v>
      </c>
      <c r="K63" s="577">
        <f>J63+25</f>
        <v>171</v>
      </c>
      <c r="L63" s="577">
        <f>K63+25</f>
        <v>196</v>
      </c>
      <c r="M63" s="577">
        <f>L63+25</f>
        <v>221</v>
      </c>
      <c r="N63" s="100">
        <f>M63+25</f>
        <v>246</v>
      </c>
    </row>
    <row r="64" spans="2:14">
      <c r="B64" s="572" t="s">
        <v>165</v>
      </c>
      <c r="C64" s="31"/>
      <c r="D64" s="31"/>
      <c r="E64" s="65">
        <f t="shared" ref="E64:N64" si="23">SUM(E61:E63)</f>
        <v>193</v>
      </c>
      <c r="F64" s="65">
        <f t="shared" si="23"/>
        <v>3543</v>
      </c>
      <c r="G64" s="65">
        <f t="shared" si="23"/>
        <v>7017</v>
      </c>
      <c r="H64" s="65">
        <f t="shared" si="23"/>
        <v>-1259</v>
      </c>
      <c r="I64" s="65">
        <f t="shared" si="23"/>
        <v>-530</v>
      </c>
      <c r="J64" s="66">
        <f t="shared" si="23"/>
        <v>-810.00591000000009</v>
      </c>
      <c r="K64" s="66">
        <f t="shared" si="23"/>
        <v>-98.649809723750025</v>
      </c>
      <c r="L64" s="66">
        <f t="shared" si="23"/>
        <v>-86.571915509366477</v>
      </c>
      <c r="M64" s="66">
        <f t="shared" si="23"/>
        <v>-100.68572800663139</v>
      </c>
      <c r="N64" s="573">
        <f t="shared" si="23"/>
        <v>-153.33624254342135</v>
      </c>
    </row>
    <row r="65" spans="2:25">
      <c r="B65" s="578"/>
      <c r="C65" s="547"/>
      <c r="D65" s="547"/>
      <c r="E65" s="547"/>
      <c r="F65" s="547"/>
      <c r="G65" s="547"/>
      <c r="H65" s="547"/>
      <c r="I65" s="547"/>
      <c r="J65" s="547"/>
      <c r="K65" s="547"/>
      <c r="L65" s="547"/>
      <c r="M65" s="547"/>
      <c r="N65" s="574"/>
    </row>
    <row r="66" spans="2:25">
      <c r="B66" s="579" t="s">
        <v>166</v>
      </c>
      <c r="C66" s="580"/>
      <c r="D66" s="580"/>
      <c r="E66" s="581">
        <f t="shared" ref="E66:N66" si="24">E58+E64</f>
        <v>2408</v>
      </c>
      <c r="F66" s="581">
        <f t="shared" si="24"/>
        <v>6659</v>
      </c>
      <c r="G66" s="581">
        <f t="shared" si="24"/>
        <v>11513</v>
      </c>
      <c r="H66" s="581">
        <f t="shared" si="24"/>
        <v>2534</v>
      </c>
      <c r="I66" s="581">
        <f t="shared" si="24"/>
        <v>5304</v>
      </c>
      <c r="J66" s="582">
        <f>J58+J64</f>
        <v>5487.6456955858321</v>
      </c>
      <c r="K66" s="582">
        <f t="shared" si="24"/>
        <v>7131.6467842300799</v>
      </c>
      <c r="L66" s="582">
        <f t="shared" si="24"/>
        <v>8254.3772912651439</v>
      </c>
      <c r="M66" s="582">
        <f t="shared" si="24"/>
        <v>9536.8022296705894</v>
      </c>
      <c r="N66" s="583">
        <f t="shared" si="24"/>
        <v>10477.670742325416</v>
      </c>
    </row>
    <row r="67" spans="2:25">
      <c r="B67" s="579"/>
      <c r="C67" s="580"/>
      <c r="D67" s="580"/>
      <c r="E67" s="581"/>
      <c r="F67" s="581"/>
      <c r="G67" s="581"/>
      <c r="H67" s="581"/>
      <c r="I67" s="581"/>
      <c r="J67" s="581"/>
      <c r="K67" s="581"/>
      <c r="L67" s="581"/>
      <c r="M67" s="581"/>
      <c r="N67" s="584"/>
    </row>
    <row r="68" spans="2:25">
      <c r="B68" s="557" t="s">
        <v>167</v>
      </c>
      <c r="C68" s="547"/>
      <c r="D68" s="547"/>
      <c r="E68" s="585"/>
      <c r="F68" s="559"/>
      <c r="G68" s="559"/>
      <c r="H68" s="559"/>
      <c r="I68" s="559"/>
      <c r="J68" s="559"/>
      <c r="K68" s="559"/>
      <c r="L68" s="559"/>
      <c r="M68" s="559"/>
      <c r="N68" s="560"/>
    </row>
    <row r="69" spans="2:25">
      <c r="B69" s="586" t="s">
        <v>210</v>
      </c>
      <c r="C69" s="547"/>
      <c r="D69" s="547"/>
      <c r="E69" s="342">
        <v>-561</v>
      </c>
      <c r="F69" s="342">
        <v>-646</v>
      </c>
      <c r="G69" s="342">
        <v>-774</v>
      </c>
      <c r="H69" s="342">
        <v>-889</v>
      </c>
      <c r="I69" s="342">
        <v>-1034</v>
      </c>
      <c r="J69" s="577">
        <f>Schedules!J121</f>
        <v>-1189.0999999999999</v>
      </c>
      <c r="K69" s="577">
        <f>Schedules!K121</f>
        <v>-1379.3559999999998</v>
      </c>
      <c r="L69" s="577">
        <f>Schedules!L121</f>
        <v>-1613.8465199999996</v>
      </c>
      <c r="M69" s="577">
        <f>Schedules!M121</f>
        <v>-1888.2004283999995</v>
      </c>
      <c r="N69" s="100">
        <f>Schedules!N121</f>
        <v>-2228.0765055119991</v>
      </c>
    </row>
    <row r="70" spans="2:25">
      <c r="B70" s="586" t="s">
        <v>259</v>
      </c>
      <c r="C70" s="547"/>
      <c r="D70" s="547"/>
      <c r="E70" s="342">
        <v>2933</v>
      </c>
      <c r="F70" s="342">
        <v>-1338</v>
      </c>
      <c r="G70" s="342">
        <v>4882</v>
      </c>
      <c r="H70" s="342">
        <v>-810</v>
      </c>
      <c r="I70" s="342">
        <v>-89</v>
      </c>
      <c r="J70" s="577">
        <f>(J99-I99)+(J105-I105)</f>
        <v>-1094.106527666213</v>
      </c>
      <c r="K70" s="577">
        <f t="shared" ref="K70:N70" si="25">(K99-J99)+(K105-J105)</f>
        <v>-291.04720253455048</v>
      </c>
      <c r="L70" s="577">
        <f t="shared" si="25"/>
        <v>315.22055897263067</v>
      </c>
      <c r="M70" s="577">
        <f t="shared" si="25"/>
        <v>-63.835819567233784</v>
      </c>
      <c r="N70" s="100">
        <f t="shared" si="25"/>
        <v>240.77022467318181</v>
      </c>
    </row>
    <row r="71" spans="2:25">
      <c r="B71" s="586" t="s">
        <v>211</v>
      </c>
      <c r="C71" s="547"/>
      <c r="D71" s="547"/>
      <c r="E71" s="342">
        <v>-356</v>
      </c>
      <c r="F71" s="342">
        <v>-1192</v>
      </c>
      <c r="G71" s="342">
        <v>-2310</v>
      </c>
      <c r="H71" s="342">
        <v>-2372</v>
      </c>
      <c r="I71" s="342">
        <v>-2708</v>
      </c>
      <c r="J71" s="577">
        <f>-2400</f>
        <v>-2400</v>
      </c>
      <c r="K71" s="577">
        <f>-2300</f>
        <v>-2300</v>
      </c>
      <c r="L71" s="577">
        <v>-2300</v>
      </c>
      <c r="M71" s="577">
        <v>-2300</v>
      </c>
      <c r="N71" s="100">
        <v>-2300</v>
      </c>
    </row>
    <row r="72" spans="2:25">
      <c r="B72" s="586" t="s">
        <v>212</v>
      </c>
      <c r="C72" s="547"/>
      <c r="D72" s="547"/>
      <c r="E72" s="342">
        <v>18</v>
      </c>
      <c r="F72" s="342">
        <v>0</v>
      </c>
      <c r="G72" s="342">
        <v>-66</v>
      </c>
      <c r="H72" s="342">
        <v>-198</v>
      </c>
      <c r="I72" s="342">
        <v>3434</v>
      </c>
      <c r="J72" s="577">
        <f>(J87-I87)</f>
        <v>137.23499999999967</v>
      </c>
      <c r="K72" s="577">
        <f t="shared" ref="K72:N72" si="26">(K87-J87)</f>
        <v>142.03822499999933</v>
      </c>
      <c r="L72" s="577">
        <f t="shared" si="26"/>
        <v>147.00956287499957</v>
      </c>
      <c r="M72" s="577">
        <f t="shared" si="26"/>
        <v>152.154897575625</v>
      </c>
      <c r="N72" s="100">
        <f t="shared" si="26"/>
        <v>157.48031899077159</v>
      </c>
    </row>
    <row r="73" spans="2:25">
      <c r="B73" s="572" t="s">
        <v>168</v>
      </c>
      <c r="C73" s="64"/>
      <c r="D73" s="64"/>
      <c r="E73" s="65">
        <f t="shared" ref="E73:N73" si="27">SUM(E69:E72)</f>
        <v>2034</v>
      </c>
      <c r="F73" s="65">
        <f t="shared" si="27"/>
        <v>-3176</v>
      </c>
      <c r="G73" s="65">
        <f t="shared" si="27"/>
        <v>1732</v>
      </c>
      <c r="H73" s="65">
        <f t="shared" si="27"/>
        <v>-4269</v>
      </c>
      <c r="I73" s="65">
        <f t="shared" si="27"/>
        <v>-397</v>
      </c>
      <c r="J73" s="45">
        <f t="shared" si="27"/>
        <v>-4545.9715276662128</v>
      </c>
      <c r="K73" s="45">
        <f t="shared" si="27"/>
        <v>-3828.3649775345511</v>
      </c>
      <c r="L73" s="45">
        <f t="shared" si="27"/>
        <v>-3451.6163981523696</v>
      </c>
      <c r="M73" s="45">
        <f t="shared" si="27"/>
        <v>-4099.8813503916081</v>
      </c>
      <c r="N73" s="587">
        <f t="shared" si="27"/>
        <v>-4129.8259618480452</v>
      </c>
    </row>
    <row r="74" spans="2:25">
      <c r="B74" s="75"/>
      <c r="C74" s="547"/>
      <c r="D74" s="547"/>
      <c r="E74" s="547"/>
      <c r="F74" s="547"/>
      <c r="G74" s="547"/>
      <c r="H74" s="547"/>
      <c r="I74" s="547"/>
      <c r="J74" s="547"/>
      <c r="K74" s="547"/>
      <c r="L74" s="547"/>
      <c r="M74" s="547"/>
      <c r="N74" s="574"/>
    </row>
    <row r="75" spans="2:25">
      <c r="B75" s="26"/>
      <c r="C75" s="1"/>
      <c r="D75" s="1"/>
      <c r="E75" s="47"/>
      <c r="F75" s="47"/>
      <c r="G75" s="47"/>
      <c r="H75" s="47"/>
      <c r="I75" s="588"/>
      <c r="J75" s="588"/>
      <c r="K75" s="47"/>
      <c r="L75" s="47"/>
      <c r="M75" s="47"/>
      <c r="N75" s="392"/>
    </row>
    <row r="76" spans="2:25">
      <c r="B76" s="589" t="s">
        <v>169</v>
      </c>
      <c r="C76" s="1"/>
      <c r="D76" s="1"/>
      <c r="E76" s="1"/>
      <c r="F76" s="47"/>
      <c r="G76" s="47"/>
      <c r="H76" s="47"/>
      <c r="I76" s="47"/>
      <c r="J76" s="47"/>
      <c r="K76" s="47"/>
      <c r="L76" s="47"/>
      <c r="M76" s="47"/>
      <c r="N76" s="392"/>
      <c r="Y76" s="102"/>
    </row>
    <row r="77" spans="2:25">
      <c r="B77" s="26" t="s">
        <v>170</v>
      </c>
      <c r="C77" s="1"/>
      <c r="D77" s="1"/>
      <c r="E77" s="588">
        <f t="shared" ref="E77:N77" si="28">SUM(E61:E63)</f>
        <v>193</v>
      </c>
      <c r="F77" s="588">
        <f t="shared" si="28"/>
        <v>3543</v>
      </c>
      <c r="G77" s="588">
        <f t="shared" si="28"/>
        <v>7017</v>
      </c>
      <c r="H77" s="588">
        <f t="shared" si="28"/>
        <v>-1259</v>
      </c>
      <c r="I77" s="588">
        <f t="shared" si="28"/>
        <v>-530</v>
      </c>
      <c r="J77" s="590">
        <f t="shared" si="28"/>
        <v>-810.00591000000009</v>
      </c>
      <c r="K77" s="590">
        <f t="shared" si="28"/>
        <v>-98.649809723750025</v>
      </c>
      <c r="L77" s="590">
        <f t="shared" si="28"/>
        <v>-86.571915509366477</v>
      </c>
      <c r="M77" s="590">
        <f t="shared" si="28"/>
        <v>-100.68572800663139</v>
      </c>
      <c r="N77" s="591">
        <f t="shared" si="28"/>
        <v>-153.33624254342135</v>
      </c>
    </row>
    <row r="78" spans="2:25">
      <c r="B78" s="28" t="s">
        <v>171</v>
      </c>
      <c r="C78" s="39"/>
      <c r="D78" s="39"/>
      <c r="E78" s="592">
        <f t="shared" ref="E78:N78" si="29">E56</f>
        <v>-65</v>
      </c>
      <c r="F78" s="592">
        <f t="shared" si="29"/>
        <v>-101</v>
      </c>
      <c r="G78" s="592">
        <f t="shared" si="29"/>
        <v>103</v>
      </c>
      <c r="H78" s="592">
        <f t="shared" si="29"/>
        <v>-430</v>
      </c>
      <c r="I78" s="592">
        <f t="shared" si="29"/>
        <v>470</v>
      </c>
      <c r="J78" s="593">
        <f t="shared" si="29"/>
        <v>-227.39455070000008</v>
      </c>
      <c r="K78" s="593">
        <f t="shared" si="29"/>
        <v>-176.0942340745687</v>
      </c>
      <c r="L78" s="593">
        <f t="shared" si="29"/>
        <v>-221.643571610771</v>
      </c>
      <c r="M78" s="593">
        <f t="shared" si="29"/>
        <v>-318.07205888371993</v>
      </c>
      <c r="N78" s="594">
        <f t="shared" si="29"/>
        <v>-629.9032828896643</v>
      </c>
    </row>
    <row r="79" spans="2:25">
      <c r="B79" s="1"/>
      <c r="C79" s="1"/>
      <c r="D79" s="1"/>
      <c r="E79" s="47"/>
      <c r="F79" s="47"/>
      <c r="G79" s="47"/>
      <c r="H79" s="47"/>
      <c r="I79" s="47"/>
      <c r="J79" s="47"/>
      <c r="K79" s="47"/>
      <c r="L79" s="47"/>
      <c r="M79" s="47"/>
      <c r="N79" s="47"/>
    </row>
    <row r="80" spans="2:25">
      <c r="B80" s="199" t="s">
        <v>172</v>
      </c>
      <c r="C80" s="200"/>
      <c r="D80" s="200"/>
      <c r="E80" s="200"/>
      <c r="F80" s="200"/>
      <c r="G80" s="200"/>
      <c r="H80" s="200"/>
      <c r="I80" s="200"/>
      <c r="J80" s="200"/>
      <c r="K80" s="200"/>
      <c r="L80" s="200"/>
      <c r="M80" s="200"/>
      <c r="N80" s="201"/>
    </row>
    <row r="81" spans="2:30">
      <c r="B81" s="595"/>
      <c r="C81" s="1"/>
      <c r="D81" s="1"/>
      <c r="E81" s="519"/>
      <c r="F81" s="519"/>
      <c r="G81" s="519"/>
      <c r="H81" s="520"/>
      <c r="I81" s="520"/>
      <c r="J81" s="88" t="str">
        <f>J41</f>
        <v>Projected Fiscal Years Ending July 31</v>
      </c>
      <c r="K81" s="88"/>
      <c r="L81" s="88"/>
      <c r="M81" s="88"/>
      <c r="N81" s="626"/>
    </row>
    <row r="82" spans="2:30" ht="15" thickBot="1">
      <c r="B82" s="556"/>
      <c r="C82" s="30"/>
      <c r="D82" s="30"/>
      <c r="E82" s="74">
        <f t="shared" ref="E82:N82" si="30">E4</f>
        <v>44043</v>
      </c>
      <c r="F82" s="74">
        <f t="shared" si="30"/>
        <v>44408</v>
      </c>
      <c r="G82" s="74">
        <f t="shared" si="30"/>
        <v>44773</v>
      </c>
      <c r="H82" s="74">
        <f t="shared" si="30"/>
        <v>45138</v>
      </c>
      <c r="I82" s="74">
        <f t="shared" si="30"/>
        <v>45504</v>
      </c>
      <c r="J82" s="73">
        <f t="shared" si="30"/>
        <v>45869</v>
      </c>
      <c r="K82" s="73">
        <f t="shared" si="30"/>
        <v>46234</v>
      </c>
      <c r="L82" s="73">
        <f t="shared" si="30"/>
        <v>46599</v>
      </c>
      <c r="M82" s="73">
        <f t="shared" si="30"/>
        <v>46965</v>
      </c>
      <c r="N82" s="523">
        <f t="shared" si="30"/>
        <v>47330</v>
      </c>
    </row>
    <row r="83" spans="2:30">
      <c r="B83" s="596" t="s">
        <v>173</v>
      </c>
      <c r="C83" s="547"/>
      <c r="D83" s="547"/>
      <c r="E83" s="547"/>
      <c r="F83" s="547"/>
      <c r="G83" s="597"/>
      <c r="H83" s="597"/>
      <c r="I83" s="37"/>
      <c r="J83" s="1"/>
      <c r="K83" s="1"/>
      <c r="L83" s="1"/>
      <c r="M83" s="1"/>
      <c r="N83" s="25"/>
      <c r="P83" s="103"/>
    </row>
    <row r="84" spans="2:30">
      <c r="B84" s="598" t="s">
        <v>174</v>
      </c>
      <c r="C84" s="547"/>
      <c r="D84" s="547"/>
      <c r="E84" s="37"/>
      <c r="F84" s="37"/>
      <c r="G84" s="37"/>
      <c r="H84" s="37"/>
      <c r="I84" s="37"/>
      <c r="J84" s="3"/>
      <c r="K84" s="1"/>
      <c r="L84" s="1"/>
      <c r="M84" s="1"/>
      <c r="N84" s="25"/>
    </row>
    <row r="85" spans="2:30">
      <c r="B85" s="599" t="s">
        <v>121</v>
      </c>
      <c r="C85" s="547"/>
      <c r="D85" s="547"/>
      <c r="E85" s="600">
        <f>149</f>
        <v>149</v>
      </c>
      <c r="F85" s="600">
        <f>523</f>
        <v>523</v>
      </c>
      <c r="G85" s="600">
        <f>955</f>
        <v>955</v>
      </c>
      <c r="H85" s="600">
        <f>1092</f>
        <v>1092</v>
      </c>
      <c r="I85" s="600">
        <v>1239</v>
      </c>
      <c r="J85" s="590">
        <f>Schedules!J80</f>
        <v>1588.5534808499999</v>
      </c>
      <c r="K85" s="590">
        <f>Schedules!K80</f>
        <v>1956.0216152154376</v>
      </c>
      <c r="L85" s="590">
        <f>Schedules!L80</f>
        <v>2360.5582066621064</v>
      </c>
      <c r="M85" s="590">
        <f>Schedules!M80</f>
        <v>2808.3093252158692</v>
      </c>
      <c r="N85" s="591">
        <f>Schedules!N80</f>
        <v>3334.3901754101416</v>
      </c>
    </row>
    <row r="86" spans="2:30">
      <c r="B86" s="599" t="s">
        <v>263</v>
      </c>
      <c r="C86" s="547"/>
      <c r="D86" s="547"/>
      <c r="E86" s="600">
        <f>314+12</f>
        <v>326</v>
      </c>
      <c r="F86" s="600">
        <f>184+123</f>
        <v>307</v>
      </c>
      <c r="G86" s="600">
        <f>287+93</f>
        <v>380</v>
      </c>
      <c r="H86" s="600">
        <f>354+29</f>
        <v>383</v>
      </c>
      <c r="I86" s="600">
        <f>366+78</f>
        <v>444</v>
      </c>
      <c r="J86" s="590">
        <f>Schedules!J81</f>
        <v>492.61762995000004</v>
      </c>
      <c r="K86" s="590">
        <f>Schedules!K81</f>
        <v>525.81226215468757</v>
      </c>
      <c r="L86" s="590">
        <f>Schedules!L81</f>
        <v>578.09588734582189</v>
      </c>
      <c r="M86" s="590">
        <f>Schedules!M81</f>
        <v>653.41850636210813</v>
      </c>
      <c r="N86" s="591">
        <f>Schedules!N81</f>
        <v>744.57256344109953</v>
      </c>
    </row>
    <row r="87" spans="2:30">
      <c r="B87" s="599" t="s">
        <v>254</v>
      </c>
      <c r="C87" s="547"/>
      <c r="D87" s="547"/>
      <c r="E87" s="600">
        <f>781-E86</f>
        <v>455</v>
      </c>
      <c r="F87" s="600">
        <f>764-F86</f>
        <v>457</v>
      </c>
      <c r="G87" s="600">
        <f>811-G86</f>
        <v>431</v>
      </c>
      <c r="H87" s="600">
        <f>803-H86</f>
        <v>420</v>
      </c>
      <c r="I87" s="600">
        <f>4365-I86</f>
        <v>3921</v>
      </c>
      <c r="J87" s="590">
        <f>I87*1.035</f>
        <v>4058.2349999999997</v>
      </c>
      <c r="K87" s="590">
        <f t="shared" ref="K87:N87" si="31">J87*1.035</f>
        <v>4200.273224999999</v>
      </c>
      <c r="L87" s="590">
        <f t="shared" si="31"/>
        <v>4347.2827878749986</v>
      </c>
      <c r="M87" s="590">
        <f t="shared" si="31"/>
        <v>4499.4376854506236</v>
      </c>
      <c r="N87" s="591">
        <f t="shared" si="31"/>
        <v>4656.9180044413952</v>
      </c>
    </row>
    <row r="88" spans="2:30">
      <c r="B88" s="599" t="s">
        <v>175</v>
      </c>
      <c r="C88" s="547"/>
      <c r="D88" s="547"/>
      <c r="E88" s="600">
        <v>7050</v>
      </c>
      <c r="F88" s="600">
        <v>3870</v>
      </c>
      <c r="G88" s="600">
        <v>3281</v>
      </c>
      <c r="H88" s="600">
        <v>3662</v>
      </c>
      <c r="I88" s="600">
        <v>4074</v>
      </c>
      <c r="J88" s="601">
        <f>I88+(J66+J73)</f>
        <v>5015.6741679196193</v>
      </c>
      <c r="K88" s="601">
        <f>J88+(K66+K73)</f>
        <v>8318.9559746151481</v>
      </c>
      <c r="L88" s="601">
        <f>K88+(L66+L73)</f>
        <v>13121.716867727922</v>
      </c>
      <c r="M88" s="601">
        <f>L88+(M66+M73)</f>
        <v>18558.637747006906</v>
      </c>
      <c r="N88" s="602">
        <f>M88+(N66+N73)</f>
        <v>24906.482527484277</v>
      </c>
    </row>
    <row r="89" spans="2:30">
      <c r="B89" s="500" t="s">
        <v>176</v>
      </c>
      <c r="C89" s="31"/>
      <c r="D89" s="31"/>
      <c r="E89" s="48">
        <f t="shared" ref="E89:N89" si="32">SUM(E85:E88)</f>
        <v>7980</v>
      </c>
      <c r="F89" s="48">
        <f t="shared" si="32"/>
        <v>5157</v>
      </c>
      <c r="G89" s="48">
        <f t="shared" si="32"/>
        <v>5047</v>
      </c>
      <c r="H89" s="48">
        <f t="shared" si="32"/>
        <v>5557</v>
      </c>
      <c r="I89" s="48">
        <f t="shared" si="32"/>
        <v>9678</v>
      </c>
      <c r="J89" s="49">
        <f>SUM(J85:J88)</f>
        <v>11155.080278719619</v>
      </c>
      <c r="K89" s="49">
        <f t="shared" si="32"/>
        <v>15001.063076985272</v>
      </c>
      <c r="L89" s="49">
        <f t="shared" si="32"/>
        <v>20407.65374961085</v>
      </c>
      <c r="M89" s="49">
        <f t="shared" si="32"/>
        <v>26519.803264035509</v>
      </c>
      <c r="N89" s="603">
        <f t="shared" si="32"/>
        <v>33642.363270776914</v>
      </c>
    </row>
    <row r="90" spans="2:30">
      <c r="B90" s="75"/>
      <c r="C90" s="547"/>
      <c r="D90" s="547"/>
      <c r="E90" s="37"/>
      <c r="F90" s="37"/>
      <c r="G90" s="37"/>
      <c r="H90" s="37"/>
      <c r="I90" s="37"/>
      <c r="J90" s="37"/>
      <c r="K90" s="37"/>
      <c r="L90" s="37"/>
      <c r="M90" s="37"/>
      <c r="N90" s="604"/>
    </row>
    <row r="91" spans="2:30">
      <c r="B91" s="605" t="s">
        <v>177</v>
      </c>
      <c r="C91" s="547"/>
      <c r="D91" s="547"/>
      <c r="E91" s="50"/>
      <c r="F91" s="37"/>
      <c r="G91" s="37"/>
      <c r="H91" s="37"/>
      <c r="I91" s="37"/>
      <c r="J91" s="37"/>
      <c r="K91" s="37"/>
      <c r="L91" s="37"/>
      <c r="M91" s="37"/>
      <c r="N91" s="604"/>
    </row>
    <row r="92" spans="2:30">
      <c r="B92" s="75" t="s">
        <v>178</v>
      </c>
      <c r="C92" s="547"/>
      <c r="D92" s="547"/>
      <c r="E92" s="495">
        <v>19</v>
      </c>
      <c r="F92" s="495">
        <v>43</v>
      </c>
      <c r="G92" s="495">
        <v>98</v>
      </c>
      <c r="H92" s="495">
        <v>105</v>
      </c>
      <c r="I92" s="495">
        <v>131</v>
      </c>
      <c r="J92" s="38">
        <v>140</v>
      </c>
      <c r="K92" s="38">
        <v>174</v>
      </c>
      <c r="L92" s="38">
        <v>67</v>
      </c>
      <c r="M92" s="38">
        <v>51</v>
      </c>
      <c r="N92" s="550">
        <v>51</v>
      </c>
    </row>
    <row r="93" spans="2:30">
      <c r="B93" s="75" t="s">
        <v>203</v>
      </c>
      <c r="C93" s="547"/>
      <c r="D93" s="547"/>
      <c r="E93" s="495">
        <v>960</v>
      </c>
      <c r="F93" s="495">
        <v>1160</v>
      </c>
      <c r="G93" s="495">
        <v>1437</v>
      </c>
      <c r="H93" s="495">
        <v>1438</v>
      </c>
      <c r="I93" s="495">
        <v>1420</v>
      </c>
      <c r="J93" s="38">
        <f>Schedules!J93</f>
        <v>1360.9596848000001</v>
      </c>
      <c r="K93" s="38">
        <f>Schedules!K93</f>
        <v>1293.6557152442001</v>
      </c>
      <c r="L93" s="38">
        <f>Schedules!L93</f>
        <v>1216.5762635980905</v>
      </c>
      <c r="M93" s="38">
        <f>Schedules!M93</f>
        <v>1127.600126561548</v>
      </c>
      <c r="N93" s="550">
        <f>Schedules!N93</f>
        <v>1024.0074220827862</v>
      </c>
    </row>
    <row r="94" spans="2:30">
      <c r="B94" s="75" t="s">
        <v>179</v>
      </c>
      <c r="C94" s="547"/>
      <c r="D94" s="547"/>
      <c r="E94" s="495">
        <v>1682</v>
      </c>
      <c r="F94" s="495">
        <v>8865</v>
      </c>
      <c r="G94" s="495">
        <v>20797</v>
      </c>
      <c r="H94" s="495">
        <v>20199</v>
      </c>
      <c r="I94" s="495">
        <v>19664</v>
      </c>
      <c r="J94" s="38">
        <f>Schedules!J100</f>
        <v>19848.500985000002</v>
      </c>
      <c r="K94" s="38">
        <f>Schedules!K100</f>
        <v>19196.493779928191</v>
      </c>
      <c r="L94" s="38">
        <f>Schedules!L100</f>
        <v>18502.778715113207</v>
      </c>
      <c r="M94" s="38">
        <f>Schedules!M100</f>
        <v>17668.627430395623</v>
      </c>
      <c r="N94" s="550">
        <f>Schedules!N100</f>
        <v>16762.191266206457</v>
      </c>
    </row>
    <row r="95" spans="2:30">
      <c r="B95" s="75" t="s">
        <v>204</v>
      </c>
      <c r="C95" s="564"/>
      <c r="D95" s="547"/>
      <c r="E95" s="495">
        <f>65+225</f>
        <v>290</v>
      </c>
      <c r="F95" s="495">
        <f>8+283</f>
        <v>291</v>
      </c>
      <c r="G95" s="495">
        <f>11+344</f>
        <v>355</v>
      </c>
      <c r="H95" s="495">
        <f>64+417</f>
        <v>481</v>
      </c>
      <c r="I95" s="495">
        <f>541+698</f>
        <v>1239</v>
      </c>
      <c r="J95" s="38">
        <v>1303.0249999999999</v>
      </c>
      <c r="K95" s="38">
        <v>1218.4493749999999</v>
      </c>
      <c r="L95" s="38">
        <v>1135.9881406249999</v>
      </c>
      <c r="M95" s="38">
        <v>982.58843710937481</v>
      </c>
      <c r="N95" s="550">
        <v>829.02372618164043</v>
      </c>
      <c r="P95" s="98"/>
    </row>
    <row r="96" spans="2:30">
      <c r="B96" s="606" t="s">
        <v>180</v>
      </c>
      <c r="C96" s="31"/>
      <c r="D96" s="31"/>
      <c r="E96" s="68">
        <f t="shared" ref="E96:N96" si="33">SUM(E89,E92:E95)</f>
        <v>10931</v>
      </c>
      <c r="F96" s="68">
        <f t="shared" si="33"/>
        <v>15516</v>
      </c>
      <c r="G96" s="68">
        <f t="shared" si="33"/>
        <v>27734</v>
      </c>
      <c r="H96" s="68">
        <f t="shared" si="33"/>
        <v>27780</v>
      </c>
      <c r="I96" s="68">
        <f t="shared" si="33"/>
        <v>32132</v>
      </c>
      <c r="J96" s="69">
        <f>SUM(J89,J92:J95)</f>
        <v>33807.565948519623</v>
      </c>
      <c r="K96" s="69">
        <f t="shared" si="33"/>
        <v>36883.661947157656</v>
      </c>
      <c r="L96" s="69">
        <f t="shared" si="33"/>
        <v>41329.99686894715</v>
      </c>
      <c r="M96" s="69">
        <f t="shared" si="33"/>
        <v>46349.619258102059</v>
      </c>
      <c r="N96" s="607">
        <f t="shared" si="33"/>
        <v>52308.585685247803</v>
      </c>
      <c r="U96" s="120"/>
      <c r="V96" s="120"/>
      <c r="W96" s="120"/>
      <c r="X96" s="120"/>
      <c r="Y96" s="120"/>
      <c r="Z96" s="121"/>
      <c r="AA96" s="120"/>
      <c r="AB96" s="120"/>
      <c r="AC96" s="120"/>
      <c r="AD96" s="120"/>
    </row>
    <row r="97" spans="2:25">
      <c r="B97" s="75"/>
      <c r="C97" s="547"/>
      <c r="D97" s="547"/>
      <c r="E97" s="608"/>
      <c r="F97" s="37"/>
      <c r="G97" s="37"/>
      <c r="H97" s="37"/>
      <c r="I97" s="37"/>
      <c r="J97" s="37"/>
      <c r="K97" s="37"/>
      <c r="L97" s="37"/>
      <c r="M97" s="37"/>
      <c r="N97" s="604"/>
      <c r="Q97" s="103"/>
    </row>
    <row r="98" spans="2:25">
      <c r="B98" s="596" t="s">
        <v>181</v>
      </c>
      <c r="C98" s="547"/>
      <c r="D98" s="547"/>
      <c r="E98" s="608"/>
      <c r="F98" s="597"/>
      <c r="G98" s="597"/>
      <c r="H98" s="597"/>
      <c r="I98" s="597"/>
      <c r="J98" s="608"/>
      <c r="K98" s="597"/>
      <c r="L98" s="597"/>
      <c r="M98" s="597"/>
      <c r="N98" s="609"/>
    </row>
    <row r="99" spans="2:25">
      <c r="B99" s="599" t="s">
        <v>182</v>
      </c>
      <c r="C99" s="202"/>
      <c r="D99" s="547"/>
      <c r="E99" s="600">
        <v>1384</v>
      </c>
      <c r="F99" s="600">
        <v>66</v>
      </c>
      <c r="G99" s="600">
        <v>583</v>
      </c>
      <c r="H99" s="600">
        <v>89</v>
      </c>
      <c r="I99" s="600">
        <v>570</v>
      </c>
      <c r="J99" s="590">
        <f>Schedules!J112</f>
        <v>596.05770490764019</v>
      </c>
      <c r="K99" s="590">
        <f>Schedules!K112</f>
        <v>609.62897291755723</v>
      </c>
      <c r="L99" s="590">
        <f>Schedules!L112</f>
        <v>626.24811973350381</v>
      </c>
      <c r="M99" s="590">
        <f>Schedules!M112</f>
        <v>639.2036481417216</v>
      </c>
      <c r="N99" s="591">
        <f>Schedules!N112</f>
        <v>640.61304253459207</v>
      </c>
    </row>
    <row r="100" spans="2:25">
      <c r="B100" s="599" t="s">
        <v>247</v>
      </c>
      <c r="C100" s="547"/>
      <c r="D100" s="547"/>
      <c r="E100" s="600">
        <v>793</v>
      </c>
      <c r="F100" s="600">
        <v>1162</v>
      </c>
      <c r="G100" s="600">
        <v>1325</v>
      </c>
      <c r="H100" s="600">
        <v>2017</v>
      </c>
      <c r="I100" s="600">
        <v>1669</v>
      </c>
      <c r="J100" s="590">
        <f>Schedules!J82</f>
        <v>2066.411032</v>
      </c>
      <c r="K100" s="590">
        <f>Schedules!K82</f>
        <v>2500.7631188076939</v>
      </c>
      <c r="L100" s="590">
        <f>Schedules!L82</f>
        <v>2984.4200184228057</v>
      </c>
      <c r="M100" s="590">
        <f>Schedules!M82</f>
        <v>3500.6548915314647</v>
      </c>
      <c r="N100" s="591">
        <f>Schedules!N82</f>
        <v>4172.8436272851186</v>
      </c>
    </row>
    <row r="101" spans="2:25">
      <c r="B101" s="599" t="s">
        <v>265</v>
      </c>
      <c r="C101" s="547"/>
      <c r="D101" s="547"/>
      <c r="E101" s="600">
        <f>297+46+6</f>
        <v>349</v>
      </c>
      <c r="F101" s="600">
        <f>361+66+9</f>
        <v>436</v>
      </c>
      <c r="G101" s="600">
        <f>579+84+12</f>
        <v>675</v>
      </c>
      <c r="H101" s="600">
        <f>448+89+16</f>
        <v>553</v>
      </c>
      <c r="I101" s="600">
        <f>549+71+19</f>
        <v>639</v>
      </c>
      <c r="J101" s="590">
        <f>Schedules!J83</f>
        <v>867.15462950000006</v>
      </c>
      <c r="K101" s="590">
        <f>Schedules!K83</f>
        <v>1009.559543337</v>
      </c>
      <c r="L101" s="590">
        <f>Schedules!L83</f>
        <v>1204.3664319704624</v>
      </c>
      <c r="M101" s="590">
        <f>Schedules!M83</f>
        <v>1529.2773553155723</v>
      </c>
      <c r="N101" s="591">
        <f>Schedules!N83</f>
        <v>2104.2268097248466</v>
      </c>
    </row>
    <row r="102" spans="2:25">
      <c r="B102" s="599" t="s">
        <v>255</v>
      </c>
      <c r="C102" s="547"/>
      <c r="D102" s="547"/>
      <c r="E102" s="600">
        <f>1352-E101</f>
        <v>1003</v>
      </c>
      <c r="F102" s="600">
        <f>1427-F101</f>
        <v>991</v>
      </c>
      <c r="G102" s="600">
        <f>1722-G101</f>
        <v>1047</v>
      </c>
      <c r="H102" s="600">
        <f>1684-H101</f>
        <v>1131</v>
      </c>
      <c r="I102" s="600">
        <f>5252-I101</f>
        <v>4613</v>
      </c>
      <c r="J102" s="590">
        <f>I102*1.035</f>
        <v>4774.4549999999999</v>
      </c>
      <c r="K102" s="590">
        <f t="shared" ref="K102:N102" si="34">J102*1.035</f>
        <v>4941.5609249999998</v>
      </c>
      <c r="L102" s="590">
        <f t="shared" si="34"/>
        <v>5114.5155573749989</v>
      </c>
      <c r="M102" s="590">
        <f t="shared" si="34"/>
        <v>5293.5236018831238</v>
      </c>
      <c r="N102" s="591">
        <f t="shared" si="34"/>
        <v>5478.7969279490326</v>
      </c>
    </row>
    <row r="103" spans="2:25">
      <c r="B103" s="500" t="s">
        <v>183</v>
      </c>
      <c r="C103" s="31"/>
      <c r="D103" s="31"/>
      <c r="E103" s="48">
        <f t="shared" ref="E103:N103" si="35">SUM(E99:E102)</f>
        <v>3529</v>
      </c>
      <c r="F103" s="48">
        <f t="shared" si="35"/>
        <v>2655</v>
      </c>
      <c r="G103" s="48">
        <f t="shared" si="35"/>
        <v>3630</v>
      </c>
      <c r="H103" s="48">
        <f t="shared" si="35"/>
        <v>3790</v>
      </c>
      <c r="I103" s="48">
        <f t="shared" si="35"/>
        <v>7491</v>
      </c>
      <c r="J103" s="49">
        <f t="shared" si="35"/>
        <v>8304.0783664076407</v>
      </c>
      <c r="K103" s="49">
        <f t="shared" si="35"/>
        <v>9061.5125600622523</v>
      </c>
      <c r="L103" s="49">
        <f t="shared" si="35"/>
        <v>9929.5501275017705</v>
      </c>
      <c r="M103" s="49">
        <f t="shared" si="35"/>
        <v>10962.659496871882</v>
      </c>
      <c r="N103" s="603">
        <f t="shared" si="35"/>
        <v>12396.480407493589</v>
      </c>
    </row>
    <row r="104" spans="2:25">
      <c r="B104" s="610"/>
      <c r="C104" s="53"/>
      <c r="D104" s="53"/>
      <c r="E104" s="611"/>
      <c r="F104" s="611"/>
      <c r="G104" s="611"/>
      <c r="H104" s="611"/>
      <c r="I104" s="611"/>
      <c r="J104" s="611"/>
      <c r="K104" s="611"/>
      <c r="L104" s="611"/>
      <c r="M104" s="611"/>
      <c r="N104" s="612"/>
    </row>
    <row r="105" spans="2:25">
      <c r="B105" s="75" t="s">
        <v>184</v>
      </c>
      <c r="C105" s="202"/>
      <c r="D105" s="547"/>
      <c r="E105" s="254">
        <v>2252</v>
      </c>
      <c r="F105" s="254">
        <v>2414</v>
      </c>
      <c r="G105" s="254">
        <v>6957</v>
      </c>
      <c r="H105" s="254">
        <v>6600</v>
      </c>
      <c r="I105" s="254">
        <v>5997</v>
      </c>
      <c r="J105" s="590">
        <f>Schedules!J113</f>
        <v>4876.835767426147</v>
      </c>
      <c r="K105" s="590">
        <f>Schedules!K113</f>
        <v>4572.2172968816794</v>
      </c>
      <c r="L105" s="590">
        <f>Schedules!L113</f>
        <v>4870.8187090383635</v>
      </c>
      <c r="M105" s="590">
        <f>Schedules!M113</f>
        <v>4794.027361062912</v>
      </c>
      <c r="N105" s="591">
        <f>Schedules!N113</f>
        <v>5033.3881913432233</v>
      </c>
    </row>
    <row r="106" spans="2:25">
      <c r="B106" s="599" t="s">
        <v>185</v>
      </c>
      <c r="C106" s="547"/>
      <c r="D106" s="547"/>
      <c r="E106" s="254">
        <v>44</v>
      </c>
      <c r="F106" s="254">
        <v>578</v>
      </c>
      <c r="G106" s="254">
        <v>706</v>
      </c>
      <c r="H106" s="254">
        <v>121</v>
      </c>
      <c r="I106" s="254">
        <v>208</v>
      </c>
      <c r="J106" s="601">
        <v>131</v>
      </c>
      <c r="K106" s="601">
        <f>273-23</f>
        <v>250</v>
      </c>
      <c r="L106" s="601">
        <v>251</v>
      </c>
      <c r="M106" s="601">
        <v>300</v>
      </c>
      <c r="N106" s="602">
        <v>330</v>
      </c>
      <c r="Q106" s="198"/>
      <c r="R106" s="198"/>
      <c r="S106" s="198"/>
      <c r="T106" s="198"/>
      <c r="U106" s="198"/>
    </row>
    <row r="107" spans="2:25">
      <c r="B107" s="606" t="s">
        <v>186</v>
      </c>
      <c r="C107" s="64"/>
      <c r="D107" s="64"/>
      <c r="E107" s="65">
        <f t="shared" ref="E107:N107" si="36">SUM(E105:E106,E103)</f>
        <v>5825</v>
      </c>
      <c r="F107" s="65">
        <f t="shared" si="36"/>
        <v>5647</v>
      </c>
      <c r="G107" s="65">
        <f t="shared" si="36"/>
        <v>11293</v>
      </c>
      <c r="H107" s="65">
        <f t="shared" si="36"/>
        <v>10511</v>
      </c>
      <c r="I107" s="65">
        <f t="shared" si="36"/>
        <v>13696</v>
      </c>
      <c r="J107" s="66">
        <f t="shared" si="36"/>
        <v>13311.914133833787</v>
      </c>
      <c r="K107" s="66">
        <f t="shared" si="36"/>
        <v>13883.729856943932</v>
      </c>
      <c r="L107" s="66">
        <f t="shared" si="36"/>
        <v>15051.368836540134</v>
      </c>
      <c r="M107" s="66">
        <f t="shared" si="36"/>
        <v>16056.686857934794</v>
      </c>
      <c r="N107" s="573">
        <f t="shared" si="36"/>
        <v>17759.868598836812</v>
      </c>
      <c r="S107" s="119"/>
      <c r="T107" s="119"/>
      <c r="U107" s="119"/>
      <c r="V107" s="119"/>
      <c r="W107" s="119"/>
      <c r="X107" s="119"/>
      <c r="Y107" s="119"/>
    </row>
    <row r="108" spans="2:25">
      <c r="B108" s="75"/>
      <c r="C108" s="547"/>
      <c r="D108" s="547"/>
      <c r="E108" s="597"/>
      <c r="F108" s="597"/>
      <c r="G108" s="597"/>
      <c r="H108" s="597"/>
      <c r="I108" s="597"/>
      <c r="J108" s="597"/>
      <c r="K108" s="597"/>
      <c r="L108" s="597"/>
      <c r="M108" s="597"/>
      <c r="N108" s="609"/>
    </row>
    <row r="109" spans="2:25">
      <c r="B109" s="75" t="s">
        <v>205</v>
      </c>
      <c r="C109" s="547"/>
      <c r="D109" s="547"/>
      <c r="E109" s="495">
        <v>6182</v>
      </c>
      <c r="F109" s="495">
        <v>10548</v>
      </c>
      <c r="G109" s="495">
        <v>17725</v>
      </c>
      <c r="H109" s="495">
        <v>19029</v>
      </c>
      <c r="I109" s="495">
        <v>20251</v>
      </c>
      <c r="J109" s="530">
        <f>Schedules!J122</f>
        <v>20494.011999999999</v>
      </c>
      <c r="K109" s="530">
        <f>Schedules!K122</f>
        <v>20739.940144</v>
      </c>
      <c r="L109" s="530">
        <f>Schedules!L122</f>
        <v>20988.819425728001</v>
      </c>
      <c r="M109" s="530">
        <f>Schedules!M122</f>
        <v>21240.685258836736</v>
      </c>
      <c r="N109" s="76">
        <f>Schedules!N122</f>
        <v>21495.573481942778</v>
      </c>
    </row>
    <row r="110" spans="2:25">
      <c r="B110" s="75" t="s">
        <v>206</v>
      </c>
      <c r="C110" s="547"/>
      <c r="D110" s="547"/>
      <c r="E110" s="495">
        <v>-11929</v>
      </c>
      <c r="F110" s="495">
        <v>-12951</v>
      </c>
      <c r="G110" s="495">
        <v>-14805</v>
      </c>
      <c r="H110" s="495">
        <f>-16772</f>
        <v>-16772</v>
      </c>
      <c r="I110" s="495">
        <v>-18750</v>
      </c>
      <c r="J110" s="613">
        <f>I110-400</f>
        <v>-19150</v>
      </c>
      <c r="K110" s="613">
        <f>J110-562</f>
        <v>-19712</v>
      </c>
      <c r="L110" s="613">
        <f>K110-264</f>
        <v>-19976</v>
      </c>
      <c r="M110" s="613">
        <f>L110</f>
        <v>-19976</v>
      </c>
      <c r="N110" s="614">
        <f>M110</f>
        <v>-19976</v>
      </c>
    </row>
    <row r="111" spans="2:25">
      <c r="B111" s="75" t="s">
        <v>187</v>
      </c>
      <c r="C111" s="547"/>
      <c r="D111" s="547"/>
      <c r="E111" s="495">
        <v>-32</v>
      </c>
      <c r="F111" s="495">
        <v>-24</v>
      </c>
      <c r="G111" s="495">
        <v>-60</v>
      </c>
      <c r="H111" s="495">
        <v>-55</v>
      </c>
      <c r="I111" s="495">
        <v>-54</v>
      </c>
      <c r="J111" s="530">
        <f>I111-5</f>
        <v>-59</v>
      </c>
      <c r="K111" s="530">
        <f t="shared" ref="K111:N111" si="37">J111</f>
        <v>-59</v>
      </c>
      <c r="L111" s="530">
        <f t="shared" si="37"/>
        <v>-59</v>
      </c>
      <c r="M111" s="530">
        <f t="shared" si="37"/>
        <v>-59</v>
      </c>
      <c r="N111" s="76">
        <f t="shared" si="37"/>
        <v>-59</v>
      </c>
    </row>
    <row r="112" spans="2:25">
      <c r="B112" s="75" t="s">
        <v>188</v>
      </c>
      <c r="C112" s="547"/>
      <c r="D112" s="547"/>
      <c r="E112" s="495">
        <f>10885</f>
        <v>10885</v>
      </c>
      <c r="F112" s="495">
        <v>12296</v>
      </c>
      <c r="G112" s="495">
        <v>13581</v>
      </c>
      <c r="H112" s="495">
        <v>15067</v>
      </c>
      <c r="I112" s="495">
        <v>16989</v>
      </c>
      <c r="J112" s="530">
        <f>J28+J69+I112</f>
        <v>19211.086992843582</v>
      </c>
      <c r="K112" s="530">
        <f>K28+K69+J112</f>
        <v>22030.500288288888</v>
      </c>
      <c r="L112" s="530">
        <f>L28+L69+K112</f>
        <v>25325.246256660252</v>
      </c>
      <c r="M112" s="530">
        <f>M28+M69+L112</f>
        <v>29086.850386029721</v>
      </c>
      <c r="N112" s="76">
        <f>N28+N69+M112</f>
        <v>33088.423697515296</v>
      </c>
    </row>
    <row r="113" spans="2:14">
      <c r="B113" s="615" t="s">
        <v>189</v>
      </c>
      <c r="C113" s="70"/>
      <c r="D113" s="70"/>
      <c r="E113" s="71">
        <f>SUM(E109:E112)</f>
        <v>5106</v>
      </c>
      <c r="F113" s="71">
        <f t="shared" ref="F113:N113" si="38">SUM(F109:F112)</f>
        <v>9869</v>
      </c>
      <c r="G113" s="71">
        <f t="shared" si="38"/>
        <v>16441</v>
      </c>
      <c r="H113" s="71">
        <f t="shared" si="38"/>
        <v>17269</v>
      </c>
      <c r="I113" s="71">
        <f t="shared" si="38"/>
        <v>18436</v>
      </c>
      <c r="J113" s="71">
        <f t="shared" si="38"/>
        <v>20496.098992843581</v>
      </c>
      <c r="K113" s="71">
        <f t="shared" si="38"/>
        <v>22999.440432288888</v>
      </c>
      <c r="L113" s="71">
        <f t="shared" si="38"/>
        <v>26279.065682388253</v>
      </c>
      <c r="M113" s="71">
        <f t="shared" si="38"/>
        <v>30292.535644866457</v>
      </c>
      <c r="N113" s="616">
        <f t="shared" si="38"/>
        <v>34548.997179458078</v>
      </c>
    </row>
    <row r="114" spans="2:14">
      <c r="B114" s="617"/>
      <c r="C114" s="51"/>
      <c r="D114" s="51"/>
      <c r="E114" s="52"/>
      <c r="F114" s="52"/>
      <c r="G114" s="52"/>
      <c r="H114" s="52"/>
      <c r="I114" s="52"/>
      <c r="J114" s="52"/>
      <c r="K114" s="52"/>
      <c r="L114" s="52"/>
      <c r="M114" s="52"/>
      <c r="N114" s="618"/>
    </row>
    <row r="115" spans="2:14">
      <c r="B115" s="615" t="s">
        <v>190</v>
      </c>
      <c r="C115" s="70"/>
      <c r="D115" s="70"/>
      <c r="E115" s="71">
        <f>E113+E107</f>
        <v>10931</v>
      </c>
      <c r="F115" s="71">
        <f t="shared" ref="F115:N115" si="39">F113+F107</f>
        <v>15516</v>
      </c>
      <c r="G115" s="71">
        <f t="shared" si="39"/>
        <v>27734</v>
      </c>
      <c r="H115" s="71">
        <f t="shared" si="39"/>
        <v>27780</v>
      </c>
      <c r="I115" s="71">
        <f t="shared" si="39"/>
        <v>32132</v>
      </c>
      <c r="J115" s="72">
        <f t="shared" si="39"/>
        <v>33808.013126677368</v>
      </c>
      <c r="K115" s="72">
        <f>K113+K107</f>
        <v>36883.170289232818</v>
      </c>
      <c r="L115" s="72">
        <f t="shared" si="39"/>
        <v>41330.434518928385</v>
      </c>
      <c r="M115" s="72">
        <f t="shared" si="39"/>
        <v>46349.222502801247</v>
      </c>
      <c r="N115" s="619">
        <f t="shared" si="39"/>
        <v>52308.865778294887</v>
      </c>
    </row>
    <row r="116" spans="2:14">
      <c r="B116" s="75"/>
      <c r="C116" s="547"/>
      <c r="D116" s="547"/>
      <c r="E116" s="597"/>
      <c r="F116" s="597"/>
      <c r="G116" s="597"/>
      <c r="H116" s="597"/>
      <c r="I116" s="597"/>
      <c r="J116" s="597"/>
      <c r="K116" s="597"/>
      <c r="L116" s="597"/>
      <c r="M116" s="597"/>
      <c r="N116" s="609"/>
    </row>
    <row r="117" spans="2:14">
      <c r="B117" s="46" t="s">
        <v>191</v>
      </c>
      <c r="C117" s="33"/>
      <c r="D117" s="33"/>
      <c r="E117" s="67" t="str">
        <f t="shared" ref="E117:N117" si="40">IF(ABS(E96-E115)&gt;1,E96-E115,"OK")</f>
        <v>OK</v>
      </c>
      <c r="F117" s="67" t="str">
        <f t="shared" si="40"/>
        <v>OK</v>
      </c>
      <c r="G117" s="67" t="str">
        <f t="shared" si="40"/>
        <v>OK</v>
      </c>
      <c r="H117" s="67" t="str">
        <f t="shared" si="40"/>
        <v>OK</v>
      </c>
      <c r="I117" s="67" t="str">
        <f t="shared" si="40"/>
        <v>OK</v>
      </c>
      <c r="J117" s="67" t="str">
        <f>IF(ABS(J96-J115)&gt;1,J96-J115,"OK")</f>
        <v>OK</v>
      </c>
      <c r="K117" s="67" t="str">
        <f t="shared" si="40"/>
        <v>OK</v>
      </c>
      <c r="L117" s="67" t="str">
        <f t="shared" si="40"/>
        <v>OK</v>
      </c>
      <c r="M117" s="67" t="str">
        <f t="shared" si="40"/>
        <v>OK</v>
      </c>
      <c r="N117" s="620" t="str">
        <f t="shared" si="40"/>
        <v>OK</v>
      </c>
    </row>
  </sheetData>
  <conditionalFormatting sqref="E61:N61 E66:N72">
    <cfRule type="cellIs" dxfId="17" priority="9" stopIfTrue="1" operator="equal">
      <formula>#REF!</formula>
    </cfRule>
  </conditionalFormatting>
  <conditionalFormatting sqref="E117:N117">
    <cfRule type="cellIs" dxfId="16" priority="10" stopIfTrue="1" operator="equal">
      <formula>#REF!</formula>
    </cfRule>
  </conditionalFormatting>
  <conditionalFormatting sqref="I3">
    <cfRule type="cellIs" dxfId="15" priority="8" stopIfTrue="1" operator="equal">
      <formula>#REF!</formula>
    </cfRule>
  </conditionalFormatting>
  <conditionalFormatting sqref="J3 J41 J81">
    <cfRule type="cellIs" dxfId="14" priority="17" stopIfTrue="1" operator="equal">
      <formula>#REF!</formula>
    </cfRule>
  </conditionalFormatting>
  <conditionalFormatting sqref="J44:N49 E62:I63">
    <cfRule type="cellIs" dxfId="13" priority="13" stopIfTrue="1" operator="equal">
      <formula>#REF!</formula>
    </cfRule>
  </conditionalFormatting>
  <conditionalFormatting sqref="J51:N55">
    <cfRule type="cellIs" dxfId="12" priority="1" stopIfTrue="1" operator="equal">
      <formula>#REF!</formula>
    </cfRule>
  </conditionalFormatting>
  <conditionalFormatting sqref="J59:N59 J74:N74">
    <cfRule type="cellIs" dxfId="11" priority="12" stopIfTrue="1" operator="equal">
      <formula>#REF!</formula>
    </cfRule>
  </conditionalFormatting>
  <conditionalFormatting sqref="J77:N78">
    <cfRule type="cellIs" dxfId="10" priority="2" stopIfTrue="1" operator="equal">
      <formula>#REF!</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73403-251D-4D8F-B4A3-7C94A9806F8E}">
  <dimension ref="B2:W46"/>
  <sheetViews>
    <sheetView showGridLines="0" topLeftCell="A22" workbookViewId="0">
      <selection activeCell="N38" sqref="N38"/>
    </sheetView>
  </sheetViews>
  <sheetFormatPr defaultColWidth="8.77734375" defaultRowHeight="14.4"/>
  <cols>
    <col min="1" max="1" width="1.33203125" customWidth="1"/>
    <col min="2" max="2" width="18.6640625" customWidth="1"/>
    <col min="6" max="6" width="15.33203125" customWidth="1"/>
  </cols>
  <sheetData>
    <row r="2" spans="2:16">
      <c r="B2" s="12" t="s">
        <v>215</v>
      </c>
      <c r="C2" s="13"/>
      <c r="D2" s="13"/>
      <c r="E2" s="13"/>
      <c r="F2" s="13"/>
      <c r="G2" s="13"/>
      <c r="H2" s="13"/>
      <c r="I2" s="13"/>
      <c r="J2" s="13"/>
      <c r="K2" s="13"/>
      <c r="L2" s="13"/>
      <c r="M2" s="13"/>
      <c r="N2" s="13"/>
      <c r="O2" s="13"/>
      <c r="P2" s="13"/>
    </row>
    <row r="3" spans="2:16" ht="5.25" customHeight="1">
      <c r="B3" s="82"/>
      <c r="C3" s="82"/>
      <c r="D3" s="83"/>
      <c r="E3" s="83"/>
      <c r="F3" s="83"/>
    </row>
    <row r="4" spans="2:16">
      <c r="B4" s="642" t="s">
        <v>216</v>
      </c>
      <c r="C4" s="664"/>
      <c r="D4" s="83"/>
      <c r="E4" s="84"/>
    </row>
    <row r="5" spans="2:16">
      <c r="B5" s="665" t="s">
        <v>192</v>
      </c>
      <c r="C5" s="666">
        <v>4.5499999999999999E-2</v>
      </c>
      <c r="D5" s="83"/>
      <c r="E5" s="84"/>
    </row>
    <row r="6" spans="2:16">
      <c r="B6" s="667" t="s">
        <v>193</v>
      </c>
      <c r="C6" s="666">
        <v>0.1007</v>
      </c>
      <c r="D6" s="83"/>
      <c r="E6" s="84"/>
    </row>
    <row r="7" spans="2:16">
      <c r="B7" s="665" t="s">
        <v>194</v>
      </c>
      <c r="C7" s="666">
        <f>C6-C5</f>
        <v>5.5199999999999999E-2</v>
      </c>
      <c r="D7" s="83"/>
      <c r="E7" s="84"/>
    </row>
    <row r="8" spans="2:16">
      <c r="B8" s="668" t="s">
        <v>93</v>
      </c>
      <c r="C8" s="669">
        <v>1.24</v>
      </c>
      <c r="D8" s="83"/>
      <c r="E8" s="84"/>
    </row>
    <row r="9" spans="2:16">
      <c r="B9" s="670" t="s">
        <v>220</v>
      </c>
      <c r="C9" s="671">
        <f>C5+(C8*C7)</f>
        <v>0.11394799999999999</v>
      </c>
      <c r="D9" s="83"/>
      <c r="E9" s="84"/>
    </row>
    <row r="10" spans="2:16">
      <c r="B10" s="667" t="s">
        <v>196</v>
      </c>
      <c r="C10" s="666">
        <v>4.5100000000000001E-2</v>
      </c>
      <c r="D10" s="83"/>
      <c r="E10" s="84"/>
    </row>
    <row r="11" spans="2:16">
      <c r="B11" s="672" t="s">
        <v>133</v>
      </c>
      <c r="C11" s="666">
        <v>0.16539999999999999</v>
      </c>
      <c r="D11" s="83"/>
      <c r="E11" s="84"/>
    </row>
    <row r="12" spans="2:16">
      <c r="B12" s="670" t="s">
        <v>223</v>
      </c>
      <c r="C12" s="673">
        <f>(1-C11)*C10</f>
        <v>3.7640460000000001E-2</v>
      </c>
      <c r="D12" s="83"/>
      <c r="E12" s="84"/>
    </row>
    <row r="13" spans="2:16">
      <c r="B13" s="674" t="s">
        <v>198</v>
      </c>
      <c r="C13" s="671">
        <f>0.965*C9 + 0.035*C12</f>
        <v>0.11127723609999998</v>
      </c>
      <c r="D13" s="83"/>
      <c r="E13" s="84"/>
    </row>
    <row r="14" spans="2:16" ht="12" customHeight="1">
      <c r="B14" s="665"/>
      <c r="C14" s="571"/>
      <c r="D14" s="83"/>
      <c r="E14" s="83"/>
    </row>
    <row r="15" spans="2:16">
      <c r="B15" s="26" t="s">
        <v>225</v>
      </c>
      <c r="C15" s="675">
        <v>45706</v>
      </c>
      <c r="D15" s="83"/>
      <c r="E15" s="83"/>
    </row>
    <row r="16" spans="2:16">
      <c r="B16" s="28" t="s">
        <v>227</v>
      </c>
      <c r="C16" s="676">
        <v>45869</v>
      </c>
      <c r="D16" s="83"/>
      <c r="E16" s="83"/>
    </row>
    <row r="17" spans="2:23">
      <c r="B17" s="53"/>
      <c r="C17" s="53"/>
      <c r="D17" s="53"/>
      <c r="E17" s="53"/>
      <c r="F17" s="53"/>
      <c r="G17" s="53"/>
      <c r="H17" s="53"/>
      <c r="I17" s="53"/>
      <c r="J17" s="53"/>
      <c r="K17" s="53"/>
      <c r="L17" s="57"/>
      <c r="M17" s="1"/>
      <c r="N17" s="1"/>
      <c r="O17" s="1"/>
      <c r="P17" s="1"/>
    </row>
    <row r="18" spans="2:23">
      <c r="B18" s="172" t="s">
        <v>229</v>
      </c>
      <c r="C18" s="173"/>
      <c r="D18" s="173"/>
      <c r="E18" s="173"/>
      <c r="F18" s="173"/>
      <c r="G18" s="173"/>
      <c r="H18" s="173"/>
      <c r="I18" s="173"/>
      <c r="J18" s="173"/>
      <c r="K18" s="173"/>
      <c r="L18" s="173"/>
      <c r="M18" s="173"/>
      <c r="N18" s="173"/>
      <c r="O18" s="174"/>
      <c r="P18" s="114"/>
    </row>
    <row r="19" spans="2:23">
      <c r="B19" s="390" t="s">
        <v>314</v>
      </c>
      <c r="C19" s="643"/>
      <c r="D19" s="82"/>
      <c r="E19" s="82"/>
      <c r="F19" s="82"/>
      <c r="G19" s="82"/>
      <c r="H19" s="88"/>
      <c r="I19" s="82"/>
      <c r="J19" s="88"/>
      <c r="K19" s="771" t="s">
        <v>237</v>
      </c>
      <c r="L19" s="771"/>
      <c r="M19" s="771"/>
      <c r="N19" s="771"/>
      <c r="O19" s="772"/>
      <c r="R19" s="114"/>
      <c r="S19" s="114"/>
      <c r="T19" s="114"/>
      <c r="U19" s="114"/>
      <c r="V19" s="114"/>
      <c r="W19" s="114"/>
    </row>
    <row r="20" spans="2:23" ht="15" thickBot="1">
      <c r="B20" s="644" t="s">
        <v>230</v>
      </c>
      <c r="C20" s="30"/>
      <c r="D20" s="30"/>
      <c r="E20" s="30"/>
      <c r="F20" s="73">
        <v>44043</v>
      </c>
      <c r="G20" s="73">
        <v>44408</v>
      </c>
      <c r="H20" s="73">
        <v>44773</v>
      </c>
      <c r="I20" s="73">
        <v>45138</v>
      </c>
      <c r="J20" s="73">
        <v>45504</v>
      </c>
      <c r="K20" s="73">
        <v>45869</v>
      </c>
      <c r="L20" s="73">
        <v>46234</v>
      </c>
      <c r="M20" s="73">
        <v>46599</v>
      </c>
      <c r="N20" s="73">
        <v>46965</v>
      </c>
      <c r="O20" s="523">
        <v>47330</v>
      </c>
      <c r="R20" s="88"/>
      <c r="S20" s="88"/>
      <c r="T20" s="88"/>
      <c r="U20" s="88"/>
      <c r="V20" s="88"/>
      <c r="W20" s="88"/>
    </row>
    <row r="21" spans="2:23">
      <c r="B21" s="26" t="s">
        <v>158</v>
      </c>
      <c r="C21" s="1"/>
      <c r="D21" s="1"/>
      <c r="E21" s="1"/>
      <c r="F21" s="645">
        <f>'[2]DCF - Financials'!E7</f>
        <v>0</v>
      </c>
      <c r="G21" s="645">
        <f>'[2]DCF - Financials'!F7</f>
        <v>0</v>
      </c>
      <c r="H21" s="645">
        <f>'[2]DCF - Financials'!G7</f>
        <v>0</v>
      </c>
      <c r="I21" s="645">
        <f>'[2]DCF - Financials'!H7</f>
        <v>0</v>
      </c>
      <c r="J21" s="645">
        <f>'[2]DCF - Financials'!I7</f>
        <v>0</v>
      </c>
      <c r="K21" s="646">
        <f>'3 Statement model'!J28</f>
        <v>3411.1869928435831</v>
      </c>
      <c r="L21" s="646">
        <f>'3 Statement model'!K28</f>
        <v>4198.769295445305</v>
      </c>
      <c r="M21" s="646">
        <f>'3 Statement model'!L28</f>
        <v>4908.5924883713651</v>
      </c>
      <c r="N21" s="646">
        <f>'3 Statement model'!M28</f>
        <v>5649.8045577694702</v>
      </c>
      <c r="O21" s="647">
        <f>'3 Statement model'!N28</f>
        <v>6229.6498169975721</v>
      </c>
      <c r="Q21" s="1"/>
      <c r="R21" s="115"/>
      <c r="S21" s="115"/>
      <c r="T21" s="115"/>
      <c r="U21" s="115"/>
      <c r="V21" s="115"/>
      <c r="W21" s="115"/>
    </row>
    <row r="22" spans="2:23">
      <c r="B22" s="26" t="s">
        <v>154</v>
      </c>
      <c r="C22" s="1"/>
      <c r="D22" s="1"/>
      <c r="E22" s="1"/>
      <c r="F22" s="645"/>
      <c r="G22" s="645"/>
      <c r="H22" s="645"/>
      <c r="I22" s="645"/>
      <c r="J22" s="645"/>
      <c r="K22" s="648">
        <f>'3 Statement model'!J35+'3 Statement model'!J36</f>
        <v>1115.5452402000001</v>
      </c>
      <c r="L22" s="648">
        <f>'3 Statement model'!K35+'3 Statement model'!K36</f>
        <v>1274.9609843513626</v>
      </c>
      <c r="M22" s="648">
        <f>'3 Statement model'!L35+'3 Statement model'!L36</f>
        <v>1340.3664319704624</v>
      </c>
      <c r="N22" s="648">
        <f>'3 Statement model'!M35+'3 Statement model'!M36</f>
        <v>1532.8131497607585</v>
      </c>
      <c r="O22" s="649">
        <f>'3 Statement model'!N35+'3 Statement model'!N36</f>
        <v>1698.365111211348</v>
      </c>
      <c r="Q22" s="114"/>
      <c r="R22" s="63"/>
      <c r="S22" s="63"/>
      <c r="T22" s="63"/>
      <c r="U22" s="63"/>
      <c r="V22" s="63"/>
      <c r="W22" s="63"/>
    </row>
    <row r="23" spans="2:23">
      <c r="B23" s="26" t="s">
        <v>238</v>
      </c>
      <c r="C23" s="1"/>
      <c r="D23" s="1"/>
      <c r="E23" s="1"/>
      <c r="F23" s="645"/>
      <c r="G23" s="645"/>
      <c r="H23" s="645"/>
      <c r="I23" s="645"/>
      <c r="J23" s="645"/>
      <c r="K23" s="646">
        <f xml:space="preserve"> '3 Statement model'!J77</f>
        <v>-810.00591000000009</v>
      </c>
      <c r="L23" s="646">
        <f>'3 Statement model'!K77</f>
        <v>-98.649809723750025</v>
      </c>
      <c r="M23" s="646">
        <f>'3 Statement model'!L77</f>
        <v>-86.571915509366477</v>
      </c>
      <c r="N23" s="646">
        <f>'3 Statement model'!M77</f>
        <v>-100.68572800663139</v>
      </c>
      <c r="O23" s="647">
        <f>'3 Statement model'!N77</f>
        <v>-153.33624254342135</v>
      </c>
      <c r="R23" s="3"/>
      <c r="S23" s="3"/>
      <c r="T23" s="3"/>
      <c r="U23" s="3"/>
      <c r="V23" s="3"/>
      <c r="W23" s="3"/>
    </row>
    <row r="24" spans="2:23">
      <c r="B24" s="26" t="s">
        <v>239</v>
      </c>
      <c r="C24" s="559"/>
      <c r="D24" s="559"/>
      <c r="E24" s="559"/>
      <c r="F24" s="645"/>
      <c r="G24" s="645"/>
      <c r="H24" s="645"/>
      <c r="I24" s="645"/>
      <c r="J24" s="645"/>
      <c r="K24" s="648">
        <f>-'3 Statement model'!J78</f>
        <v>227.39455070000008</v>
      </c>
      <c r="L24" s="648">
        <f>-'3 Statement model'!K78</f>
        <v>176.0942340745687</v>
      </c>
      <c r="M24" s="648">
        <f>-'3 Statement model'!L78</f>
        <v>221.643571610771</v>
      </c>
      <c r="N24" s="648">
        <f>-'3 Statement model'!M78</f>
        <v>318.07205888371993</v>
      </c>
      <c r="O24" s="649">
        <f>-'3 Statement model'!N78</f>
        <v>629.9032828896643</v>
      </c>
      <c r="R24" s="3"/>
      <c r="S24" s="3"/>
      <c r="T24" s="3"/>
      <c r="U24" s="3"/>
      <c r="V24" s="3"/>
      <c r="W24" s="3"/>
    </row>
    <row r="25" spans="2:23">
      <c r="B25" s="26" t="s">
        <v>240</v>
      </c>
      <c r="C25" s="559"/>
      <c r="D25" s="559"/>
      <c r="E25" s="559"/>
      <c r="F25" s="645"/>
      <c r="G25" s="645"/>
      <c r="H25" s="645"/>
      <c r="I25" s="645"/>
      <c r="J25" s="645"/>
      <c r="K25" s="648">
        <f>-'3 Statement model'!J24*(1-Schedules!J117)</f>
        <v>246.5</v>
      </c>
      <c r="L25" s="648">
        <f>-'3 Statement model'!K24*(1-Schedules!K117)</f>
        <v>44</v>
      </c>
      <c r="M25" s="648">
        <f>-'3 Statement model'!L24*(1-Schedules!L117)</f>
        <v>35.200000000000003</v>
      </c>
      <c r="N25" s="648">
        <f>-'3 Statement model'!M24*(1-Schedules!M117)</f>
        <v>32.56</v>
      </c>
      <c r="O25" s="649">
        <f>-'3 Statement model'!N24*(1-Schedules!N117)</f>
        <v>31.08</v>
      </c>
      <c r="R25" s="3"/>
      <c r="S25" s="63"/>
      <c r="T25" s="63"/>
      <c r="U25" s="63"/>
      <c r="V25" s="63"/>
      <c r="W25" s="63"/>
    </row>
    <row r="26" spans="2:23">
      <c r="B26" s="531" t="s">
        <v>231</v>
      </c>
      <c r="C26" s="90"/>
      <c r="D26" s="90"/>
      <c r="E26" s="90"/>
      <c r="F26" s="91"/>
      <c r="G26" s="91"/>
      <c r="H26" s="91"/>
      <c r="I26" s="91"/>
      <c r="J26" s="91"/>
      <c r="K26" s="89">
        <f>SUM(K21:K25)</f>
        <v>4190.6208737435836</v>
      </c>
      <c r="L26" s="89">
        <f>SUM(L21:L25)</f>
        <v>5595.1747041474864</v>
      </c>
      <c r="M26" s="89">
        <f>SUM(M21:M25)</f>
        <v>6419.2305764432313</v>
      </c>
      <c r="N26" s="89">
        <f>SUM(N21:N25)</f>
        <v>7432.5640384073176</v>
      </c>
      <c r="O26" s="650">
        <f>SUM(O21:O25)</f>
        <v>8435.6619685551632</v>
      </c>
      <c r="R26" s="3"/>
      <c r="S26" s="3"/>
      <c r="T26" s="3"/>
      <c r="U26" s="3"/>
      <c r="V26" s="3"/>
      <c r="W26" s="3"/>
    </row>
    <row r="27" spans="2:23">
      <c r="B27" s="651" t="s">
        <v>232</v>
      </c>
      <c r="C27" s="652"/>
      <c r="D27" s="652"/>
      <c r="E27" s="652"/>
      <c r="F27" s="653"/>
      <c r="G27" s="653"/>
      <c r="H27" s="653"/>
      <c r="I27" s="653"/>
      <c r="J27" s="653"/>
      <c r="K27" s="654">
        <v>1</v>
      </c>
      <c r="L27" s="654">
        <v>1</v>
      </c>
      <c r="M27" s="654">
        <v>1</v>
      </c>
      <c r="N27" s="654">
        <v>1</v>
      </c>
      <c r="O27" s="655">
        <v>1</v>
      </c>
      <c r="R27" s="3"/>
      <c r="S27" s="63"/>
      <c r="T27" s="63"/>
      <c r="U27" s="63"/>
      <c r="V27" s="63"/>
      <c r="W27" s="63"/>
    </row>
    <row r="28" spans="2:23">
      <c r="B28" s="651" t="s">
        <v>233</v>
      </c>
      <c r="C28" s="559"/>
      <c r="D28" s="559"/>
      <c r="E28" s="559"/>
      <c r="F28" s="656"/>
      <c r="G28" s="656"/>
      <c r="H28" s="656"/>
      <c r="I28" s="656"/>
      <c r="J28" s="656"/>
      <c r="K28" s="654">
        <f>+($C$16-$C$15)/365</f>
        <v>0.44657534246575342</v>
      </c>
      <c r="L28" s="654">
        <f t="shared" ref="L28:O28" si="0">K28+L27</f>
        <v>1.4465753424657535</v>
      </c>
      <c r="M28" s="654">
        <f t="shared" si="0"/>
        <v>2.4465753424657537</v>
      </c>
      <c r="N28" s="654">
        <f t="shared" si="0"/>
        <v>3.4465753424657537</v>
      </c>
      <c r="O28" s="655">
        <f t="shared" si="0"/>
        <v>4.4465753424657537</v>
      </c>
      <c r="R28" s="3"/>
      <c r="S28" s="3"/>
      <c r="T28" s="3"/>
      <c r="U28" s="3"/>
      <c r="V28" s="3"/>
      <c r="W28" s="3"/>
    </row>
    <row r="29" spans="2:23">
      <c r="B29" s="651" t="s">
        <v>234</v>
      </c>
      <c r="C29" s="559"/>
      <c r="D29" s="559"/>
      <c r="E29" s="559"/>
      <c r="F29" s="657"/>
      <c r="G29" s="657"/>
      <c r="H29" s="657"/>
      <c r="I29" s="657"/>
      <c r="J29" s="657"/>
      <c r="K29" s="658">
        <f>$C$13</f>
        <v>0.11127723609999998</v>
      </c>
      <c r="L29" s="658">
        <f t="shared" ref="L29:O29" si="1">$C$13</f>
        <v>0.11127723609999998</v>
      </c>
      <c r="M29" s="658">
        <f t="shared" si="1"/>
        <v>0.11127723609999998</v>
      </c>
      <c r="N29" s="658">
        <f t="shared" si="1"/>
        <v>0.11127723609999998</v>
      </c>
      <c r="O29" s="659">
        <f t="shared" si="1"/>
        <v>0.11127723609999998</v>
      </c>
      <c r="R29" s="3"/>
      <c r="S29" s="3"/>
      <c r="T29" s="3"/>
      <c r="U29" s="3"/>
      <c r="V29" s="3"/>
      <c r="W29" s="3"/>
    </row>
    <row r="30" spans="2:23">
      <c r="B30" s="651" t="s">
        <v>235</v>
      </c>
      <c r="C30" s="559"/>
      <c r="D30" s="559"/>
      <c r="E30" s="559"/>
      <c r="F30" s="656"/>
      <c r="G30" s="656"/>
      <c r="H30" s="656"/>
      <c r="I30" s="656"/>
      <c r="J30" s="656"/>
      <c r="K30" s="654">
        <f>(1/(1+K29))^K28</f>
        <v>0.95397465787136881</v>
      </c>
      <c r="L30" s="654">
        <f>(1/(1+L29))^L28</f>
        <v>0.85844884326013837</v>
      </c>
      <c r="M30" s="654">
        <f>(1/(1+M29))^M28</f>
        <v>0.77248846226063561</v>
      </c>
      <c r="N30" s="654">
        <f>(1/(1+N29))^N28</f>
        <v>0.69513568456748442</v>
      </c>
      <c r="O30" s="655">
        <f>(1/(1+O29))^O28</f>
        <v>0.62552859177341369</v>
      </c>
      <c r="R30" s="3"/>
      <c r="S30" s="3"/>
      <c r="T30" s="3"/>
      <c r="U30" s="3"/>
      <c r="V30" s="3"/>
      <c r="W30" s="3"/>
    </row>
    <row r="31" spans="2:23">
      <c r="B31" s="112" t="s">
        <v>236</v>
      </c>
      <c r="C31" s="660"/>
      <c r="D31" s="660"/>
      <c r="E31" s="660"/>
      <c r="F31" s="661"/>
      <c r="G31" s="661"/>
      <c r="H31" s="661"/>
      <c r="I31" s="661"/>
      <c r="J31" s="661"/>
      <c r="K31" s="662">
        <f t="shared" ref="K31:O31" si="2">K26*K30*K27</f>
        <v>3997.746114298152</v>
      </c>
      <c r="L31" s="662">
        <f t="shared" si="2"/>
        <v>4803.1712526137962</v>
      </c>
      <c r="M31" s="662">
        <f t="shared" si="2"/>
        <v>4958.7815568930855</v>
      </c>
      <c r="N31" s="662">
        <f t="shared" si="2"/>
        <v>5166.6404909299372</v>
      </c>
      <c r="O31" s="663">
        <f t="shared" si="2"/>
        <v>5276.7477518668538</v>
      </c>
      <c r="R31" s="3"/>
      <c r="S31" s="3"/>
      <c r="T31" s="3"/>
      <c r="U31" s="3"/>
      <c r="V31" s="3"/>
      <c r="W31" s="3"/>
    </row>
    <row r="32" spans="2:23">
      <c r="R32" s="63"/>
      <c r="S32" s="63"/>
      <c r="T32" s="63"/>
      <c r="U32" s="63"/>
      <c r="V32" s="63"/>
      <c r="W32" s="63"/>
    </row>
    <row r="33" spans="2:23">
      <c r="R33" s="116"/>
      <c r="S33" s="116"/>
      <c r="T33" s="116"/>
      <c r="U33" s="116"/>
      <c r="V33" s="116"/>
      <c r="W33" s="116"/>
    </row>
    <row r="34" spans="2:23">
      <c r="B34" s="642" t="s">
        <v>262</v>
      </c>
      <c r="C34" s="509"/>
      <c r="D34" s="509"/>
      <c r="E34" s="509"/>
      <c r="F34" s="509"/>
      <c r="G34" s="510"/>
      <c r="H34" s="511"/>
      <c r="J34" s="642" t="s">
        <v>261</v>
      </c>
      <c r="K34" s="509"/>
      <c r="L34" s="509"/>
      <c r="M34" s="509"/>
      <c r="N34" s="509"/>
      <c r="O34" s="510"/>
      <c r="P34" s="511"/>
      <c r="R34" s="117"/>
      <c r="S34" s="117"/>
      <c r="T34" s="117"/>
      <c r="U34" s="117"/>
      <c r="V34" s="117"/>
      <c r="W34" s="117"/>
    </row>
    <row r="35" spans="2:23">
      <c r="B35" s="104" t="s">
        <v>218</v>
      </c>
      <c r="C35" s="53"/>
      <c r="D35" s="53"/>
      <c r="E35" s="53"/>
      <c r="F35" s="53"/>
      <c r="G35" s="53"/>
      <c r="H35" s="638">
        <v>7.31</v>
      </c>
      <c r="J35" s="104" t="s">
        <v>217</v>
      </c>
      <c r="K35" s="53"/>
      <c r="L35" s="53"/>
      <c r="M35" s="53"/>
      <c r="N35" s="53"/>
      <c r="O35" s="53"/>
      <c r="P35" s="638">
        <v>28</v>
      </c>
      <c r="R35" s="116"/>
      <c r="S35" s="116"/>
      <c r="T35" s="116"/>
      <c r="U35" s="116"/>
      <c r="V35" s="116"/>
      <c r="W35" s="116"/>
    </row>
    <row r="36" spans="2:23">
      <c r="B36" s="104" t="s">
        <v>219</v>
      </c>
      <c r="C36" s="53"/>
      <c r="D36" s="53"/>
      <c r="E36" s="53"/>
      <c r="F36" s="53"/>
      <c r="G36" s="53"/>
      <c r="H36" s="93">
        <f>'3 Statement model'!N6</f>
        <v>32372.720149613026</v>
      </c>
      <c r="J36" s="113" t="s">
        <v>264</v>
      </c>
      <c r="K36" s="53"/>
      <c r="L36" s="53"/>
      <c r="M36" s="53"/>
      <c r="N36" s="53"/>
      <c r="O36" s="53"/>
      <c r="P36" s="93">
        <f>'3 Statement model'!N37</f>
        <v>9151.6148933513141</v>
      </c>
      <c r="R36" s="118"/>
      <c r="S36" s="63"/>
      <c r="T36" s="63"/>
      <c r="U36" s="63"/>
      <c r="V36" s="63"/>
      <c r="W36" s="63"/>
    </row>
    <row r="37" spans="2:23">
      <c r="B37" s="105" t="s">
        <v>221</v>
      </c>
      <c r="C37" s="1"/>
      <c r="D37" s="1"/>
      <c r="E37" s="1"/>
      <c r="F37" s="1"/>
      <c r="G37" s="1"/>
      <c r="H37" s="93">
        <f>H35*H36</f>
        <v>236644.58429367121</v>
      </c>
      <c r="J37" s="105" t="s">
        <v>221</v>
      </c>
      <c r="K37" s="1"/>
      <c r="L37" s="1"/>
      <c r="M37" s="1"/>
      <c r="N37" s="1"/>
      <c r="O37" s="1"/>
      <c r="P37" s="93">
        <f>P35*P36</f>
        <v>256245.21701383678</v>
      </c>
    </row>
    <row r="38" spans="2:23">
      <c r="B38" s="104" t="s">
        <v>222</v>
      </c>
      <c r="C38" s="1"/>
      <c r="D38" s="1"/>
      <c r="E38" s="1"/>
      <c r="F38" s="1"/>
      <c r="G38" s="1"/>
      <c r="H38" s="94">
        <f>H37*O30</f>
        <v>148027.95356402505</v>
      </c>
      <c r="J38" s="104" t="s">
        <v>222</v>
      </c>
      <c r="K38" s="1"/>
      <c r="L38" s="1"/>
      <c r="M38" s="1"/>
      <c r="N38" s="1"/>
      <c r="O38" s="1"/>
      <c r="P38" s="94">
        <f>P37*O30</f>
        <v>160288.70974733811</v>
      </c>
    </row>
    <row r="39" spans="2:23">
      <c r="B39" s="106" t="s">
        <v>224</v>
      </c>
      <c r="C39" s="39"/>
      <c r="D39" s="39"/>
      <c r="E39" s="39"/>
      <c r="F39" s="39"/>
      <c r="G39" s="39"/>
      <c r="H39" s="95">
        <f>SUM(K31:O31)</f>
        <v>24203.087166601825</v>
      </c>
      <c r="J39" s="106" t="s">
        <v>224</v>
      </c>
      <c r="K39" s="39"/>
      <c r="L39" s="39"/>
      <c r="M39" s="39"/>
      <c r="N39" s="39"/>
      <c r="O39" s="39"/>
      <c r="P39" s="95">
        <f>SUM(K31:O31)</f>
        <v>24203.087166601825</v>
      </c>
    </row>
    <row r="40" spans="2:23">
      <c r="B40" s="107" t="s">
        <v>195</v>
      </c>
      <c r="C40" s="1"/>
      <c r="D40" s="1"/>
      <c r="E40" s="1"/>
      <c r="F40" s="1"/>
      <c r="G40" s="1"/>
      <c r="H40" s="85">
        <f>H38+H39</f>
        <v>172231.04073062688</v>
      </c>
      <c r="J40" s="107" t="s">
        <v>195</v>
      </c>
      <c r="K40" s="1"/>
      <c r="L40" s="1"/>
      <c r="M40" s="1"/>
      <c r="N40" s="1"/>
      <c r="O40" s="1"/>
      <c r="P40" s="85">
        <f>P38+P39</f>
        <v>184491.79691393994</v>
      </c>
    </row>
    <row r="41" spans="2:23">
      <c r="B41" s="108" t="s">
        <v>241</v>
      </c>
      <c r="C41" s="1"/>
      <c r="D41" s="1"/>
      <c r="E41" s="1"/>
      <c r="F41" s="1"/>
      <c r="G41" s="1"/>
      <c r="H41" s="640">
        <f>('3 Statement model'!J99+'3 Statement model'!J105)*(K30)</f>
        <v>5221.0016778360723</v>
      </c>
      <c r="J41" s="108" t="s">
        <v>241</v>
      </c>
      <c r="K41" s="1"/>
      <c r="L41" s="1"/>
      <c r="M41" s="1"/>
      <c r="N41" s="1"/>
      <c r="O41" s="1"/>
      <c r="P41" s="640">
        <f>('3 Statement model'!$J$99+'3 Statement model'!$J$105)*K30</f>
        <v>5221.0016778360723</v>
      </c>
    </row>
    <row r="42" spans="2:23">
      <c r="B42" s="109" t="s">
        <v>242</v>
      </c>
      <c r="C42" s="39"/>
      <c r="D42" s="39"/>
      <c r="E42" s="39"/>
      <c r="F42" s="39"/>
      <c r="G42" s="39"/>
      <c r="H42" s="641">
        <f>-'3 Statement model'!J88*K30</f>
        <v>-4784.8260483353815</v>
      </c>
      <c r="J42" s="109" t="s">
        <v>242</v>
      </c>
      <c r="K42" s="39"/>
      <c r="L42" s="39"/>
      <c r="M42" s="39"/>
      <c r="N42" s="39"/>
      <c r="O42" s="39"/>
      <c r="P42" s="641">
        <f>-'3 Statement model'!$J$88*K30</f>
        <v>-4784.8260483353815</v>
      </c>
    </row>
    <row r="43" spans="2:23">
      <c r="B43" s="110" t="s">
        <v>226</v>
      </c>
      <c r="C43" s="33"/>
      <c r="D43" s="33"/>
      <c r="E43" s="33"/>
      <c r="F43" s="33"/>
      <c r="G43" s="33"/>
      <c r="H43" s="96">
        <f>H41+H42</f>
        <v>436.17562950069077</v>
      </c>
      <c r="J43" s="110" t="s">
        <v>226</v>
      </c>
      <c r="K43" s="33"/>
      <c r="L43" s="33"/>
      <c r="M43" s="33"/>
      <c r="N43" s="33"/>
      <c r="O43" s="33"/>
      <c r="P43" s="96">
        <f>P41+P42</f>
        <v>436.17562950069077</v>
      </c>
    </row>
    <row r="44" spans="2:23">
      <c r="B44" s="111" t="s">
        <v>197</v>
      </c>
      <c r="C44" s="1"/>
      <c r="D44" s="1"/>
      <c r="E44" s="1"/>
      <c r="F44" s="1"/>
      <c r="G44" s="1"/>
      <c r="H44" s="92">
        <f>H40-SUM(H43:H43)</f>
        <v>171794.8651011262</v>
      </c>
      <c r="J44" s="111" t="s">
        <v>197</v>
      </c>
      <c r="K44" s="1"/>
      <c r="L44" s="1"/>
      <c r="M44" s="1"/>
      <c r="N44" s="1"/>
      <c r="O44" s="1"/>
      <c r="P44" s="92">
        <f>P40-SUM(P43:P43)</f>
        <v>184055.62128443926</v>
      </c>
    </row>
    <row r="45" spans="2:23">
      <c r="B45" s="26" t="s">
        <v>199</v>
      </c>
      <c r="C45" s="1"/>
      <c r="D45" s="1"/>
      <c r="E45" s="1"/>
      <c r="F45" s="1"/>
      <c r="G45" s="1"/>
      <c r="H45" s="639">
        <f>'3 Statement model'!J32</f>
        <v>283.36</v>
      </c>
      <c r="J45" s="26" t="s">
        <v>199</v>
      </c>
      <c r="K45" s="1"/>
      <c r="L45" s="1"/>
      <c r="M45" s="1"/>
      <c r="N45" s="1"/>
      <c r="O45" s="1"/>
      <c r="P45" s="639">
        <f>'3 Statement model'!J32</f>
        <v>283.36</v>
      </c>
    </row>
    <row r="46" spans="2:23">
      <c r="B46" s="112" t="s">
        <v>228</v>
      </c>
      <c r="C46" s="33"/>
      <c r="D46" s="33"/>
      <c r="E46" s="33"/>
      <c r="F46" s="33"/>
      <c r="G46" s="33"/>
      <c r="H46" s="87">
        <f>IFERROR(H44/H45,"")</f>
        <v>606.2777565680625</v>
      </c>
      <c r="J46" s="112" t="s">
        <v>228</v>
      </c>
      <c r="K46" s="33"/>
      <c r="L46" s="33"/>
      <c r="M46" s="33"/>
      <c r="N46" s="33"/>
      <c r="O46" s="33"/>
      <c r="P46" s="87">
        <f>IFERROR(P44/P45,"")</f>
        <v>649.54694129178165</v>
      </c>
    </row>
  </sheetData>
  <mergeCells count="1">
    <mergeCell ref="K19:O19"/>
  </mergeCells>
  <conditionalFormatting sqref="B38">
    <cfRule type="cellIs" dxfId="9" priority="18" stopIfTrue="1" operator="equal">
      <formula>"ERROR"</formula>
    </cfRule>
  </conditionalFormatting>
  <conditionalFormatting sqref="C22:E22 C24:E26">
    <cfRule type="cellIs" dxfId="8" priority="14" stopIfTrue="1" operator="equal">
      <formula>$F$5</formula>
    </cfRule>
  </conditionalFormatting>
  <conditionalFormatting sqref="C28:E31">
    <cfRule type="cellIs" dxfId="7" priority="20" stopIfTrue="1" operator="equal">
      <formula>$F$5</formula>
    </cfRule>
  </conditionalFormatting>
  <conditionalFormatting sqref="C27:J27">
    <cfRule type="cellIs" dxfId="6" priority="16" stopIfTrue="1" operator="equal">
      <formula>$E$5</formula>
    </cfRule>
  </conditionalFormatting>
  <conditionalFormatting sqref="H19">
    <cfRule type="cellIs" dxfId="5" priority="19" stopIfTrue="1" operator="equal">
      <formula>#REF!</formula>
    </cfRule>
  </conditionalFormatting>
  <conditionalFormatting sqref="H38">
    <cfRule type="cellIs" dxfId="4" priority="15" stopIfTrue="1" operator="equal">
      <formula>"ERROR"</formula>
    </cfRule>
  </conditionalFormatting>
  <conditionalFormatting sqref="J38">
    <cfRule type="cellIs" dxfId="3" priority="9" stopIfTrue="1" operator="equal">
      <formula>"ERROR"</formula>
    </cfRule>
  </conditionalFormatting>
  <conditionalFormatting sqref="K19">
    <cfRule type="cellIs" dxfId="2" priority="17" stopIfTrue="1" operator="equal">
      <formula>#REF!</formula>
    </cfRule>
  </conditionalFormatting>
  <conditionalFormatting sqref="P38">
    <cfRule type="cellIs" dxfId="1" priority="8" stopIfTrue="1" operator="equal">
      <formula>"ERROR"</formula>
    </cfRule>
  </conditionalFormatting>
  <conditionalFormatting sqref="S20">
    <cfRule type="cellIs" dxfId="0" priority="3" stopIfTrue="1" operator="equal">
      <formula>#REF!</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5F9DD-5354-4085-83D9-08570F80C92D}">
  <dimension ref="B1:L57"/>
  <sheetViews>
    <sheetView showGridLines="0" topLeftCell="A22" workbookViewId="0">
      <selection activeCell="F39" sqref="F39"/>
    </sheetView>
  </sheetViews>
  <sheetFormatPr defaultColWidth="8.77734375" defaultRowHeight="14.4"/>
  <cols>
    <col min="1" max="1" width="1.109375" customWidth="1"/>
    <col min="2" max="2" width="5.44140625" customWidth="1"/>
    <col min="3" max="3" width="12.77734375" customWidth="1"/>
    <col min="5" max="5" width="9.77734375" bestFit="1" customWidth="1"/>
    <col min="6" max="7" width="10.44140625" customWidth="1"/>
    <col min="8" max="8" width="9.77734375" customWidth="1"/>
    <col min="9" max="9" width="13.77734375" customWidth="1"/>
    <col min="10" max="10" width="16.44140625" customWidth="1"/>
    <col min="11" max="11" width="16.33203125" customWidth="1"/>
    <col min="13" max="13" width="3.44140625" customWidth="1"/>
    <col min="14" max="14" width="20.109375" customWidth="1"/>
    <col min="15" max="15" width="17.44140625" customWidth="1"/>
    <col min="16" max="16" width="13.44140625" customWidth="1"/>
  </cols>
  <sheetData>
    <row r="1" spans="2:12" ht="7.5" customHeight="1">
      <c r="B1" s="122"/>
      <c r="C1" s="123"/>
      <c r="D1" s="123"/>
      <c r="E1" s="123"/>
      <c r="F1" s="124"/>
      <c r="G1" s="124"/>
      <c r="H1" s="124"/>
      <c r="I1" s="124"/>
      <c r="J1" s="124"/>
      <c r="K1" s="124"/>
      <c r="L1" s="124"/>
    </row>
    <row r="2" spans="2:12">
      <c r="B2" s="773" t="s">
        <v>312</v>
      </c>
      <c r="C2" s="773"/>
      <c r="D2" s="773"/>
      <c r="E2" s="773"/>
      <c r="F2" s="773"/>
      <c r="G2" s="773"/>
      <c r="H2" s="773"/>
      <c r="I2" s="773"/>
      <c r="J2" s="773"/>
      <c r="K2" s="773"/>
      <c r="L2" s="773"/>
    </row>
    <row r="3" spans="2:12" ht="6" customHeight="1">
      <c r="B3" s="122"/>
      <c r="C3" s="123"/>
      <c r="D3" s="123"/>
      <c r="E3" s="123"/>
      <c r="F3" s="124"/>
      <c r="G3" s="124"/>
      <c r="H3" s="124"/>
      <c r="I3" s="124"/>
      <c r="J3" s="124"/>
      <c r="K3" s="124"/>
      <c r="L3" s="124"/>
    </row>
    <row r="4" spans="2:12" ht="15.6">
      <c r="B4" s="679"/>
      <c r="C4" s="680"/>
      <c r="D4" s="680"/>
      <c r="E4" s="680"/>
      <c r="F4" s="681"/>
      <c r="G4" s="681"/>
      <c r="H4" s="681"/>
      <c r="I4" s="681"/>
      <c r="J4" s="681"/>
      <c r="K4" s="682"/>
      <c r="L4" s="682"/>
    </row>
    <row r="5" spans="2:12">
      <c r="B5" s="125"/>
      <c r="C5" s="126"/>
      <c r="D5" s="126"/>
      <c r="E5" s="127"/>
      <c r="F5" s="126"/>
      <c r="G5" s="126"/>
      <c r="H5" s="126"/>
      <c r="I5" s="126"/>
      <c r="J5" s="126"/>
      <c r="K5" s="128"/>
      <c r="L5" s="128"/>
    </row>
    <row r="6" spans="2:12">
      <c r="B6" s="125"/>
      <c r="C6" s="126"/>
      <c r="D6" s="126"/>
      <c r="E6" s="127"/>
      <c r="F6" s="126"/>
      <c r="G6" s="126"/>
      <c r="H6" s="126"/>
      <c r="I6" s="126"/>
      <c r="J6" s="126"/>
      <c r="K6" s="128"/>
      <c r="L6" s="128"/>
    </row>
    <row r="7" spans="2:12">
      <c r="B7" s="125"/>
      <c r="C7" s="126"/>
      <c r="D7" s="126"/>
      <c r="E7" s="127"/>
      <c r="F7" s="126"/>
      <c r="G7" s="126"/>
      <c r="H7" s="126"/>
      <c r="I7" s="126"/>
      <c r="J7" s="126"/>
      <c r="K7" s="128"/>
      <c r="L7" s="128"/>
    </row>
    <row r="8" spans="2:12">
      <c r="B8" s="125"/>
      <c r="C8" s="126"/>
      <c r="D8" s="126"/>
      <c r="E8" s="127"/>
      <c r="F8" s="126"/>
      <c r="G8" s="126"/>
      <c r="H8" s="126"/>
      <c r="I8" s="126"/>
      <c r="J8" s="126"/>
      <c r="K8" s="128"/>
      <c r="L8" s="128"/>
    </row>
    <row r="9" spans="2:12">
      <c r="B9" s="125"/>
      <c r="C9" s="126"/>
      <c r="D9" s="126"/>
      <c r="E9" s="127"/>
      <c r="F9" s="126"/>
      <c r="G9" s="126"/>
      <c r="H9" s="126"/>
      <c r="I9" s="126"/>
      <c r="J9" s="126"/>
      <c r="K9" s="128"/>
      <c r="L9" s="128"/>
    </row>
    <row r="10" spans="2:12">
      <c r="B10" s="125"/>
      <c r="C10" s="126"/>
      <c r="D10" s="126"/>
      <c r="E10" s="127"/>
      <c r="F10" s="126"/>
      <c r="G10" s="126"/>
      <c r="H10" s="126"/>
      <c r="I10" s="126"/>
      <c r="J10" s="126"/>
      <c r="K10" s="128"/>
      <c r="L10" s="128"/>
    </row>
    <row r="11" spans="2:12">
      <c r="B11" s="125"/>
      <c r="C11" s="126"/>
      <c r="D11" s="126"/>
      <c r="E11" s="127"/>
      <c r="F11" s="126"/>
      <c r="G11" s="126"/>
      <c r="H11" s="126"/>
      <c r="I11" s="126"/>
      <c r="J11" s="126"/>
      <c r="K11" s="128"/>
      <c r="L11" s="128"/>
    </row>
    <row r="12" spans="2:12">
      <c r="B12" s="125"/>
      <c r="C12" s="126"/>
      <c r="D12" s="126"/>
      <c r="E12" s="127"/>
      <c r="F12" s="126"/>
      <c r="G12" s="126"/>
      <c r="H12" s="126"/>
      <c r="I12" s="126"/>
      <c r="J12" s="126"/>
      <c r="K12" s="128"/>
      <c r="L12" s="128"/>
    </row>
    <row r="13" spans="2:12">
      <c r="B13" s="125"/>
      <c r="C13" s="126"/>
      <c r="D13" s="126"/>
      <c r="E13" s="127"/>
      <c r="F13" s="126"/>
      <c r="G13" s="126"/>
      <c r="H13" s="126"/>
      <c r="I13" s="126"/>
      <c r="J13" s="126"/>
      <c r="K13" s="128"/>
      <c r="L13" s="128"/>
    </row>
    <row r="14" spans="2:12">
      <c r="B14" s="125"/>
      <c r="C14" s="126"/>
      <c r="D14" s="126"/>
      <c r="E14" s="127"/>
      <c r="F14" s="126"/>
      <c r="G14" s="126"/>
      <c r="H14" s="126"/>
      <c r="I14" s="126"/>
      <c r="J14" s="126"/>
      <c r="K14" s="128"/>
      <c r="L14" s="128"/>
    </row>
    <row r="15" spans="2:12">
      <c r="B15" s="125"/>
      <c r="C15" s="126"/>
      <c r="D15" s="126"/>
      <c r="E15" s="127"/>
      <c r="F15" s="126"/>
      <c r="G15" s="126"/>
      <c r="H15" s="126"/>
      <c r="I15" s="126"/>
      <c r="J15" s="126"/>
      <c r="K15" s="128"/>
      <c r="L15" s="128"/>
    </row>
    <row r="16" spans="2:12" ht="26.55" customHeight="1">
      <c r="B16" s="125"/>
      <c r="C16" s="126"/>
      <c r="D16" s="126"/>
      <c r="E16" s="127"/>
      <c r="F16" s="126"/>
      <c r="G16" s="126"/>
      <c r="H16" s="126"/>
      <c r="I16" s="126"/>
      <c r="J16" s="126"/>
      <c r="K16" s="128"/>
      <c r="L16" s="128"/>
    </row>
    <row r="29" spans="2:12">
      <c r="I29" s="136"/>
    </row>
    <row r="30" spans="2:12">
      <c r="B30" s="708" t="s">
        <v>313</v>
      </c>
      <c r="C30" s="709"/>
      <c r="D30" s="680"/>
      <c r="E30" s="680"/>
      <c r="F30" s="681"/>
      <c r="G30" s="681"/>
      <c r="H30" s="681"/>
      <c r="I30" s="681"/>
      <c r="J30" s="681"/>
      <c r="K30" s="682"/>
      <c r="L30" s="682"/>
    </row>
    <row r="31" spans="2:12">
      <c r="B31" s="137"/>
      <c r="C31" s="134"/>
      <c r="D31" s="134"/>
      <c r="E31" s="138"/>
      <c r="F31" s="134"/>
      <c r="G31" s="134"/>
      <c r="H31" s="134"/>
      <c r="I31" s="134"/>
      <c r="J31" s="134"/>
      <c r="K31" s="135"/>
      <c r="L31" s="135"/>
    </row>
    <row r="32" spans="2:12">
      <c r="B32" s="690" t="s">
        <v>267</v>
      </c>
      <c r="C32" s="691"/>
      <c r="D32" s="691"/>
      <c r="E32" s="692" t="s">
        <v>268</v>
      </c>
      <c r="F32" s="693" t="s">
        <v>269</v>
      </c>
      <c r="G32" s="694" t="s">
        <v>270</v>
      </c>
      <c r="H32" s="695" t="s">
        <v>271</v>
      </c>
    </row>
    <row r="33" spans="2:12">
      <c r="B33" s="696" t="s">
        <v>287</v>
      </c>
      <c r="C33" s="683"/>
      <c r="D33" s="684"/>
      <c r="E33" s="685">
        <f>IFERROR(F33*0.9,"--")</f>
        <v>607.82570493613207</v>
      </c>
      <c r="F33" s="686">
        <f>IFERROR(MAX(DCF!H46*(1+DCF!C9),0),"--")</f>
        <v>675.36189437348003</v>
      </c>
      <c r="G33" s="685">
        <f>IFERROR(F33*1.1,"--")</f>
        <v>742.8980838108281</v>
      </c>
      <c r="H33" s="697">
        <f>(100/7)%</f>
        <v>0.14285714285714288</v>
      </c>
    </row>
    <row r="34" spans="2:12">
      <c r="B34" s="698" t="s">
        <v>288</v>
      </c>
      <c r="C34" s="699"/>
      <c r="D34" s="700"/>
      <c r="E34" s="685">
        <f t="shared" ref="E34:E39" si="0">IFERROR(F34*0.9,"--")</f>
        <v>651.20536454228784</v>
      </c>
      <c r="F34" s="701">
        <f>IFERROR(MAX(DCF!P46*(1+DCF!C9),0),"--")</f>
        <v>723.56151615809756</v>
      </c>
      <c r="G34" s="685">
        <f t="shared" ref="G34:G39" si="1">IFERROR(F34*1.1,"--")</f>
        <v>795.9176677739074</v>
      </c>
      <c r="H34" s="697">
        <f t="shared" ref="H34:H39" si="2">(100/7)%</f>
        <v>0.14285714285714288</v>
      </c>
    </row>
    <row r="35" spans="2:12">
      <c r="B35" s="702" t="s">
        <v>289</v>
      </c>
      <c r="C35" s="699"/>
      <c r="D35" s="700"/>
      <c r="E35" s="685">
        <f t="shared" si="0"/>
        <v>524.27895019250252</v>
      </c>
      <c r="F35" s="701">
        <f>IFERROR('Price Multiples'!E37*(1+DCF!C9),"--")</f>
        <v>582.53216688055829</v>
      </c>
      <c r="G35" s="685">
        <f t="shared" si="1"/>
        <v>640.78538356861418</v>
      </c>
      <c r="H35" s="697">
        <f t="shared" si="2"/>
        <v>0.14285714285714288</v>
      </c>
    </row>
    <row r="36" spans="2:12">
      <c r="B36" s="702" t="s">
        <v>290</v>
      </c>
      <c r="C36" s="699"/>
      <c r="D36" s="700"/>
      <c r="E36" s="685">
        <f t="shared" si="0"/>
        <v>906.66037169347726</v>
      </c>
      <c r="F36" s="701">
        <f>IFERROR('Price Multiples'!E45*(1+DCF!C9),"--")</f>
        <v>1007.4004129927525</v>
      </c>
      <c r="G36" s="685">
        <f t="shared" si="1"/>
        <v>1108.1404542920279</v>
      </c>
      <c r="H36" s="697">
        <f t="shared" si="2"/>
        <v>0.14285714285714288</v>
      </c>
    </row>
    <row r="37" spans="2:12">
      <c r="B37" s="702" t="s">
        <v>291</v>
      </c>
      <c r="C37" s="699"/>
      <c r="D37" s="700"/>
      <c r="E37" s="685">
        <f t="shared" si="0"/>
        <v>613.10851169094258</v>
      </c>
      <c r="F37" s="701">
        <f>'EV Model'!E41*(1+DCF!C9)</f>
        <v>681.23167965660286</v>
      </c>
      <c r="G37" s="685">
        <f t="shared" si="1"/>
        <v>749.35484762226326</v>
      </c>
      <c r="H37" s="697">
        <f t="shared" si="2"/>
        <v>0.14285714285714288</v>
      </c>
    </row>
    <row r="38" spans="2:12">
      <c r="B38" s="702" t="s">
        <v>292</v>
      </c>
      <c r="C38" s="699"/>
      <c r="D38" s="700"/>
      <c r="E38" s="685">
        <f t="shared" si="0"/>
        <v>565.10699133565072</v>
      </c>
      <c r="F38" s="701">
        <f>'EV Model'!E53*(1+DCF!C9)</f>
        <v>627.89665703961191</v>
      </c>
      <c r="G38" s="685">
        <f t="shared" si="1"/>
        <v>690.6863227435731</v>
      </c>
      <c r="H38" s="697">
        <f t="shared" si="2"/>
        <v>0.14285714285714288</v>
      </c>
    </row>
    <row r="39" spans="2:12">
      <c r="B39" s="702" t="s">
        <v>273</v>
      </c>
      <c r="C39" s="699"/>
      <c r="D39" s="700"/>
      <c r="E39" s="685">
        <f t="shared" si="0"/>
        <v>645.21899999999994</v>
      </c>
      <c r="F39" s="701">
        <v>716.91</v>
      </c>
      <c r="G39" s="685">
        <f t="shared" si="1"/>
        <v>788.601</v>
      </c>
      <c r="H39" s="697">
        <f t="shared" si="2"/>
        <v>0.14285714285714288</v>
      </c>
    </row>
    <row r="40" spans="2:12">
      <c r="B40" s="702" t="s">
        <v>274</v>
      </c>
      <c r="C40" s="687"/>
      <c r="D40" s="688"/>
      <c r="E40" s="685">
        <v>557.29</v>
      </c>
      <c r="F40" s="689">
        <v>613.84</v>
      </c>
      <c r="G40" s="685">
        <f>714.78</f>
        <v>714.78</v>
      </c>
      <c r="H40" s="697"/>
    </row>
    <row r="41" spans="2:12">
      <c r="B41" s="703" t="s">
        <v>272</v>
      </c>
      <c r="C41" s="704"/>
      <c r="D41" s="704"/>
      <c r="E41" s="705">
        <f>SUMPRODUCT(E33:E40,$H$33:$H$40)</f>
        <v>644.77212777014199</v>
      </c>
      <c r="F41" s="706">
        <f>SUMPRODUCT(F33:F40,$H$33:$H$40)</f>
        <v>716.41347530015776</v>
      </c>
      <c r="G41" s="705">
        <f>SUMPRODUCT(G33:G40,$H$33:$H$40)</f>
        <v>788.05482283017352</v>
      </c>
      <c r="H41" s="707">
        <f>SUM(H33:H40)</f>
        <v>1.0000000000000002</v>
      </c>
      <c r="J41" s="131"/>
      <c r="K41" s="132"/>
      <c r="L41" s="132"/>
    </row>
    <row r="42" spans="2:12">
      <c r="B42" s="129"/>
      <c r="C42" s="129"/>
      <c r="D42" s="129"/>
      <c r="E42" s="129"/>
      <c r="F42" s="129"/>
      <c r="G42" s="129"/>
      <c r="H42" s="129"/>
      <c r="I42" s="133"/>
      <c r="J42" s="131"/>
      <c r="K42" s="132"/>
      <c r="L42" s="132"/>
    </row>
    <row r="43" spans="2:12">
      <c r="B43" s="130"/>
      <c r="C43" s="130"/>
      <c r="D43" s="130"/>
      <c r="E43" s="130"/>
      <c r="F43" s="130"/>
      <c r="G43" s="130"/>
      <c r="H43" s="130"/>
      <c r="I43" s="133"/>
      <c r="J43" s="133"/>
      <c r="K43" s="133"/>
      <c r="L43" s="133"/>
    </row>
    <row r="44" spans="2:12" hidden="1">
      <c r="C44" s="86" t="s">
        <v>279</v>
      </c>
      <c r="D44" s="141" t="s">
        <v>67</v>
      </c>
      <c r="E44" s="136" t="s">
        <v>275</v>
      </c>
      <c r="F44" s="136"/>
      <c r="G44" s="141" t="s">
        <v>68</v>
      </c>
      <c r="J44" s="133"/>
      <c r="K44" s="133"/>
      <c r="L44" s="133"/>
    </row>
    <row r="45" spans="2:12" hidden="1">
      <c r="C45" s="142" t="s">
        <v>282</v>
      </c>
      <c r="D45" s="353">
        <f>E37</f>
        <v>613.10851169094258</v>
      </c>
      <c r="E45" s="140">
        <f t="shared" ref="E45:E52" si="3">G45-D45</f>
        <v>136.24633593132069</v>
      </c>
      <c r="F45">
        <v>6.56</v>
      </c>
      <c r="G45" s="353">
        <f>G37</f>
        <v>749.35484762226326</v>
      </c>
      <c r="J45" s="133"/>
    </row>
    <row r="46" spans="2:12" hidden="1">
      <c r="C46" s="142" t="s">
        <v>280</v>
      </c>
      <c r="D46" s="353">
        <f>E38</f>
        <v>565.10699133565072</v>
      </c>
      <c r="E46" s="140">
        <f t="shared" si="3"/>
        <v>125.57933140792238</v>
      </c>
      <c r="F46">
        <f>5.7</f>
        <v>5.7</v>
      </c>
      <c r="G46" s="353">
        <f>G38</f>
        <v>690.6863227435731</v>
      </c>
      <c r="J46" s="133"/>
    </row>
    <row r="47" spans="2:12" hidden="1">
      <c r="C47" s="142" t="s">
        <v>286</v>
      </c>
      <c r="D47" s="140">
        <v>607.79999999999995</v>
      </c>
      <c r="E47" s="140">
        <f t="shared" si="3"/>
        <v>135.10000000000002</v>
      </c>
      <c r="F47">
        <f>4.82</f>
        <v>4.82</v>
      </c>
      <c r="G47" s="140">
        <v>742.9</v>
      </c>
    </row>
    <row r="48" spans="2:12" hidden="1">
      <c r="C48" s="142" t="s">
        <v>281</v>
      </c>
      <c r="D48" s="140">
        <v>557.29</v>
      </c>
      <c r="E48" s="140">
        <f t="shared" si="3"/>
        <v>157.49</v>
      </c>
      <c r="F48">
        <f>3.9</f>
        <v>3.9</v>
      </c>
      <c r="G48" s="140">
        <v>714.78</v>
      </c>
    </row>
    <row r="49" spans="2:9" hidden="1">
      <c r="C49" s="142" t="s">
        <v>283</v>
      </c>
      <c r="D49" s="140">
        <v>524.28</v>
      </c>
      <c r="E49" s="140">
        <f t="shared" si="3"/>
        <v>116.50999999999999</v>
      </c>
      <c r="F49">
        <f>3.05</f>
        <v>3.05</v>
      </c>
      <c r="G49" s="140">
        <v>640.79</v>
      </c>
    </row>
    <row r="50" spans="2:9" hidden="1">
      <c r="C50" s="142" t="s">
        <v>284</v>
      </c>
      <c r="D50" s="140">
        <v>906.7</v>
      </c>
      <c r="E50" s="140">
        <f t="shared" si="3"/>
        <v>201.39999999999986</v>
      </c>
      <c r="F50">
        <f>2.2</f>
        <v>2.2000000000000002</v>
      </c>
      <c r="G50" s="140">
        <v>1108.0999999999999</v>
      </c>
    </row>
    <row r="51" spans="2:9" hidden="1">
      <c r="C51" s="142" t="s">
        <v>273</v>
      </c>
      <c r="D51" s="140">
        <v>645.20000000000005</v>
      </c>
      <c r="E51" s="140">
        <f t="shared" si="3"/>
        <v>143.39999999999998</v>
      </c>
      <c r="F51">
        <v>1.3</v>
      </c>
      <c r="G51" s="140">
        <v>788.6</v>
      </c>
    </row>
    <row r="52" spans="2:9" hidden="1">
      <c r="C52" s="142" t="s">
        <v>285</v>
      </c>
      <c r="D52" s="140">
        <v>651.20000000000005</v>
      </c>
      <c r="E52" s="140">
        <f t="shared" si="3"/>
        <v>144.69999999999993</v>
      </c>
      <c r="F52">
        <v>0.5</v>
      </c>
      <c r="G52" s="140">
        <v>795.9</v>
      </c>
    </row>
    <row r="53" spans="2:9" hidden="1"/>
    <row r="54" spans="2:9" hidden="1">
      <c r="B54" t="s">
        <v>276</v>
      </c>
      <c r="C54">
        <v>613.84</v>
      </c>
    </row>
    <row r="55" spans="2:9" hidden="1">
      <c r="H55" s="139" t="s">
        <v>277</v>
      </c>
      <c r="I55" s="139" t="s">
        <v>278</v>
      </c>
    </row>
    <row r="56" spans="2:9" hidden="1">
      <c r="H56">
        <f>613.84</f>
        <v>613.84</v>
      </c>
      <c r="I56">
        <v>0</v>
      </c>
    </row>
    <row r="57" spans="2:9" hidden="1">
      <c r="H57">
        <f>613.84</f>
        <v>613.84</v>
      </c>
      <c r="I57">
        <v>24</v>
      </c>
    </row>
  </sheetData>
  <mergeCells count="1">
    <mergeCell ref="B2:L2"/>
  </mergeCells>
  <pageMargins left="0.7" right="0.7" top="0.75" bottom="0.75" header="0.3" footer="0.3"/>
  <drawing r:id="rId1"/>
  <legacyDrawing r:id="rId2"/>
</worksheet>
</file>

<file path=docMetadata/LabelInfo.xml><?xml version="1.0" encoding="utf-8"?>
<clbl:labelList xmlns:clbl="http://schemas.microsoft.com/office/2020/mipLabelMetadata">
  <clbl:label id="{a8eec281-aaa3-4dae-ac9b-9a398b9215e7}" enabled="0" method="" siteId="{a8eec281-aaa3-4dae-ac9b-9a398b9215e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Comps</vt:lpstr>
      <vt:lpstr>EV Model</vt:lpstr>
      <vt:lpstr>Price Multiples</vt:lpstr>
      <vt:lpstr>DCF Assumptions</vt:lpstr>
      <vt:lpstr>Schedules</vt:lpstr>
      <vt:lpstr>3 Statement model</vt:lpstr>
      <vt:lpstr>DCF</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Sumukh Sai Nagaraj</cp:lastModifiedBy>
  <cp:revision/>
  <dcterms:created xsi:type="dcterms:W3CDTF">2025-02-12T00:06:09Z</dcterms:created>
  <dcterms:modified xsi:type="dcterms:W3CDTF">2025-03-04T18:49:16Z</dcterms:modified>
  <cp:category/>
  <cp:contentStatus/>
</cp:coreProperties>
</file>