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2757fd64d501d242/核算/新核算表/"/>
    </mc:Choice>
  </mc:AlternateContent>
  <xr:revisionPtr revIDLastSave="16" documentId="14_{D6DF758A-7B31-45A1-9911-6DFAFC3E37D4}" xr6:coauthVersionLast="45" xr6:coauthVersionMax="45" xr10:uidLastSave="{B828C90E-E7C3-4945-ACA0-C8DAB7F4444E}"/>
  <bookViews>
    <workbookView xWindow="-120" yWindow="-120" windowWidth="29040" windowHeight="15840" activeTab="8" xr2:uid="{00000000-000D-0000-FFFF-FFFF00000000}"/>
  </bookViews>
  <sheets>
    <sheet name="加价率" sheetId="13" r:id="rId1"/>
    <sheet name="客户折扣" sheetId="14" r:id="rId2"/>
    <sheet name="汇率" sheetId="17" r:id="rId3"/>
    <sheet name="酒瓶" sheetId="16" r:id="rId4"/>
    <sheet name="包材" sheetId="18" r:id="rId5"/>
    <sheet name="费用成本" sheetId="20" r:id="rId6"/>
    <sheet name="综合税率" sheetId="21" r:id="rId7"/>
    <sheet name="价格测算" sheetId="22" r:id="rId8"/>
    <sheet name="报价单" sheetId="23" r:id="rId9"/>
  </sheets>
  <calcPr calcId="181029"/>
</workbook>
</file>

<file path=xl/calcChain.xml><?xml version="1.0" encoding="utf-8"?>
<calcChain xmlns="http://schemas.openxmlformats.org/spreadsheetml/2006/main">
  <c r="F6" i="13" l="1"/>
  <c r="E6" i="23" l="1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G6" i="23" l="1"/>
  <c r="D6" i="23" l="1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J11" i="23" l="1"/>
  <c r="J12" i="23"/>
  <c r="J13" i="23"/>
  <c r="J14" i="23"/>
  <c r="I11" i="23"/>
  <c r="I12" i="23"/>
  <c r="I13" i="23"/>
  <c r="I14" i="23"/>
  <c r="H11" i="23"/>
  <c r="H12" i="23"/>
  <c r="H13" i="23"/>
  <c r="H14" i="23"/>
  <c r="G11" i="23"/>
  <c r="G12" i="23"/>
  <c r="G13" i="23"/>
  <c r="G14" i="23"/>
  <c r="F7" i="13"/>
  <c r="AP10" i="22"/>
  <c r="AY10" i="22" s="1"/>
  <c r="AO10" i="22"/>
  <c r="AO11" i="22"/>
  <c r="AN10" i="22"/>
  <c r="AN11" i="22"/>
  <c r="AM8" i="22"/>
  <c r="AM9" i="22"/>
  <c r="AM10" i="22"/>
  <c r="AM11" i="22"/>
  <c r="AL8" i="22"/>
  <c r="AL9" i="22"/>
  <c r="AL10" i="22"/>
  <c r="AL11" i="22"/>
  <c r="AK8" i="22"/>
  <c r="AK9" i="22"/>
  <c r="AK10" i="22"/>
  <c r="AK11" i="22"/>
  <c r="AJ8" i="22"/>
  <c r="AJ9" i="22"/>
  <c r="AJ10" i="22"/>
  <c r="AJ11" i="22"/>
  <c r="AH8" i="22"/>
  <c r="AH9" i="22"/>
  <c r="AH10" i="22"/>
  <c r="AH11" i="22"/>
  <c r="AG8" i="22"/>
  <c r="AG9" i="22"/>
  <c r="AG10" i="22"/>
  <c r="AG11" i="22"/>
  <c r="AF8" i="22"/>
  <c r="AF9" i="22"/>
  <c r="AF10" i="22"/>
  <c r="AF11" i="22"/>
  <c r="AD8" i="22"/>
  <c r="AD9" i="22"/>
  <c r="AD10" i="22"/>
  <c r="AD11" i="22"/>
  <c r="AC8" i="22"/>
  <c r="AC9" i="22"/>
  <c r="AC10" i="22"/>
  <c r="AC11" i="22"/>
  <c r="AB8" i="22"/>
  <c r="AB9" i="22"/>
  <c r="AB10" i="22"/>
  <c r="AB11" i="22"/>
  <c r="Z8" i="22"/>
  <c r="Z9" i="22"/>
  <c r="Z10" i="22"/>
  <c r="Z11" i="22"/>
  <c r="Y8" i="22"/>
  <c r="Y9" i="22"/>
  <c r="Y10" i="22"/>
  <c r="Y11" i="22"/>
  <c r="W8" i="22"/>
  <c r="W9" i="22"/>
  <c r="W10" i="22"/>
  <c r="W11" i="22"/>
  <c r="V8" i="22"/>
  <c r="V9" i="22"/>
  <c r="V10" i="22"/>
  <c r="V11" i="22"/>
  <c r="U8" i="22"/>
  <c r="U9" i="22"/>
  <c r="U10" i="22"/>
  <c r="U11" i="22"/>
  <c r="T8" i="22"/>
  <c r="T9" i="22"/>
  <c r="T10" i="22"/>
  <c r="T11" i="22"/>
  <c r="S8" i="22"/>
  <c r="S9" i="22"/>
  <c r="S10" i="22"/>
  <c r="S11" i="22"/>
  <c r="R8" i="22"/>
  <c r="R9" i="22"/>
  <c r="R10" i="22"/>
  <c r="R11" i="22"/>
  <c r="O10" i="22"/>
  <c r="O11" i="22"/>
  <c r="N8" i="22"/>
  <c r="O8" i="22" s="1"/>
  <c r="AN8" i="22" s="1"/>
  <c r="AO8" i="22" s="1"/>
  <c r="N9" i="22"/>
  <c r="O9" i="22" s="1"/>
  <c r="AN9" i="22" s="1"/>
  <c r="AO9" i="22" s="1"/>
  <c r="N10" i="22"/>
  <c r="N11" i="22"/>
  <c r="M8" i="22"/>
  <c r="M9" i="22"/>
  <c r="M10" i="22"/>
  <c r="M11" i="22"/>
  <c r="AR10" i="22" l="1"/>
  <c r="AT10" i="22"/>
  <c r="AV10" i="22"/>
  <c r="AX10" i="22"/>
  <c r="AQ10" i="22"/>
  <c r="AS10" i="22"/>
  <c r="AU10" i="22"/>
  <c r="AW10" i="22"/>
  <c r="K13" i="23" l="1"/>
  <c r="J28" i="23"/>
  <c r="I28" i="23"/>
  <c r="H28" i="23"/>
  <c r="G28" i="23"/>
  <c r="F28" i="23"/>
  <c r="J27" i="23"/>
  <c r="I27" i="23"/>
  <c r="H27" i="23"/>
  <c r="G27" i="23"/>
  <c r="F27" i="23"/>
  <c r="J26" i="23"/>
  <c r="I26" i="23"/>
  <c r="H26" i="23"/>
  <c r="G26" i="23"/>
  <c r="F26" i="23"/>
  <c r="J25" i="23"/>
  <c r="I25" i="23"/>
  <c r="H25" i="23"/>
  <c r="G25" i="23"/>
  <c r="F25" i="23"/>
  <c r="J24" i="23"/>
  <c r="I24" i="23"/>
  <c r="H24" i="23"/>
  <c r="G24" i="23"/>
  <c r="F24" i="23"/>
  <c r="J23" i="23"/>
  <c r="I23" i="23"/>
  <c r="H23" i="23"/>
  <c r="G23" i="23"/>
  <c r="F23" i="23"/>
  <c r="J22" i="23"/>
  <c r="I22" i="23"/>
  <c r="H22" i="23"/>
  <c r="G22" i="23"/>
  <c r="F22" i="23"/>
  <c r="J21" i="23"/>
  <c r="I21" i="23"/>
  <c r="H21" i="23"/>
  <c r="G21" i="23"/>
  <c r="F21" i="23"/>
  <c r="J20" i="23"/>
  <c r="I20" i="23"/>
  <c r="H20" i="23"/>
  <c r="G20" i="23"/>
  <c r="F20" i="23"/>
  <c r="J19" i="23"/>
  <c r="I19" i="23"/>
  <c r="H19" i="23"/>
  <c r="G19" i="23"/>
  <c r="F19" i="23"/>
  <c r="J18" i="23"/>
  <c r="I18" i="23"/>
  <c r="H18" i="23"/>
  <c r="G18" i="23"/>
  <c r="F18" i="23"/>
  <c r="J17" i="23"/>
  <c r="I17" i="23"/>
  <c r="H17" i="23"/>
  <c r="G17" i="23"/>
  <c r="F17" i="23"/>
  <c r="J16" i="23"/>
  <c r="I16" i="23"/>
  <c r="H16" i="23"/>
  <c r="G16" i="23"/>
  <c r="F16" i="23"/>
  <c r="J15" i="23"/>
  <c r="I15" i="23"/>
  <c r="H15" i="23"/>
  <c r="G15" i="23"/>
  <c r="F15" i="23"/>
  <c r="F14" i="23"/>
  <c r="F13" i="23"/>
  <c r="F12" i="23"/>
  <c r="F11" i="23"/>
  <c r="J10" i="23"/>
  <c r="I10" i="23"/>
  <c r="H10" i="23"/>
  <c r="G10" i="23"/>
  <c r="F10" i="23"/>
  <c r="J9" i="23"/>
  <c r="I9" i="23"/>
  <c r="H9" i="23"/>
  <c r="G9" i="23"/>
  <c r="F9" i="23"/>
  <c r="J8" i="23"/>
  <c r="I8" i="23"/>
  <c r="H8" i="23"/>
  <c r="G8" i="23"/>
  <c r="F8" i="23"/>
  <c r="J7" i="23"/>
  <c r="I7" i="23"/>
  <c r="H7" i="23"/>
  <c r="G7" i="23"/>
  <c r="F7" i="23"/>
  <c r="J6" i="23"/>
  <c r="I6" i="23"/>
  <c r="H6" i="23"/>
  <c r="F6" i="23"/>
  <c r="AM25" i="22"/>
  <c r="AJ25" i="22"/>
  <c r="AH25" i="22"/>
  <c r="AG25" i="22"/>
  <c r="AF25" i="22"/>
  <c r="AD25" i="22"/>
  <c r="AC25" i="22"/>
  <c r="AB25" i="22"/>
  <c r="Z25" i="22"/>
  <c r="Y25" i="22"/>
  <c r="W25" i="22"/>
  <c r="V25" i="22"/>
  <c r="AK25" i="22" s="1"/>
  <c r="U25" i="22"/>
  <c r="T25" i="22"/>
  <c r="S25" i="22"/>
  <c r="R25" i="22"/>
  <c r="M25" i="22"/>
  <c r="N25" i="22" s="1"/>
  <c r="AM24" i="22"/>
  <c r="AK24" i="22"/>
  <c r="AJ24" i="22"/>
  <c r="AH24" i="22"/>
  <c r="AG24" i="22"/>
  <c r="AF24" i="22"/>
  <c r="AD24" i="22"/>
  <c r="AC24" i="22"/>
  <c r="AB24" i="22"/>
  <c r="Z24" i="22"/>
  <c r="Y24" i="22"/>
  <c r="W24" i="22"/>
  <c r="V24" i="22"/>
  <c r="U24" i="22"/>
  <c r="T24" i="22"/>
  <c r="S24" i="22"/>
  <c r="R24" i="22"/>
  <c r="M24" i="22"/>
  <c r="N24" i="22" s="1"/>
  <c r="AP23" i="22"/>
  <c r="AM23" i="22"/>
  <c r="AJ23" i="22"/>
  <c r="AH23" i="22"/>
  <c r="AG23" i="22"/>
  <c r="AF23" i="22"/>
  <c r="AD23" i="22"/>
  <c r="AC23" i="22"/>
  <c r="AB23" i="22"/>
  <c r="Z23" i="22"/>
  <c r="Y23" i="22"/>
  <c r="W23" i="22"/>
  <c r="V23" i="22"/>
  <c r="AK23" i="22" s="1"/>
  <c r="U23" i="22"/>
  <c r="T23" i="22"/>
  <c r="S23" i="22"/>
  <c r="R23" i="22"/>
  <c r="N23" i="22"/>
  <c r="M23" i="22"/>
  <c r="AM22" i="22"/>
  <c r="AJ22" i="22"/>
  <c r="AH22" i="22"/>
  <c r="AG22" i="22"/>
  <c r="AF22" i="22"/>
  <c r="AD22" i="22"/>
  <c r="AC22" i="22"/>
  <c r="AB22" i="22"/>
  <c r="Z22" i="22"/>
  <c r="Y22" i="22"/>
  <c r="W22" i="22"/>
  <c r="V22" i="22"/>
  <c r="AK22" i="22" s="1"/>
  <c r="U22" i="22"/>
  <c r="T22" i="22"/>
  <c r="S22" i="22"/>
  <c r="R22" i="22"/>
  <c r="M22" i="22"/>
  <c r="N22" i="22" s="1"/>
  <c r="AM21" i="22"/>
  <c r="AJ21" i="22"/>
  <c r="AH21" i="22"/>
  <c r="AG21" i="22"/>
  <c r="AF21" i="22"/>
  <c r="AD21" i="22"/>
  <c r="AC21" i="22"/>
  <c r="AB21" i="22"/>
  <c r="Z21" i="22"/>
  <c r="Y21" i="22"/>
  <c r="W21" i="22"/>
  <c r="V21" i="22"/>
  <c r="AK21" i="22" s="1"/>
  <c r="U21" i="22"/>
  <c r="T21" i="22"/>
  <c r="S21" i="22"/>
  <c r="R21" i="22"/>
  <c r="N21" i="22"/>
  <c r="M21" i="22"/>
  <c r="AM20" i="22"/>
  <c r="AK20" i="22"/>
  <c r="AJ20" i="22"/>
  <c r="AH20" i="22"/>
  <c r="AG20" i="22"/>
  <c r="AF20" i="22"/>
  <c r="AD20" i="22"/>
  <c r="AC20" i="22"/>
  <c r="AB20" i="22"/>
  <c r="Z20" i="22"/>
  <c r="Y20" i="22"/>
  <c r="W20" i="22"/>
  <c r="V20" i="22"/>
  <c r="U20" i="22"/>
  <c r="T20" i="22"/>
  <c r="S20" i="22"/>
  <c r="R20" i="22"/>
  <c r="M20" i="22"/>
  <c r="N20" i="22" s="1"/>
  <c r="AM19" i="22"/>
  <c r="AL19" i="22"/>
  <c r="AK19" i="22"/>
  <c r="AJ19" i="22"/>
  <c r="AH19" i="22"/>
  <c r="AG19" i="22"/>
  <c r="AF19" i="22"/>
  <c r="AD19" i="22"/>
  <c r="AC19" i="22"/>
  <c r="AB19" i="22"/>
  <c r="Z19" i="22"/>
  <c r="Y19" i="22"/>
  <c r="W19" i="22"/>
  <c r="V19" i="22"/>
  <c r="U19" i="22"/>
  <c r="T19" i="22"/>
  <c r="S19" i="22"/>
  <c r="R19" i="22"/>
  <c r="N19" i="22"/>
  <c r="O19" i="22" s="1"/>
  <c r="AN19" i="22" s="1"/>
  <c r="M19" i="22"/>
  <c r="AM18" i="22"/>
  <c r="AK18" i="22"/>
  <c r="AJ18" i="22"/>
  <c r="AH18" i="22"/>
  <c r="AG18" i="22"/>
  <c r="AF18" i="22"/>
  <c r="AD18" i="22"/>
  <c r="AC18" i="22"/>
  <c r="AB18" i="22"/>
  <c r="Z18" i="22"/>
  <c r="Y18" i="22"/>
  <c r="W18" i="22"/>
  <c r="V18" i="22"/>
  <c r="U18" i="22"/>
  <c r="T18" i="22"/>
  <c r="S18" i="22"/>
  <c r="R18" i="22"/>
  <c r="O18" i="22"/>
  <c r="AN18" i="22" s="1"/>
  <c r="N18" i="22"/>
  <c r="M18" i="22"/>
  <c r="AM17" i="22"/>
  <c r="AJ17" i="22"/>
  <c r="AH17" i="22"/>
  <c r="AG17" i="22"/>
  <c r="AF17" i="22"/>
  <c r="AD17" i="22"/>
  <c r="AN17" i="22" s="1"/>
  <c r="AC17" i="22"/>
  <c r="AB17" i="22"/>
  <c r="Z17" i="22"/>
  <c r="Y17" i="22"/>
  <c r="W17" i="22"/>
  <c r="V17" i="22"/>
  <c r="AK17" i="22" s="1"/>
  <c r="U17" i="22"/>
  <c r="T17" i="22"/>
  <c r="S17" i="22"/>
  <c r="R17" i="22"/>
  <c r="O17" i="22"/>
  <c r="N17" i="22"/>
  <c r="M17" i="22"/>
  <c r="AM16" i="22"/>
  <c r="AK16" i="22"/>
  <c r="AJ16" i="22"/>
  <c r="AH16" i="22"/>
  <c r="AG16" i="22"/>
  <c r="AF16" i="22"/>
  <c r="AD16" i="22"/>
  <c r="AC16" i="22"/>
  <c r="AB16" i="22"/>
  <c r="Z16" i="22"/>
  <c r="Y16" i="22"/>
  <c r="W16" i="22"/>
  <c r="V16" i="22"/>
  <c r="U16" i="22"/>
  <c r="T16" i="22"/>
  <c r="S16" i="22"/>
  <c r="R16" i="22"/>
  <c r="M16" i="22"/>
  <c r="N16" i="22" s="1"/>
  <c r="AP15" i="22"/>
  <c r="AM15" i="22"/>
  <c r="AJ15" i="22"/>
  <c r="AH15" i="22"/>
  <c r="AG15" i="22"/>
  <c r="AF15" i="22"/>
  <c r="AD15" i="22"/>
  <c r="AC15" i="22"/>
  <c r="AB15" i="22"/>
  <c r="Z15" i="22"/>
  <c r="Y15" i="22"/>
  <c r="W15" i="22"/>
  <c r="V15" i="22"/>
  <c r="AK15" i="22" s="1"/>
  <c r="U15" i="22"/>
  <c r="T15" i="22"/>
  <c r="S15" i="22"/>
  <c r="R15" i="22"/>
  <c r="N15" i="22"/>
  <c r="M15" i="22"/>
  <c r="AM14" i="22"/>
  <c r="AJ14" i="22"/>
  <c r="AH14" i="22"/>
  <c r="AG14" i="22"/>
  <c r="AF14" i="22"/>
  <c r="AD14" i="22"/>
  <c r="AC14" i="22"/>
  <c r="AB14" i="22"/>
  <c r="Z14" i="22"/>
  <c r="Y14" i="22"/>
  <c r="W14" i="22"/>
  <c r="V14" i="22"/>
  <c r="AK14" i="22" s="1"/>
  <c r="U14" i="22"/>
  <c r="T14" i="22"/>
  <c r="S14" i="22"/>
  <c r="R14" i="22"/>
  <c r="M14" i="22"/>
  <c r="N14" i="22" s="1"/>
  <c r="AM13" i="22"/>
  <c r="AJ13" i="22"/>
  <c r="AH13" i="22"/>
  <c r="AG13" i="22"/>
  <c r="AF13" i="22"/>
  <c r="AD13" i="22"/>
  <c r="AC13" i="22"/>
  <c r="AB13" i="22"/>
  <c r="Z13" i="22"/>
  <c r="Y13" i="22"/>
  <c r="W13" i="22"/>
  <c r="V13" i="22"/>
  <c r="AK13" i="22" s="1"/>
  <c r="U13" i="22"/>
  <c r="T13" i="22"/>
  <c r="S13" i="22"/>
  <c r="R13" i="22"/>
  <c r="N13" i="22"/>
  <c r="M13" i="22"/>
  <c r="AM12" i="22"/>
  <c r="AK12" i="22"/>
  <c r="AJ12" i="22"/>
  <c r="AH12" i="22"/>
  <c r="AG12" i="22"/>
  <c r="AF12" i="22"/>
  <c r="AD12" i="22"/>
  <c r="AC12" i="22"/>
  <c r="AB12" i="22"/>
  <c r="Z12" i="22"/>
  <c r="Y12" i="22"/>
  <c r="W12" i="22"/>
  <c r="V12" i="22"/>
  <c r="U12" i="22"/>
  <c r="T12" i="22"/>
  <c r="S12" i="22"/>
  <c r="R12" i="22"/>
  <c r="M12" i="22"/>
  <c r="N12" i="22" s="1"/>
  <c r="AM7" i="22"/>
  <c r="AL7" i="22"/>
  <c r="AK7" i="22"/>
  <c r="AJ7" i="22"/>
  <c r="AH7" i="22"/>
  <c r="AG7" i="22"/>
  <c r="AF7" i="22"/>
  <c r="AD7" i="22"/>
  <c r="AC7" i="22"/>
  <c r="AB7" i="22"/>
  <c r="Z7" i="22"/>
  <c r="Y7" i="22"/>
  <c r="W7" i="22"/>
  <c r="V7" i="22"/>
  <c r="U7" i="22"/>
  <c r="T7" i="22"/>
  <c r="S7" i="22"/>
  <c r="R7" i="22"/>
  <c r="N7" i="22"/>
  <c r="O7" i="22" s="1"/>
  <c r="AN7" i="22" s="1"/>
  <c r="M7" i="22"/>
  <c r="AM6" i="22"/>
  <c r="AK6" i="22"/>
  <c r="AJ6" i="22"/>
  <c r="AH6" i="22"/>
  <c r="AG6" i="22"/>
  <c r="AF6" i="22"/>
  <c r="AD6" i="22"/>
  <c r="AC6" i="22"/>
  <c r="AB6" i="22"/>
  <c r="Z6" i="22"/>
  <c r="Y6" i="22"/>
  <c r="W6" i="22"/>
  <c r="V6" i="22"/>
  <c r="U6" i="22"/>
  <c r="T6" i="22"/>
  <c r="S6" i="22"/>
  <c r="R6" i="22"/>
  <c r="O6" i="22"/>
  <c r="AN6" i="22" s="1"/>
  <c r="N6" i="22"/>
  <c r="M6" i="22"/>
  <c r="AM5" i="22"/>
  <c r="AJ5" i="22"/>
  <c r="AH5" i="22"/>
  <c r="AG5" i="22"/>
  <c r="AF5" i="22"/>
  <c r="AD5" i="22"/>
  <c r="AN5" i="22" s="1"/>
  <c r="AC5" i="22"/>
  <c r="AB5" i="22"/>
  <c r="Z5" i="22"/>
  <c r="Y5" i="22"/>
  <c r="W5" i="22"/>
  <c r="V5" i="22"/>
  <c r="AK5" i="22" s="1"/>
  <c r="U5" i="22"/>
  <c r="T5" i="22"/>
  <c r="S5" i="22"/>
  <c r="R5" i="22"/>
  <c r="O5" i="22"/>
  <c r="N5" i="22"/>
  <c r="M5" i="22"/>
  <c r="AM4" i="22"/>
  <c r="AK4" i="22"/>
  <c r="AJ4" i="22"/>
  <c r="AH4" i="22"/>
  <c r="AG4" i="22"/>
  <c r="AF4" i="22"/>
  <c r="AD4" i="22"/>
  <c r="AC4" i="22"/>
  <c r="AB4" i="22"/>
  <c r="Z4" i="22"/>
  <c r="Y4" i="22"/>
  <c r="W4" i="22"/>
  <c r="V4" i="22"/>
  <c r="U4" i="22"/>
  <c r="T4" i="22"/>
  <c r="S4" i="22"/>
  <c r="R4" i="22"/>
  <c r="M4" i="22"/>
  <c r="N4" i="22" s="1"/>
  <c r="AP3" i="22"/>
  <c r="AM3" i="22"/>
  <c r="AJ3" i="22"/>
  <c r="AH3" i="22"/>
  <c r="AG3" i="22"/>
  <c r="AF3" i="22"/>
  <c r="AD3" i="22"/>
  <c r="AC3" i="22"/>
  <c r="AB3" i="22"/>
  <c r="Z3" i="22"/>
  <c r="Y3" i="22"/>
  <c r="W3" i="22"/>
  <c r="V3" i="22"/>
  <c r="AK3" i="22" s="1"/>
  <c r="U3" i="22"/>
  <c r="T3" i="22"/>
  <c r="S3" i="22"/>
  <c r="R3" i="22"/>
  <c r="N3" i="22"/>
  <c r="M3" i="22"/>
  <c r="AY2" i="22"/>
  <c r="AX2" i="22"/>
  <c r="AW2" i="22"/>
  <c r="AV2" i="22"/>
  <c r="AU2" i="22"/>
  <c r="AT2" i="22"/>
  <c r="AS2" i="22"/>
  <c r="AR2" i="22"/>
  <c r="AQ2" i="22"/>
  <c r="AW1" i="22"/>
  <c r="AT1" i="22"/>
  <c r="AQ1" i="22"/>
  <c r="B7" i="20"/>
  <c r="AL18" i="22" s="1"/>
  <c r="C30" i="18"/>
  <c r="L24" i="16"/>
  <c r="L23" i="16"/>
  <c r="L22" i="16"/>
  <c r="L21" i="16"/>
  <c r="L20" i="16"/>
  <c r="L19" i="16"/>
  <c r="L18" i="16"/>
  <c r="F11" i="13"/>
  <c r="F10" i="13"/>
  <c r="F9" i="13"/>
  <c r="F8" i="13"/>
  <c r="AP24" i="22"/>
  <c r="AP14" i="22"/>
  <c r="F5" i="13"/>
  <c r="AP13" i="22" s="1"/>
  <c r="F4" i="13"/>
  <c r="AP22" i="22" s="1"/>
  <c r="F3" i="13"/>
  <c r="AP20" i="22" s="1"/>
  <c r="F2" i="13"/>
  <c r="AP19" i="22" s="1"/>
  <c r="AP8" i="22" l="1"/>
  <c r="AP9" i="22"/>
  <c r="AP11" i="22"/>
  <c r="O22" i="22"/>
  <c r="AN22" i="22" s="1"/>
  <c r="O4" i="22"/>
  <c r="AN4" i="22" s="1"/>
  <c r="AO17" i="22"/>
  <c r="O14" i="22"/>
  <c r="AN14" i="22" s="1"/>
  <c r="AO14" i="22" s="1"/>
  <c r="O20" i="22"/>
  <c r="AN20" i="22" s="1"/>
  <c r="AO20" i="22" s="1"/>
  <c r="O24" i="22"/>
  <c r="AN24" i="22" s="1"/>
  <c r="AO5" i="22"/>
  <c r="AO18" i="22"/>
  <c r="O25" i="22"/>
  <c r="AN25" i="22" s="1"/>
  <c r="AO25" i="22"/>
  <c r="O12" i="22"/>
  <c r="AN12" i="22" s="1"/>
  <c r="O16" i="22"/>
  <c r="AN16" i="22" s="1"/>
  <c r="AP4" i="22"/>
  <c r="AL12" i="22"/>
  <c r="AO12" i="22" s="1"/>
  <c r="O13" i="22"/>
  <c r="AN13" i="22" s="1"/>
  <c r="AP16" i="22"/>
  <c r="AL20" i="22"/>
  <c r="O21" i="22"/>
  <c r="AN21" i="22" s="1"/>
  <c r="AP5" i="22"/>
  <c r="AL13" i="22"/>
  <c r="AO13" i="22" s="1"/>
  <c r="AP17" i="22"/>
  <c r="AL21" i="22"/>
  <c r="AO21" i="22" s="1"/>
  <c r="AP25" i="22"/>
  <c r="O3" i="22"/>
  <c r="AN3" i="22" s="1"/>
  <c r="AO3" i="22" s="1"/>
  <c r="AP6" i="22"/>
  <c r="AO7" i="22"/>
  <c r="AL14" i="22"/>
  <c r="O15" i="22"/>
  <c r="AN15" i="22" s="1"/>
  <c r="AP18" i="22"/>
  <c r="AO19" i="22"/>
  <c r="AL22" i="22"/>
  <c r="AO22" i="22" s="1"/>
  <c r="O23" i="22"/>
  <c r="AN23" i="22" s="1"/>
  <c r="AL3" i="22"/>
  <c r="AP7" i="22"/>
  <c r="AL15" i="22"/>
  <c r="AO15" i="22" s="1"/>
  <c r="AL23" i="22"/>
  <c r="AO23" i="22" s="1"/>
  <c r="AL4" i="22"/>
  <c r="AO4" i="22" s="1"/>
  <c r="AP12" i="22"/>
  <c r="AL16" i="22"/>
  <c r="AO16" i="22" s="1"/>
  <c r="AL24" i="22"/>
  <c r="AO24" i="22" s="1"/>
  <c r="AL5" i="22"/>
  <c r="AL17" i="22"/>
  <c r="AP21" i="22"/>
  <c r="AL25" i="22"/>
  <c r="AL6" i="22"/>
  <c r="AO6" i="22" s="1"/>
  <c r="AU11" i="22" l="1"/>
  <c r="AV11" i="22"/>
  <c r="AS11" i="22"/>
  <c r="AR11" i="22"/>
  <c r="AY11" i="22"/>
  <c r="AX11" i="22"/>
  <c r="AT11" i="22"/>
  <c r="AQ11" i="22"/>
  <c r="K14" i="23" s="1"/>
  <c r="AW11" i="22"/>
  <c r="AY9" i="22"/>
  <c r="AQ9" i="22"/>
  <c r="K12" i="23" s="1"/>
  <c r="AR9" i="22"/>
  <c r="AS9" i="22"/>
  <c r="AT9" i="22"/>
  <c r="AU9" i="22"/>
  <c r="AV9" i="22"/>
  <c r="AW9" i="22"/>
  <c r="AX9" i="22"/>
  <c r="AY8" i="22"/>
  <c r="AW8" i="22"/>
  <c r="AR8" i="22"/>
  <c r="AT8" i="22"/>
  <c r="AQ8" i="22"/>
  <c r="K11" i="23" s="1"/>
  <c r="AV8" i="22"/>
  <c r="AS8" i="22"/>
  <c r="AX8" i="22"/>
  <c r="AU8" i="22"/>
  <c r="AR20" i="22"/>
  <c r="AY20" i="22"/>
  <c r="AQ20" i="22"/>
  <c r="K23" i="23" s="1"/>
  <c r="AX20" i="22"/>
  <c r="AW20" i="22"/>
  <c r="AV20" i="22"/>
  <c r="AU20" i="22"/>
  <c r="AS20" i="22"/>
  <c r="AT20" i="22"/>
  <c r="AX14" i="22"/>
  <c r="AW14" i="22"/>
  <c r="AV14" i="22"/>
  <c r="AU14" i="22"/>
  <c r="AY14" i="22"/>
  <c r="AQ14" i="22"/>
  <c r="K17" i="23" s="1"/>
  <c r="AT14" i="22"/>
  <c r="AS14" i="22"/>
  <c r="AR14" i="22"/>
  <c r="AV24" i="22"/>
  <c r="AU24" i="22"/>
  <c r="AT24" i="22"/>
  <c r="AS24" i="22"/>
  <c r="AW24" i="22"/>
  <c r="AR24" i="22"/>
  <c r="AY24" i="22"/>
  <c r="AQ24" i="22"/>
  <c r="K27" i="23" s="1"/>
  <c r="AX24" i="22"/>
  <c r="AV16" i="22"/>
  <c r="AU16" i="22"/>
  <c r="AT16" i="22"/>
  <c r="AW16" i="22"/>
  <c r="AS16" i="22"/>
  <c r="AR16" i="22"/>
  <c r="AY16" i="22"/>
  <c r="AQ16" i="22"/>
  <c r="K19" i="23" s="1"/>
  <c r="AX16" i="22"/>
  <c r="AX22" i="22"/>
  <c r="AW22" i="22"/>
  <c r="AY22" i="22"/>
  <c r="AV22" i="22"/>
  <c r="AU22" i="22"/>
  <c r="AT22" i="22"/>
  <c r="AS22" i="22"/>
  <c r="AR22" i="22"/>
  <c r="AQ22" i="22"/>
  <c r="K25" i="23" s="1"/>
  <c r="AT6" i="22"/>
  <c r="AS6" i="22"/>
  <c r="AU6" i="22"/>
  <c r="AR6" i="22"/>
  <c r="AY6" i="22"/>
  <c r="AQ6" i="22"/>
  <c r="K9" i="23" s="1"/>
  <c r="AX6" i="22"/>
  <c r="AW6" i="22"/>
  <c r="AV6" i="22"/>
  <c r="AW23" i="22"/>
  <c r="AV23" i="22"/>
  <c r="AX23" i="22"/>
  <c r="AU23" i="22"/>
  <c r="AT23" i="22"/>
  <c r="AS23" i="22"/>
  <c r="AR23" i="22"/>
  <c r="AY23" i="22"/>
  <c r="AQ23" i="22"/>
  <c r="K26" i="23" s="1"/>
  <c r="AW3" i="22"/>
  <c r="AV3" i="22"/>
  <c r="AX3" i="22"/>
  <c r="AU3" i="22"/>
  <c r="AT3" i="22"/>
  <c r="AS3" i="22"/>
  <c r="AR3" i="22"/>
  <c r="AY3" i="22"/>
  <c r="AQ3" i="22"/>
  <c r="K6" i="23" s="1"/>
  <c r="AY21" i="22"/>
  <c r="AQ21" i="22"/>
  <c r="K24" i="23" s="1"/>
  <c r="AX21" i="22"/>
  <c r="AW21" i="22"/>
  <c r="AV21" i="22"/>
  <c r="AU21" i="22"/>
  <c r="AR21" i="22"/>
  <c r="AT21" i="22"/>
  <c r="AS21" i="22"/>
  <c r="AR12" i="22"/>
  <c r="AY12" i="22"/>
  <c r="AQ12" i="22"/>
  <c r="K15" i="23" s="1"/>
  <c r="AX12" i="22"/>
  <c r="AW12" i="22"/>
  <c r="AS12" i="22"/>
  <c r="AV12" i="22"/>
  <c r="AU12" i="22"/>
  <c r="AT12" i="22"/>
  <c r="AV4" i="22"/>
  <c r="AU4" i="22"/>
  <c r="AT4" i="22"/>
  <c r="AS4" i="22"/>
  <c r="AW4" i="22"/>
  <c r="AR4" i="22"/>
  <c r="AY4" i="22"/>
  <c r="AQ4" i="22"/>
  <c r="K7" i="23" s="1"/>
  <c r="AX4" i="22"/>
  <c r="AY13" i="22"/>
  <c r="AQ13" i="22"/>
  <c r="K16" i="23" s="1"/>
  <c r="AR13" i="22"/>
  <c r="AX13" i="22"/>
  <c r="AW13" i="22"/>
  <c r="AV13" i="22"/>
  <c r="AU13" i="22"/>
  <c r="AT13" i="22"/>
  <c r="AS13" i="22"/>
  <c r="AW15" i="22"/>
  <c r="AV15" i="22"/>
  <c r="AU15" i="22"/>
  <c r="AT15" i="22"/>
  <c r="AX15" i="22"/>
  <c r="AS15" i="22"/>
  <c r="AR15" i="22"/>
  <c r="AY15" i="22"/>
  <c r="AQ15" i="22"/>
  <c r="K18" i="23" s="1"/>
  <c r="AU5" i="22"/>
  <c r="AT5" i="22"/>
  <c r="AS5" i="22"/>
  <c r="AR5" i="22"/>
  <c r="AY5" i="22"/>
  <c r="AQ5" i="22"/>
  <c r="K8" i="23" s="1"/>
  <c r="AV5" i="22"/>
  <c r="AX5" i="22"/>
  <c r="AW5" i="22"/>
  <c r="AU17" i="22"/>
  <c r="AT17" i="22"/>
  <c r="AS17" i="22"/>
  <c r="AV17" i="22"/>
  <c r="AR17" i="22"/>
  <c r="AY17" i="22"/>
  <c r="AQ17" i="22"/>
  <c r="K20" i="23" s="1"/>
  <c r="AX17" i="22"/>
  <c r="AW17" i="22"/>
  <c r="AS7" i="22"/>
  <c r="AT7" i="22"/>
  <c r="AR7" i="22"/>
  <c r="AY7" i="22"/>
  <c r="AQ7" i="22"/>
  <c r="K10" i="23" s="1"/>
  <c r="AX7" i="22"/>
  <c r="AW7" i="22"/>
  <c r="AV7" i="22"/>
  <c r="AU7" i="22"/>
  <c r="AU25" i="22"/>
  <c r="AT25" i="22"/>
  <c r="AV25" i="22"/>
  <c r="AS25" i="22"/>
  <c r="AR25" i="22"/>
  <c r="AY25" i="22"/>
  <c r="AQ25" i="22"/>
  <c r="K28" i="23" s="1"/>
  <c r="AX25" i="22"/>
  <c r="AW25" i="22"/>
  <c r="AS19" i="22"/>
  <c r="AR19" i="22"/>
  <c r="AT19" i="22"/>
  <c r="AY19" i="22"/>
  <c r="AQ19" i="22"/>
  <c r="K22" i="23" s="1"/>
  <c r="AX19" i="22"/>
  <c r="AW19" i="22"/>
  <c r="AV19" i="22"/>
  <c r="AU19" i="22"/>
  <c r="AT18" i="22"/>
  <c r="AS18" i="22"/>
  <c r="AR18" i="22"/>
  <c r="AU18" i="22"/>
  <c r="AY18" i="22"/>
  <c r="AQ18" i="22"/>
  <c r="K21" i="23" s="1"/>
  <c r="AX18" i="22"/>
  <c r="AW18" i="22"/>
  <c r="AV18" i="22"/>
</calcChain>
</file>

<file path=xl/sharedStrings.xml><?xml version="1.0" encoding="utf-8"?>
<sst xmlns="http://schemas.openxmlformats.org/spreadsheetml/2006/main" count="618" uniqueCount="293">
  <si>
    <t>产品等级</t>
  </si>
  <si>
    <t>税款及换算差</t>
  </si>
  <si>
    <t>合伙人/业务员</t>
  </si>
  <si>
    <t>大礼包服务</t>
  </si>
  <si>
    <t>折扣加价率</t>
  </si>
  <si>
    <t>合计</t>
  </si>
  <si>
    <t>P.S.</t>
  </si>
  <si>
    <t>1.有名庄背书（金殿/红五星庄）支持的，同等质量产品，提高一个产品等级核算。
2.需要公司垫付资金的，按照月息1%计算。
3.如客户不要发票，或者接受低于合同价格开票，可减免2%税差。
4.服务大礼包内容包括：产品规划咨询、产品包装设计：提供免费标库、酒标修改（只进行简单的文案、颜色、布局调整，每款酒标最多提供3次设计调整）、外箱及产品效果图设计（最多提供2次设计调整）、酒标二维码申请（标准模板）、基础知识培训。
5.如客户不需要大礼包服务，可减免相应3%服务。
6.需要公司提供设计品牌服务的，另收费。</t>
  </si>
  <si>
    <t>数量区间</t>
  </si>
  <si>
    <t>合友好作伙伴（公示价）</t>
  </si>
  <si>
    <t>紧密合作伙伴</t>
  </si>
  <si>
    <t>战略合作伙伴</t>
  </si>
  <si>
    <t>440箱/400箱</t>
  </si>
  <si>
    <t>1320箱/800箱</t>
  </si>
  <si>
    <t>2640箱/1600箱</t>
  </si>
  <si>
    <t>1.不同产品类型起订量不同，葡萄酒起订量440箱，烈酒产品起订量400箱（6支装）。
2.根据订货量和客户类型可享受相应折扣，最低起订量的公示价不打折。
3.一次订货多个品种的，可以额外增加3%折扣，最低不低于91%。
4.超出以上标准，大规模订货的，可以额外增加3%折扣，最低不低于91%。</t>
  </si>
  <si>
    <t>外币</t>
  </si>
  <si>
    <t>对CNY汇率</t>
  </si>
  <si>
    <t>USD</t>
  </si>
  <si>
    <t>AUD</t>
  </si>
  <si>
    <t>EUR</t>
  </si>
  <si>
    <t>GBP</t>
  </si>
  <si>
    <t>瓶型</t>
  </si>
  <si>
    <t>瓶编号</t>
  </si>
  <si>
    <t>净含量(/L)</t>
  </si>
  <si>
    <t>瓶口</t>
  </si>
  <si>
    <t>高度（mm）</t>
  </si>
  <si>
    <t>重量（g）</t>
  </si>
  <si>
    <t>价格（元）</t>
  </si>
  <si>
    <t>损耗率</t>
  </si>
  <si>
    <t>灌装费（元）</t>
  </si>
  <si>
    <t>托盘数量（瓶/托盘）</t>
  </si>
  <si>
    <t>综合税率</t>
  </si>
  <si>
    <t>申报价（元）</t>
  </si>
  <si>
    <t>187ml瓶</t>
  </si>
  <si>
    <t>187BRD</t>
  </si>
  <si>
    <t>螺旋盖</t>
  </si>
  <si>
    <t>375ml波尔多瓶</t>
  </si>
  <si>
    <t>375BRD</t>
  </si>
  <si>
    <t>波尔多瓶(425g 300mm)</t>
  </si>
  <si>
    <t>CY3979</t>
  </si>
  <si>
    <t>木塞</t>
  </si>
  <si>
    <t>波尔多瓶(520g 310mm)</t>
  </si>
  <si>
    <t>ZC310</t>
  </si>
  <si>
    <t>波尔多高樽瓶(750g 330mm)</t>
  </si>
  <si>
    <t>750-142BK</t>
  </si>
  <si>
    <t>波尔多白料瓶(460g 322mm)</t>
  </si>
  <si>
    <t>CYB2670</t>
  </si>
  <si>
    <t>勃艮第瓶(450g 297mm)</t>
  </si>
  <si>
    <t>CY2522</t>
  </si>
  <si>
    <t>勃艮第重磅瓶(880g 304mm)</t>
  </si>
  <si>
    <t>SD2BGD</t>
  </si>
  <si>
    <t>宽肩瓶(535g 304mm)</t>
  </si>
  <si>
    <t>CY3867</t>
  </si>
  <si>
    <t>宽肩瓶(620g 304mm)</t>
  </si>
  <si>
    <t>CY2867</t>
  </si>
  <si>
    <t>宽肩重磅瓶(990g 312mm)</t>
  </si>
  <si>
    <t>CY2139</t>
  </si>
  <si>
    <t>宽肩重磅瓶(1200g 328mm)</t>
  </si>
  <si>
    <t>HP1425A</t>
  </si>
  <si>
    <t>香槟瓶(700g)</t>
  </si>
  <si>
    <t>浮雕瓶</t>
  </si>
  <si>
    <t>1.5L波尔多瓶</t>
  </si>
  <si>
    <t>CY1.5L</t>
  </si>
  <si>
    <t>3L波尔多瓶</t>
  </si>
  <si>
    <t>GC3L</t>
  </si>
  <si>
    <t>3L宽肩瓶</t>
  </si>
  <si>
    <t>JK3L</t>
  </si>
  <si>
    <t>5L宽肩瓶</t>
  </si>
  <si>
    <t>GC5L</t>
  </si>
  <si>
    <t>6L宽肩瓶</t>
  </si>
  <si>
    <t>JK6L</t>
  </si>
  <si>
    <t>9L宽肩瓶</t>
  </si>
  <si>
    <t>JK9L</t>
  </si>
  <si>
    <t>12L宽肩瓶</t>
  </si>
  <si>
    <t>JK12L</t>
  </si>
  <si>
    <t>15L宽肩瓶</t>
  </si>
  <si>
    <t>JK15L</t>
  </si>
  <si>
    <t>18L宽肩瓶</t>
  </si>
  <si>
    <t>JK18L</t>
  </si>
  <si>
    <t>威士忌瓶</t>
  </si>
  <si>
    <t>WSK700</t>
  </si>
  <si>
    <t>丁字塞</t>
  </si>
  <si>
    <t>VSOP瓶A</t>
  </si>
  <si>
    <t>VSOP620A</t>
  </si>
  <si>
    <t>微颗粒塞</t>
  </si>
  <si>
    <t>VSOP瓶B</t>
  </si>
  <si>
    <t>VSOP980B</t>
  </si>
  <si>
    <t>VSOP瓶1L</t>
  </si>
  <si>
    <t>VSOP1100</t>
  </si>
  <si>
    <t>XO瓶A</t>
  </si>
  <si>
    <t>XO1080A</t>
  </si>
  <si>
    <t>XO瓶B</t>
  </si>
  <si>
    <t>XO900B</t>
  </si>
  <si>
    <t>XO瓶C</t>
  </si>
  <si>
    <t>XO1100C</t>
  </si>
  <si>
    <t>XO瓶D</t>
  </si>
  <si>
    <t>XO1100D</t>
  </si>
  <si>
    <t>XO瓶1L</t>
  </si>
  <si>
    <t>XO1250</t>
  </si>
  <si>
    <t>包材类型</t>
  </si>
  <si>
    <t>名称</t>
  </si>
  <si>
    <t>价格(/个)</t>
  </si>
  <si>
    <t>规格(/瓶)</t>
  </si>
  <si>
    <t>特殊包材加工费（/个）</t>
  </si>
  <si>
    <t>标</t>
  </si>
  <si>
    <t>卷筒不干胶</t>
  </si>
  <si>
    <t>/</t>
  </si>
  <si>
    <t>实报,考虑损耗</t>
  </si>
  <si>
    <t>带颈标</t>
  </si>
  <si>
    <t>塞</t>
  </si>
  <si>
    <t>无</t>
  </si>
  <si>
    <t>聚合塞</t>
  </si>
  <si>
    <t>超微颗粒塞</t>
  </si>
  <si>
    <t>1+1塞</t>
  </si>
  <si>
    <t>天然塞</t>
  </si>
  <si>
    <t>1.5L天然塞</t>
  </si>
  <si>
    <t>3-5L天然塞</t>
  </si>
  <si>
    <t>6-18L天然塞</t>
  </si>
  <si>
    <t>帽</t>
  </si>
  <si>
    <t>铝塑帽</t>
  </si>
  <si>
    <t>（金/黑/红/黑金）</t>
  </si>
  <si>
    <t>PVC帽</t>
  </si>
  <si>
    <t>187螺旋盖</t>
  </si>
  <si>
    <t>375螺旋盖</t>
  </si>
  <si>
    <t>蜡封</t>
  </si>
  <si>
    <t>实际卡隆斯结算1.6</t>
  </si>
  <si>
    <t>1.5-5L酒帽</t>
  </si>
  <si>
    <t>1.5L蜡封</t>
  </si>
  <si>
    <t>3L蜡封</t>
  </si>
  <si>
    <t>5-6L蜡封</t>
  </si>
  <si>
    <t>9L蜡封</t>
  </si>
  <si>
    <t>12L蜡封</t>
  </si>
  <si>
    <t>15L蜡封</t>
  </si>
  <si>
    <t>18L蜡封</t>
  </si>
  <si>
    <t>箱</t>
  </si>
  <si>
    <t>不含</t>
  </si>
  <si>
    <t>普通白箱 750ml*6</t>
  </si>
  <si>
    <t>横卧彩箱</t>
  </si>
  <si>
    <t>重磅瓶白箱6pk</t>
  </si>
  <si>
    <t>五层彩箱覆膜6pk</t>
  </si>
  <si>
    <t>500个起</t>
  </si>
  <si>
    <t>187*24pk</t>
  </si>
  <si>
    <t>375*12pk</t>
  </si>
  <si>
    <t>普通白箱 700ml*6</t>
  </si>
  <si>
    <t>1L烈酒4pk</t>
  </si>
  <si>
    <t>牛皮纸卧箱6pk</t>
  </si>
  <si>
    <t>1000个起</t>
  </si>
  <si>
    <t>其他</t>
  </si>
  <si>
    <t>拷贝纸</t>
  </si>
  <si>
    <t>项目</t>
  </si>
  <si>
    <t>金额</t>
  </si>
  <si>
    <t>计费方式</t>
  </si>
  <si>
    <t>账册费</t>
  </si>
  <si>
    <t>票</t>
  </si>
  <si>
    <t>包材入区报关费</t>
  </si>
  <si>
    <t>产品出区报关费</t>
  </si>
  <si>
    <t>包材入区运费</t>
  </si>
  <si>
    <t>税率</t>
  </si>
  <si>
    <t>葡萄酒瓶装酒</t>
  </si>
  <si>
    <t>葡萄酒散装酒</t>
  </si>
  <si>
    <t>烈酒</t>
  </si>
  <si>
    <t>如果酒瓶容量超过2L，就需要按散装酒税率执行；
为了计算方便，在酒瓶信息中维护</t>
  </si>
  <si>
    <t>酒瓶</t>
  </si>
  <si>
    <t>瓶塞</t>
  </si>
  <si>
    <t>瓶帽</t>
  </si>
  <si>
    <t>外箱</t>
  </si>
  <si>
    <t>酒标</t>
  </si>
  <si>
    <t>产品</t>
  </si>
  <si>
    <t>编号</t>
  </si>
  <si>
    <t>国别</t>
  </si>
  <si>
    <t>产区</t>
  </si>
  <si>
    <t>品种</t>
  </si>
  <si>
    <t>类型</t>
  </si>
  <si>
    <t>酒精度</t>
  </si>
  <si>
    <t>年份</t>
  </si>
  <si>
    <t>等级</t>
  </si>
  <si>
    <t>起订量(/箱)</t>
  </si>
  <si>
    <t>原酒成本(外币/L)</t>
  </si>
  <si>
    <t>币种</t>
  </si>
  <si>
    <t>汇率</t>
  </si>
  <si>
    <t>原酒成本(CNY/L)</t>
  </si>
  <si>
    <t>原酒申报价(CNY/L)</t>
  </si>
  <si>
    <t>瓶</t>
  </si>
  <si>
    <t>瓶规格(/L)</t>
  </si>
  <si>
    <t>瓶价格(/瓶)</t>
  </si>
  <si>
    <t>灌装费</t>
  </si>
  <si>
    <t>托盘数量(瓶/托盘)</t>
  </si>
  <si>
    <t>申报价</t>
  </si>
  <si>
    <t>塞价格(/瓶)</t>
  </si>
  <si>
    <t>帽价格(/瓶)</t>
  </si>
  <si>
    <t>蜡封费</t>
  </si>
  <si>
    <t>箱规格(/瓶)</t>
  </si>
  <si>
    <t>箱价格(/个)</t>
  </si>
  <si>
    <t>标价格(/个 申报用)</t>
  </si>
  <si>
    <t>耗材费用(75元/托盘)</t>
  </si>
  <si>
    <t>费用成本</t>
  </si>
  <si>
    <t>综合税</t>
  </si>
  <si>
    <t>供货成本</t>
  </si>
  <si>
    <t>加价率</t>
  </si>
  <si>
    <t>VCE 13.5%</t>
  </si>
  <si>
    <t>BG-FR-VCE-00DR2-13.5%</t>
  </si>
  <si>
    <t>法国</t>
  </si>
  <si>
    <t>VCE</t>
  </si>
  <si>
    <t>混酿</t>
  </si>
  <si>
    <t>干红</t>
  </si>
  <si>
    <t>VCE 14.5%</t>
  </si>
  <si>
    <t>BG-FR-VCE-00DR3-14.5%</t>
  </si>
  <si>
    <t>法国VDF</t>
  </si>
  <si>
    <t>BG-FR-VDF-00DR4-14.5%</t>
  </si>
  <si>
    <t>VDF</t>
  </si>
  <si>
    <t>法国科比埃AOP</t>
  </si>
  <si>
    <t>BG-FR-COR-00DR5-15.5%</t>
  </si>
  <si>
    <t>科比埃</t>
  </si>
  <si>
    <t>法国波尔多城堡AOP</t>
  </si>
  <si>
    <t>BG-FR-BODC-00DR5-14.5%</t>
  </si>
  <si>
    <t>波尔多</t>
  </si>
  <si>
    <t>梅多克城堡AOP</t>
  </si>
  <si>
    <t>BG-FR-MEDC-00DR7-14.5%</t>
  </si>
  <si>
    <t>梅多克</t>
  </si>
  <si>
    <t>朗格多克AOP</t>
  </si>
  <si>
    <t>BG-FR-LAG-00DR5-15.0%</t>
  </si>
  <si>
    <t>朗格多克</t>
  </si>
  <si>
    <t>罗纳河谷AOP-金奖</t>
  </si>
  <si>
    <t>BG-FR-CDR-00DR7-15.5%</t>
  </si>
  <si>
    <t>罗纳河谷</t>
  </si>
  <si>
    <t>南澳混酿</t>
  </si>
  <si>
    <t>BG-AU-SA-00DR3-14.5%</t>
  </si>
  <si>
    <t>澳大利亚</t>
  </si>
  <si>
    <t>南澳</t>
  </si>
  <si>
    <t>南澳西拉</t>
  </si>
  <si>
    <t>BG-AU-SA-02DR4-14.5%</t>
  </si>
  <si>
    <t>西拉</t>
  </si>
  <si>
    <t>南澳西拉16.0%</t>
  </si>
  <si>
    <t>BG-AU-SA-02DR5-16.0%</t>
  </si>
  <si>
    <t>智利混酿</t>
  </si>
  <si>
    <t>BG-CL-CV-00DR2-12.5%</t>
  </si>
  <si>
    <t>智利</t>
  </si>
  <si>
    <t>中央山谷</t>
  </si>
  <si>
    <t>智利美乐</t>
  </si>
  <si>
    <t>BG-CL-CV-03DR3-13.0%</t>
  </si>
  <si>
    <t>美乐</t>
  </si>
  <si>
    <t>智利赤霞珠</t>
  </si>
  <si>
    <t>BG-CL-CV-01DR3-13.0%</t>
  </si>
  <si>
    <t>赤霞珠</t>
  </si>
  <si>
    <t>智利佳美娜</t>
  </si>
  <si>
    <t>BG-CL-CV-04DR3-13.0%</t>
  </si>
  <si>
    <t>佳美娜</t>
  </si>
  <si>
    <t>阿根廷混酿13.5%</t>
  </si>
  <si>
    <t>BG-AG-MEN-00DR1-13.5%</t>
  </si>
  <si>
    <t>阿根廷</t>
  </si>
  <si>
    <t>门多萨</t>
  </si>
  <si>
    <t>阿根廷混酿14.5%</t>
  </si>
  <si>
    <t>BG-AG-MEN-00DR2-14.5%</t>
  </si>
  <si>
    <t>阿根廷马尔贝克</t>
  </si>
  <si>
    <t>BG-AG-MEN-05DR3-14.0%</t>
  </si>
  <si>
    <t>马尔贝克</t>
  </si>
  <si>
    <t>意大利桑娇维赛</t>
  </si>
  <si>
    <t>BG-IT-PRI-09DR3-13.0%</t>
  </si>
  <si>
    <t>意大利</t>
  </si>
  <si>
    <t>普利亚IGT</t>
  </si>
  <si>
    <t>桑娇维赛</t>
  </si>
  <si>
    <t>白兰地VSOP</t>
  </si>
  <si>
    <t>BG-FR-FRA-13VSOP5-40.0%</t>
  </si>
  <si>
    <t>VSOP</t>
  </si>
  <si>
    <t>白玉霓</t>
  </si>
  <si>
    <t>3年</t>
  </si>
  <si>
    <t>白兰地XO</t>
  </si>
  <si>
    <t>BG-FR-FRA-13XO6-40.0%</t>
  </si>
  <si>
    <t>XO</t>
  </si>
  <si>
    <t>5年</t>
  </si>
  <si>
    <t>苏格兰调配威士忌</t>
  </si>
  <si>
    <t>BG-ST-SKT-99WSTH4-40.0%</t>
  </si>
  <si>
    <t>苏格兰</t>
  </si>
  <si>
    <t>调和</t>
  </si>
  <si>
    <t>威士忌</t>
  </si>
  <si>
    <r>
      <rPr>
        <b/>
        <sz val="18"/>
        <color theme="1"/>
        <rFont val="等线"/>
        <family val="3"/>
        <charset val="134"/>
      </rPr>
      <t>九岸保税区灌装产品报价单</t>
    </r>
    <r>
      <rPr>
        <sz val="16"/>
        <color theme="1"/>
        <rFont val="等线"/>
        <family val="3"/>
        <charset val="134"/>
      </rPr>
      <t xml:space="preserve">
</t>
    </r>
    <r>
      <rPr>
        <b/>
        <sz val="10"/>
        <color theme="1"/>
        <rFont val="等线"/>
        <family val="3"/>
        <charset val="134"/>
      </rPr>
      <t>（2020.10.01）</t>
    </r>
  </si>
  <si>
    <t>Product产品</t>
  </si>
  <si>
    <t>单价
（￥/瓶）</t>
  </si>
  <si>
    <t>起订量</t>
  </si>
  <si>
    <t>库存</t>
  </si>
  <si>
    <t>NO.</t>
  </si>
  <si>
    <t>酒塞</t>
  </si>
  <si>
    <t>酒帽</t>
  </si>
  <si>
    <t>纸箱</t>
  </si>
  <si>
    <t>440箱</t>
  </si>
  <si>
    <t>现货库存充足</t>
  </si>
  <si>
    <t>9月底到货</t>
  </si>
  <si>
    <t>400箱</t>
  </si>
  <si>
    <t>11月底到货</t>
  </si>
  <si>
    <t>11月底到货</t>
    <phoneticPr fontId="23" type="noConversion"/>
  </si>
  <si>
    <t>9月底到货</t>
    <phoneticPr fontId="23" type="noConversion"/>
  </si>
  <si>
    <t>备注：                                            
1、葡萄酒产品最低起订量为440箱，烈酒产品最低起订量为400箱。
2、报价为单品单标一次性提货的价格，报价不包含酒标印刷和邮寄费用，如客户分批提货需承担逐票出库报关费700元/票。
3、报价有效期一个月。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</si>
</sst>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76" formatCode="0.00_ "/>
    <numFmt numFmtId="177" formatCode="0.0%"/>
    <numFmt numFmtId="178" formatCode="\¥#,##0.00_);\(\¥#,##0.00\)"/>
    <numFmt numFmtId="179" formatCode="0.0"/>
    <numFmt numFmtId="180" formatCode="&quot;€&quot;#,##0.000_);\(&quot;€&quot;#,##0.000\)"/>
    <numFmt numFmtId="181" formatCode="\¥#,##0.000_);\(\¥#,##0.000\)"/>
    <numFmt numFmtId="182" formatCode="0.000_);[Red]\(0.000\)"/>
    <numFmt numFmtId="183" formatCode="\$#,##0.000_);\(\$#,##0.000\)"/>
    <numFmt numFmtId="184" formatCode="0_);[Red]\(0\)"/>
    <numFmt numFmtId="185" formatCode="&quot;US$&quot;#,##0.000_);\(&quot;US$&quot;#,##0.000\)"/>
    <numFmt numFmtId="186" formatCode="[$£-809]#,##0.000_);\([$£-809]#,##0.000\)"/>
    <numFmt numFmtId="187" formatCode="0.00_);[Red]\(0.00\)"/>
    <numFmt numFmtId="188" formatCode="0.000"/>
    <numFmt numFmtId="189" formatCode="\¥#,##0.00;\¥\-#,##0.00"/>
    <numFmt numFmtId="190" formatCode="0_ "/>
  </numFmts>
  <fonts count="25" x14ac:knownFonts="1">
    <font>
      <sz val="11"/>
      <color theme="1"/>
      <name val="宋体"/>
      <charset val="134"/>
      <scheme val="minor"/>
    </font>
    <font>
      <sz val="1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8"/>
      <color theme="1"/>
      <name val="等线"/>
      <family val="3"/>
      <charset val="134"/>
    </font>
    <font>
      <sz val="16"/>
      <color theme="1"/>
      <name val="等线"/>
      <family val="3"/>
      <charset val="134"/>
    </font>
    <font>
      <b/>
      <sz val="10"/>
      <color theme="1"/>
      <name val="等线"/>
      <family val="3"/>
      <charset val="134"/>
    </font>
    <font>
      <b/>
      <sz val="11"/>
      <name val="等线"/>
      <family val="3"/>
      <charset val="134"/>
    </font>
    <font>
      <b/>
      <sz val="8"/>
      <name val="等线"/>
      <family val="3"/>
      <charset val="134"/>
    </font>
    <font>
      <b/>
      <sz val="9"/>
      <name val="等线"/>
      <family val="3"/>
      <charset val="134"/>
    </font>
    <font>
      <sz val="9"/>
      <color theme="1"/>
      <name val="等线"/>
      <family val="3"/>
      <charset val="134"/>
    </font>
    <font>
      <sz val="9"/>
      <name val="等线"/>
      <family val="3"/>
      <charset val="134"/>
    </font>
    <font>
      <sz val="9"/>
      <color rgb="FFFF0000"/>
      <name val="等线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name val="等线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87640003662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</fills>
  <borders count="62">
    <border>
      <left/>
      <right/>
      <top/>
      <bottom/>
      <diagonal/>
    </border>
    <border>
      <left style="thin">
        <color theme="0" tint="-0.1498764000366222"/>
      </left>
      <right/>
      <top style="thin">
        <color theme="0" tint="-0.1498764000366222"/>
      </top>
      <bottom/>
      <diagonal/>
    </border>
    <border>
      <left/>
      <right/>
      <top style="thin">
        <color theme="0" tint="-0.1498764000366222"/>
      </top>
      <bottom/>
      <diagonal/>
    </border>
    <border>
      <left style="thin">
        <color theme="0" tint="-0.1498764000366222"/>
      </left>
      <right/>
      <top/>
      <bottom/>
      <diagonal/>
    </border>
    <border>
      <left style="medium">
        <color auto="1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auto="1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rgb="FF000000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theme="0" tint="-0.1498764000366222"/>
      </right>
      <top/>
      <bottom/>
      <diagonal/>
    </border>
    <border>
      <left style="thin">
        <color theme="0" tint="-0.499984740745262"/>
      </left>
      <right style="medium">
        <color auto="1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auto="1"/>
      </top>
      <bottom/>
      <diagonal/>
    </border>
    <border>
      <left style="thin">
        <color theme="0" tint="-0.499984740745262"/>
      </left>
      <right style="medium">
        <color rgb="FF000000"/>
      </right>
      <top style="medium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medium">
        <color rgb="FF000000"/>
      </right>
      <top/>
      <bottom/>
      <diagonal/>
    </border>
    <border>
      <left style="thin">
        <color theme="0" tint="-0.499984740745262"/>
      </left>
      <right style="medium">
        <color rgb="FF000000"/>
      </right>
      <top/>
      <bottom style="thin">
        <color theme="0" tint="-0.499984740745262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medium">
        <color rgb="FF000000"/>
      </right>
      <top/>
      <bottom style="medium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/>
      <top style="medium">
        <color rgb="FF000000"/>
      </top>
      <bottom/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medium">
        <color auto="1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</borders>
  <cellStyleXfs count="6">
    <xf numFmtId="0" fontId="0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/>
    <xf numFmtId="0" fontId="22" fillId="0" borderId="0">
      <alignment vertical="center"/>
    </xf>
  </cellStyleXfs>
  <cellXfs count="16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6" fillId="0" borderId="6" xfId="0" applyFont="1" applyBorder="1" applyAlignment="1">
      <alignment vertical="center" textRotation="255" wrapText="1"/>
    </xf>
    <xf numFmtId="0" fontId="7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" fillId="0" borderId="3" xfId="0" applyFont="1" applyBorder="1">
      <alignment vertical="center"/>
    </xf>
    <xf numFmtId="0" fontId="10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176" fontId="4" fillId="2" borderId="26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179" fontId="8" fillId="0" borderId="10" xfId="0" applyNumberFormat="1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179" fontId="8" fillId="0" borderId="13" xfId="0" applyNumberFormat="1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77" fontId="13" fillId="0" borderId="0" xfId="1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177" fontId="14" fillId="0" borderId="0" xfId="1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80" fontId="14" fillId="0" borderId="0" xfId="0" applyNumberFormat="1" applyFont="1" applyAlignment="1">
      <alignment horizontal="center" vertical="center"/>
    </xf>
    <xf numFmtId="181" fontId="13" fillId="0" borderId="0" xfId="0" applyNumberFormat="1" applyFont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183" fontId="14" fillId="0" borderId="0" xfId="0" applyNumberFormat="1" applyFont="1" applyAlignment="1">
      <alignment horizontal="center" vertical="center"/>
    </xf>
    <xf numFmtId="185" fontId="14" fillId="0" borderId="0" xfId="0" applyNumberFormat="1" applyFont="1" applyAlignment="1">
      <alignment horizontal="center" vertical="center"/>
    </xf>
    <xf numFmtId="186" fontId="14" fillId="0" borderId="0" xfId="0" applyNumberFormat="1" applyFont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 vertical="center"/>
    </xf>
    <xf numFmtId="9" fontId="13" fillId="0" borderId="0" xfId="1" applyFont="1" applyBorder="1" applyAlignment="1">
      <alignment horizontal="center" vertical="center"/>
    </xf>
    <xf numFmtId="2" fontId="13" fillId="0" borderId="45" xfId="0" applyNumberFormat="1" applyFont="1" applyBorder="1" applyAlignment="1">
      <alignment horizontal="center" vertical="center"/>
    </xf>
    <xf numFmtId="9" fontId="13" fillId="0" borderId="45" xfId="1" applyFont="1" applyBorder="1" applyAlignment="1">
      <alignment horizontal="center" vertical="center"/>
    </xf>
    <xf numFmtId="187" fontId="13" fillId="0" borderId="45" xfId="1" applyNumberFormat="1" applyFont="1" applyBorder="1" applyAlignment="1">
      <alignment horizontal="center" vertical="center"/>
    </xf>
    <xf numFmtId="188" fontId="13" fillId="0" borderId="0" xfId="0" applyNumberFormat="1" applyFont="1" applyAlignment="1">
      <alignment horizontal="center" vertical="center"/>
    </xf>
    <xf numFmtId="187" fontId="13" fillId="0" borderId="0" xfId="0" applyNumberFormat="1" applyFont="1" applyAlignment="1">
      <alignment horizontal="center" vertical="center"/>
    </xf>
    <xf numFmtId="10" fontId="13" fillId="0" borderId="0" xfId="1" applyNumberFormat="1" applyFont="1" applyAlignment="1">
      <alignment horizontal="center" vertical="center"/>
    </xf>
    <xf numFmtId="182" fontId="13" fillId="0" borderId="0" xfId="0" applyNumberFormat="1" applyFont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9" fontId="13" fillId="0" borderId="0" xfId="1" applyFont="1" applyAlignment="1">
      <alignment horizontal="center" vertical="center"/>
    </xf>
    <xf numFmtId="178" fontId="13" fillId="0" borderId="20" xfId="0" applyNumberFormat="1" applyFont="1" applyBorder="1" applyAlignment="1">
      <alignment horizontal="center" vertical="center"/>
    </xf>
    <xf numFmtId="178" fontId="13" fillId="0" borderId="0" xfId="0" applyNumberFormat="1" applyFont="1" applyBorder="1" applyAlignment="1">
      <alignment horizontal="center" vertical="center"/>
    </xf>
    <xf numFmtId="178" fontId="13" fillId="0" borderId="45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10" fontId="14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18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189" fontId="0" fillId="0" borderId="0" xfId="0" applyNumberFormat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>
      <alignment vertical="center"/>
    </xf>
    <xf numFmtId="0" fontId="14" fillId="0" borderId="0" xfId="5" applyFont="1" applyFill="1" applyBorder="1" applyAlignment="1">
      <alignment horizontal="center" vertical="center"/>
    </xf>
    <xf numFmtId="176" fontId="14" fillId="0" borderId="0" xfId="2" applyNumberFormat="1" applyFont="1" applyFill="1" applyBorder="1" applyAlignment="1">
      <alignment horizontal="center" vertical="center" wrapText="1"/>
    </xf>
    <xf numFmtId="9" fontId="14" fillId="0" borderId="0" xfId="1" applyFont="1" applyFill="1" applyBorder="1" applyAlignment="1">
      <alignment horizontal="center" vertical="center" wrapText="1"/>
    </xf>
    <xf numFmtId="187" fontId="14" fillId="0" borderId="0" xfId="1" applyNumberFormat="1" applyFont="1" applyFill="1" applyBorder="1" applyAlignment="1">
      <alignment horizontal="center" vertical="center" wrapText="1"/>
    </xf>
    <xf numFmtId="184" fontId="14" fillId="0" borderId="0" xfId="5" applyNumberFormat="1" applyFont="1" applyFill="1" applyBorder="1" applyAlignment="1">
      <alignment horizontal="center" vertical="center"/>
    </xf>
    <xf numFmtId="0" fontId="14" fillId="0" borderId="0" xfId="5" applyFont="1" applyFill="1" applyBorder="1" applyAlignment="1">
      <alignment horizontal="center" vertical="center" wrapText="1"/>
    </xf>
    <xf numFmtId="10" fontId="14" fillId="0" borderId="0" xfId="4" applyNumberFormat="1" applyFont="1" applyFill="1" applyBorder="1" applyAlignment="1">
      <alignment horizontal="center" vertical="center" wrapText="1"/>
    </xf>
    <xf numFmtId="10" fontId="19" fillId="0" borderId="0" xfId="4" applyNumberFormat="1" applyFont="1" applyFill="1" applyBorder="1" applyAlignment="1">
      <alignment horizontal="center" vertical="center" wrapText="1"/>
    </xf>
    <xf numFmtId="176" fontId="19" fillId="0" borderId="0" xfId="2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190" fontId="14" fillId="0" borderId="0" xfId="2" applyNumberFormat="1" applyFont="1" applyFill="1" applyBorder="1" applyAlignment="1">
      <alignment horizontal="center" vertical="center" wrapText="1"/>
    </xf>
    <xf numFmtId="0" fontId="19" fillId="0" borderId="0" xfId="5" applyFont="1" applyFill="1" applyBorder="1" applyAlignment="1">
      <alignment horizontal="center" vertical="center"/>
    </xf>
    <xf numFmtId="176" fontId="14" fillId="0" borderId="0" xfId="4" applyNumberFormat="1" applyFont="1" applyFill="1" applyBorder="1" applyAlignment="1">
      <alignment horizontal="center" vertical="center" wrapText="1"/>
    </xf>
    <xf numFmtId="187" fontId="18" fillId="0" borderId="0" xfId="0" applyNumberFormat="1" applyFont="1" applyAlignment="1">
      <alignment horizontal="center" vertical="center"/>
    </xf>
    <xf numFmtId="9" fontId="18" fillId="0" borderId="0" xfId="0" applyNumberFormat="1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10" fontId="18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20" fillId="0" borderId="0" xfId="0" applyNumberFormat="1" applyFont="1" applyAlignment="1">
      <alignment horizontal="center" vertical="center"/>
    </xf>
    <xf numFmtId="9" fontId="0" fillId="0" borderId="0" xfId="0" applyNumberFormat="1">
      <alignment vertical="center"/>
    </xf>
    <xf numFmtId="0" fontId="12" fillId="0" borderId="0" xfId="0" applyFont="1">
      <alignment vertical="center"/>
    </xf>
    <xf numFmtId="0" fontId="2" fillId="0" borderId="46" xfId="0" applyFont="1" applyBorder="1">
      <alignment vertical="center"/>
    </xf>
    <xf numFmtId="0" fontId="2" fillId="0" borderId="48" xfId="0" applyFont="1" applyBorder="1">
      <alignment vertical="center"/>
    </xf>
    <xf numFmtId="0" fontId="1" fillId="0" borderId="48" xfId="0" applyFont="1" applyBorder="1">
      <alignment vertical="center"/>
    </xf>
    <xf numFmtId="0" fontId="2" fillId="0" borderId="47" xfId="0" applyFont="1" applyBorder="1">
      <alignment vertical="center"/>
    </xf>
    <xf numFmtId="0" fontId="2" fillId="0" borderId="49" xfId="0" applyFont="1" applyBorder="1">
      <alignment vertical="center"/>
    </xf>
    <xf numFmtId="0" fontId="2" fillId="0" borderId="50" xfId="0" applyFont="1" applyBorder="1">
      <alignment vertical="center"/>
    </xf>
    <xf numFmtId="0" fontId="10" fillId="0" borderId="51" xfId="0" applyFont="1" applyBorder="1" applyAlignment="1">
      <alignment horizontal="center" vertical="center" wrapText="1"/>
    </xf>
    <xf numFmtId="0" fontId="10" fillId="0" borderId="52" xfId="0" applyFont="1" applyBorder="1" applyAlignment="1">
      <alignment horizontal="center" vertical="center" wrapText="1"/>
    </xf>
    <xf numFmtId="0" fontId="10" fillId="0" borderId="53" xfId="0" applyFont="1" applyBorder="1" applyAlignment="1">
      <alignment horizontal="center" vertical="center" wrapText="1"/>
    </xf>
    <xf numFmtId="179" fontId="8" fillId="0" borderId="7" xfId="0" applyNumberFormat="1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179" fontId="8" fillId="0" borderId="31" xfId="0" applyNumberFormat="1" applyFont="1" applyBorder="1" applyAlignment="1">
      <alignment horizontal="center" vertical="center" wrapText="1"/>
    </xf>
    <xf numFmtId="0" fontId="10" fillId="0" borderId="55" xfId="0" applyFont="1" applyBorder="1" applyAlignment="1">
      <alignment horizontal="center" vertical="center" wrapText="1"/>
    </xf>
    <xf numFmtId="0" fontId="10" fillId="0" borderId="56" xfId="0" applyFont="1" applyBorder="1" applyAlignment="1">
      <alignment horizontal="center" vertical="center" wrapText="1"/>
    </xf>
    <xf numFmtId="0" fontId="10" fillId="0" borderId="57" xfId="0" applyFont="1" applyBorder="1" applyAlignment="1">
      <alignment horizontal="center" vertical="center" wrapText="1"/>
    </xf>
    <xf numFmtId="179" fontId="8" fillId="0" borderId="29" xfId="0" applyNumberFormat="1" applyFont="1" applyBorder="1" applyAlignment="1">
      <alignment horizontal="center" vertical="center" wrapText="1"/>
    </xf>
    <xf numFmtId="179" fontId="8" fillId="0" borderId="56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58" xfId="0" applyFont="1" applyBorder="1" applyAlignment="1">
      <alignment horizontal="center" vertical="center" wrapText="1"/>
    </xf>
    <xf numFmtId="0" fontId="10" fillId="0" borderId="59" xfId="0" applyFont="1" applyBorder="1" applyAlignment="1">
      <alignment horizontal="center" vertical="center" wrapText="1"/>
    </xf>
    <xf numFmtId="0" fontId="10" fillId="0" borderId="60" xfId="0" applyFont="1" applyBorder="1" applyAlignment="1">
      <alignment horizontal="center" vertical="center" wrapText="1"/>
    </xf>
    <xf numFmtId="179" fontId="8" fillId="0" borderId="55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179" fontId="8" fillId="0" borderId="37" xfId="0" applyNumberFormat="1" applyFont="1" applyBorder="1" applyAlignment="1">
      <alignment horizontal="center" vertical="center" wrapText="1"/>
    </xf>
    <xf numFmtId="0" fontId="9" fillId="0" borderId="61" xfId="0" applyFont="1" applyBorder="1" applyAlignment="1">
      <alignment horizontal="center" vertical="center" wrapText="1"/>
    </xf>
    <xf numFmtId="178" fontId="24" fillId="0" borderId="20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15" fillId="0" borderId="0" xfId="4" applyFont="1" applyFill="1" applyBorder="1" applyAlignment="1">
      <alignment horizontal="center" vertical="center" wrapText="1"/>
    </xf>
    <xf numFmtId="0" fontId="12" fillId="3" borderId="42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/>
    </xf>
    <xf numFmtId="9" fontId="12" fillId="3" borderId="42" xfId="0" applyNumberFormat="1" applyFont="1" applyFill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6" fontId="4" fillId="2" borderId="0" xfId="0" applyNumberFormat="1" applyFont="1" applyFill="1" applyAlignment="1">
      <alignment horizontal="center" vertical="center" wrapText="1"/>
    </xf>
    <xf numFmtId="176" fontId="4" fillId="2" borderId="0" xfId="0" applyNumberFormat="1" applyFont="1" applyFill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 textRotation="255" wrapText="1"/>
    </xf>
    <xf numFmtId="0" fontId="1" fillId="0" borderId="11" xfId="0" applyFont="1" applyBorder="1" applyAlignment="1">
      <alignment horizontal="center" vertical="center" textRotation="255" wrapText="1"/>
    </xf>
    <xf numFmtId="0" fontId="1" fillId="0" borderId="19" xfId="0" applyFont="1" applyBorder="1" applyAlignment="1">
      <alignment horizontal="center" vertical="center" textRotation="255" wrapText="1"/>
    </xf>
    <xf numFmtId="0" fontId="1" fillId="0" borderId="20" xfId="0" applyFont="1" applyBorder="1" applyAlignment="1">
      <alignment horizontal="center" vertical="center" textRotation="255" wrapText="1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</cellXfs>
  <cellStyles count="6">
    <cellStyle name="百分比" xfId="1" builtinId="5"/>
    <cellStyle name="常规" xfId="0" builtinId="0"/>
    <cellStyle name="常规 2" xfId="3" xr:uid="{00000000-0005-0000-0000-000032000000}"/>
    <cellStyle name="常规 3" xfId="4" xr:uid="{00000000-0005-0000-0000-000033000000}"/>
    <cellStyle name="常规 4" xfId="5" xr:uid="{00000000-0005-0000-0000-000034000000}"/>
    <cellStyle name="好 2" xfId="2" xr:uid="{00000000-0005-0000-0000-00001B000000}"/>
  </cellStyles>
  <dxfs count="0"/>
  <tableStyles count="0" defaultTableStyle="TableStyleMedium9" defaultPivotStyle="PivotStyleLight16"/>
  <colors>
    <mruColors>
      <color rgb="FFFFFF00"/>
      <color rgb="FF0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275107</xdr:colOff>
      <xdr:row>0</xdr:row>
      <xdr:rowOff>191900</xdr:rowOff>
    </xdr:from>
    <xdr:to>
      <xdr:col>12</xdr:col>
      <xdr:colOff>1053353</xdr:colOff>
      <xdr:row>1</xdr:row>
      <xdr:rowOff>439868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2007" y="191900"/>
          <a:ext cx="778246" cy="771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0</xdr:row>
      <xdr:rowOff>152400</xdr:rowOff>
    </xdr:from>
    <xdr:to>
      <xdr:col>3</xdr:col>
      <xdr:colOff>1274305</xdr:colOff>
      <xdr:row>1</xdr:row>
      <xdr:rowOff>346804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11FCF9E-77D6-46F9-A01B-188DC24E7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52400"/>
          <a:ext cx="1922005" cy="718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F14"/>
  <sheetViews>
    <sheetView workbookViewId="0">
      <selection activeCell="A9" sqref="A9:XFD11"/>
    </sheetView>
  </sheetViews>
  <sheetFormatPr defaultColWidth="9" defaultRowHeight="13.5" x14ac:dyDescent="0.15"/>
  <cols>
    <col min="1" max="1" width="10.5" customWidth="1"/>
    <col min="2" max="2" width="15.5" customWidth="1"/>
    <col min="3" max="4" width="16.75" customWidth="1"/>
    <col min="5" max="6" width="11.875" customWidth="1"/>
  </cols>
  <sheetData>
    <row r="1" spans="1:6" s="75" customFormat="1" ht="14.25" x14ac:dyDescent="0.15">
      <c r="A1" s="47" t="s">
        <v>0</v>
      </c>
      <c r="B1" s="39" t="s">
        <v>1</v>
      </c>
      <c r="C1" s="39" t="s">
        <v>2</v>
      </c>
      <c r="D1" s="39" t="s">
        <v>3</v>
      </c>
      <c r="E1" s="75" t="s">
        <v>4</v>
      </c>
      <c r="F1" s="75" t="s">
        <v>5</v>
      </c>
    </row>
    <row r="2" spans="1:6" x14ac:dyDescent="0.15">
      <c r="A2">
        <v>1</v>
      </c>
      <c r="B2" s="104">
        <v>0.02</v>
      </c>
      <c r="C2" s="104">
        <v>0.03</v>
      </c>
      <c r="D2" s="104">
        <v>0.03</v>
      </c>
      <c r="E2" s="104">
        <v>0.12</v>
      </c>
      <c r="F2" s="104">
        <f>SUM(B2:E2)</f>
        <v>0.2</v>
      </c>
    </row>
    <row r="3" spans="1:6" x14ac:dyDescent="0.15">
      <c r="A3">
        <v>2</v>
      </c>
      <c r="B3" s="104">
        <v>0.02</v>
      </c>
      <c r="C3" s="104">
        <v>0.03</v>
      </c>
      <c r="D3" s="104">
        <v>0.03</v>
      </c>
      <c r="E3" s="104">
        <v>0.12</v>
      </c>
      <c r="F3" s="104">
        <f t="shared" ref="F3:F11" si="0">SUM(B3:E3)</f>
        <v>0.2</v>
      </c>
    </row>
    <row r="4" spans="1:6" x14ac:dyDescent="0.15">
      <c r="A4">
        <v>3</v>
      </c>
      <c r="B4" s="104">
        <v>0.02</v>
      </c>
      <c r="C4" s="104">
        <v>0.03</v>
      </c>
      <c r="D4" s="104">
        <v>0.03</v>
      </c>
      <c r="E4" s="104">
        <v>0.12</v>
      </c>
      <c r="F4" s="104">
        <f t="shared" si="0"/>
        <v>0.2</v>
      </c>
    </row>
    <row r="5" spans="1:6" x14ac:dyDescent="0.15">
      <c r="A5">
        <v>4</v>
      </c>
      <c r="B5" s="104">
        <v>0.02</v>
      </c>
      <c r="C5" s="104">
        <v>0.03</v>
      </c>
      <c r="D5" s="104">
        <v>0.03</v>
      </c>
      <c r="E5" s="104">
        <v>0.12</v>
      </c>
      <c r="F5" s="104">
        <f t="shared" si="0"/>
        <v>0.2</v>
      </c>
    </row>
    <row r="6" spans="1:6" x14ac:dyDescent="0.15">
      <c r="A6">
        <v>5</v>
      </c>
      <c r="B6" s="104">
        <v>0.02</v>
      </c>
      <c r="C6" s="104">
        <v>0.03</v>
      </c>
      <c r="D6" s="104">
        <v>0.03</v>
      </c>
      <c r="E6" s="104">
        <v>0.13</v>
      </c>
      <c r="F6" s="104">
        <f>SUM(B6:E6)</f>
        <v>0.21000000000000002</v>
      </c>
    </row>
    <row r="7" spans="1:6" x14ac:dyDescent="0.15">
      <c r="A7">
        <v>6</v>
      </c>
      <c r="B7" s="104">
        <v>0.02</v>
      </c>
      <c r="C7" s="104">
        <v>0.03</v>
      </c>
      <c r="D7" s="104">
        <v>0.03</v>
      </c>
      <c r="E7" s="104">
        <v>0.13</v>
      </c>
      <c r="F7" s="104">
        <f>SUM(B7:E7)</f>
        <v>0.21000000000000002</v>
      </c>
    </row>
    <row r="8" spans="1:6" x14ac:dyDescent="0.15">
      <c r="A8">
        <v>7</v>
      </c>
      <c r="B8" s="104">
        <v>0.02</v>
      </c>
      <c r="C8" s="104">
        <v>0.03</v>
      </c>
      <c r="D8" s="104">
        <v>0.03</v>
      </c>
      <c r="E8" s="104">
        <v>0.13</v>
      </c>
      <c r="F8" s="104">
        <f t="shared" si="0"/>
        <v>0.21000000000000002</v>
      </c>
    </row>
    <row r="9" spans="1:6" x14ac:dyDescent="0.15">
      <c r="A9">
        <v>8</v>
      </c>
      <c r="B9" s="104">
        <v>0.02</v>
      </c>
      <c r="C9" s="104">
        <v>0.03</v>
      </c>
      <c r="D9" s="104">
        <v>0.03</v>
      </c>
      <c r="E9" s="104">
        <v>0.15</v>
      </c>
      <c r="F9" s="104">
        <f t="shared" si="0"/>
        <v>0.22999999999999998</v>
      </c>
    </row>
    <row r="10" spans="1:6" x14ac:dyDescent="0.15">
      <c r="A10">
        <v>9</v>
      </c>
      <c r="B10" s="104">
        <v>0.02</v>
      </c>
      <c r="C10" s="104">
        <v>0.03</v>
      </c>
      <c r="D10" s="104">
        <v>0.03</v>
      </c>
      <c r="E10" s="104">
        <v>0.15</v>
      </c>
      <c r="F10" s="104">
        <f t="shared" si="0"/>
        <v>0.22999999999999998</v>
      </c>
    </row>
    <row r="11" spans="1:6" x14ac:dyDescent="0.15">
      <c r="A11">
        <v>10</v>
      </c>
      <c r="B11" s="104">
        <v>0.02</v>
      </c>
      <c r="C11" s="104">
        <v>0.03</v>
      </c>
      <c r="D11" s="104">
        <v>0.03</v>
      </c>
      <c r="E11" s="104">
        <v>0.15</v>
      </c>
      <c r="F11" s="104">
        <f t="shared" si="0"/>
        <v>0.22999999999999998</v>
      </c>
    </row>
    <row r="14" spans="1:6" ht="143.44999999999999" customHeight="1" x14ac:dyDescent="0.15">
      <c r="A14" s="105" t="s">
        <v>6</v>
      </c>
      <c r="B14" s="132" t="s">
        <v>7</v>
      </c>
      <c r="C14" s="132"/>
      <c r="D14" s="132"/>
      <c r="E14" s="132"/>
      <c r="F14" s="132"/>
    </row>
  </sheetData>
  <mergeCells count="1">
    <mergeCell ref="B14:F14"/>
  </mergeCells>
  <phoneticPr fontId="2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D7"/>
  <sheetViews>
    <sheetView workbookViewId="0">
      <selection activeCell="B7" sqref="B7:D7"/>
    </sheetView>
  </sheetViews>
  <sheetFormatPr defaultColWidth="9" defaultRowHeight="13.5" x14ac:dyDescent="0.15"/>
  <cols>
    <col min="1" max="1" width="18.375" customWidth="1"/>
    <col min="2" max="2" width="25.5" customWidth="1"/>
    <col min="3" max="3" width="24.875" customWidth="1"/>
    <col min="4" max="4" width="26" customWidth="1"/>
  </cols>
  <sheetData>
    <row r="1" spans="1:4" s="39" customFormat="1" ht="14.25" x14ac:dyDescent="0.15">
      <c r="A1" s="47" t="s">
        <v>8</v>
      </c>
      <c r="B1" s="39" t="s">
        <v>9</v>
      </c>
      <c r="C1" s="39" t="s">
        <v>10</v>
      </c>
      <c r="D1" s="39" t="s">
        <v>11</v>
      </c>
    </row>
    <row r="2" spans="1:4" ht="14.25" x14ac:dyDescent="0.15">
      <c r="A2" s="47" t="s">
        <v>12</v>
      </c>
      <c r="B2" s="104">
        <v>1</v>
      </c>
      <c r="C2" s="104">
        <v>0.97</v>
      </c>
      <c r="D2" s="104">
        <v>0.91</v>
      </c>
    </row>
    <row r="3" spans="1:4" ht="14.25" x14ac:dyDescent="0.15">
      <c r="A3" s="47" t="s">
        <v>13</v>
      </c>
      <c r="B3" s="104">
        <v>0.97</v>
      </c>
      <c r="C3" s="104">
        <v>0.94</v>
      </c>
      <c r="D3" s="104">
        <v>0.91</v>
      </c>
    </row>
    <row r="4" spans="1:4" ht="14.25" x14ac:dyDescent="0.15">
      <c r="A4" s="47" t="s">
        <v>14</v>
      </c>
      <c r="B4" s="104">
        <v>0.94</v>
      </c>
      <c r="C4" s="104">
        <v>0.91</v>
      </c>
      <c r="D4" s="104">
        <v>0.91</v>
      </c>
    </row>
    <row r="7" spans="1:4" ht="55.5" customHeight="1" x14ac:dyDescent="0.15">
      <c r="A7" s="47" t="s">
        <v>6</v>
      </c>
      <c r="B7" s="132" t="s">
        <v>15</v>
      </c>
      <c r="C7" s="133"/>
      <c r="D7" s="133"/>
    </row>
  </sheetData>
  <mergeCells count="1">
    <mergeCell ref="B7:D7"/>
  </mergeCells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E12" sqref="E12"/>
    </sheetView>
  </sheetViews>
  <sheetFormatPr defaultColWidth="9" defaultRowHeight="13.5" x14ac:dyDescent="0.15"/>
  <cols>
    <col min="2" max="2" width="12" customWidth="1"/>
  </cols>
  <sheetData>
    <row r="1" spans="1:2" s="39" customFormat="1" ht="14.25" x14ac:dyDescent="0.15">
      <c r="A1" s="39" t="s">
        <v>16</v>
      </c>
      <c r="B1" s="39" t="s">
        <v>17</v>
      </c>
    </row>
    <row r="2" spans="1:2" ht="15.75" x14ac:dyDescent="0.15">
      <c r="A2" s="102" t="s">
        <v>18</v>
      </c>
      <c r="B2" s="103">
        <v>6.85</v>
      </c>
    </row>
    <row r="3" spans="1:2" ht="15.75" x14ac:dyDescent="0.15">
      <c r="A3" s="102" t="s">
        <v>19</v>
      </c>
      <c r="B3" s="103">
        <v>4.95</v>
      </c>
    </row>
    <row r="4" spans="1:2" ht="15.75" x14ac:dyDescent="0.15">
      <c r="A4" s="102" t="s">
        <v>20</v>
      </c>
      <c r="B4" s="103">
        <v>8.0500000000000007</v>
      </c>
    </row>
    <row r="5" spans="1:2" ht="15.75" x14ac:dyDescent="0.15">
      <c r="A5" s="102" t="s">
        <v>21</v>
      </c>
      <c r="B5" s="103">
        <v>8.9</v>
      </c>
    </row>
  </sheetData>
  <phoneticPr fontId="2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6"/>
  <sheetViews>
    <sheetView workbookViewId="0">
      <selection activeCell="G26" sqref="G26"/>
    </sheetView>
  </sheetViews>
  <sheetFormatPr defaultColWidth="8.75" defaultRowHeight="13.5" x14ac:dyDescent="0.15"/>
  <cols>
    <col min="1" max="1" width="26.375" style="81" customWidth="1"/>
    <col min="2" max="2" width="15.125" style="81" customWidth="1"/>
    <col min="3" max="3" width="13.25" style="81" customWidth="1"/>
    <col min="4" max="4" width="9.25" style="81" customWidth="1"/>
    <col min="5" max="5" width="13.125" style="81" customWidth="1"/>
    <col min="6" max="6" width="11.875" style="81" customWidth="1"/>
    <col min="7" max="8" width="13" style="81" customWidth="1"/>
    <col min="9" max="9" width="15.5" style="81" customWidth="1"/>
    <col min="10" max="10" width="24.125" style="81" customWidth="1"/>
    <col min="11" max="11" width="10.5" style="81" customWidth="1"/>
    <col min="12" max="12" width="15.5" style="81" customWidth="1"/>
    <col min="13" max="16384" width="8.75" style="81"/>
  </cols>
  <sheetData>
    <row r="1" spans="1:12" s="39" customFormat="1" ht="14.25" x14ac:dyDescent="0.15">
      <c r="A1" s="39" t="s">
        <v>22</v>
      </c>
      <c r="B1" s="39" t="s">
        <v>23</v>
      </c>
      <c r="C1" s="39" t="s">
        <v>24</v>
      </c>
      <c r="D1" s="39" t="s">
        <v>25</v>
      </c>
      <c r="E1" s="39" t="s">
        <v>26</v>
      </c>
      <c r="F1" s="39" t="s">
        <v>27</v>
      </c>
      <c r="G1" s="39" t="s">
        <v>28</v>
      </c>
      <c r="H1" s="39" t="s">
        <v>29</v>
      </c>
      <c r="I1" s="39" t="s">
        <v>30</v>
      </c>
      <c r="J1" s="39" t="s">
        <v>31</v>
      </c>
      <c r="K1" s="39" t="s">
        <v>32</v>
      </c>
      <c r="L1" s="39" t="s">
        <v>33</v>
      </c>
    </row>
    <row r="2" spans="1:12" ht="14.1" customHeight="1" x14ac:dyDescent="0.15">
      <c r="A2" s="81" t="s">
        <v>34</v>
      </c>
      <c r="B2" s="81" t="s">
        <v>35</v>
      </c>
      <c r="C2" s="98">
        <v>0.187</v>
      </c>
      <c r="D2" s="81" t="s">
        <v>36</v>
      </c>
      <c r="E2" s="81">
        <v>168</v>
      </c>
      <c r="F2" s="81">
        <v>160</v>
      </c>
      <c r="G2" s="81">
        <v>0.9</v>
      </c>
      <c r="H2" s="99">
        <v>0.01</v>
      </c>
      <c r="I2" s="100">
        <v>0.8</v>
      </c>
      <c r="J2" s="81">
        <v>600</v>
      </c>
      <c r="K2" s="101">
        <v>0.432</v>
      </c>
      <c r="L2" s="81">
        <v>0.9</v>
      </c>
    </row>
    <row r="3" spans="1:12" ht="14.1" customHeight="1" x14ac:dyDescent="0.15">
      <c r="A3" s="81" t="s">
        <v>37</v>
      </c>
      <c r="B3" s="81" t="s">
        <v>38</v>
      </c>
      <c r="C3" s="98">
        <v>0.375</v>
      </c>
      <c r="D3" s="81" t="s">
        <v>36</v>
      </c>
      <c r="E3" s="81">
        <v>340</v>
      </c>
      <c r="F3" s="81">
        <v>255</v>
      </c>
      <c r="G3" s="81">
        <v>1.1000000000000001</v>
      </c>
      <c r="H3" s="99">
        <v>0.01</v>
      </c>
      <c r="I3" s="100">
        <v>0.8</v>
      </c>
      <c r="J3" s="81">
        <v>600</v>
      </c>
      <c r="K3" s="101">
        <v>0.432</v>
      </c>
      <c r="L3" s="81">
        <v>1.1000000000000001</v>
      </c>
    </row>
    <row r="4" spans="1:12" ht="14.1" customHeight="1" x14ac:dyDescent="0.15">
      <c r="A4" s="81" t="s">
        <v>39</v>
      </c>
      <c r="B4" s="81" t="s">
        <v>40</v>
      </c>
      <c r="C4" s="98">
        <v>0.75</v>
      </c>
      <c r="D4" s="81" t="s">
        <v>41</v>
      </c>
      <c r="E4" s="81">
        <v>300</v>
      </c>
      <c r="F4" s="81">
        <v>425</v>
      </c>
      <c r="G4" s="81">
        <v>1.1000000000000001</v>
      </c>
      <c r="H4" s="99">
        <v>0.01</v>
      </c>
      <c r="I4" s="100">
        <v>1.2</v>
      </c>
      <c r="J4" s="81">
        <v>600</v>
      </c>
      <c r="K4" s="101">
        <v>0.432</v>
      </c>
      <c r="L4" s="81">
        <v>1.1000000000000001</v>
      </c>
    </row>
    <row r="5" spans="1:12" ht="14.1" customHeight="1" x14ac:dyDescent="0.15">
      <c r="A5" s="81" t="s">
        <v>42</v>
      </c>
      <c r="B5" s="81" t="s">
        <v>43</v>
      </c>
      <c r="C5" s="98">
        <v>0.75</v>
      </c>
      <c r="D5" s="81" t="s">
        <v>41</v>
      </c>
      <c r="E5" s="81">
        <v>310</v>
      </c>
      <c r="F5" s="81">
        <v>520</v>
      </c>
      <c r="G5" s="81">
        <v>1.5</v>
      </c>
      <c r="H5" s="99">
        <v>0.01</v>
      </c>
      <c r="I5" s="100">
        <v>1.2</v>
      </c>
      <c r="J5" s="81">
        <v>600</v>
      </c>
      <c r="K5" s="101">
        <v>0.432</v>
      </c>
      <c r="L5" s="81">
        <v>1.5</v>
      </c>
    </row>
    <row r="6" spans="1:12" ht="14.1" customHeight="1" x14ac:dyDescent="0.15">
      <c r="A6" s="81" t="s">
        <v>44</v>
      </c>
      <c r="B6" s="81" t="s">
        <v>45</v>
      </c>
      <c r="C6" s="98">
        <v>0.75</v>
      </c>
      <c r="D6" s="81" t="s">
        <v>41</v>
      </c>
      <c r="E6" s="81">
        <v>330</v>
      </c>
      <c r="F6" s="81">
        <v>750</v>
      </c>
      <c r="G6" s="81">
        <v>2.1</v>
      </c>
      <c r="H6" s="99">
        <v>0.01</v>
      </c>
      <c r="I6" s="100">
        <v>1.2</v>
      </c>
      <c r="J6" s="81">
        <v>600</v>
      </c>
      <c r="K6" s="101">
        <v>0.432</v>
      </c>
      <c r="L6" s="81">
        <v>2.1</v>
      </c>
    </row>
    <row r="7" spans="1:12" ht="14.1" customHeight="1" x14ac:dyDescent="0.15">
      <c r="A7" s="81" t="s">
        <v>46</v>
      </c>
      <c r="B7" s="81" t="s">
        <v>47</v>
      </c>
      <c r="C7" s="98">
        <v>0.75</v>
      </c>
      <c r="D7" s="81" t="s">
        <v>41</v>
      </c>
      <c r="E7" s="81">
        <v>322</v>
      </c>
      <c r="F7" s="81">
        <v>460</v>
      </c>
      <c r="G7" s="81">
        <v>1.3</v>
      </c>
      <c r="H7" s="99">
        <v>0.01</v>
      </c>
      <c r="I7" s="100">
        <v>1.2</v>
      </c>
      <c r="J7" s="81">
        <v>600</v>
      </c>
      <c r="K7" s="101">
        <v>0.432</v>
      </c>
      <c r="L7" s="81">
        <v>1.3</v>
      </c>
    </row>
    <row r="8" spans="1:12" ht="14.1" customHeight="1" x14ac:dyDescent="0.15">
      <c r="A8" s="81" t="s">
        <v>48</v>
      </c>
      <c r="B8" s="81" t="s">
        <v>49</v>
      </c>
      <c r="C8" s="98">
        <v>0.75</v>
      </c>
      <c r="D8" s="81" t="s">
        <v>41</v>
      </c>
      <c r="E8" s="81">
        <v>297</v>
      </c>
      <c r="F8" s="81">
        <v>450</v>
      </c>
      <c r="G8" s="81">
        <v>1.3</v>
      </c>
      <c r="H8" s="99">
        <v>0.01</v>
      </c>
      <c r="I8" s="100">
        <v>1.2</v>
      </c>
      <c r="J8" s="81">
        <v>600</v>
      </c>
      <c r="K8" s="101">
        <v>0.432</v>
      </c>
      <c r="L8" s="81">
        <v>1.3</v>
      </c>
    </row>
    <row r="9" spans="1:12" ht="14.1" customHeight="1" x14ac:dyDescent="0.15">
      <c r="A9" s="81" t="s">
        <v>50</v>
      </c>
      <c r="B9" s="81" t="s">
        <v>51</v>
      </c>
      <c r="C9" s="98">
        <v>0.75</v>
      </c>
      <c r="D9" s="81" t="s">
        <v>41</v>
      </c>
      <c r="E9" s="81">
        <v>304</v>
      </c>
      <c r="F9" s="81">
        <v>880</v>
      </c>
      <c r="G9" s="81">
        <v>2.6</v>
      </c>
      <c r="H9" s="99">
        <v>0.01</v>
      </c>
      <c r="I9" s="100">
        <v>1.2</v>
      </c>
      <c r="J9" s="81">
        <v>600</v>
      </c>
      <c r="K9" s="101">
        <v>0.432</v>
      </c>
      <c r="L9" s="81">
        <v>2.6</v>
      </c>
    </row>
    <row r="10" spans="1:12" ht="14.1" customHeight="1" x14ac:dyDescent="0.15">
      <c r="A10" s="81" t="s">
        <v>52</v>
      </c>
      <c r="B10" s="81" t="s">
        <v>53</v>
      </c>
      <c r="C10" s="98">
        <v>0.75</v>
      </c>
      <c r="D10" s="81" t="s">
        <v>41</v>
      </c>
      <c r="E10" s="81">
        <v>304</v>
      </c>
      <c r="F10" s="81">
        <v>535</v>
      </c>
      <c r="G10" s="81">
        <v>1.4</v>
      </c>
      <c r="H10" s="99">
        <v>0.01</v>
      </c>
      <c r="I10" s="100">
        <v>1.2</v>
      </c>
      <c r="J10" s="81">
        <v>600</v>
      </c>
      <c r="K10" s="101">
        <v>0.432</v>
      </c>
      <c r="L10" s="81">
        <v>1.4</v>
      </c>
    </row>
    <row r="11" spans="1:12" ht="14.1" customHeight="1" x14ac:dyDescent="0.15">
      <c r="A11" s="81" t="s">
        <v>54</v>
      </c>
      <c r="B11" s="81" t="s">
        <v>55</v>
      </c>
      <c r="C11" s="98">
        <v>0.75</v>
      </c>
      <c r="D11" s="81" t="s">
        <v>41</v>
      </c>
      <c r="E11" s="81">
        <v>304</v>
      </c>
      <c r="F11" s="81">
        <v>620</v>
      </c>
      <c r="G11" s="81">
        <v>1.7</v>
      </c>
      <c r="H11" s="99">
        <v>0.01</v>
      </c>
      <c r="I11" s="100">
        <v>1.2</v>
      </c>
      <c r="J11" s="81">
        <v>600</v>
      </c>
      <c r="K11" s="101">
        <v>0.432</v>
      </c>
      <c r="L11" s="81">
        <v>1.7</v>
      </c>
    </row>
    <row r="12" spans="1:12" ht="14.1" customHeight="1" x14ac:dyDescent="0.15">
      <c r="A12" s="81" t="s">
        <v>56</v>
      </c>
      <c r="B12" s="81" t="s">
        <v>57</v>
      </c>
      <c r="C12" s="98">
        <v>0.75</v>
      </c>
      <c r="D12" s="81" t="s">
        <v>41</v>
      </c>
      <c r="E12" s="81">
        <v>312</v>
      </c>
      <c r="F12" s="81">
        <v>990</v>
      </c>
      <c r="G12" s="81">
        <v>3.7</v>
      </c>
      <c r="H12" s="99">
        <v>0.01</v>
      </c>
      <c r="I12" s="100">
        <v>1.2</v>
      </c>
      <c r="J12" s="81">
        <v>600</v>
      </c>
      <c r="K12" s="101">
        <v>0.432</v>
      </c>
      <c r="L12" s="81">
        <v>3.7</v>
      </c>
    </row>
    <row r="13" spans="1:12" ht="14.1" customHeight="1" x14ac:dyDescent="0.15">
      <c r="A13" s="81" t="s">
        <v>58</v>
      </c>
      <c r="B13" s="81" t="s">
        <v>59</v>
      </c>
      <c r="C13" s="98">
        <v>0.75</v>
      </c>
      <c r="D13" s="81" t="s">
        <v>41</v>
      </c>
      <c r="E13" s="81">
        <v>328</v>
      </c>
      <c r="F13" s="81">
        <v>1200</v>
      </c>
      <c r="G13" s="81">
        <v>4.8</v>
      </c>
      <c r="H13" s="99">
        <v>0.01</v>
      </c>
      <c r="I13" s="100">
        <v>1.2</v>
      </c>
      <c r="J13" s="81">
        <v>600</v>
      </c>
      <c r="K13" s="101">
        <v>0.432</v>
      </c>
      <c r="L13" s="81">
        <v>4.8</v>
      </c>
    </row>
    <row r="14" spans="1:12" ht="13.5" customHeight="1" x14ac:dyDescent="0.15">
      <c r="A14" s="81" t="s">
        <v>60</v>
      </c>
      <c r="C14" s="98">
        <v>0.75</v>
      </c>
      <c r="D14" s="81" t="s">
        <v>41</v>
      </c>
      <c r="F14" s="81">
        <v>700</v>
      </c>
      <c r="G14" s="81">
        <v>2.5</v>
      </c>
      <c r="H14" s="99">
        <v>0.01</v>
      </c>
      <c r="I14" s="100">
        <v>1.2</v>
      </c>
      <c r="J14" s="81">
        <v>600</v>
      </c>
      <c r="K14" s="101">
        <v>0.432</v>
      </c>
      <c r="L14" s="81">
        <v>2.5</v>
      </c>
    </row>
    <row r="15" spans="1:12" ht="13.5" customHeight="1" x14ac:dyDescent="0.15">
      <c r="A15" s="81" t="s">
        <v>61</v>
      </c>
      <c r="C15" s="98">
        <v>0.75</v>
      </c>
      <c r="G15" s="81">
        <v>1.6</v>
      </c>
      <c r="H15" s="99">
        <v>0.01</v>
      </c>
      <c r="I15" s="100">
        <v>1.3</v>
      </c>
      <c r="J15" s="81">
        <v>600</v>
      </c>
      <c r="K15" s="101">
        <v>0.432</v>
      </c>
      <c r="L15" s="81">
        <v>1.6</v>
      </c>
    </row>
    <row r="16" spans="1:12" ht="14.1" customHeight="1" x14ac:dyDescent="0.15">
      <c r="A16" s="81" t="s">
        <v>62</v>
      </c>
      <c r="B16" s="81" t="s">
        <v>63</v>
      </c>
      <c r="C16" s="98">
        <v>1.5</v>
      </c>
      <c r="D16" s="81" t="s">
        <v>41</v>
      </c>
      <c r="E16" s="81">
        <v>359</v>
      </c>
      <c r="F16" s="81">
        <v>920</v>
      </c>
      <c r="G16" s="81">
        <v>4.5999999999999996</v>
      </c>
      <c r="H16" s="99">
        <v>0.01</v>
      </c>
      <c r="I16" s="100">
        <v>3</v>
      </c>
      <c r="J16" s="81">
        <v>14</v>
      </c>
      <c r="K16" s="101">
        <v>0.432</v>
      </c>
      <c r="L16" s="81">
        <v>4.5999999999999996</v>
      </c>
    </row>
    <row r="17" spans="1:12" ht="14.1" customHeight="1" x14ac:dyDescent="0.15">
      <c r="A17" s="81" t="s">
        <v>64</v>
      </c>
      <c r="B17" s="81" t="s">
        <v>65</v>
      </c>
      <c r="C17" s="98">
        <v>3</v>
      </c>
      <c r="D17" s="81" t="s">
        <v>41</v>
      </c>
      <c r="E17" s="81">
        <v>456</v>
      </c>
      <c r="F17" s="81">
        <v>2020</v>
      </c>
      <c r="G17" s="81">
        <v>16</v>
      </c>
      <c r="H17" s="99">
        <v>0.01</v>
      </c>
      <c r="I17" s="100">
        <v>3</v>
      </c>
      <c r="J17" s="81">
        <v>30</v>
      </c>
      <c r="K17" s="101">
        <v>0.51</v>
      </c>
      <c r="L17" s="81">
        <v>16</v>
      </c>
    </row>
    <row r="18" spans="1:12" ht="14.1" customHeight="1" x14ac:dyDescent="0.15">
      <c r="A18" s="81" t="s">
        <v>66</v>
      </c>
      <c r="B18" s="81" t="s">
        <v>67</v>
      </c>
      <c r="C18" s="98">
        <v>3</v>
      </c>
      <c r="D18" s="81" t="s">
        <v>41</v>
      </c>
      <c r="E18" s="81">
        <v>373</v>
      </c>
      <c r="F18" s="81">
        <v>1760</v>
      </c>
      <c r="G18" s="81">
        <v>86</v>
      </c>
      <c r="H18" s="99">
        <v>0.01</v>
      </c>
      <c r="I18" s="100">
        <v>3</v>
      </c>
      <c r="J18" s="81">
        <v>30</v>
      </c>
      <c r="K18" s="101">
        <v>0.51</v>
      </c>
      <c r="L18" s="81">
        <f>G18*0.3</f>
        <v>25.8</v>
      </c>
    </row>
    <row r="19" spans="1:12" ht="14.1" customHeight="1" x14ac:dyDescent="0.15">
      <c r="A19" s="81" t="s">
        <v>68</v>
      </c>
      <c r="B19" s="81" t="s">
        <v>69</v>
      </c>
      <c r="C19" s="98">
        <v>5</v>
      </c>
      <c r="D19" s="81" t="s">
        <v>41</v>
      </c>
      <c r="E19" s="81">
        <v>530</v>
      </c>
      <c r="F19" s="81">
        <v>2950</v>
      </c>
      <c r="G19" s="81">
        <v>24</v>
      </c>
      <c r="H19" s="99">
        <v>0.01</v>
      </c>
      <c r="I19" s="100">
        <v>5</v>
      </c>
      <c r="J19" s="81">
        <v>14</v>
      </c>
      <c r="K19" s="101">
        <v>0.51</v>
      </c>
      <c r="L19" s="81">
        <f t="shared" ref="L19:L24" si="0">G19*0.3</f>
        <v>7.1999999999999993</v>
      </c>
    </row>
    <row r="20" spans="1:12" ht="14.1" customHeight="1" x14ac:dyDescent="0.15">
      <c r="A20" s="81" t="s">
        <v>70</v>
      </c>
      <c r="B20" s="81" t="s">
        <v>71</v>
      </c>
      <c r="C20" s="98">
        <v>6</v>
      </c>
      <c r="D20" s="81" t="s">
        <v>41</v>
      </c>
      <c r="E20" s="81">
        <v>493</v>
      </c>
      <c r="F20" s="81">
        <v>3000</v>
      </c>
      <c r="G20" s="81">
        <v>198</v>
      </c>
      <c r="H20" s="99">
        <v>0.01</v>
      </c>
      <c r="I20" s="100">
        <v>7</v>
      </c>
      <c r="J20" s="81">
        <v>14</v>
      </c>
      <c r="K20" s="101">
        <v>0.51</v>
      </c>
      <c r="L20" s="81">
        <f t="shared" si="0"/>
        <v>59.4</v>
      </c>
    </row>
    <row r="21" spans="1:12" ht="13.5" customHeight="1" x14ac:dyDescent="0.15">
      <c r="A21" s="81" t="s">
        <v>72</v>
      </c>
      <c r="B21" s="81" t="s">
        <v>73</v>
      </c>
      <c r="C21" s="98">
        <v>9</v>
      </c>
      <c r="D21" s="81" t="s">
        <v>41</v>
      </c>
      <c r="E21" s="81">
        <v>555</v>
      </c>
      <c r="F21" s="81">
        <v>4300</v>
      </c>
      <c r="G21" s="81">
        <v>498</v>
      </c>
      <c r="H21" s="99">
        <v>0.01</v>
      </c>
      <c r="I21" s="100">
        <v>10.5</v>
      </c>
      <c r="J21" s="81">
        <v>9</v>
      </c>
      <c r="K21" s="101">
        <v>0.51</v>
      </c>
      <c r="L21" s="81">
        <f t="shared" si="0"/>
        <v>149.4</v>
      </c>
    </row>
    <row r="22" spans="1:12" ht="13.5" customHeight="1" x14ac:dyDescent="0.15">
      <c r="A22" s="81" t="s">
        <v>74</v>
      </c>
      <c r="B22" s="81" t="s">
        <v>75</v>
      </c>
      <c r="C22" s="98">
        <v>12</v>
      </c>
      <c r="D22" s="81" t="s">
        <v>41</v>
      </c>
      <c r="E22" s="81">
        <v>631</v>
      </c>
      <c r="F22" s="81">
        <v>6100</v>
      </c>
      <c r="G22" s="81">
        <v>689</v>
      </c>
      <c r="H22" s="99">
        <v>0.01</v>
      </c>
      <c r="I22" s="100">
        <v>14</v>
      </c>
      <c r="J22" s="81">
        <v>6</v>
      </c>
      <c r="K22" s="101">
        <v>0.51</v>
      </c>
      <c r="L22" s="81">
        <f t="shared" si="0"/>
        <v>206.7</v>
      </c>
    </row>
    <row r="23" spans="1:12" ht="13.5" customHeight="1" x14ac:dyDescent="0.15">
      <c r="A23" s="81" t="s">
        <v>76</v>
      </c>
      <c r="B23" s="81" t="s">
        <v>77</v>
      </c>
      <c r="C23" s="98">
        <v>15</v>
      </c>
      <c r="D23" s="81" t="s">
        <v>41</v>
      </c>
      <c r="E23" s="81">
        <v>695</v>
      </c>
      <c r="F23" s="81">
        <v>6800</v>
      </c>
      <c r="G23" s="81">
        <v>999</v>
      </c>
      <c r="H23" s="99">
        <v>0.01</v>
      </c>
      <c r="I23" s="100">
        <v>17</v>
      </c>
      <c r="J23" s="81">
        <v>6</v>
      </c>
      <c r="K23" s="101">
        <v>0.51</v>
      </c>
      <c r="L23" s="81">
        <f t="shared" si="0"/>
        <v>299.7</v>
      </c>
    </row>
    <row r="24" spans="1:12" ht="13.5" customHeight="1" x14ac:dyDescent="0.15">
      <c r="A24" s="81" t="s">
        <v>78</v>
      </c>
      <c r="B24" s="81" t="s">
        <v>79</v>
      </c>
      <c r="C24" s="98">
        <v>18</v>
      </c>
      <c r="D24" s="81" t="s">
        <v>41</v>
      </c>
      <c r="E24" s="81">
        <v>750</v>
      </c>
      <c r="F24" s="81">
        <v>7100</v>
      </c>
      <c r="G24" s="81">
        <v>1488</v>
      </c>
      <c r="H24" s="99">
        <v>0.01</v>
      </c>
      <c r="I24" s="100">
        <v>20</v>
      </c>
      <c r="J24" s="81">
        <v>6</v>
      </c>
      <c r="K24" s="101">
        <v>0.51</v>
      </c>
      <c r="L24" s="81">
        <f t="shared" si="0"/>
        <v>446.4</v>
      </c>
    </row>
    <row r="25" spans="1:12" ht="13.5" customHeight="1" x14ac:dyDescent="0.15">
      <c r="A25" s="81" t="s">
        <v>80</v>
      </c>
      <c r="B25" s="81" t="s">
        <v>81</v>
      </c>
      <c r="C25" s="98">
        <v>0.7</v>
      </c>
      <c r="D25" s="81" t="s">
        <v>82</v>
      </c>
      <c r="G25" s="81">
        <v>4.5</v>
      </c>
      <c r="H25" s="99">
        <v>0.01</v>
      </c>
      <c r="I25" s="100">
        <v>3</v>
      </c>
      <c r="J25" s="81">
        <v>600</v>
      </c>
      <c r="K25" s="101">
        <v>0.62</v>
      </c>
      <c r="L25" s="81">
        <v>4.5</v>
      </c>
    </row>
    <row r="26" spans="1:12" ht="13.5" customHeight="1" x14ac:dyDescent="0.15">
      <c r="A26" s="81" t="s">
        <v>83</v>
      </c>
      <c r="B26" s="81" t="s">
        <v>84</v>
      </c>
      <c r="C26" s="98">
        <v>0.7</v>
      </c>
      <c r="D26" s="81" t="s">
        <v>85</v>
      </c>
      <c r="F26" s="81">
        <v>620</v>
      </c>
      <c r="G26" s="81">
        <v>3.5</v>
      </c>
      <c r="H26" s="99">
        <v>0.01</v>
      </c>
      <c r="I26" s="100">
        <v>3</v>
      </c>
      <c r="J26" s="81">
        <v>600</v>
      </c>
      <c r="K26" s="101">
        <v>0.62</v>
      </c>
      <c r="L26" s="81">
        <v>3.5</v>
      </c>
    </row>
    <row r="27" spans="1:12" ht="13.5" customHeight="1" x14ac:dyDescent="0.15">
      <c r="A27" s="81" t="s">
        <v>86</v>
      </c>
      <c r="B27" s="81" t="s">
        <v>87</v>
      </c>
      <c r="C27" s="98">
        <v>0.7</v>
      </c>
      <c r="D27" s="81" t="s">
        <v>82</v>
      </c>
      <c r="F27" s="81">
        <v>980</v>
      </c>
      <c r="G27" s="81">
        <v>14</v>
      </c>
      <c r="H27" s="99">
        <v>0.01</v>
      </c>
      <c r="I27" s="100">
        <v>3</v>
      </c>
      <c r="J27" s="81">
        <v>600</v>
      </c>
      <c r="K27" s="101">
        <v>0.62</v>
      </c>
      <c r="L27" s="81">
        <v>14</v>
      </c>
    </row>
    <row r="28" spans="1:12" ht="13.5" customHeight="1" x14ac:dyDescent="0.15">
      <c r="A28" s="81" t="s">
        <v>88</v>
      </c>
      <c r="B28" s="81" t="s">
        <v>89</v>
      </c>
      <c r="C28" s="98">
        <v>1</v>
      </c>
      <c r="D28" s="81" t="s">
        <v>82</v>
      </c>
      <c r="F28" s="81">
        <v>1100</v>
      </c>
      <c r="G28" s="81">
        <v>15</v>
      </c>
      <c r="H28" s="99">
        <v>0.01</v>
      </c>
      <c r="I28" s="100">
        <v>4</v>
      </c>
      <c r="J28" s="81">
        <v>400</v>
      </c>
      <c r="K28" s="101">
        <v>0.62</v>
      </c>
      <c r="L28" s="81">
        <v>15</v>
      </c>
    </row>
    <row r="29" spans="1:12" ht="13.5" customHeight="1" x14ac:dyDescent="0.15">
      <c r="A29" s="81" t="s">
        <v>90</v>
      </c>
      <c r="B29" s="81" t="s">
        <v>91</v>
      </c>
      <c r="C29" s="98">
        <v>0.7</v>
      </c>
      <c r="D29" s="81" t="s">
        <v>82</v>
      </c>
      <c r="F29" s="81">
        <v>1080</v>
      </c>
      <c r="G29" s="81">
        <v>9</v>
      </c>
      <c r="H29" s="99">
        <v>0.01</v>
      </c>
      <c r="I29" s="100">
        <v>3</v>
      </c>
      <c r="J29" s="81">
        <v>600</v>
      </c>
      <c r="K29" s="101">
        <v>0.62</v>
      </c>
      <c r="L29" s="81">
        <v>9</v>
      </c>
    </row>
    <row r="30" spans="1:12" ht="13.5" customHeight="1" x14ac:dyDescent="0.15">
      <c r="A30" s="81" t="s">
        <v>92</v>
      </c>
      <c r="B30" s="81" t="s">
        <v>93</v>
      </c>
      <c r="C30" s="98">
        <v>0.7</v>
      </c>
      <c r="D30" s="81" t="s">
        <v>82</v>
      </c>
      <c r="F30" s="81">
        <v>900</v>
      </c>
      <c r="G30" s="81">
        <v>19</v>
      </c>
      <c r="H30" s="99">
        <v>0.01</v>
      </c>
      <c r="I30" s="100">
        <v>3</v>
      </c>
      <c r="J30" s="81">
        <v>600</v>
      </c>
      <c r="K30" s="101">
        <v>0.62</v>
      </c>
      <c r="L30" s="81">
        <v>19</v>
      </c>
    </row>
    <row r="31" spans="1:12" ht="13.5" customHeight="1" x14ac:dyDescent="0.15">
      <c r="A31" s="81" t="s">
        <v>94</v>
      </c>
      <c r="B31" s="81" t="s">
        <v>95</v>
      </c>
      <c r="C31" s="98">
        <v>0.7</v>
      </c>
      <c r="D31" s="81" t="s">
        <v>82</v>
      </c>
      <c r="F31" s="81">
        <v>1100</v>
      </c>
      <c r="G31" s="81">
        <v>20</v>
      </c>
      <c r="H31" s="99">
        <v>0.01</v>
      </c>
      <c r="I31" s="100">
        <v>3</v>
      </c>
      <c r="J31" s="81">
        <v>600</v>
      </c>
      <c r="K31" s="101">
        <v>0.62</v>
      </c>
      <c r="L31" s="81">
        <v>20</v>
      </c>
    </row>
    <row r="32" spans="1:12" ht="13.5" customHeight="1" x14ac:dyDescent="0.15">
      <c r="A32" s="81" t="s">
        <v>96</v>
      </c>
      <c r="B32" s="81" t="s">
        <v>97</v>
      </c>
      <c r="C32" s="98">
        <v>0.7</v>
      </c>
      <c r="D32" s="81" t="s">
        <v>82</v>
      </c>
      <c r="F32" s="81">
        <v>1100</v>
      </c>
      <c r="G32" s="81">
        <v>20</v>
      </c>
      <c r="H32" s="99">
        <v>0.01</v>
      </c>
      <c r="I32" s="100">
        <v>3</v>
      </c>
      <c r="J32" s="81">
        <v>600</v>
      </c>
      <c r="K32" s="101">
        <v>0.62</v>
      </c>
      <c r="L32" s="81">
        <v>20</v>
      </c>
    </row>
    <row r="33" spans="1:12" ht="13.5" customHeight="1" x14ac:dyDescent="0.15">
      <c r="A33" s="81" t="s">
        <v>98</v>
      </c>
      <c r="B33" s="81" t="s">
        <v>99</v>
      </c>
      <c r="C33" s="98">
        <v>1</v>
      </c>
      <c r="D33" s="81" t="s">
        <v>82</v>
      </c>
      <c r="F33" s="81">
        <v>1250</v>
      </c>
      <c r="G33" s="81">
        <v>21</v>
      </c>
      <c r="H33" s="99">
        <v>0.01</v>
      </c>
      <c r="I33" s="100">
        <v>4</v>
      </c>
      <c r="J33" s="81">
        <v>400</v>
      </c>
      <c r="K33" s="101">
        <v>0.62</v>
      </c>
      <c r="L33" s="81">
        <v>21</v>
      </c>
    </row>
    <row r="35" spans="1:12" ht="13.5" customHeight="1" x14ac:dyDescent="0.15"/>
    <row r="36" spans="1:12" ht="13.5" customHeight="1" x14ac:dyDescent="0.15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9"/>
  <sheetViews>
    <sheetView topLeftCell="A7" workbookViewId="0">
      <selection activeCell="B34" sqref="B34"/>
    </sheetView>
  </sheetViews>
  <sheetFormatPr defaultColWidth="8.75" defaultRowHeight="14.25" x14ac:dyDescent="0.15"/>
  <cols>
    <col min="1" max="1" width="10.5" style="84" customWidth="1"/>
    <col min="2" max="2" width="19.375" style="84" customWidth="1"/>
    <col min="3" max="5" width="12" style="84" customWidth="1"/>
    <col min="6" max="6" width="26.5" style="84" customWidth="1"/>
    <col min="7" max="7" width="20.625" style="84" customWidth="1"/>
    <col min="8" max="16384" width="8.75" style="84"/>
  </cols>
  <sheetData>
    <row r="1" spans="1:7" s="83" customFormat="1" x14ac:dyDescent="0.15">
      <c r="A1" s="83" t="s">
        <v>100</v>
      </c>
      <c r="B1" s="83" t="s">
        <v>101</v>
      </c>
      <c r="C1" s="83" t="s">
        <v>102</v>
      </c>
      <c r="D1" s="83" t="s">
        <v>103</v>
      </c>
      <c r="E1" s="83" t="s">
        <v>29</v>
      </c>
      <c r="F1" s="83" t="s">
        <v>104</v>
      </c>
    </row>
    <row r="2" spans="1:7" x14ac:dyDescent="0.15">
      <c r="A2" s="134" t="s">
        <v>105</v>
      </c>
      <c r="B2" s="85" t="s">
        <v>106</v>
      </c>
      <c r="C2" s="86">
        <v>0.2</v>
      </c>
      <c r="D2" s="86" t="s">
        <v>107</v>
      </c>
      <c r="E2" s="87">
        <v>0.01</v>
      </c>
      <c r="F2" s="88">
        <v>0</v>
      </c>
      <c r="G2" s="86" t="s">
        <v>108</v>
      </c>
    </row>
    <row r="3" spans="1:7" x14ac:dyDescent="0.15">
      <c r="A3" s="134"/>
      <c r="B3" s="85" t="s">
        <v>109</v>
      </c>
      <c r="C3" s="86">
        <v>0.2</v>
      </c>
      <c r="D3" s="86" t="s">
        <v>107</v>
      </c>
      <c r="E3" s="87">
        <v>0.01</v>
      </c>
      <c r="F3" s="88">
        <v>0.2</v>
      </c>
      <c r="G3" s="86"/>
    </row>
    <row r="4" spans="1:7" x14ac:dyDescent="0.15">
      <c r="A4" s="134" t="s">
        <v>110</v>
      </c>
      <c r="B4" s="89" t="s">
        <v>111</v>
      </c>
      <c r="C4" s="86">
        <v>0</v>
      </c>
      <c r="D4" s="86" t="s">
        <v>107</v>
      </c>
      <c r="E4" s="87">
        <v>0.01</v>
      </c>
      <c r="G4" s="86"/>
    </row>
    <row r="5" spans="1:7" x14ac:dyDescent="0.15">
      <c r="A5" s="134"/>
      <c r="B5" s="89" t="s">
        <v>112</v>
      </c>
      <c r="C5" s="86">
        <v>0.35</v>
      </c>
      <c r="D5" s="86" t="s">
        <v>107</v>
      </c>
      <c r="E5" s="87">
        <v>0.01</v>
      </c>
      <c r="F5" s="88"/>
      <c r="G5" s="86"/>
    </row>
    <row r="6" spans="1:7" x14ac:dyDescent="0.15">
      <c r="A6" s="134"/>
      <c r="B6" s="89" t="s">
        <v>113</v>
      </c>
      <c r="C6" s="86">
        <v>0.55000000000000004</v>
      </c>
      <c r="D6" s="86" t="s">
        <v>107</v>
      </c>
      <c r="E6" s="87">
        <v>0.01</v>
      </c>
      <c r="F6" s="88"/>
      <c r="G6" s="86"/>
    </row>
    <row r="7" spans="1:7" x14ac:dyDescent="0.15">
      <c r="A7" s="134"/>
      <c r="B7" s="89" t="s">
        <v>114</v>
      </c>
      <c r="C7" s="86">
        <v>0.9</v>
      </c>
      <c r="D7" s="86" t="s">
        <v>107</v>
      </c>
      <c r="E7" s="87">
        <v>0.01</v>
      </c>
      <c r="F7" s="88"/>
      <c r="G7" s="86"/>
    </row>
    <row r="8" spans="1:7" x14ac:dyDescent="0.15">
      <c r="A8" s="134"/>
      <c r="B8" s="85" t="s">
        <v>115</v>
      </c>
      <c r="C8" s="86">
        <v>2.4</v>
      </c>
      <c r="D8" s="86" t="s">
        <v>107</v>
      </c>
      <c r="E8" s="87">
        <v>0.01</v>
      </c>
      <c r="F8" s="88"/>
      <c r="G8" s="86"/>
    </row>
    <row r="9" spans="1:7" x14ac:dyDescent="0.15">
      <c r="A9" s="134"/>
      <c r="B9" s="90" t="s">
        <v>116</v>
      </c>
      <c r="C9" s="86">
        <v>3.5</v>
      </c>
      <c r="D9" s="86" t="s">
        <v>107</v>
      </c>
      <c r="E9" s="87">
        <v>0.01</v>
      </c>
      <c r="F9" s="88"/>
      <c r="G9" s="86"/>
    </row>
    <row r="10" spans="1:7" x14ac:dyDescent="0.15">
      <c r="A10" s="134"/>
      <c r="B10" s="90" t="s">
        <v>117</v>
      </c>
      <c r="C10" s="86">
        <v>15</v>
      </c>
      <c r="D10" s="86" t="s">
        <v>107</v>
      </c>
      <c r="E10" s="87">
        <v>0.01</v>
      </c>
      <c r="F10" s="88"/>
      <c r="G10" s="86"/>
    </row>
    <row r="11" spans="1:7" x14ac:dyDescent="0.15">
      <c r="A11" s="134"/>
      <c r="B11" s="90" t="s">
        <v>118</v>
      </c>
      <c r="C11" s="86">
        <v>40</v>
      </c>
      <c r="D11" s="86" t="s">
        <v>107</v>
      </c>
      <c r="E11" s="87">
        <v>0.01</v>
      </c>
      <c r="F11" s="88"/>
      <c r="G11" s="86"/>
    </row>
    <row r="12" spans="1:7" x14ac:dyDescent="0.15">
      <c r="A12" s="134"/>
      <c r="B12" s="90" t="s">
        <v>82</v>
      </c>
      <c r="C12" s="86">
        <v>0</v>
      </c>
      <c r="D12" s="86" t="s">
        <v>107</v>
      </c>
      <c r="E12" s="87">
        <v>0.01</v>
      </c>
      <c r="F12" s="88"/>
      <c r="G12" s="86"/>
    </row>
    <row r="13" spans="1:7" x14ac:dyDescent="0.15">
      <c r="A13" s="134" t="s">
        <v>119</v>
      </c>
      <c r="B13" s="85" t="s">
        <v>120</v>
      </c>
      <c r="C13" s="86">
        <v>0.2</v>
      </c>
      <c r="D13" s="86" t="s">
        <v>107</v>
      </c>
      <c r="E13" s="87">
        <v>0.01</v>
      </c>
      <c r="F13" s="88">
        <v>0</v>
      </c>
      <c r="G13" s="86" t="s">
        <v>121</v>
      </c>
    </row>
    <row r="14" spans="1:7" x14ac:dyDescent="0.15">
      <c r="A14" s="134"/>
      <c r="B14" s="85" t="s">
        <v>122</v>
      </c>
      <c r="C14" s="86">
        <v>0.2</v>
      </c>
      <c r="D14" s="86" t="s">
        <v>107</v>
      </c>
      <c r="E14" s="87">
        <v>0.01</v>
      </c>
      <c r="F14" s="88">
        <v>0</v>
      </c>
      <c r="G14" s="86"/>
    </row>
    <row r="15" spans="1:7" x14ac:dyDescent="0.15">
      <c r="A15" s="134"/>
      <c r="B15" s="91" t="s">
        <v>123</v>
      </c>
      <c r="C15" s="86">
        <v>0.2</v>
      </c>
      <c r="D15" s="86" t="s">
        <v>107</v>
      </c>
      <c r="E15" s="87">
        <v>0.01</v>
      </c>
      <c r="F15" s="88">
        <v>0</v>
      </c>
      <c r="G15" s="86"/>
    </row>
    <row r="16" spans="1:7" x14ac:dyDescent="0.15">
      <c r="A16" s="134"/>
      <c r="B16" s="91" t="s">
        <v>124</v>
      </c>
      <c r="C16" s="86">
        <v>0.4</v>
      </c>
      <c r="D16" s="86" t="s">
        <v>107</v>
      </c>
      <c r="E16" s="87">
        <v>0.01</v>
      </c>
      <c r="F16" s="88">
        <v>0</v>
      </c>
      <c r="G16" s="86"/>
    </row>
    <row r="17" spans="1:7" x14ac:dyDescent="0.15">
      <c r="A17" s="134"/>
      <c r="B17" s="92" t="s">
        <v>125</v>
      </c>
      <c r="C17" s="93">
        <v>2</v>
      </c>
      <c r="D17" s="86" t="s">
        <v>107</v>
      </c>
      <c r="E17" s="87">
        <v>0.01</v>
      </c>
      <c r="F17" s="88">
        <v>0.5</v>
      </c>
      <c r="G17" s="86" t="s">
        <v>126</v>
      </c>
    </row>
    <row r="18" spans="1:7" x14ac:dyDescent="0.15">
      <c r="A18" s="134"/>
      <c r="B18" s="91" t="s">
        <v>127</v>
      </c>
      <c r="C18" s="86">
        <v>0.5</v>
      </c>
      <c r="D18" s="86" t="s">
        <v>107</v>
      </c>
      <c r="E18" s="87">
        <v>0.01</v>
      </c>
      <c r="F18" s="88">
        <v>0</v>
      </c>
      <c r="G18" s="86"/>
    </row>
    <row r="19" spans="1:7" x14ac:dyDescent="0.15">
      <c r="A19" s="134"/>
      <c r="B19" s="91" t="s">
        <v>128</v>
      </c>
      <c r="C19" s="86">
        <v>3</v>
      </c>
      <c r="D19" s="86" t="s">
        <v>107</v>
      </c>
      <c r="E19" s="87">
        <v>0.01</v>
      </c>
      <c r="F19" s="88">
        <v>3</v>
      </c>
      <c r="G19" s="86"/>
    </row>
    <row r="20" spans="1:7" x14ac:dyDescent="0.15">
      <c r="A20" s="134"/>
      <c r="B20" s="91" t="s">
        <v>129</v>
      </c>
      <c r="C20" s="86">
        <v>5</v>
      </c>
      <c r="D20" s="86" t="s">
        <v>107</v>
      </c>
      <c r="E20" s="87">
        <v>0.01</v>
      </c>
      <c r="F20" s="88">
        <v>5</v>
      </c>
      <c r="G20" s="86"/>
    </row>
    <row r="21" spans="1:7" x14ac:dyDescent="0.15">
      <c r="A21" s="134"/>
      <c r="B21" s="91" t="s">
        <v>130</v>
      </c>
      <c r="C21" s="86">
        <v>6</v>
      </c>
      <c r="D21" s="86" t="s">
        <v>107</v>
      </c>
      <c r="E21" s="87">
        <v>0.01</v>
      </c>
      <c r="F21" s="88">
        <v>6</v>
      </c>
      <c r="G21" s="86"/>
    </row>
    <row r="22" spans="1:7" x14ac:dyDescent="0.15">
      <c r="A22" s="134"/>
      <c r="B22" s="91" t="s">
        <v>131</v>
      </c>
      <c r="C22" s="86">
        <v>7</v>
      </c>
      <c r="D22" s="86" t="s">
        <v>107</v>
      </c>
      <c r="E22" s="87">
        <v>0.01</v>
      </c>
      <c r="F22" s="88">
        <v>7</v>
      </c>
      <c r="G22" s="86"/>
    </row>
    <row r="23" spans="1:7" x14ac:dyDescent="0.15">
      <c r="A23" s="134"/>
      <c r="B23" s="91" t="s">
        <v>132</v>
      </c>
      <c r="C23" s="86">
        <v>10</v>
      </c>
      <c r="D23" s="86" t="s">
        <v>107</v>
      </c>
      <c r="E23" s="87">
        <v>0.01</v>
      </c>
      <c r="F23" s="88">
        <v>10</v>
      </c>
      <c r="G23" s="86"/>
    </row>
    <row r="24" spans="1:7" x14ac:dyDescent="0.15">
      <c r="A24" s="134"/>
      <c r="B24" s="91" t="s">
        <v>133</v>
      </c>
      <c r="C24" s="86">
        <v>11</v>
      </c>
      <c r="D24" s="86" t="s">
        <v>107</v>
      </c>
      <c r="E24" s="87">
        <v>0.01</v>
      </c>
      <c r="F24" s="88">
        <v>11</v>
      </c>
      <c r="G24" s="86"/>
    </row>
    <row r="25" spans="1:7" x14ac:dyDescent="0.15">
      <c r="A25" s="134"/>
      <c r="B25" s="94" t="s">
        <v>134</v>
      </c>
      <c r="C25" s="86">
        <v>12</v>
      </c>
      <c r="D25" s="86" t="s">
        <v>107</v>
      </c>
      <c r="E25" s="87">
        <v>0.01</v>
      </c>
      <c r="F25" s="88">
        <v>12</v>
      </c>
      <c r="G25" s="86"/>
    </row>
    <row r="26" spans="1:7" x14ac:dyDescent="0.15">
      <c r="A26" s="134" t="s">
        <v>135</v>
      </c>
      <c r="B26" s="85" t="s">
        <v>136</v>
      </c>
      <c r="C26" s="86">
        <v>0</v>
      </c>
      <c r="D26" s="95">
        <v>6</v>
      </c>
      <c r="E26" s="87">
        <v>0.01</v>
      </c>
      <c r="F26" s="88"/>
      <c r="G26" s="86"/>
    </row>
    <row r="27" spans="1:7" x14ac:dyDescent="0.15">
      <c r="A27" s="134"/>
      <c r="B27" s="85" t="s">
        <v>137</v>
      </c>
      <c r="C27" s="86">
        <v>3</v>
      </c>
      <c r="D27" s="95">
        <v>6</v>
      </c>
      <c r="E27" s="87">
        <v>0.01</v>
      </c>
      <c r="F27" s="88"/>
      <c r="G27" s="86"/>
    </row>
    <row r="28" spans="1:7" x14ac:dyDescent="0.15">
      <c r="A28" s="134"/>
      <c r="B28" s="85" t="s">
        <v>138</v>
      </c>
      <c r="C28" s="86">
        <v>12</v>
      </c>
      <c r="D28" s="95">
        <v>6</v>
      </c>
      <c r="E28" s="87">
        <v>0.01</v>
      </c>
      <c r="F28" s="88"/>
      <c r="G28" s="86"/>
    </row>
    <row r="29" spans="1:7" x14ac:dyDescent="0.15">
      <c r="A29" s="134"/>
      <c r="B29" s="91" t="s">
        <v>139</v>
      </c>
      <c r="C29" s="86">
        <v>3.5</v>
      </c>
      <c r="D29" s="95">
        <v>6</v>
      </c>
      <c r="E29" s="87">
        <v>0.01</v>
      </c>
      <c r="F29" s="88"/>
      <c r="G29" s="86"/>
    </row>
    <row r="30" spans="1:7" x14ac:dyDescent="0.15">
      <c r="A30" s="134"/>
      <c r="B30" s="91" t="s">
        <v>140</v>
      </c>
      <c r="C30" s="86">
        <f>3.7+0.5</f>
        <v>4.2</v>
      </c>
      <c r="D30" s="95">
        <v>6</v>
      </c>
      <c r="E30" s="87">
        <v>0.01</v>
      </c>
      <c r="F30" s="88"/>
      <c r="G30" s="86" t="s">
        <v>141</v>
      </c>
    </row>
    <row r="31" spans="1:7" x14ac:dyDescent="0.15">
      <c r="A31" s="134"/>
      <c r="B31" s="85" t="s">
        <v>142</v>
      </c>
      <c r="C31" s="86">
        <v>4</v>
      </c>
      <c r="D31" s="95">
        <v>24</v>
      </c>
      <c r="E31" s="87">
        <v>0.01</v>
      </c>
      <c r="F31" s="88"/>
      <c r="G31" s="86" t="s">
        <v>141</v>
      </c>
    </row>
    <row r="32" spans="1:7" x14ac:dyDescent="0.15">
      <c r="A32" s="134"/>
      <c r="B32" s="85" t="s">
        <v>143</v>
      </c>
      <c r="C32" s="86">
        <v>4</v>
      </c>
      <c r="D32" s="95">
        <v>12</v>
      </c>
      <c r="E32" s="87">
        <v>0.01</v>
      </c>
      <c r="F32" s="88"/>
      <c r="G32" s="86" t="s">
        <v>141</v>
      </c>
    </row>
    <row r="33" spans="1:7" x14ac:dyDescent="0.15">
      <c r="A33" s="134"/>
      <c r="B33" s="85" t="s">
        <v>144</v>
      </c>
      <c r="C33" s="86">
        <v>5</v>
      </c>
      <c r="D33" s="95">
        <v>6</v>
      </c>
      <c r="E33" s="87">
        <v>0.01</v>
      </c>
      <c r="F33" s="88"/>
      <c r="G33" s="86"/>
    </row>
    <row r="34" spans="1:7" x14ac:dyDescent="0.15">
      <c r="A34" s="134"/>
      <c r="B34" s="85" t="s">
        <v>145</v>
      </c>
      <c r="C34" s="86">
        <v>5</v>
      </c>
      <c r="D34" s="95">
        <v>4</v>
      </c>
      <c r="E34" s="87">
        <v>0.01</v>
      </c>
      <c r="F34" s="88"/>
      <c r="G34" s="86"/>
    </row>
    <row r="35" spans="1:7" x14ac:dyDescent="0.15">
      <c r="A35" s="134"/>
      <c r="B35" s="91" t="s">
        <v>146</v>
      </c>
      <c r="C35" s="86">
        <v>12.5</v>
      </c>
      <c r="D35" s="95">
        <v>6</v>
      </c>
      <c r="E35" s="87">
        <v>0.01</v>
      </c>
      <c r="F35" s="88"/>
      <c r="G35" s="86" t="s">
        <v>147</v>
      </c>
    </row>
    <row r="36" spans="1:7" x14ac:dyDescent="0.15">
      <c r="A36" s="134" t="s">
        <v>148</v>
      </c>
      <c r="B36" s="96" t="s">
        <v>149</v>
      </c>
      <c r="C36" s="93">
        <v>0.2</v>
      </c>
      <c r="D36" s="86"/>
      <c r="E36" s="87">
        <v>0.01</v>
      </c>
      <c r="F36" s="88"/>
      <c r="G36" s="86"/>
    </row>
    <row r="37" spans="1:7" x14ac:dyDescent="0.15">
      <c r="A37" s="134"/>
      <c r="B37" s="85"/>
      <c r="C37" s="86"/>
      <c r="D37" s="86"/>
      <c r="E37" s="87"/>
      <c r="F37" s="87"/>
      <c r="G37" s="86"/>
    </row>
    <row r="38" spans="1:7" x14ac:dyDescent="0.15">
      <c r="A38" s="134"/>
      <c r="B38" s="91"/>
      <c r="C38" s="86"/>
      <c r="D38" s="86"/>
      <c r="E38" s="87"/>
      <c r="F38" s="87"/>
      <c r="G38" s="86"/>
    </row>
    <row r="39" spans="1:7" x14ac:dyDescent="0.15">
      <c r="A39" s="134"/>
      <c r="B39" s="97"/>
      <c r="C39" s="86"/>
      <c r="D39" s="86"/>
      <c r="E39" s="87"/>
      <c r="F39" s="87"/>
      <c r="G39" s="86"/>
    </row>
  </sheetData>
  <mergeCells count="5">
    <mergeCell ref="A2:A3"/>
    <mergeCell ref="A4:A12"/>
    <mergeCell ref="A13:A25"/>
    <mergeCell ref="A26:A35"/>
    <mergeCell ref="A36:A39"/>
  </mergeCells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>
      <selection activeCell="A33" sqref="A33"/>
    </sheetView>
  </sheetViews>
  <sheetFormatPr defaultColWidth="9" defaultRowHeight="13.5" x14ac:dyDescent="0.15"/>
  <cols>
    <col min="1" max="1" width="15.75" customWidth="1"/>
    <col min="2" max="2" width="10.25" customWidth="1"/>
    <col min="3" max="3" width="10.5" customWidth="1"/>
  </cols>
  <sheetData>
    <row r="1" spans="1:3" ht="14.25" x14ac:dyDescent="0.15">
      <c r="A1" s="47" t="s">
        <v>150</v>
      </c>
      <c r="B1" s="47" t="s">
        <v>151</v>
      </c>
      <c r="C1" s="47" t="s">
        <v>152</v>
      </c>
    </row>
    <row r="2" spans="1:3" ht="14.25" x14ac:dyDescent="0.15">
      <c r="A2" s="81" t="s">
        <v>153</v>
      </c>
      <c r="B2" s="82">
        <v>800</v>
      </c>
      <c r="C2" s="42" t="s">
        <v>154</v>
      </c>
    </row>
    <row r="3" spans="1:3" ht="14.25" x14ac:dyDescent="0.15">
      <c r="A3" s="81" t="s">
        <v>155</v>
      </c>
      <c r="B3" s="82">
        <v>500</v>
      </c>
      <c r="C3" s="42" t="s">
        <v>154</v>
      </c>
    </row>
    <row r="4" spans="1:3" x14ac:dyDescent="0.15">
      <c r="A4" s="81" t="s">
        <v>156</v>
      </c>
      <c r="B4" s="82">
        <v>700</v>
      </c>
      <c r="C4" s="81" t="s">
        <v>154</v>
      </c>
    </row>
    <row r="5" spans="1:3" x14ac:dyDescent="0.15">
      <c r="A5" s="81" t="s">
        <v>157</v>
      </c>
      <c r="B5" s="82">
        <v>800</v>
      </c>
      <c r="C5" s="81" t="s">
        <v>154</v>
      </c>
    </row>
    <row r="6" spans="1:3" x14ac:dyDescent="0.15">
      <c r="A6" s="81"/>
      <c r="B6" s="82"/>
      <c r="C6" s="79"/>
    </row>
    <row r="7" spans="1:3" ht="14.25" x14ac:dyDescent="0.15">
      <c r="A7" s="47" t="s">
        <v>5</v>
      </c>
      <c r="B7" s="82">
        <f>SUM(B2:B5)</f>
        <v>2800</v>
      </c>
      <c r="C7" s="79"/>
    </row>
  </sheetData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"/>
  <sheetViews>
    <sheetView workbookViewId="0">
      <selection activeCell="A4" sqref="A4"/>
    </sheetView>
  </sheetViews>
  <sheetFormatPr defaultColWidth="9" defaultRowHeight="13.5" x14ac:dyDescent="0.15"/>
  <cols>
    <col min="1" max="1" width="15.5" customWidth="1"/>
    <col min="2" max="2" width="44.875" customWidth="1"/>
  </cols>
  <sheetData>
    <row r="1" spans="1:5" x14ac:dyDescent="0.15">
      <c r="B1" s="75" t="s">
        <v>158</v>
      </c>
      <c r="C1" s="76"/>
    </row>
    <row r="2" spans="1:5" ht="14.25" x14ac:dyDescent="0.15">
      <c r="A2" s="47" t="s">
        <v>159</v>
      </c>
      <c r="B2" s="77">
        <v>0.432</v>
      </c>
      <c r="C2" s="47"/>
      <c r="D2" s="47"/>
      <c r="E2" s="47"/>
    </row>
    <row r="3" spans="1:5" ht="14.25" x14ac:dyDescent="0.15">
      <c r="A3" s="47" t="s">
        <v>160</v>
      </c>
      <c r="B3" s="77">
        <v>0.51</v>
      </c>
      <c r="C3" s="47"/>
      <c r="D3" s="47"/>
      <c r="E3" s="47"/>
    </row>
    <row r="4" spans="1:5" ht="14.25" x14ac:dyDescent="0.15">
      <c r="A4" s="47" t="s">
        <v>161</v>
      </c>
      <c r="B4" s="78">
        <v>0.62</v>
      </c>
      <c r="C4" s="79"/>
      <c r="D4" s="42"/>
      <c r="E4" s="78"/>
    </row>
    <row r="5" spans="1:5" ht="14.25" x14ac:dyDescent="0.15">
      <c r="A5" s="42"/>
      <c r="B5" s="78"/>
      <c r="C5" s="79"/>
      <c r="D5" s="42"/>
      <c r="E5" s="78"/>
    </row>
    <row r="6" spans="1:5" ht="14.25" x14ac:dyDescent="0.15">
      <c r="A6" s="42"/>
      <c r="B6" s="78"/>
      <c r="C6" s="79"/>
      <c r="D6" s="79"/>
      <c r="E6" s="79"/>
    </row>
    <row r="7" spans="1:5" ht="14.25" x14ac:dyDescent="0.15">
      <c r="A7" s="42"/>
      <c r="B7" s="78"/>
      <c r="C7" s="79"/>
      <c r="D7" s="79"/>
      <c r="E7" s="79"/>
    </row>
    <row r="8" spans="1:5" ht="27" x14ac:dyDescent="0.15">
      <c r="A8" s="42" t="s">
        <v>6</v>
      </c>
      <c r="B8" s="80" t="s">
        <v>162</v>
      </c>
      <c r="C8" s="79"/>
      <c r="D8" s="79"/>
      <c r="E8" s="79"/>
    </row>
    <row r="9" spans="1:5" ht="14.25" x14ac:dyDescent="0.15">
      <c r="A9" s="42"/>
      <c r="B9" s="78"/>
      <c r="C9" s="79"/>
      <c r="D9" s="79"/>
      <c r="E9" s="79"/>
    </row>
  </sheetData>
  <phoneticPr fontId="2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155"/>
  <sheetViews>
    <sheetView zoomScale="80" zoomScaleNormal="80" workbookViewId="0">
      <selection activeCell="X28" sqref="X28"/>
    </sheetView>
  </sheetViews>
  <sheetFormatPr defaultColWidth="8.75" defaultRowHeight="14.25" outlineLevelCol="1" x14ac:dyDescent="0.15"/>
  <cols>
    <col min="1" max="1" width="29.875" style="40" customWidth="1"/>
    <col min="2" max="2" width="28" style="40" customWidth="1"/>
    <col min="3" max="3" width="10" style="40" customWidth="1"/>
    <col min="4" max="4" width="15.875" style="40" customWidth="1"/>
    <col min="5" max="5" width="10" style="41" customWidth="1"/>
    <col min="6" max="6" width="6.125" style="40" customWidth="1"/>
    <col min="7" max="8" width="8.625" style="40" customWidth="1"/>
    <col min="9" max="9" width="5.5" style="40" customWidth="1"/>
    <col min="10" max="10" width="14.5" style="40" customWidth="1"/>
    <col min="11" max="11" width="20.625" style="40" hidden="1" customWidth="1" outlineLevel="1"/>
    <col min="12" max="12" width="6" style="42" hidden="1" customWidth="1" outlineLevel="1"/>
    <col min="13" max="13" width="8.75" style="40" hidden="1" customWidth="1" outlineLevel="1"/>
    <col min="14" max="14" width="19.5" style="40" hidden="1" customWidth="1" outlineLevel="1"/>
    <col min="15" max="15" width="23.875" style="40" hidden="1" customWidth="1" outlineLevel="1"/>
    <col min="16" max="16" width="8.75" style="40" hidden="1" customWidth="1" outlineLevel="1"/>
    <col min="17" max="17" width="28.875" style="40" customWidth="1" collapsed="1"/>
    <col min="18" max="18" width="13.25" style="40" hidden="1" customWidth="1" outlineLevel="1"/>
    <col min="19" max="20" width="14.5" style="40" hidden="1" customWidth="1" outlineLevel="1"/>
    <col min="21" max="21" width="8.75" style="40" hidden="1" customWidth="1" outlineLevel="1"/>
    <col min="22" max="22" width="21.875" style="40" hidden="1" customWidth="1" outlineLevel="1"/>
    <col min="23" max="23" width="8.375" style="40" hidden="1" customWidth="1" outlineLevel="1"/>
    <col min="24" max="24" width="12.375" style="40" customWidth="1" collapsed="1"/>
    <col min="25" max="26" width="14.5" style="40" hidden="1" customWidth="1" outlineLevel="1"/>
    <col min="27" max="27" width="12.375" style="40" customWidth="1" collapsed="1"/>
    <col min="28" max="30" width="14.5" style="40" hidden="1" customWidth="1" outlineLevel="1"/>
    <col min="31" max="31" width="20" style="40" customWidth="1" collapsed="1"/>
    <col min="32" max="33" width="14.5" style="40" hidden="1" customWidth="1" outlineLevel="1"/>
    <col min="34" max="34" width="8.75" style="40" hidden="1" customWidth="1" outlineLevel="1"/>
    <col min="35" max="35" width="24.375" style="40" hidden="1" customWidth="1" outlineLevel="1"/>
    <col min="36" max="36" width="24.75" style="40" hidden="1" customWidth="1" outlineLevel="1"/>
    <col min="37" max="37" width="26.125" style="40" hidden="1" customWidth="1" outlineLevel="1"/>
    <col min="38" max="38" width="11.125" style="40" hidden="1" customWidth="1" outlineLevel="1"/>
    <col min="39" max="39" width="16.125" style="40" hidden="1" customWidth="1" outlineLevel="1"/>
    <col min="40" max="40" width="17.5" style="40" hidden="1" customWidth="1" outlineLevel="1"/>
    <col min="41" max="41" width="18.875" style="40" hidden="1" customWidth="1" outlineLevel="1"/>
    <col min="42" max="42" width="16.125" style="40" hidden="1" customWidth="1" outlineLevel="1"/>
    <col min="43" max="43" width="16.125" style="40" customWidth="1" collapsed="1"/>
    <col min="44" max="44" width="17.5" style="40" customWidth="1"/>
    <col min="45" max="45" width="18.875" style="40" customWidth="1"/>
    <col min="46" max="46" width="16.125" style="40" customWidth="1"/>
    <col min="47" max="47" width="17.5" style="40" customWidth="1"/>
    <col min="48" max="48" width="18.875" style="40" customWidth="1"/>
    <col min="49" max="49" width="16.125" style="40" customWidth="1"/>
    <col min="50" max="50" width="17.5" style="40" customWidth="1"/>
    <col min="51" max="51" width="18.875" style="40" customWidth="1"/>
    <col min="52" max="16384" width="8.75" style="40"/>
  </cols>
  <sheetData>
    <row r="1" spans="1:51" x14ac:dyDescent="0.15">
      <c r="Q1" s="139" t="s">
        <v>163</v>
      </c>
      <c r="R1" s="140"/>
      <c r="S1" s="140"/>
      <c r="T1" s="140"/>
      <c r="U1" s="140"/>
      <c r="V1" s="140"/>
      <c r="W1" s="141"/>
      <c r="X1" s="139" t="s">
        <v>164</v>
      </c>
      <c r="Y1" s="140"/>
      <c r="Z1" s="141"/>
      <c r="AA1" s="139" t="s">
        <v>165</v>
      </c>
      <c r="AB1" s="140"/>
      <c r="AC1" s="140"/>
      <c r="AD1" s="141"/>
      <c r="AE1" s="139" t="s">
        <v>166</v>
      </c>
      <c r="AF1" s="140"/>
      <c r="AG1" s="140"/>
      <c r="AH1" s="141"/>
      <c r="AI1" s="139" t="s">
        <v>167</v>
      </c>
      <c r="AJ1" s="141"/>
      <c r="AQ1" s="135" t="str">
        <f>客户折扣!B1</f>
        <v>合友好作伙伴（公示价）</v>
      </c>
      <c r="AR1" s="136"/>
      <c r="AS1" s="137"/>
      <c r="AT1" s="138" t="str">
        <f>客户折扣!C1</f>
        <v>紧密合作伙伴</v>
      </c>
      <c r="AU1" s="136"/>
      <c r="AV1" s="137"/>
      <c r="AW1" s="135" t="str">
        <f>客户折扣!D1</f>
        <v>战略合作伙伴</v>
      </c>
      <c r="AX1" s="136"/>
      <c r="AY1" s="137"/>
    </row>
    <row r="2" spans="1:51" s="39" customFormat="1" x14ac:dyDescent="0.15">
      <c r="A2" s="43" t="s">
        <v>168</v>
      </c>
      <c r="B2" s="43" t="s">
        <v>169</v>
      </c>
      <c r="C2" s="44" t="s">
        <v>170</v>
      </c>
      <c r="D2" s="44" t="s">
        <v>171</v>
      </c>
      <c r="E2" s="44" t="s">
        <v>172</v>
      </c>
      <c r="F2" s="44" t="s">
        <v>173</v>
      </c>
      <c r="G2" s="44" t="s">
        <v>174</v>
      </c>
      <c r="H2" s="44" t="s">
        <v>175</v>
      </c>
      <c r="I2" s="44" t="s">
        <v>176</v>
      </c>
      <c r="J2" s="44" t="s">
        <v>177</v>
      </c>
      <c r="K2" s="39" t="s">
        <v>178</v>
      </c>
      <c r="L2" s="47" t="s">
        <v>179</v>
      </c>
      <c r="M2" s="39" t="s">
        <v>180</v>
      </c>
      <c r="N2" s="39" t="s">
        <v>181</v>
      </c>
      <c r="O2" s="39" t="s">
        <v>182</v>
      </c>
      <c r="P2" s="39" t="s">
        <v>29</v>
      </c>
      <c r="Q2" s="54" t="s">
        <v>183</v>
      </c>
      <c r="R2" s="55" t="s">
        <v>184</v>
      </c>
      <c r="S2" s="55" t="s">
        <v>185</v>
      </c>
      <c r="T2" s="55" t="s">
        <v>29</v>
      </c>
      <c r="U2" s="55" t="s">
        <v>186</v>
      </c>
      <c r="V2" s="55" t="s">
        <v>187</v>
      </c>
      <c r="W2" s="56" t="s">
        <v>188</v>
      </c>
      <c r="X2" s="54" t="s">
        <v>110</v>
      </c>
      <c r="Y2" s="55" t="s">
        <v>189</v>
      </c>
      <c r="Z2" s="56" t="s">
        <v>29</v>
      </c>
      <c r="AA2" s="54" t="s">
        <v>119</v>
      </c>
      <c r="AB2" s="55" t="s">
        <v>190</v>
      </c>
      <c r="AC2" s="55" t="s">
        <v>29</v>
      </c>
      <c r="AD2" s="56" t="s">
        <v>191</v>
      </c>
      <c r="AE2" s="54" t="s">
        <v>135</v>
      </c>
      <c r="AF2" s="55" t="s">
        <v>192</v>
      </c>
      <c r="AG2" s="55" t="s">
        <v>193</v>
      </c>
      <c r="AH2" s="56" t="s">
        <v>29</v>
      </c>
      <c r="AI2" s="39" t="s">
        <v>105</v>
      </c>
      <c r="AJ2" s="56" t="s">
        <v>194</v>
      </c>
      <c r="AK2" s="39" t="s">
        <v>195</v>
      </c>
      <c r="AL2" s="39" t="s">
        <v>196</v>
      </c>
      <c r="AM2" s="39" t="s">
        <v>32</v>
      </c>
      <c r="AN2" s="39" t="s">
        <v>197</v>
      </c>
      <c r="AO2" s="39" t="s">
        <v>198</v>
      </c>
      <c r="AP2" s="39" t="s">
        <v>199</v>
      </c>
      <c r="AQ2" s="54" t="str">
        <f>客户折扣!A2</f>
        <v>440箱/400箱</v>
      </c>
      <c r="AR2" s="68" t="str">
        <f>客户折扣!A3</f>
        <v>1320箱/800箱</v>
      </c>
      <c r="AS2" s="69" t="str">
        <f>客户折扣!A4</f>
        <v>2640箱/1600箱</v>
      </c>
      <c r="AT2" s="54" t="str">
        <f>客户折扣!A2</f>
        <v>440箱/400箱</v>
      </c>
      <c r="AU2" s="68" t="str">
        <f>客户折扣!A3</f>
        <v>1320箱/800箱</v>
      </c>
      <c r="AV2" s="69" t="str">
        <f>客户折扣!A4</f>
        <v>2640箱/1600箱</v>
      </c>
      <c r="AW2" s="54" t="str">
        <f>客户折扣!A2</f>
        <v>440箱/400箱</v>
      </c>
      <c r="AX2" s="68" t="str">
        <f>客户折扣!A3</f>
        <v>1320箱/800箱</v>
      </c>
      <c r="AY2" s="69" t="str">
        <f>客户折扣!A4</f>
        <v>2640箱/1600箱</v>
      </c>
    </row>
    <row r="3" spans="1:51" x14ac:dyDescent="0.15">
      <c r="A3" s="40" t="s">
        <v>200</v>
      </c>
      <c r="B3" s="40" t="s">
        <v>201</v>
      </c>
      <c r="C3" s="42" t="s">
        <v>202</v>
      </c>
      <c r="D3" s="42" t="s">
        <v>203</v>
      </c>
      <c r="E3" s="42" t="s">
        <v>204</v>
      </c>
      <c r="F3" s="42" t="s">
        <v>205</v>
      </c>
      <c r="G3" s="45">
        <v>0.13500000000000001</v>
      </c>
      <c r="H3" s="42" t="s">
        <v>107</v>
      </c>
      <c r="I3" s="42">
        <v>2</v>
      </c>
      <c r="J3" s="42">
        <v>440</v>
      </c>
      <c r="K3" s="48">
        <v>0.65993878260869598</v>
      </c>
      <c r="L3" s="42" t="s">
        <v>20</v>
      </c>
      <c r="M3" s="40">
        <f>VLOOKUP(L3,汇率!$A$2:$B$5,2,FALSE)</f>
        <v>8.0500000000000007</v>
      </c>
      <c r="N3" s="49">
        <f>K3*M3</f>
        <v>5.3125072000000033</v>
      </c>
      <c r="O3" s="49">
        <f>N3*0.8</f>
        <v>4.2500057600000032</v>
      </c>
      <c r="P3" s="50">
        <v>0.01</v>
      </c>
      <c r="Q3" s="57" t="s">
        <v>39</v>
      </c>
      <c r="R3" s="58">
        <f>VLOOKUP(Q3,酒瓶!$A$2:$G$33,3,FALSE)</f>
        <v>0.75</v>
      </c>
      <c r="S3" s="59">
        <f>VLOOKUP(Q3,酒瓶!$A$2:$G$33,7,FALSE)</f>
        <v>1.1000000000000001</v>
      </c>
      <c r="T3" s="60">
        <f>VLOOKUP(Q3,酒瓶!$A$2:$H$33,8,FALSE)</f>
        <v>0.01</v>
      </c>
      <c r="U3" s="59">
        <f>VLOOKUP(Q3,酒瓶!$A$2:$I$33,9,FALSE)</f>
        <v>1.2</v>
      </c>
      <c r="V3" s="58">
        <f>VLOOKUP(Q3,酒瓶!$A$2:$J$33,10,FALSE)</f>
        <v>600</v>
      </c>
      <c r="W3" s="61">
        <f>VLOOKUP(Q3,酒瓶!$A$2:$L$33,12,FALSE)</f>
        <v>1.1000000000000001</v>
      </c>
      <c r="X3" s="57" t="s">
        <v>112</v>
      </c>
      <c r="Y3" s="59">
        <f>VLOOKUP(X3,包材!$B$4:$C$12,2,FALSE)</f>
        <v>0.35</v>
      </c>
      <c r="Z3" s="62">
        <f>VLOOKUP(X3,包材!$B$4:$E$12,4,FALSE)</f>
        <v>0.01</v>
      </c>
      <c r="AA3" s="57" t="s">
        <v>120</v>
      </c>
      <c r="AB3" s="59">
        <f>VLOOKUP(AA3,包材!$B$13:$C$25,2,FALSE)</f>
        <v>0.2</v>
      </c>
      <c r="AC3" s="60">
        <f>VLOOKUP(AA3,包材!$B$13:$E$25,4,FALSE)</f>
        <v>0.01</v>
      </c>
      <c r="AD3" s="63">
        <f>VLOOKUP(AA3,包材!$B$13:$F$25,5,FALSE)</f>
        <v>0</v>
      </c>
      <c r="AE3" s="57" t="s">
        <v>137</v>
      </c>
      <c r="AF3" s="58">
        <f>VLOOKUP(AE3,包材!$B$26:$D$35,3,FALSE)</f>
        <v>6</v>
      </c>
      <c r="AG3" s="59">
        <f>VLOOKUP(AE3,包材!$B$26:$D$35,2,FALSE)</f>
        <v>3</v>
      </c>
      <c r="AH3" s="62">
        <f>VLOOKUP(AE3,包材!$B$26:$E$35,4,FALSE)</f>
        <v>0.01</v>
      </c>
      <c r="AI3" s="57" t="s">
        <v>106</v>
      </c>
      <c r="AJ3" s="61">
        <f>VLOOKUP(AI3,包材!$B$2:$C$3,2,FALSE)</f>
        <v>0.2</v>
      </c>
      <c r="AK3" s="64">
        <f>75/V3</f>
        <v>0.125</v>
      </c>
      <c r="AL3" s="65">
        <f>费用成本!$B$7/J3/AF3</f>
        <v>1.0606060606060606</v>
      </c>
      <c r="AM3" s="66">
        <f>VLOOKUP(Q3,酒瓶!$A$2:$K$33,11,FALSE)</f>
        <v>0.432</v>
      </c>
      <c r="AN3" s="67">
        <f>(O3*R3+S3+U3+Y3+AB3+AD3+AG3/AF3+AJ3)*AM3</f>
        <v>2.9106018662400008</v>
      </c>
      <c r="AO3" s="70">
        <f>N3*R3*(1+P3)+S3*(1+T3)+U3+Y3*(1+Z3)+AB3*(1+AC3)+AG3/AF3*(1+AH3)+AK3+AL3+AN3</f>
        <v>11.491932130846065</v>
      </c>
      <c r="AP3" s="71">
        <f>VLOOKUP(I3,加价率!$A$2:$G$11,6,FALSE)</f>
        <v>0.2</v>
      </c>
      <c r="AQ3" s="72">
        <f>AO3*(1+AP3)*客户折扣!$B$2</f>
        <v>13.790318557015278</v>
      </c>
      <c r="AR3" s="73">
        <f>AO3*(1+AP3)*客户折扣!$B$3</f>
        <v>13.376609000304819</v>
      </c>
      <c r="AS3" s="74">
        <f>AO3*(1+AP3)*客户折扣!$B$4</f>
        <v>12.96289944359436</v>
      </c>
      <c r="AT3" s="72">
        <f>AO3*(1+AP3)*客户折扣!$C$2</f>
        <v>13.376609000304819</v>
      </c>
      <c r="AU3" s="73">
        <f>AO3*(1+AP3)*客户折扣!$C$3</f>
        <v>12.96289944359436</v>
      </c>
      <c r="AV3" s="74">
        <f>AO3*(1+AP3)*客户折扣!$C$4</f>
        <v>12.549189886883903</v>
      </c>
      <c r="AW3" s="72">
        <f>AO3*(1+AP3)*客户折扣!$D$2</f>
        <v>12.549189886883903</v>
      </c>
      <c r="AX3" s="73">
        <f>AO3*(1+AP3)*客户折扣!$D$3</f>
        <v>12.549189886883903</v>
      </c>
      <c r="AY3" s="74">
        <f>AO3*(1+AP3)*客户折扣!$D$4</f>
        <v>12.549189886883903</v>
      </c>
    </row>
    <row r="4" spans="1:51" x14ac:dyDescent="0.15">
      <c r="A4" s="40" t="s">
        <v>206</v>
      </c>
      <c r="B4" s="40" t="s">
        <v>207</v>
      </c>
      <c r="C4" s="42" t="s">
        <v>202</v>
      </c>
      <c r="D4" s="42" t="s">
        <v>203</v>
      </c>
      <c r="E4" s="42" t="s">
        <v>204</v>
      </c>
      <c r="F4" s="42" t="s">
        <v>205</v>
      </c>
      <c r="G4" s="45">
        <v>0.14499999999999999</v>
      </c>
      <c r="H4" s="42" t="s">
        <v>107</v>
      </c>
      <c r="I4" s="42">
        <v>3</v>
      </c>
      <c r="J4" s="42">
        <v>440</v>
      </c>
      <c r="K4" s="48">
        <v>0.72273234782608697</v>
      </c>
      <c r="L4" s="42" t="s">
        <v>20</v>
      </c>
      <c r="M4" s="40">
        <f>VLOOKUP(L4,汇率!$A$2:$B$5,2,FALSE)</f>
        <v>8.0500000000000007</v>
      </c>
      <c r="N4" s="49">
        <f>K4*M4</f>
        <v>5.8179954000000009</v>
      </c>
      <c r="O4" s="49">
        <f>N4*0.8</f>
        <v>4.6543963200000009</v>
      </c>
      <c r="P4" s="50">
        <v>0.01</v>
      </c>
      <c r="Q4" s="57" t="s">
        <v>39</v>
      </c>
      <c r="R4" s="58">
        <f>VLOOKUP(Q4,酒瓶!$A$2:$G$33,3,FALSE)</f>
        <v>0.75</v>
      </c>
      <c r="S4" s="59">
        <f>VLOOKUP(Q4,酒瓶!$A$2:$G$33,7,FALSE)</f>
        <v>1.1000000000000001</v>
      </c>
      <c r="T4" s="60">
        <f>VLOOKUP(Q4,酒瓶!$A$2:$H$33,8,FALSE)</f>
        <v>0.01</v>
      </c>
      <c r="U4" s="59">
        <f>VLOOKUP(Q4,酒瓶!$A$2:$I$33,9,FALSE)</f>
        <v>1.2</v>
      </c>
      <c r="V4" s="58">
        <f>VLOOKUP(Q4,酒瓶!$A$2:$J$33,10,FALSE)</f>
        <v>600</v>
      </c>
      <c r="W4" s="61">
        <f>VLOOKUP(Q4,酒瓶!$A$2:$L$33,12,FALSE)</f>
        <v>1.1000000000000001</v>
      </c>
      <c r="X4" s="57" t="s">
        <v>112</v>
      </c>
      <c r="Y4" s="59">
        <f>VLOOKUP(X4,包材!$B$4:$C$12,2,FALSE)</f>
        <v>0.35</v>
      </c>
      <c r="Z4" s="62">
        <f>VLOOKUP(X4,包材!$B$4:$E$12,4,FALSE)</f>
        <v>0.01</v>
      </c>
      <c r="AA4" s="57" t="s">
        <v>120</v>
      </c>
      <c r="AB4" s="59">
        <f>VLOOKUP(AA4,包材!$B$13:$C$25,2,FALSE)</f>
        <v>0.2</v>
      </c>
      <c r="AC4" s="60">
        <f>VLOOKUP(AA4,包材!$B$13:$E$25,4,FALSE)</f>
        <v>0.01</v>
      </c>
      <c r="AD4" s="63">
        <f>VLOOKUP(AA4,包材!$B$13:$F$25,5,FALSE)</f>
        <v>0</v>
      </c>
      <c r="AE4" s="57" t="s">
        <v>137</v>
      </c>
      <c r="AF4" s="58">
        <f>VLOOKUP(AE4,包材!$B$26:$D$35,3,FALSE)</f>
        <v>6</v>
      </c>
      <c r="AG4" s="59">
        <f>VLOOKUP(AE4,包材!$B$26:$D$35,2,FALSE)</f>
        <v>3</v>
      </c>
      <c r="AH4" s="62">
        <f>VLOOKUP(AE4,包材!$B$26:$E$35,4,FALSE)</f>
        <v>0.01</v>
      </c>
      <c r="AI4" s="57" t="s">
        <v>106</v>
      </c>
      <c r="AJ4" s="61">
        <f>VLOOKUP(AI4,包材!$B$2:$C$3,2,FALSE)</f>
        <v>0.2</v>
      </c>
      <c r="AK4" s="64">
        <f>75/V4</f>
        <v>0.125</v>
      </c>
      <c r="AL4" s="65">
        <f>费用成本!$B$7/J4/AF4</f>
        <v>1.0606060606060606</v>
      </c>
      <c r="AM4" s="66">
        <f>VLOOKUP(Q4,酒瓶!$A$2:$K$33,11,FALSE)</f>
        <v>0.432</v>
      </c>
      <c r="AN4" s="67">
        <f>(O4*R4+S4+U4+Y4+AB4+AD4+AG4/AF4+AJ4)*AM4</f>
        <v>3.0416244076800001</v>
      </c>
      <c r="AO4" s="70">
        <f>N4*R4*(1+P4)+S4*(1+T4)+U4+Y4*(1+Z4)+AB4*(1+AC4)+AG4/AF4*(1+AH4)+AK4+AL4+AN4</f>
        <v>12.005861983786062</v>
      </c>
      <c r="AP4" s="71">
        <f>VLOOKUP(I4,加价率!$A$2:$G$11,6,FALSE)</f>
        <v>0.2</v>
      </c>
      <c r="AQ4" s="72">
        <f>AO4*(1+AP4)*客户折扣!$B$2</f>
        <v>14.407034380543273</v>
      </c>
      <c r="AR4" s="73">
        <f>AO4*(1+AP4)*客户折扣!$B$3</f>
        <v>13.974823349126975</v>
      </c>
      <c r="AS4" s="74">
        <f>AO4*(1+AP4)*客户折扣!$B$4</f>
        <v>13.542612317710676</v>
      </c>
      <c r="AT4" s="72">
        <f>AO4*(1+AP4)*客户折扣!$C$2</f>
        <v>13.974823349126975</v>
      </c>
      <c r="AU4" s="73">
        <f>AO4*(1+AP4)*客户折扣!$C$3</f>
        <v>13.542612317710676</v>
      </c>
      <c r="AV4" s="74">
        <f>AO4*(1+AP4)*客户折扣!$C$4</f>
        <v>13.110401286294378</v>
      </c>
      <c r="AW4" s="72">
        <f>AO4*(1+AP4)*客户折扣!$D$2</f>
        <v>13.110401286294378</v>
      </c>
      <c r="AX4" s="73">
        <f>AO4*(1+AP4)*客户折扣!$D$3</f>
        <v>13.110401286294378</v>
      </c>
      <c r="AY4" s="74">
        <f>AO4*(1+AP4)*客户折扣!$D$4</f>
        <v>13.110401286294378</v>
      </c>
    </row>
    <row r="5" spans="1:51" x14ac:dyDescent="0.15">
      <c r="A5" s="40" t="s">
        <v>208</v>
      </c>
      <c r="B5" s="40" t="s">
        <v>209</v>
      </c>
      <c r="C5" s="42" t="s">
        <v>202</v>
      </c>
      <c r="D5" s="42" t="s">
        <v>210</v>
      </c>
      <c r="E5" s="42" t="s">
        <v>204</v>
      </c>
      <c r="F5" s="42" t="s">
        <v>205</v>
      </c>
      <c r="G5" s="45">
        <v>0.14499999999999999</v>
      </c>
      <c r="H5" s="42">
        <v>2018</v>
      </c>
      <c r="I5" s="42">
        <v>4</v>
      </c>
      <c r="J5" s="42">
        <v>440</v>
      </c>
      <c r="K5" s="48">
        <v>1.0376939130434799</v>
      </c>
      <c r="L5" s="42" t="s">
        <v>20</v>
      </c>
      <c r="M5" s="40">
        <f>VLOOKUP(L5,汇率!$A$2:$B$5,2,FALSE)</f>
        <v>8.0500000000000007</v>
      </c>
      <c r="N5" s="49">
        <f>K5*M5</f>
        <v>8.3534360000000145</v>
      </c>
      <c r="O5" s="49">
        <f>N5*0.8</f>
        <v>6.6827488000000121</v>
      </c>
      <c r="P5" s="50">
        <v>0.01</v>
      </c>
      <c r="Q5" s="57" t="s">
        <v>39</v>
      </c>
      <c r="R5" s="58">
        <f>VLOOKUP(Q5,酒瓶!$A$2:$G$33,3,FALSE)</f>
        <v>0.75</v>
      </c>
      <c r="S5" s="59">
        <f>VLOOKUP(Q5,酒瓶!$A$2:$G$33,7,FALSE)</f>
        <v>1.1000000000000001</v>
      </c>
      <c r="T5" s="60">
        <f>VLOOKUP(Q5,酒瓶!$A$2:$H$33,8,FALSE)</f>
        <v>0.01</v>
      </c>
      <c r="U5" s="59">
        <f>VLOOKUP(Q5,酒瓶!$A$2:$I$33,9,FALSE)</f>
        <v>1.2</v>
      </c>
      <c r="V5" s="58">
        <f>VLOOKUP(Q5,酒瓶!$A$2:$J$33,10,FALSE)</f>
        <v>600</v>
      </c>
      <c r="W5" s="61">
        <f>VLOOKUP(Q5,酒瓶!$A$2:$L$33,12,FALSE)</f>
        <v>1.1000000000000001</v>
      </c>
      <c r="X5" s="57" t="s">
        <v>112</v>
      </c>
      <c r="Y5" s="59">
        <f>VLOOKUP(X5,包材!$B$4:$C$12,2,FALSE)</f>
        <v>0.35</v>
      </c>
      <c r="Z5" s="62">
        <f>VLOOKUP(X5,包材!$B$4:$E$12,4,FALSE)</f>
        <v>0.01</v>
      </c>
      <c r="AA5" s="57" t="s">
        <v>120</v>
      </c>
      <c r="AB5" s="59">
        <f>VLOOKUP(AA5,包材!$B$13:$C$25,2,FALSE)</f>
        <v>0.2</v>
      </c>
      <c r="AC5" s="60">
        <f>VLOOKUP(AA5,包材!$B$13:$E$25,4,FALSE)</f>
        <v>0.01</v>
      </c>
      <c r="AD5" s="63">
        <f>VLOOKUP(AA5,包材!$B$13:$F$25,5,FALSE)</f>
        <v>0</v>
      </c>
      <c r="AE5" s="57" t="s">
        <v>137</v>
      </c>
      <c r="AF5" s="58">
        <f>VLOOKUP(AE5,包材!$B$26:$D$35,3,FALSE)</f>
        <v>6</v>
      </c>
      <c r="AG5" s="59">
        <f>VLOOKUP(AE5,包材!$B$26:$D$35,2,FALSE)</f>
        <v>3</v>
      </c>
      <c r="AH5" s="62">
        <f>VLOOKUP(AE5,包材!$B$26:$E$35,4,FALSE)</f>
        <v>0.01</v>
      </c>
      <c r="AI5" s="57" t="s">
        <v>106</v>
      </c>
      <c r="AJ5" s="61">
        <f>VLOOKUP(AI5,包材!$B$2:$C$3,2,FALSE)</f>
        <v>0.2</v>
      </c>
      <c r="AK5" s="64">
        <f>75/V5</f>
        <v>0.125</v>
      </c>
      <c r="AL5" s="65">
        <f>费用成本!$B$7/J5/AF5</f>
        <v>1.0606060606060606</v>
      </c>
      <c r="AM5" s="66">
        <f>VLOOKUP(Q5,酒瓶!$A$2:$K$33,11,FALSE)</f>
        <v>0.432</v>
      </c>
      <c r="AN5" s="67">
        <f>(O5*R5+S5+U5+Y5+AB5+AD5+AG5/AF5+AJ5)*AM5</f>
        <v>3.6988106112000039</v>
      </c>
      <c r="AO5" s="70">
        <f>N5*R5*(1+P5)+S5*(1+T5)+U5+Y5*(1+Z5)+AB5*(1+AC5)+AG5/AF5*(1+AH5)+AK5+AL5+AN5</f>
        <v>14.583644441806076</v>
      </c>
      <c r="AP5" s="71">
        <f>VLOOKUP(I5,加价率!$A$2:$G$11,6,FALSE)</f>
        <v>0.2</v>
      </c>
      <c r="AQ5" s="72">
        <f>AO5*(1+AP5)*客户折扣!$B$2</f>
        <v>17.500373330167289</v>
      </c>
      <c r="AR5" s="73">
        <f>AO5*(1+AP5)*客户折扣!$B$3</f>
        <v>16.975362130262269</v>
      </c>
      <c r="AS5" s="74">
        <f>AO5*(1+AP5)*客户折扣!$B$4</f>
        <v>16.450350930357249</v>
      </c>
      <c r="AT5" s="72">
        <f>AO5*(1+AP5)*客户折扣!$C$2</f>
        <v>16.975362130262269</v>
      </c>
      <c r="AU5" s="73">
        <f>AO5*(1+AP5)*客户折扣!$C$3</f>
        <v>16.450350930357249</v>
      </c>
      <c r="AV5" s="74">
        <f>AO5*(1+AP5)*客户折扣!$C$4</f>
        <v>15.925339730452233</v>
      </c>
      <c r="AW5" s="72">
        <f>AO5*(1+AP5)*客户折扣!$D$2</f>
        <v>15.925339730452233</v>
      </c>
      <c r="AX5" s="73">
        <f>AO5*(1+AP5)*客户折扣!$D$3</f>
        <v>15.925339730452233</v>
      </c>
      <c r="AY5" s="74">
        <f>AO5*(1+AP5)*客户折扣!$D$4</f>
        <v>15.925339730452233</v>
      </c>
    </row>
    <row r="6" spans="1:51" x14ac:dyDescent="0.15">
      <c r="A6" s="40" t="s">
        <v>211</v>
      </c>
      <c r="B6" s="40" t="s">
        <v>212</v>
      </c>
      <c r="C6" s="42" t="s">
        <v>202</v>
      </c>
      <c r="D6" s="42" t="s">
        <v>213</v>
      </c>
      <c r="E6" s="42" t="s">
        <v>204</v>
      </c>
      <c r="F6" s="42" t="s">
        <v>205</v>
      </c>
      <c r="G6" s="45">
        <v>0.155</v>
      </c>
      <c r="H6" s="42">
        <v>2018</v>
      </c>
      <c r="I6" s="42">
        <v>5</v>
      </c>
      <c r="J6" s="42">
        <v>440</v>
      </c>
      <c r="K6" s="48">
        <v>1.6466834782608699</v>
      </c>
      <c r="L6" s="42" t="s">
        <v>20</v>
      </c>
      <c r="M6" s="40">
        <f>VLOOKUP(L6,汇率!$A$2:$B$5,2,FALSE)</f>
        <v>8.0500000000000007</v>
      </c>
      <c r="N6" s="49">
        <f>K6*M6</f>
        <v>13.255802000000005</v>
      </c>
      <c r="O6" s="49">
        <f>N6*0.8</f>
        <v>10.604641600000004</v>
      </c>
      <c r="P6" s="50">
        <v>0.01</v>
      </c>
      <c r="Q6" s="57" t="s">
        <v>39</v>
      </c>
      <c r="R6" s="58">
        <f>VLOOKUP(Q6,酒瓶!$A$2:$G$33,3,FALSE)</f>
        <v>0.75</v>
      </c>
      <c r="S6" s="59">
        <f>VLOOKUP(Q6,酒瓶!$A$2:$G$33,7,FALSE)</f>
        <v>1.1000000000000001</v>
      </c>
      <c r="T6" s="60">
        <f>VLOOKUP(Q6,酒瓶!$A$2:$H$33,8,FALSE)</f>
        <v>0.01</v>
      </c>
      <c r="U6" s="59">
        <f>VLOOKUP(Q6,酒瓶!$A$2:$I$33,9,FALSE)</f>
        <v>1.2</v>
      </c>
      <c r="V6" s="58">
        <f>VLOOKUP(Q6,酒瓶!$A$2:$J$33,10,FALSE)</f>
        <v>600</v>
      </c>
      <c r="W6" s="61">
        <f>VLOOKUP(Q6,酒瓶!$A$2:$L$33,12,FALSE)</f>
        <v>1.1000000000000001</v>
      </c>
      <c r="X6" s="57" t="s">
        <v>112</v>
      </c>
      <c r="Y6" s="59">
        <f>VLOOKUP(X6,包材!$B$4:$C$12,2,FALSE)</f>
        <v>0.35</v>
      </c>
      <c r="Z6" s="62">
        <f>VLOOKUP(X6,包材!$B$4:$E$12,4,FALSE)</f>
        <v>0.01</v>
      </c>
      <c r="AA6" s="57" t="s">
        <v>120</v>
      </c>
      <c r="AB6" s="59">
        <f>VLOOKUP(AA6,包材!$B$13:$C$25,2,FALSE)</f>
        <v>0.2</v>
      </c>
      <c r="AC6" s="60">
        <f>VLOOKUP(AA6,包材!$B$13:$E$25,4,FALSE)</f>
        <v>0.01</v>
      </c>
      <c r="AD6" s="63">
        <f>VLOOKUP(AA6,包材!$B$13:$F$25,5,FALSE)</f>
        <v>0</v>
      </c>
      <c r="AE6" s="57" t="s">
        <v>137</v>
      </c>
      <c r="AF6" s="58">
        <f>VLOOKUP(AE6,包材!$B$26:$D$35,3,FALSE)</f>
        <v>6</v>
      </c>
      <c r="AG6" s="59">
        <f>VLOOKUP(AE6,包材!$B$26:$D$35,2,FALSE)</f>
        <v>3</v>
      </c>
      <c r="AH6" s="62">
        <f>VLOOKUP(AE6,包材!$B$26:$E$35,4,FALSE)</f>
        <v>0.01</v>
      </c>
      <c r="AI6" s="57" t="s">
        <v>106</v>
      </c>
      <c r="AJ6" s="61">
        <f>VLOOKUP(AI6,包材!$B$2:$C$3,2,FALSE)</f>
        <v>0.2</v>
      </c>
      <c r="AK6" s="64">
        <f>75/V6</f>
        <v>0.125</v>
      </c>
      <c r="AL6" s="65">
        <f>费用成本!$B$7/J6/AF6</f>
        <v>1.0606060606060606</v>
      </c>
      <c r="AM6" s="66">
        <f>VLOOKUP(Q6,酒瓶!$A$2:$K$33,11,FALSE)</f>
        <v>0.432</v>
      </c>
      <c r="AN6" s="67">
        <f>(O6*R6+S6+U6+Y6+AB6+AD6+AG6/AF6+AJ6)*AM6</f>
        <v>4.9695038784000003</v>
      </c>
      <c r="AO6" s="70">
        <f>N6*R6*(1+P6)+S6*(1+T6)+U6+Y6*(1+Z6)+AB6*(1+AC6)+AG6/AF6*(1+AH6)+AK6+AL6+AN6</f>
        <v>19.567879954006067</v>
      </c>
      <c r="AP6" s="71">
        <f>VLOOKUP(I6,加价率!$A$2:$G$11,6,FALSE)</f>
        <v>0.21000000000000002</v>
      </c>
      <c r="AQ6" s="72">
        <f>AO6*(1+AP6)*客户折扣!$B$2</f>
        <v>23.677134744347342</v>
      </c>
      <c r="AR6" s="73">
        <f>AO6*(1+AP6)*客户折扣!$B$3</f>
        <v>22.966820702016921</v>
      </c>
      <c r="AS6" s="74">
        <f>AO6*(1+AP6)*客户折扣!$B$4</f>
        <v>22.256506659686501</v>
      </c>
      <c r="AT6" s="72">
        <f>AO6*(1+AP6)*客户折扣!$C$2</f>
        <v>22.966820702016921</v>
      </c>
      <c r="AU6" s="73">
        <f>AO6*(1+AP6)*客户折扣!$C$3</f>
        <v>22.256506659686501</v>
      </c>
      <c r="AV6" s="74">
        <f>AO6*(1+AP6)*客户折扣!$C$4</f>
        <v>21.54619261735608</v>
      </c>
      <c r="AW6" s="72">
        <f>AO6*(1+AP6)*客户折扣!$D$2</f>
        <v>21.54619261735608</v>
      </c>
      <c r="AX6" s="73">
        <f>AO6*(1+AP6)*客户折扣!$D$3</f>
        <v>21.54619261735608</v>
      </c>
      <c r="AY6" s="74">
        <f>AO6*(1+AP6)*客户折扣!$D$4</f>
        <v>21.54619261735608</v>
      </c>
    </row>
    <row r="7" spans="1:51" x14ac:dyDescent="0.15">
      <c r="A7" s="40" t="s">
        <v>214</v>
      </c>
      <c r="B7" s="40" t="s">
        <v>215</v>
      </c>
      <c r="C7" s="42" t="s">
        <v>202</v>
      </c>
      <c r="D7" s="40" t="s">
        <v>216</v>
      </c>
      <c r="E7" s="42" t="s">
        <v>204</v>
      </c>
      <c r="F7" s="42" t="s">
        <v>205</v>
      </c>
      <c r="G7" s="45">
        <v>0.14499999999999999</v>
      </c>
      <c r="H7" s="42">
        <v>2019</v>
      </c>
      <c r="I7" s="42">
        <v>5</v>
      </c>
      <c r="J7" s="42">
        <v>440</v>
      </c>
      <c r="K7" s="48">
        <v>1.395961043478261</v>
      </c>
      <c r="L7" s="42" t="s">
        <v>20</v>
      </c>
      <c r="M7" s="40">
        <f>VLOOKUP(L7,汇率!$A$2:$B$5,2,FALSE)</f>
        <v>8.0500000000000007</v>
      </c>
      <c r="N7" s="49">
        <f>K7*M7</f>
        <v>11.237486400000002</v>
      </c>
      <c r="O7" s="49">
        <f>N7*0.8</f>
        <v>8.9899891200000024</v>
      </c>
      <c r="P7" s="50">
        <v>0.01</v>
      </c>
      <c r="Q7" s="57" t="s">
        <v>39</v>
      </c>
      <c r="R7" s="58">
        <f>VLOOKUP(Q7,酒瓶!$A$2:$G$33,3,FALSE)</f>
        <v>0.75</v>
      </c>
      <c r="S7" s="59">
        <f>VLOOKUP(Q7,酒瓶!$A$2:$G$33,7,FALSE)</f>
        <v>1.1000000000000001</v>
      </c>
      <c r="T7" s="60">
        <f>VLOOKUP(Q7,酒瓶!$A$2:$H$33,8,FALSE)</f>
        <v>0.01</v>
      </c>
      <c r="U7" s="59">
        <f>VLOOKUP(Q7,酒瓶!$A$2:$I$33,9,FALSE)</f>
        <v>1.2</v>
      </c>
      <c r="V7" s="58">
        <f>VLOOKUP(Q7,酒瓶!$A$2:$J$33,10,FALSE)</f>
        <v>600</v>
      </c>
      <c r="W7" s="61">
        <f>VLOOKUP(Q7,酒瓶!$A$2:$L$33,12,FALSE)</f>
        <v>1.1000000000000001</v>
      </c>
      <c r="X7" s="57" t="s">
        <v>112</v>
      </c>
      <c r="Y7" s="59">
        <f>VLOOKUP(X7,包材!$B$4:$C$12,2,FALSE)</f>
        <v>0.35</v>
      </c>
      <c r="Z7" s="62">
        <f>VLOOKUP(X7,包材!$B$4:$E$12,4,FALSE)</f>
        <v>0.01</v>
      </c>
      <c r="AA7" s="57" t="s">
        <v>120</v>
      </c>
      <c r="AB7" s="59">
        <f>VLOOKUP(AA7,包材!$B$13:$C$25,2,FALSE)</f>
        <v>0.2</v>
      </c>
      <c r="AC7" s="60">
        <f>VLOOKUP(AA7,包材!$B$13:$E$25,4,FALSE)</f>
        <v>0.01</v>
      </c>
      <c r="AD7" s="63">
        <f>VLOOKUP(AA7,包材!$B$13:$F$25,5,FALSE)</f>
        <v>0</v>
      </c>
      <c r="AE7" s="57" t="s">
        <v>137</v>
      </c>
      <c r="AF7" s="58">
        <f>VLOOKUP(AE7,包材!$B$26:$D$35,3,FALSE)</f>
        <v>6</v>
      </c>
      <c r="AG7" s="59">
        <f>VLOOKUP(AE7,包材!$B$26:$D$35,2,FALSE)</f>
        <v>3</v>
      </c>
      <c r="AH7" s="62">
        <f>VLOOKUP(AE7,包材!$B$26:$E$35,4,FALSE)</f>
        <v>0.01</v>
      </c>
      <c r="AI7" s="57" t="s">
        <v>106</v>
      </c>
      <c r="AJ7" s="61">
        <f>VLOOKUP(AI7,包材!$B$2:$C$3,2,FALSE)</f>
        <v>0.2</v>
      </c>
      <c r="AK7" s="64">
        <f>75/V7</f>
        <v>0.125</v>
      </c>
      <c r="AL7" s="65">
        <f>费用成本!$B$7/J7/AF7</f>
        <v>1.0606060606060606</v>
      </c>
      <c r="AM7" s="66">
        <f>VLOOKUP(Q7,酒瓶!$A$2:$K$33,11,FALSE)</f>
        <v>0.432</v>
      </c>
      <c r="AN7" s="67">
        <f>(O7*R7+S7+U7+Y7+AB7+AD7+AG7/AF7+AJ7)*AM7</f>
        <v>4.4463564748799991</v>
      </c>
      <c r="AO7" s="70">
        <f>N7*R7*(1+P7)+S7*(1+T7)+U7+Y7*(1+Z7)+AB7*(1+AC7)+AG7/AF7*(1+AH7)+AK7+AL7+AN7</f>
        <v>17.515858483486063</v>
      </c>
      <c r="AP7" s="71">
        <f>VLOOKUP(I7,加价率!$A$2:$G$11,6,FALSE)</f>
        <v>0.21000000000000002</v>
      </c>
      <c r="AQ7" s="131">
        <f>AO7*(1+AP7)*客户折扣!$B$2</f>
        <v>21.194188765018136</v>
      </c>
      <c r="AR7" s="73">
        <f>AO7*(1+AP7)*客户折扣!$B$3</f>
        <v>20.558363102067592</v>
      </c>
      <c r="AS7" s="74">
        <f>AO7*(1+AP7)*客户折扣!$B$4</f>
        <v>19.922537439117047</v>
      </c>
      <c r="AT7" s="72">
        <f>AO7*(1+AP7)*客户折扣!$C$2</f>
        <v>20.558363102067592</v>
      </c>
      <c r="AU7" s="73">
        <f>AO7*(1+AP7)*客户折扣!$C$3</f>
        <v>19.922537439117047</v>
      </c>
      <c r="AV7" s="74">
        <f>AO7*(1+AP7)*客户折扣!$C$4</f>
        <v>19.286711776166506</v>
      </c>
      <c r="AW7" s="72">
        <f>AO7*(1+AP7)*客户折扣!$D$2</f>
        <v>19.286711776166506</v>
      </c>
      <c r="AX7" s="73">
        <f>AO7*(1+AP7)*客户折扣!$D$3</f>
        <v>19.286711776166506</v>
      </c>
      <c r="AY7" s="74">
        <f>AO7*(1+AP7)*客户折扣!$D$4</f>
        <v>19.286711776166506</v>
      </c>
    </row>
    <row r="8" spans="1:51" x14ac:dyDescent="0.15">
      <c r="A8" s="40" t="s">
        <v>217</v>
      </c>
      <c r="B8" s="40" t="s">
        <v>218</v>
      </c>
      <c r="C8" s="42" t="s">
        <v>202</v>
      </c>
      <c r="D8" s="40" t="s">
        <v>219</v>
      </c>
      <c r="E8" s="42" t="s">
        <v>204</v>
      </c>
      <c r="F8" s="42" t="s">
        <v>205</v>
      </c>
      <c r="G8" s="45">
        <v>0.14499999999999999</v>
      </c>
      <c r="H8" s="42">
        <v>2018</v>
      </c>
      <c r="I8" s="42">
        <v>7</v>
      </c>
      <c r="J8" s="42">
        <v>440</v>
      </c>
      <c r="K8" s="48">
        <v>2.3508313043478268</v>
      </c>
      <c r="L8" s="42" t="s">
        <v>20</v>
      </c>
      <c r="M8" s="40">
        <f>VLOOKUP(L8,汇率!$A$2:$B$5,2,FALSE)</f>
        <v>8.0500000000000007</v>
      </c>
      <c r="N8" s="49">
        <f t="shared" ref="N8:N11" si="0">K8*M8</f>
        <v>18.924192000000009</v>
      </c>
      <c r="O8" s="49">
        <f t="shared" ref="O8:O11" si="1">N8*0.8</f>
        <v>15.139353600000007</v>
      </c>
      <c r="P8" s="50">
        <v>0.01</v>
      </c>
      <c r="Q8" s="57" t="s">
        <v>39</v>
      </c>
      <c r="R8" s="58">
        <f>VLOOKUP(Q8,酒瓶!$A$2:$G$33,3,FALSE)</f>
        <v>0.75</v>
      </c>
      <c r="S8" s="59">
        <f>VLOOKUP(Q8,酒瓶!$A$2:$G$33,7,FALSE)</f>
        <v>1.1000000000000001</v>
      </c>
      <c r="T8" s="60">
        <f>VLOOKUP(Q8,酒瓶!$A$2:$H$33,8,FALSE)</f>
        <v>0.01</v>
      </c>
      <c r="U8" s="59">
        <f>VLOOKUP(Q8,酒瓶!$A$2:$I$33,9,FALSE)</f>
        <v>1.2</v>
      </c>
      <c r="V8" s="58">
        <f>VLOOKUP(Q8,酒瓶!$A$2:$J$33,10,FALSE)</f>
        <v>600</v>
      </c>
      <c r="W8" s="61">
        <f>VLOOKUP(Q8,酒瓶!$A$2:$L$33,12,FALSE)</f>
        <v>1.1000000000000001</v>
      </c>
      <c r="X8" s="57" t="s">
        <v>112</v>
      </c>
      <c r="Y8" s="59">
        <f>VLOOKUP(X8,包材!$B$4:$C$12,2,FALSE)</f>
        <v>0.35</v>
      </c>
      <c r="Z8" s="62">
        <f>VLOOKUP(X8,包材!$B$4:$E$12,4,FALSE)</f>
        <v>0.01</v>
      </c>
      <c r="AA8" s="57" t="s">
        <v>120</v>
      </c>
      <c r="AB8" s="59">
        <f>VLOOKUP(AA8,包材!$B$13:$C$25,2,FALSE)</f>
        <v>0.2</v>
      </c>
      <c r="AC8" s="60">
        <f>VLOOKUP(AA8,包材!$B$13:$E$25,4,FALSE)</f>
        <v>0.01</v>
      </c>
      <c r="AD8" s="63">
        <f>VLOOKUP(AA8,包材!$B$13:$F$25,5,FALSE)</f>
        <v>0</v>
      </c>
      <c r="AE8" s="57" t="s">
        <v>137</v>
      </c>
      <c r="AF8" s="58">
        <f>VLOOKUP(AE8,包材!$B$26:$D$35,3,FALSE)</f>
        <v>6</v>
      </c>
      <c r="AG8" s="59">
        <f>VLOOKUP(AE8,包材!$B$26:$D$35,2,FALSE)</f>
        <v>3</v>
      </c>
      <c r="AH8" s="62">
        <f>VLOOKUP(AE8,包材!$B$26:$E$35,4,FALSE)</f>
        <v>0.01</v>
      </c>
      <c r="AI8" s="57" t="s">
        <v>106</v>
      </c>
      <c r="AJ8" s="61">
        <f>VLOOKUP(AI8,包材!$B$2:$C$3,2,FALSE)</f>
        <v>0.2</v>
      </c>
      <c r="AK8" s="64">
        <f t="shared" ref="AK8:AK11" si="2">75/V8</f>
        <v>0.125</v>
      </c>
      <c r="AL8" s="65">
        <f>费用成本!$B$7/J8/AF8</f>
        <v>1.0606060606060606</v>
      </c>
      <c r="AM8" s="66">
        <f>VLOOKUP(Q8,酒瓶!$A$2:$K$33,11,FALSE)</f>
        <v>0.432</v>
      </c>
      <c r="AN8" s="67">
        <f t="shared" ref="AN8:AN11" si="3">(O8*R8+S8+U8+Y8+AB8+AD8+AG8/AF8+AJ8)*AM8</f>
        <v>6.4387505664000013</v>
      </c>
      <c r="AO8" s="70">
        <f t="shared" ref="AO8:AO11" si="4">N8*R8*(1+P8)+S8*(1+T8)+U8+Y8*(1+Z8)+AB8*(1+AC8)+AG8/AF8*(1+AH8)+AK8+AL8+AN8</f>
        <v>25.330932067006074</v>
      </c>
      <c r="AP8" s="71">
        <f>VLOOKUP(I8,加价率!$A$2:$G$11,6,FALSE)</f>
        <v>0.21000000000000002</v>
      </c>
      <c r="AQ8" s="131">
        <f>AO8*(1+AP8)*客户折扣!$B$2</f>
        <v>30.650427801077349</v>
      </c>
      <c r="AR8" s="73">
        <f>AO8*(1+AP8)*客户折扣!$B$3</f>
        <v>29.730914967045027</v>
      </c>
      <c r="AS8" s="74">
        <f>AO8*(1+AP8)*客户折扣!$B$4</f>
        <v>28.811402133012706</v>
      </c>
      <c r="AT8" s="72">
        <f>AO8*(1+AP8)*客户折扣!$C$2</f>
        <v>29.730914967045027</v>
      </c>
      <c r="AU8" s="73">
        <f>AO8*(1+AP8)*客户折扣!$C$3</f>
        <v>28.811402133012706</v>
      </c>
      <c r="AV8" s="74">
        <f>AO8*(1+AP8)*客户折扣!$C$4</f>
        <v>27.891889298980388</v>
      </c>
      <c r="AW8" s="72">
        <f>AO8*(1+AP8)*客户折扣!$D$2</f>
        <v>27.891889298980388</v>
      </c>
      <c r="AX8" s="73">
        <f>AO8*(1+AP8)*客户折扣!$D$3</f>
        <v>27.891889298980388</v>
      </c>
      <c r="AY8" s="74">
        <f>AO8*(1+AP8)*客户折扣!$D$4</f>
        <v>27.891889298980388</v>
      </c>
    </row>
    <row r="9" spans="1:51" x14ac:dyDescent="0.15">
      <c r="A9" s="40" t="s">
        <v>217</v>
      </c>
      <c r="B9" s="40" t="s">
        <v>218</v>
      </c>
      <c r="C9" s="42" t="s">
        <v>202</v>
      </c>
      <c r="D9" s="40" t="s">
        <v>219</v>
      </c>
      <c r="E9" s="42" t="s">
        <v>204</v>
      </c>
      <c r="F9" s="42" t="s">
        <v>205</v>
      </c>
      <c r="G9" s="45">
        <v>0.14499999999999999</v>
      </c>
      <c r="H9" s="42">
        <v>2019</v>
      </c>
      <c r="I9" s="42">
        <v>7</v>
      </c>
      <c r="J9" s="42">
        <v>440</v>
      </c>
      <c r="K9" s="48">
        <v>2.3508313043478268</v>
      </c>
      <c r="L9" s="42" t="s">
        <v>20</v>
      </c>
      <c r="M9" s="40">
        <f>VLOOKUP(L9,汇率!$A$2:$B$5,2,FALSE)</f>
        <v>8.0500000000000007</v>
      </c>
      <c r="N9" s="49">
        <f t="shared" si="0"/>
        <v>18.924192000000009</v>
      </c>
      <c r="O9" s="49">
        <f t="shared" si="1"/>
        <v>15.139353600000007</v>
      </c>
      <c r="P9" s="50">
        <v>0.01</v>
      </c>
      <c r="Q9" s="57" t="s">
        <v>39</v>
      </c>
      <c r="R9" s="58">
        <f>VLOOKUP(Q9,酒瓶!$A$2:$G$33,3,FALSE)</f>
        <v>0.75</v>
      </c>
      <c r="S9" s="59">
        <f>VLOOKUP(Q9,酒瓶!$A$2:$G$33,7,FALSE)</f>
        <v>1.1000000000000001</v>
      </c>
      <c r="T9" s="60">
        <f>VLOOKUP(Q9,酒瓶!$A$2:$H$33,8,FALSE)</f>
        <v>0.01</v>
      </c>
      <c r="U9" s="59">
        <f>VLOOKUP(Q9,酒瓶!$A$2:$I$33,9,FALSE)</f>
        <v>1.2</v>
      </c>
      <c r="V9" s="58">
        <f>VLOOKUP(Q9,酒瓶!$A$2:$J$33,10,FALSE)</f>
        <v>600</v>
      </c>
      <c r="W9" s="61">
        <f>VLOOKUP(Q9,酒瓶!$A$2:$L$33,12,FALSE)</f>
        <v>1.1000000000000001</v>
      </c>
      <c r="X9" s="57" t="s">
        <v>112</v>
      </c>
      <c r="Y9" s="59">
        <f>VLOOKUP(X9,包材!$B$4:$C$12,2,FALSE)</f>
        <v>0.35</v>
      </c>
      <c r="Z9" s="62">
        <f>VLOOKUP(X9,包材!$B$4:$E$12,4,FALSE)</f>
        <v>0.01</v>
      </c>
      <c r="AA9" s="57" t="s">
        <v>120</v>
      </c>
      <c r="AB9" s="59">
        <f>VLOOKUP(AA9,包材!$B$13:$C$25,2,FALSE)</f>
        <v>0.2</v>
      </c>
      <c r="AC9" s="60">
        <f>VLOOKUP(AA9,包材!$B$13:$E$25,4,FALSE)</f>
        <v>0.01</v>
      </c>
      <c r="AD9" s="63">
        <f>VLOOKUP(AA9,包材!$B$13:$F$25,5,FALSE)</f>
        <v>0</v>
      </c>
      <c r="AE9" s="57" t="s">
        <v>137</v>
      </c>
      <c r="AF9" s="58">
        <f>VLOOKUP(AE9,包材!$B$26:$D$35,3,FALSE)</f>
        <v>6</v>
      </c>
      <c r="AG9" s="59">
        <f>VLOOKUP(AE9,包材!$B$26:$D$35,2,FALSE)</f>
        <v>3</v>
      </c>
      <c r="AH9" s="62">
        <f>VLOOKUP(AE9,包材!$B$26:$E$35,4,FALSE)</f>
        <v>0.01</v>
      </c>
      <c r="AI9" s="57" t="s">
        <v>106</v>
      </c>
      <c r="AJ9" s="61">
        <f>VLOOKUP(AI9,包材!$B$2:$C$3,2,FALSE)</f>
        <v>0.2</v>
      </c>
      <c r="AK9" s="64">
        <f t="shared" si="2"/>
        <v>0.125</v>
      </c>
      <c r="AL9" s="65">
        <f>费用成本!$B$7/J9/AF9</f>
        <v>1.0606060606060606</v>
      </c>
      <c r="AM9" s="66">
        <f>VLOOKUP(Q9,酒瓶!$A$2:$K$33,11,FALSE)</f>
        <v>0.432</v>
      </c>
      <c r="AN9" s="67">
        <f t="shared" si="3"/>
        <v>6.4387505664000013</v>
      </c>
      <c r="AO9" s="70">
        <f t="shared" si="4"/>
        <v>25.330932067006074</v>
      </c>
      <c r="AP9" s="71">
        <f>VLOOKUP(I9,加价率!$A$2:$G$11,6,FALSE)</f>
        <v>0.21000000000000002</v>
      </c>
      <c r="AQ9" s="131">
        <f>AO9*(1+AP9)*客户折扣!$B$2</f>
        <v>30.650427801077349</v>
      </c>
      <c r="AR9" s="73">
        <f>AO9*(1+AP9)*客户折扣!$B$3</f>
        <v>29.730914967045027</v>
      </c>
      <c r="AS9" s="74">
        <f>AO9*(1+AP9)*客户折扣!$B$4</f>
        <v>28.811402133012706</v>
      </c>
      <c r="AT9" s="72">
        <f>AO9*(1+AP9)*客户折扣!$C$2</f>
        <v>29.730914967045027</v>
      </c>
      <c r="AU9" s="73">
        <f>AO9*(1+AP9)*客户折扣!$C$3</f>
        <v>28.811402133012706</v>
      </c>
      <c r="AV9" s="74">
        <f>AO9*(1+AP9)*客户折扣!$C$4</f>
        <v>27.891889298980388</v>
      </c>
      <c r="AW9" s="72">
        <f>AO9*(1+AP9)*客户折扣!$D$2</f>
        <v>27.891889298980388</v>
      </c>
      <c r="AX9" s="73">
        <f>AO9*(1+AP9)*客户折扣!$D$3</f>
        <v>27.891889298980388</v>
      </c>
      <c r="AY9" s="74">
        <f>AO9*(1+AP9)*客户折扣!$D$4</f>
        <v>27.891889298980388</v>
      </c>
    </row>
    <row r="10" spans="1:51" x14ac:dyDescent="0.15">
      <c r="A10" s="40" t="s">
        <v>220</v>
      </c>
      <c r="B10" s="40" t="s">
        <v>221</v>
      </c>
      <c r="C10" s="42" t="s">
        <v>202</v>
      </c>
      <c r="D10" s="40" t="s">
        <v>222</v>
      </c>
      <c r="E10" s="42" t="s">
        <v>204</v>
      </c>
      <c r="F10" s="42" t="s">
        <v>205</v>
      </c>
      <c r="G10" s="45">
        <v>0.15</v>
      </c>
      <c r="H10" s="42">
        <v>2019</v>
      </c>
      <c r="I10" s="42">
        <v>5</v>
      </c>
      <c r="J10" s="42">
        <v>440</v>
      </c>
      <c r="K10" s="48">
        <v>1.5028754782608698</v>
      </c>
      <c r="L10" s="42" t="s">
        <v>20</v>
      </c>
      <c r="M10" s="40">
        <f>VLOOKUP(L10,汇率!$A$2:$B$5,2,FALSE)</f>
        <v>8.0500000000000007</v>
      </c>
      <c r="N10" s="49">
        <f t="shared" si="0"/>
        <v>12.098147600000003</v>
      </c>
      <c r="O10" s="49">
        <f t="shared" si="1"/>
        <v>9.6785180800000035</v>
      </c>
      <c r="P10" s="50">
        <v>0.01</v>
      </c>
      <c r="Q10" s="57" t="s">
        <v>39</v>
      </c>
      <c r="R10" s="58">
        <f>VLOOKUP(Q10,酒瓶!$A$2:$G$33,3,FALSE)</f>
        <v>0.75</v>
      </c>
      <c r="S10" s="59">
        <f>VLOOKUP(Q10,酒瓶!$A$2:$G$33,7,FALSE)</f>
        <v>1.1000000000000001</v>
      </c>
      <c r="T10" s="60">
        <f>VLOOKUP(Q10,酒瓶!$A$2:$H$33,8,FALSE)</f>
        <v>0.01</v>
      </c>
      <c r="U10" s="59">
        <f>VLOOKUP(Q10,酒瓶!$A$2:$I$33,9,FALSE)</f>
        <v>1.2</v>
      </c>
      <c r="V10" s="58">
        <f>VLOOKUP(Q10,酒瓶!$A$2:$J$33,10,FALSE)</f>
        <v>600</v>
      </c>
      <c r="W10" s="61">
        <f>VLOOKUP(Q10,酒瓶!$A$2:$L$33,12,FALSE)</f>
        <v>1.1000000000000001</v>
      </c>
      <c r="X10" s="57" t="s">
        <v>112</v>
      </c>
      <c r="Y10" s="59">
        <f>VLOOKUP(X10,包材!$B$4:$C$12,2,FALSE)</f>
        <v>0.35</v>
      </c>
      <c r="Z10" s="62">
        <f>VLOOKUP(X10,包材!$B$4:$E$12,4,FALSE)</f>
        <v>0.01</v>
      </c>
      <c r="AA10" s="57" t="s">
        <v>120</v>
      </c>
      <c r="AB10" s="59">
        <f>VLOOKUP(AA10,包材!$B$13:$C$25,2,FALSE)</f>
        <v>0.2</v>
      </c>
      <c r="AC10" s="60">
        <f>VLOOKUP(AA10,包材!$B$13:$E$25,4,FALSE)</f>
        <v>0.01</v>
      </c>
      <c r="AD10" s="63">
        <f>VLOOKUP(AA10,包材!$B$13:$F$25,5,FALSE)</f>
        <v>0</v>
      </c>
      <c r="AE10" s="57" t="s">
        <v>137</v>
      </c>
      <c r="AF10" s="58">
        <f>VLOOKUP(AE10,包材!$B$26:$D$35,3,FALSE)</f>
        <v>6</v>
      </c>
      <c r="AG10" s="59">
        <f>VLOOKUP(AE10,包材!$B$26:$D$35,2,FALSE)</f>
        <v>3</v>
      </c>
      <c r="AH10" s="62">
        <f>VLOOKUP(AE10,包材!$B$26:$E$35,4,FALSE)</f>
        <v>0.01</v>
      </c>
      <c r="AI10" s="57" t="s">
        <v>106</v>
      </c>
      <c r="AJ10" s="61">
        <f>VLOOKUP(AI10,包材!$B$2:$C$3,2,FALSE)</f>
        <v>0.2</v>
      </c>
      <c r="AK10" s="64">
        <f t="shared" si="2"/>
        <v>0.125</v>
      </c>
      <c r="AL10" s="65">
        <f>费用成本!$B$7/J10/AF10</f>
        <v>1.0606060606060606</v>
      </c>
      <c r="AM10" s="66">
        <f>VLOOKUP(Q10,酒瓶!$A$2:$K$33,11,FALSE)</f>
        <v>0.432</v>
      </c>
      <c r="AN10" s="67">
        <f t="shared" si="3"/>
        <v>4.6694398579199996</v>
      </c>
      <c r="AO10" s="70">
        <f t="shared" si="4"/>
        <v>18.390892725526061</v>
      </c>
      <c r="AP10" s="71">
        <f>VLOOKUP(I10,加价率!$A$2:$G$11,6,FALSE)</f>
        <v>0.21000000000000002</v>
      </c>
      <c r="AQ10" s="72">
        <f>AO10*(1+AP10)*客户折扣!$B$2</f>
        <v>22.252980197886533</v>
      </c>
      <c r="AR10" s="73">
        <f>AO10*(1+AP10)*客户折扣!$B$3</f>
        <v>21.585390791949937</v>
      </c>
      <c r="AS10" s="74">
        <f>AO10*(1+AP10)*客户折扣!$B$4</f>
        <v>20.917801386013341</v>
      </c>
      <c r="AT10" s="72">
        <f>AO10*(1+AP10)*客户折扣!$C$2</f>
        <v>21.585390791949937</v>
      </c>
      <c r="AU10" s="73">
        <f>AO10*(1+AP10)*客户折扣!$C$3</f>
        <v>20.917801386013341</v>
      </c>
      <c r="AV10" s="74">
        <f>AO10*(1+AP10)*客户折扣!$C$4</f>
        <v>20.250211980076745</v>
      </c>
      <c r="AW10" s="72">
        <f>AO10*(1+AP10)*客户折扣!$D$2</f>
        <v>20.250211980076745</v>
      </c>
      <c r="AX10" s="73">
        <f>AO10*(1+AP10)*客户折扣!$D$3</f>
        <v>20.250211980076745</v>
      </c>
      <c r="AY10" s="74">
        <f>AO10*(1+AP10)*客户折扣!$D$4</f>
        <v>20.250211980076745</v>
      </c>
    </row>
    <row r="11" spans="1:51" x14ac:dyDescent="0.15">
      <c r="A11" s="40" t="s">
        <v>223</v>
      </c>
      <c r="B11" s="40" t="s">
        <v>224</v>
      </c>
      <c r="C11" s="42" t="s">
        <v>202</v>
      </c>
      <c r="D11" s="40" t="s">
        <v>225</v>
      </c>
      <c r="E11" s="42" t="s">
        <v>204</v>
      </c>
      <c r="F11" s="42" t="s">
        <v>205</v>
      </c>
      <c r="G11" s="45">
        <v>0.155</v>
      </c>
      <c r="H11" s="42">
        <v>2019</v>
      </c>
      <c r="I11" s="42">
        <v>7</v>
      </c>
      <c r="J11" s="42">
        <v>440</v>
      </c>
      <c r="K11" s="48">
        <v>1.8776521739130441</v>
      </c>
      <c r="L11" s="42" t="s">
        <v>20</v>
      </c>
      <c r="M11" s="40">
        <f>VLOOKUP(L11,汇率!$A$2:$B$5,2,FALSE)</f>
        <v>8.0500000000000007</v>
      </c>
      <c r="N11" s="49">
        <f t="shared" si="0"/>
        <v>15.115100000000005</v>
      </c>
      <c r="O11" s="49">
        <f t="shared" si="1"/>
        <v>12.092080000000005</v>
      </c>
      <c r="P11" s="50">
        <v>0.01</v>
      </c>
      <c r="Q11" s="57" t="s">
        <v>39</v>
      </c>
      <c r="R11" s="58">
        <f>VLOOKUP(Q11,酒瓶!$A$2:$G$33,3,FALSE)</f>
        <v>0.75</v>
      </c>
      <c r="S11" s="59">
        <f>VLOOKUP(Q11,酒瓶!$A$2:$G$33,7,FALSE)</f>
        <v>1.1000000000000001</v>
      </c>
      <c r="T11" s="60">
        <f>VLOOKUP(Q11,酒瓶!$A$2:$H$33,8,FALSE)</f>
        <v>0.01</v>
      </c>
      <c r="U11" s="59">
        <f>VLOOKUP(Q11,酒瓶!$A$2:$I$33,9,FALSE)</f>
        <v>1.2</v>
      </c>
      <c r="V11" s="58">
        <f>VLOOKUP(Q11,酒瓶!$A$2:$J$33,10,FALSE)</f>
        <v>600</v>
      </c>
      <c r="W11" s="61">
        <f>VLOOKUP(Q11,酒瓶!$A$2:$L$33,12,FALSE)</f>
        <v>1.1000000000000001</v>
      </c>
      <c r="X11" s="57" t="s">
        <v>112</v>
      </c>
      <c r="Y11" s="59">
        <f>VLOOKUP(X11,包材!$B$4:$C$12,2,FALSE)</f>
        <v>0.35</v>
      </c>
      <c r="Z11" s="62">
        <f>VLOOKUP(X11,包材!$B$4:$E$12,4,FALSE)</f>
        <v>0.01</v>
      </c>
      <c r="AA11" s="57" t="s">
        <v>120</v>
      </c>
      <c r="AB11" s="59">
        <f>VLOOKUP(AA11,包材!$B$13:$C$25,2,FALSE)</f>
        <v>0.2</v>
      </c>
      <c r="AC11" s="60">
        <f>VLOOKUP(AA11,包材!$B$13:$E$25,4,FALSE)</f>
        <v>0.01</v>
      </c>
      <c r="AD11" s="63">
        <f>VLOOKUP(AA11,包材!$B$13:$F$25,5,FALSE)</f>
        <v>0</v>
      </c>
      <c r="AE11" s="57" t="s">
        <v>137</v>
      </c>
      <c r="AF11" s="58">
        <f>VLOOKUP(AE11,包材!$B$26:$D$35,3,FALSE)</f>
        <v>6</v>
      </c>
      <c r="AG11" s="59">
        <f>VLOOKUP(AE11,包材!$B$26:$D$35,2,FALSE)</f>
        <v>3</v>
      </c>
      <c r="AH11" s="62">
        <f>VLOOKUP(AE11,包材!$B$26:$E$35,4,FALSE)</f>
        <v>0.01</v>
      </c>
      <c r="AI11" s="57" t="s">
        <v>106</v>
      </c>
      <c r="AJ11" s="61">
        <f>VLOOKUP(AI11,包材!$B$2:$C$3,2,FALSE)</f>
        <v>0.2</v>
      </c>
      <c r="AK11" s="64">
        <f t="shared" si="2"/>
        <v>0.125</v>
      </c>
      <c r="AL11" s="65">
        <f>费用成本!$B$7/J11/AF11</f>
        <v>1.0606060606060606</v>
      </c>
      <c r="AM11" s="66">
        <f>VLOOKUP(Q11,酒瓶!$A$2:$K$33,11,FALSE)</f>
        <v>0.432</v>
      </c>
      <c r="AN11" s="67">
        <f t="shared" si="3"/>
        <v>5.4514339200000004</v>
      </c>
      <c r="AO11" s="70">
        <f t="shared" si="4"/>
        <v>21.458228230606068</v>
      </c>
      <c r="AP11" s="71">
        <f>VLOOKUP(I11,加价率!$A$2:$G$11,6,FALSE)</f>
        <v>0.21000000000000002</v>
      </c>
      <c r="AQ11" s="72">
        <f>AO11*(1+AP11)*客户折扣!$B$2</f>
        <v>25.96445615903334</v>
      </c>
      <c r="AR11" s="73">
        <f>AO11*(1+AP11)*客户折扣!$B$3</f>
        <v>25.185522474262338</v>
      </c>
      <c r="AS11" s="74">
        <f>AO11*(1+AP11)*客户折扣!$B$4</f>
        <v>24.406588789491337</v>
      </c>
      <c r="AT11" s="72">
        <f>AO11*(1+AP11)*客户折扣!$C$2</f>
        <v>25.185522474262338</v>
      </c>
      <c r="AU11" s="73">
        <f>AO11*(1+AP11)*客户折扣!$C$3</f>
        <v>24.406588789491337</v>
      </c>
      <c r="AV11" s="74">
        <f>AO11*(1+AP11)*客户折扣!$C$4</f>
        <v>23.62765510472034</v>
      </c>
      <c r="AW11" s="72">
        <f>AO11*(1+AP11)*客户折扣!$D$2</f>
        <v>23.62765510472034</v>
      </c>
      <c r="AX11" s="73">
        <f>AO11*(1+AP11)*客户折扣!$D$3</f>
        <v>23.62765510472034</v>
      </c>
      <c r="AY11" s="74">
        <f>AO11*(1+AP11)*客户折扣!$D$4</f>
        <v>23.62765510472034</v>
      </c>
    </row>
    <row r="12" spans="1:51" x14ac:dyDescent="0.15">
      <c r="A12" s="40" t="s">
        <v>226</v>
      </c>
      <c r="B12" s="40" t="s">
        <v>227</v>
      </c>
      <c r="C12" s="42" t="s">
        <v>228</v>
      </c>
      <c r="D12" s="40" t="s">
        <v>229</v>
      </c>
      <c r="E12" s="42" t="s">
        <v>204</v>
      </c>
      <c r="F12" s="42" t="s">
        <v>205</v>
      </c>
      <c r="G12" s="45">
        <v>0.14499999999999999</v>
      </c>
      <c r="H12" s="42">
        <v>2019</v>
      </c>
      <c r="I12" s="42">
        <v>3</v>
      </c>
      <c r="J12" s="42">
        <v>440</v>
      </c>
      <c r="K12" s="51">
        <v>1.5513103030302999</v>
      </c>
      <c r="L12" s="42" t="s">
        <v>19</v>
      </c>
      <c r="M12" s="40">
        <f>VLOOKUP(L12,汇率!$A$2:$B$5,2,FALSE)</f>
        <v>4.95</v>
      </c>
      <c r="N12" s="49">
        <f>K12*M12</f>
        <v>7.678985999999985</v>
      </c>
      <c r="O12" s="49">
        <f>N12*0.8</f>
        <v>6.1431887999999883</v>
      </c>
      <c r="P12" s="50">
        <v>0.01</v>
      </c>
      <c r="Q12" s="57" t="s">
        <v>39</v>
      </c>
      <c r="R12" s="58">
        <f>VLOOKUP(Q12,酒瓶!$A$2:$G$33,3,FALSE)</f>
        <v>0.75</v>
      </c>
      <c r="S12" s="59">
        <f>VLOOKUP(Q12,酒瓶!$A$2:$G$33,7,FALSE)</f>
        <v>1.1000000000000001</v>
      </c>
      <c r="T12" s="60">
        <f>VLOOKUP(Q12,酒瓶!$A$2:$H$33,8,FALSE)</f>
        <v>0.01</v>
      </c>
      <c r="U12" s="59">
        <f>VLOOKUP(Q12,酒瓶!$A$2:$I$33,9,FALSE)</f>
        <v>1.2</v>
      </c>
      <c r="V12" s="58">
        <f>VLOOKUP(Q12,酒瓶!$A$2:$J$33,10,FALSE)</f>
        <v>600</v>
      </c>
      <c r="W12" s="61">
        <f>VLOOKUP(Q12,酒瓶!$A$2:$L$33,12,FALSE)</f>
        <v>1.1000000000000001</v>
      </c>
      <c r="X12" s="57" t="s">
        <v>112</v>
      </c>
      <c r="Y12" s="59">
        <f>VLOOKUP(X12,包材!$B$4:$C$12,2,FALSE)</f>
        <v>0.35</v>
      </c>
      <c r="Z12" s="62">
        <f>VLOOKUP(X12,包材!$B$4:$E$12,4,FALSE)</f>
        <v>0.01</v>
      </c>
      <c r="AA12" s="57" t="s">
        <v>120</v>
      </c>
      <c r="AB12" s="59">
        <f>VLOOKUP(AA12,包材!$B$13:$C$25,2,FALSE)</f>
        <v>0.2</v>
      </c>
      <c r="AC12" s="60">
        <f>VLOOKUP(AA12,包材!$B$13:$E$25,4,FALSE)</f>
        <v>0.01</v>
      </c>
      <c r="AD12" s="63">
        <f>VLOOKUP(AA12,包材!$B$13:$F$25,5,FALSE)</f>
        <v>0</v>
      </c>
      <c r="AE12" s="57" t="s">
        <v>137</v>
      </c>
      <c r="AF12" s="58">
        <f>VLOOKUP(AE12,包材!$B$26:$D$35,3,FALSE)</f>
        <v>6</v>
      </c>
      <c r="AG12" s="59">
        <f>VLOOKUP(AE12,包材!$B$26:$D$35,2,FALSE)</f>
        <v>3</v>
      </c>
      <c r="AH12" s="62">
        <f>VLOOKUP(AE12,包材!$B$26:$E$35,4,FALSE)</f>
        <v>0.01</v>
      </c>
      <c r="AI12" s="57" t="s">
        <v>106</v>
      </c>
      <c r="AJ12" s="61">
        <f>VLOOKUP(AI12,包材!$B$2:$C$3,2,FALSE)</f>
        <v>0.2</v>
      </c>
      <c r="AK12" s="64">
        <f>75/V12</f>
        <v>0.125</v>
      </c>
      <c r="AL12" s="65">
        <f>费用成本!$B$7/J12/AF12</f>
        <v>1.0606060606060606</v>
      </c>
      <c r="AM12" s="66">
        <f>VLOOKUP(Q12,酒瓶!$A$2:$K$33,11,FALSE)</f>
        <v>0.432</v>
      </c>
      <c r="AN12" s="67">
        <f>(O12*R12+S12+U12+Y12+AB12+AD12+AG12/AF12+AJ12)*AM12</f>
        <v>3.5239931711999954</v>
      </c>
      <c r="AO12" s="70">
        <f>N12*R12*(1+P12)+S12*(1+T12)+U12+Y12*(1+Z12)+AB12*(1+AC12)+AD12+AG12/AF12*(1+AH12)+AK12+AL12+AN12</f>
        <v>13.897931126806046</v>
      </c>
      <c r="AP12" s="71">
        <f>VLOOKUP(I12,加价率!$A$2:$G$11,6,FALSE)</f>
        <v>0.2</v>
      </c>
      <c r="AQ12" s="72">
        <f>AO12*(1+AP12)*客户折扣!$B$2</f>
        <v>16.677517352167254</v>
      </c>
      <c r="AR12" s="73">
        <f>AO12*(1+AP12)*客户折扣!$B$3</f>
        <v>16.177191831602237</v>
      </c>
      <c r="AS12" s="74">
        <f>AO12*(1+AP12)*客户折扣!$B$4</f>
        <v>15.676866311037218</v>
      </c>
      <c r="AT12" s="72">
        <f>AO12*(1+AP12)*客户折扣!$C$2</f>
        <v>16.177191831602237</v>
      </c>
      <c r="AU12" s="73">
        <f>AO12*(1+AP12)*客户折扣!$C$3</f>
        <v>15.676866311037218</v>
      </c>
      <c r="AV12" s="74">
        <f>AO12*(1+AP12)*客户折扣!$C$4</f>
        <v>15.176540790472201</v>
      </c>
      <c r="AW12" s="72">
        <f>AO12*(1+AP12)*客户折扣!$D$2</f>
        <v>15.176540790472201</v>
      </c>
      <c r="AX12" s="73">
        <f>AO12*(1+AP12)*客户折扣!$D$3</f>
        <v>15.176540790472201</v>
      </c>
      <c r="AY12" s="74">
        <f>AO12*(1+AP12)*客户折扣!$D$4</f>
        <v>15.176540790472201</v>
      </c>
    </row>
    <row r="13" spans="1:51" x14ac:dyDescent="0.15">
      <c r="A13" s="40" t="s">
        <v>230</v>
      </c>
      <c r="B13" s="40" t="s">
        <v>231</v>
      </c>
      <c r="C13" s="42" t="s">
        <v>228</v>
      </c>
      <c r="D13" s="42" t="s">
        <v>229</v>
      </c>
      <c r="E13" s="42" t="s">
        <v>232</v>
      </c>
      <c r="F13" s="42" t="s">
        <v>205</v>
      </c>
      <c r="G13" s="45">
        <v>0.14499999999999999</v>
      </c>
      <c r="H13" s="42">
        <v>2019</v>
      </c>
      <c r="I13" s="42">
        <v>4</v>
      </c>
      <c r="J13" s="42">
        <v>440</v>
      </c>
      <c r="K13" s="51">
        <v>2.0647086868686899</v>
      </c>
      <c r="L13" s="42" t="s">
        <v>19</v>
      </c>
      <c r="M13" s="40">
        <f>VLOOKUP(L13,汇率!$A$2:$B$5,2,FALSE)</f>
        <v>4.95</v>
      </c>
      <c r="N13" s="49">
        <f>K13*M13</f>
        <v>10.220308000000015</v>
      </c>
      <c r="O13" s="49">
        <f>N13*0.8</f>
        <v>8.1762464000000126</v>
      </c>
      <c r="P13" s="50">
        <v>0.01</v>
      </c>
      <c r="Q13" s="57" t="s">
        <v>39</v>
      </c>
      <c r="R13" s="58">
        <f>VLOOKUP(Q13,酒瓶!$A$2:$G$33,3,FALSE)</f>
        <v>0.75</v>
      </c>
      <c r="S13" s="59">
        <f>VLOOKUP(Q13,酒瓶!$A$2:$G$33,7,FALSE)</f>
        <v>1.1000000000000001</v>
      </c>
      <c r="T13" s="60">
        <f>VLOOKUP(Q13,酒瓶!$A$2:$H$33,8,FALSE)</f>
        <v>0.01</v>
      </c>
      <c r="U13" s="59">
        <f>VLOOKUP(Q13,酒瓶!$A$2:$I$33,9,FALSE)</f>
        <v>1.2</v>
      </c>
      <c r="V13" s="58">
        <f>VLOOKUP(Q13,酒瓶!$A$2:$J$33,10,FALSE)</f>
        <v>600</v>
      </c>
      <c r="W13" s="61">
        <f>VLOOKUP(Q13,酒瓶!$A$2:$L$33,12,FALSE)</f>
        <v>1.1000000000000001</v>
      </c>
      <c r="X13" s="57" t="s">
        <v>112</v>
      </c>
      <c r="Y13" s="59">
        <f>VLOOKUP(X13,包材!$B$4:$C$12,2,FALSE)</f>
        <v>0.35</v>
      </c>
      <c r="Z13" s="62">
        <f>VLOOKUP(X13,包材!$B$4:$E$12,4,FALSE)</f>
        <v>0.01</v>
      </c>
      <c r="AA13" s="57" t="s">
        <v>120</v>
      </c>
      <c r="AB13" s="59">
        <f>VLOOKUP(AA13,包材!$B$13:$C$25,2,FALSE)</f>
        <v>0.2</v>
      </c>
      <c r="AC13" s="60">
        <f>VLOOKUP(AA13,包材!$B$13:$E$25,4,FALSE)</f>
        <v>0.01</v>
      </c>
      <c r="AD13" s="63">
        <f>VLOOKUP(AA13,包材!$B$13:$F$25,5,FALSE)</f>
        <v>0</v>
      </c>
      <c r="AE13" s="57" t="s">
        <v>137</v>
      </c>
      <c r="AF13" s="58">
        <f>VLOOKUP(AE13,包材!$B$26:$D$35,3,FALSE)</f>
        <v>6</v>
      </c>
      <c r="AG13" s="59">
        <f>VLOOKUP(AE13,包材!$B$26:$D$35,2,FALSE)</f>
        <v>3</v>
      </c>
      <c r="AH13" s="62">
        <f>VLOOKUP(AE13,包材!$B$26:$E$35,4,FALSE)</f>
        <v>0.01</v>
      </c>
      <c r="AI13" s="57" t="s">
        <v>106</v>
      </c>
      <c r="AJ13" s="61">
        <f>VLOOKUP(AI13,包材!$B$2:$C$3,2,FALSE)</f>
        <v>0.2</v>
      </c>
      <c r="AK13" s="64">
        <f>75/V13</f>
        <v>0.125</v>
      </c>
      <c r="AL13" s="65">
        <f>费用成本!$B$7/J13/AF13</f>
        <v>1.0606060606060606</v>
      </c>
      <c r="AM13" s="66">
        <f>VLOOKUP(Q13,酒瓶!$A$2:$K$33,11,FALSE)</f>
        <v>0.432</v>
      </c>
      <c r="AN13" s="67">
        <f>(O13*R13+S13+U13+Y13+AB13+AD13+AG13/AF13+AJ13)*AM13</f>
        <v>4.1827038336000033</v>
      </c>
      <c r="AO13" s="70">
        <f>N13*R13*(1+P13)+S13*(1+T13)+U13+Y13*(1+Z13)+AB13*(1+AC13)+AD13+AG13/AF13*(1+AH13)+AK13+AL13+AN13</f>
        <v>16.481693204206074</v>
      </c>
      <c r="AP13" s="71">
        <f>VLOOKUP(I13,加价率!$A$2:$G$11,6,FALSE)</f>
        <v>0.2</v>
      </c>
      <c r="AQ13" s="72">
        <f>AO13*(1+AP13)*客户折扣!$B$2</f>
        <v>19.778031845047288</v>
      </c>
      <c r="AR13" s="73">
        <f>AO13*(1+AP13)*客户折扣!$B$3</f>
        <v>19.184690889695869</v>
      </c>
      <c r="AS13" s="74">
        <f>AO13*(1+AP13)*客户折扣!$B$4</f>
        <v>18.59134993434445</v>
      </c>
      <c r="AT13" s="72">
        <f>AO13*(1+AP13)*客户折扣!$C$2</f>
        <v>19.184690889695869</v>
      </c>
      <c r="AU13" s="73">
        <f>AO13*(1+AP13)*客户折扣!$C$3</f>
        <v>18.59134993434445</v>
      </c>
      <c r="AV13" s="74">
        <f>AO13*(1+AP13)*客户折扣!$C$4</f>
        <v>17.998008978993031</v>
      </c>
      <c r="AW13" s="72">
        <f>AO13*(1+AP13)*客户折扣!$D$2</f>
        <v>17.998008978993031</v>
      </c>
      <c r="AX13" s="73">
        <f>AO13*(1+AP13)*客户折扣!$D$3</f>
        <v>17.998008978993031</v>
      </c>
      <c r="AY13" s="74">
        <f>AO13*(1+AP13)*客户折扣!$D$4</f>
        <v>17.998008978993031</v>
      </c>
    </row>
    <row r="14" spans="1:51" x14ac:dyDescent="0.15">
      <c r="A14" s="40" t="s">
        <v>233</v>
      </c>
      <c r="B14" s="40" t="s">
        <v>234</v>
      </c>
      <c r="C14" s="42" t="s">
        <v>228</v>
      </c>
      <c r="D14" s="42" t="s">
        <v>229</v>
      </c>
      <c r="E14" s="42" t="s">
        <v>232</v>
      </c>
      <c r="F14" s="42" t="s">
        <v>205</v>
      </c>
      <c r="G14" s="45">
        <v>0.16</v>
      </c>
      <c r="H14" s="42">
        <v>2019</v>
      </c>
      <c r="I14" s="42">
        <v>5</v>
      </c>
      <c r="J14" s="42">
        <v>440</v>
      </c>
      <c r="K14" s="51">
        <v>2.3837870707070699</v>
      </c>
      <c r="L14" s="42" t="s">
        <v>19</v>
      </c>
      <c r="M14" s="40">
        <f>VLOOKUP(L14,汇率!$A$2:$B$5,2,FALSE)</f>
        <v>4.95</v>
      </c>
      <c r="N14" s="49">
        <f>K14*M14</f>
        <v>11.799745999999995</v>
      </c>
      <c r="O14" s="49">
        <f>N14*0.8</f>
        <v>9.4397967999999963</v>
      </c>
      <c r="P14" s="50">
        <v>0.01</v>
      </c>
      <c r="Q14" s="57" t="s">
        <v>39</v>
      </c>
      <c r="R14" s="58">
        <f>VLOOKUP(Q14,酒瓶!$A$2:$G$33,3,FALSE)</f>
        <v>0.75</v>
      </c>
      <c r="S14" s="59">
        <f>VLOOKUP(Q14,酒瓶!$A$2:$G$33,7,FALSE)</f>
        <v>1.1000000000000001</v>
      </c>
      <c r="T14" s="60">
        <f>VLOOKUP(Q14,酒瓶!$A$2:$H$33,8,FALSE)</f>
        <v>0.01</v>
      </c>
      <c r="U14" s="59">
        <f>VLOOKUP(Q14,酒瓶!$A$2:$I$33,9,FALSE)</f>
        <v>1.2</v>
      </c>
      <c r="V14" s="58">
        <f>VLOOKUP(Q14,酒瓶!$A$2:$J$33,10,FALSE)</f>
        <v>600</v>
      </c>
      <c r="W14" s="61">
        <f>VLOOKUP(Q14,酒瓶!$A$2:$L$33,12,FALSE)</f>
        <v>1.1000000000000001</v>
      </c>
      <c r="X14" s="57" t="s">
        <v>112</v>
      </c>
      <c r="Y14" s="59">
        <f>VLOOKUP(X14,包材!$B$4:$C$12,2,FALSE)</f>
        <v>0.35</v>
      </c>
      <c r="Z14" s="62">
        <f>VLOOKUP(X14,包材!$B$4:$E$12,4,FALSE)</f>
        <v>0.01</v>
      </c>
      <c r="AA14" s="57" t="s">
        <v>120</v>
      </c>
      <c r="AB14" s="59">
        <f>VLOOKUP(AA14,包材!$B$13:$C$25,2,FALSE)</f>
        <v>0.2</v>
      </c>
      <c r="AC14" s="60">
        <f>VLOOKUP(AA14,包材!$B$13:$E$25,4,FALSE)</f>
        <v>0.01</v>
      </c>
      <c r="AD14" s="63">
        <f>VLOOKUP(AA14,包材!$B$13:$F$25,5,FALSE)</f>
        <v>0</v>
      </c>
      <c r="AE14" s="57" t="s">
        <v>137</v>
      </c>
      <c r="AF14" s="58">
        <f>VLOOKUP(AE14,包材!$B$26:$D$35,3,FALSE)</f>
        <v>6</v>
      </c>
      <c r="AG14" s="59">
        <f>VLOOKUP(AE14,包材!$B$26:$D$35,2,FALSE)</f>
        <v>3</v>
      </c>
      <c r="AH14" s="62">
        <f>VLOOKUP(AE14,包材!$B$26:$E$35,4,FALSE)</f>
        <v>0.01</v>
      </c>
      <c r="AI14" s="57" t="s">
        <v>106</v>
      </c>
      <c r="AJ14" s="61">
        <f>VLOOKUP(AI14,包材!$B$2:$C$3,2,FALSE)</f>
        <v>0.2</v>
      </c>
      <c r="AK14" s="64">
        <f>75/V14</f>
        <v>0.125</v>
      </c>
      <c r="AL14" s="65">
        <f>费用成本!$B$7/J14/AF14</f>
        <v>1.0606060606060606</v>
      </c>
      <c r="AM14" s="66">
        <f>VLOOKUP(Q14,酒瓶!$A$2:$K$33,11,FALSE)</f>
        <v>0.432</v>
      </c>
      <c r="AN14" s="67">
        <f>(O14*R14+S14+U14+Y14+AB14+AD14+AG14/AF14+AJ14)*AM14</f>
        <v>4.5920941631999979</v>
      </c>
      <c r="AO14" s="70">
        <f>N14*R14*(1+P14)+S14*(1+T14)+U14+Y14*(1+Z14)+AB14*(1+AC14)+AG14/AF14*(1+AH14)+AK14+AL14+AN14</f>
        <v>18.087507818806056</v>
      </c>
      <c r="AP14" s="71">
        <f>VLOOKUP(I14,加价率!$A$2:$G$11,6,FALSE)</f>
        <v>0.21000000000000002</v>
      </c>
      <c r="AQ14" s="72">
        <f>AO14*(1+AP14)*客户折扣!$B$2</f>
        <v>21.885884460755328</v>
      </c>
      <c r="AR14" s="73">
        <f>AO14*(1+AP14)*客户折扣!$B$3</f>
        <v>21.229307926932666</v>
      </c>
      <c r="AS14" s="74">
        <f>AO14*(1+AP14)*客户折扣!$B$4</f>
        <v>20.572731393110008</v>
      </c>
      <c r="AT14" s="72">
        <f>AO14*(1+AP14)*客户折扣!$C$2</f>
        <v>21.229307926932666</v>
      </c>
      <c r="AU14" s="73">
        <f>AO14*(1+AP14)*客户折扣!$C$3</f>
        <v>20.572731393110008</v>
      </c>
      <c r="AV14" s="74">
        <f>AO14*(1+AP14)*客户折扣!$C$4</f>
        <v>19.916154859287349</v>
      </c>
      <c r="AW14" s="72">
        <f>AO14*(1+AP14)*客户折扣!$D$2</f>
        <v>19.916154859287349</v>
      </c>
      <c r="AX14" s="73">
        <f>AO14*(1+AP14)*客户折扣!$D$3</f>
        <v>19.916154859287349</v>
      </c>
      <c r="AY14" s="74">
        <f>AO14*(1+AP14)*客户折扣!$D$4</f>
        <v>19.916154859287349</v>
      </c>
    </row>
    <row r="15" spans="1:51" x14ac:dyDescent="0.15">
      <c r="A15" s="40" t="s">
        <v>235</v>
      </c>
      <c r="B15" s="40" t="s">
        <v>236</v>
      </c>
      <c r="C15" s="42" t="s">
        <v>237</v>
      </c>
      <c r="D15" s="42" t="s">
        <v>238</v>
      </c>
      <c r="E15" s="42" t="s">
        <v>204</v>
      </c>
      <c r="F15" s="42" t="s">
        <v>205</v>
      </c>
      <c r="G15" s="45">
        <v>0.125</v>
      </c>
      <c r="H15" s="42" t="s">
        <v>107</v>
      </c>
      <c r="I15" s="42">
        <v>2</v>
      </c>
      <c r="J15" s="42">
        <v>440</v>
      </c>
      <c r="K15" s="52">
        <v>0.55710598540145995</v>
      </c>
      <c r="L15" s="42" t="s">
        <v>18</v>
      </c>
      <c r="M15" s="40">
        <f>VLOOKUP(L15,汇率!$A$2:$B$5,2,FALSE)</f>
        <v>6.85</v>
      </c>
      <c r="N15" s="49">
        <f>K15*M15</f>
        <v>3.8161760000000005</v>
      </c>
      <c r="O15" s="49">
        <f>N15*0.8</f>
        <v>3.0529408000000005</v>
      </c>
      <c r="P15" s="50">
        <v>0.01</v>
      </c>
      <c r="Q15" s="57" t="s">
        <v>39</v>
      </c>
      <c r="R15" s="58">
        <f>VLOOKUP(Q15,酒瓶!$A$2:$G$33,3,FALSE)</f>
        <v>0.75</v>
      </c>
      <c r="S15" s="59">
        <f>VLOOKUP(Q15,酒瓶!$A$2:$G$33,7,FALSE)</f>
        <v>1.1000000000000001</v>
      </c>
      <c r="T15" s="60">
        <f>VLOOKUP(Q15,酒瓶!$A$2:$H$33,8,FALSE)</f>
        <v>0.01</v>
      </c>
      <c r="U15" s="59">
        <f>VLOOKUP(Q15,酒瓶!$A$2:$I$33,9,FALSE)</f>
        <v>1.2</v>
      </c>
      <c r="V15" s="58">
        <f>VLOOKUP(Q15,酒瓶!$A$2:$J$33,10,FALSE)</f>
        <v>600</v>
      </c>
      <c r="W15" s="61">
        <f>VLOOKUP(Q15,酒瓶!$A$2:$L$33,12,FALSE)</f>
        <v>1.1000000000000001</v>
      </c>
      <c r="X15" s="57" t="s">
        <v>112</v>
      </c>
      <c r="Y15" s="59">
        <f>VLOOKUP(X15,包材!$B$4:$C$12,2,FALSE)</f>
        <v>0.35</v>
      </c>
      <c r="Z15" s="62">
        <f>VLOOKUP(X15,包材!$B$4:$E$12,4,FALSE)</f>
        <v>0.01</v>
      </c>
      <c r="AA15" s="57" t="s">
        <v>120</v>
      </c>
      <c r="AB15" s="59">
        <f>VLOOKUP(AA15,包材!$B$13:$C$25,2,FALSE)</f>
        <v>0.2</v>
      </c>
      <c r="AC15" s="60">
        <f>VLOOKUP(AA15,包材!$B$13:$E$25,4,FALSE)</f>
        <v>0.01</v>
      </c>
      <c r="AD15" s="63">
        <f>VLOOKUP(AA15,包材!$B$13:$F$25,5,FALSE)</f>
        <v>0</v>
      </c>
      <c r="AE15" s="57" t="s">
        <v>137</v>
      </c>
      <c r="AF15" s="58">
        <f>VLOOKUP(AE15,包材!$B$26:$D$35,3,FALSE)</f>
        <v>6</v>
      </c>
      <c r="AG15" s="59">
        <f>VLOOKUP(AE15,包材!$B$26:$D$35,2,FALSE)</f>
        <v>3</v>
      </c>
      <c r="AH15" s="62">
        <f>VLOOKUP(AE15,包材!$B$26:$E$35,4,FALSE)</f>
        <v>0.01</v>
      </c>
      <c r="AI15" s="57" t="s">
        <v>106</v>
      </c>
      <c r="AJ15" s="61">
        <f>VLOOKUP(AI15,包材!$B$2:$C$3,2,FALSE)</f>
        <v>0.2</v>
      </c>
      <c r="AK15" s="64">
        <f>75/V15</f>
        <v>0.125</v>
      </c>
      <c r="AL15" s="65">
        <f>费用成本!$B$7/J15/AF15</f>
        <v>1.0606060606060606</v>
      </c>
      <c r="AM15" s="66">
        <f>VLOOKUP(Q15,酒瓶!$A$2:$K$33,11,FALSE)</f>
        <v>0.432</v>
      </c>
      <c r="AN15" s="67">
        <f>(O15*R15+S15+U15+Y15+AB15+AD15+AG15/AF15+AJ15)*AM15</f>
        <v>2.5227528191999999</v>
      </c>
      <c r="AO15" s="70">
        <f>N15*R15*(1+P15)+S15*(1+T15)+U15+Y15*(1+Z15)+AB15*(1+AC15)+AG15/AF15*(1+AH15)+AK15+AL15+AN15</f>
        <v>9.9706121998060624</v>
      </c>
      <c r="AP15" s="71">
        <f>VLOOKUP(I15,加价率!$A$2:$G$11,6,FALSE)</f>
        <v>0.2</v>
      </c>
      <c r="AQ15" s="72">
        <f>AO15*(1+AP15)*客户折扣!$B$2</f>
        <v>11.964734639767274</v>
      </c>
      <c r="AR15" s="73">
        <f>AO15*(1+AP15)*客户折扣!$B$3</f>
        <v>11.605792600574254</v>
      </c>
      <c r="AS15" s="74">
        <f>AO15*(1+AP15)*客户折扣!$B$4</f>
        <v>11.246850561381237</v>
      </c>
      <c r="AT15" s="72">
        <f>AO15*(1+AP15)*客户折扣!$C$2</f>
        <v>11.605792600574254</v>
      </c>
      <c r="AU15" s="73">
        <f>AO15*(1+AP15)*客户折扣!$C$3</f>
        <v>11.246850561381237</v>
      </c>
      <c r="AV15" s="74">
        <f>AO15*(1+AP15)*客户折扣!$C$4</f>
        <v>10.887908522188219</v>
      </c>
      <c r="AW15" s="72">
        <f>AO15*(1+AP15)*客户折扣!$D$2</f>
        <v>10.887908522188219</v>
      </c>
      <c r="AX15" s="73">
        <f>AO15*(1+AP15)*客户折扣!$D$3</f>
        <v>10.887908522188219</v>
      </c>
      <c r="AY15" s="74">
        <f>AO15*(1+AP15)*客户折扣!$D$4</f>
        <v>10.887908522188219</v>
      </c>
    </row>
    <row r="16" spans="1:51" x14ac:dyDescent="0.15">
      <c r="A16" s="40" t="s">
        <v>239</v>
      </c>
      <c r="B16" s="40" t="s">
        <v>240</v>
      </c>
      <c r="C16" s="42" t="s">
        <v>237</v>
      </c>
      <c r="D16" s="42" t="s">
        <v>238</v>
      </c>
      <c r="E16" s="42" t="s">
        <v>241</v>
      </c>
      <c r="F16" s="42" t="s">
        <v>205</v>
      </c>
      <c r="G16" s="45">
        <v>0.13</v>
      </c>
      <c r="H16" s="42">
        <v>2019</v>
      </c>
      <c r="I16" s="42">
        <v>3</v>
      </c>
      <c r="J16" s="42">
        <v>440</v>
      </c>
      <c r="K16" s="52">
        <v>0.79766277372262795</v>
      </c>
      <c r="L16" s="42" t="s">
        <v>18</v>
      </c>
      <c r="M16" s="40">
        <f>VLOOKUP(L16,汇率!$A$2:$B$5,2,FALSE)</f>
        <v>6.85</v>
      </c>
      <c r="N16" s="49">
        <f>K16*M16</f>
        <v>5.4639900000000008</v>
      </c>
      <c r="O16" s="49">
        <f>N16*0.8</f>
        <v>4.3711920000000006</v>
      </c>
      <c r="P16" s="50">
        <v>0.01</v>
      </c>
      <c r="Q16" s="57" t="s">
        <v>39</v>
      </c>
      <c r="R16" s="58">
        <f>VLOOKUP(Q16,酒瓶!$A$2:$G$33,3,FALSE)</f>
        <v>0.75</v>
      </c>
      <c r="S16" s="59">
        <f>VLOOKUP(Q16,酒瓶!$A$2:$G$33,7,FALSE)</f>
        <v>1.1000000000000001</v>
      </c>
      <c r="T16" s="60">
        <f>VLOOKUP(Q16,酒瓶!$A$2:$H$33,8,FALSE)</f>
        <v>0.01</v>
      </c>
      <c r="U16" s="59">
        <f>VLOOKUP(Q16,酒瓶!$A$2:$I$33,9,FALSE)</f>
        <v>1.2</v>
      </c>
      <c r="V16" s="58">
        <f>VLOOKUP(Q16,酒瓶!$A$2:$J$33,10,FALSE)</f>
        <v>600</v>
      </c>
      <c r="W16" s="61">
        <f>VLOOKUP(Q16,酒瓶!$A$2:$L$33,12,FALSE)</f>
        <v>1.1000000000000001</v>
      </c>
      <c r="X16" s="57" t="s">
        <v>112</v>
      </c>
      <c r="Y16" s="59">
        <f>VLOOKUP(X16,包材!$B$4:$C$12,2,FALSE)</f>
        <v>0.35</v>
      </c>
      <c r="Z16" s="62">
        <f>VLOOKUP(X16,包材!$B$4:$E$12,4,FALSE)</f>
        <v>0.01</v>
      </c>
      <c r="AA16" s="57" t="s">
        <v>120</v>
      </c>
      <c r="AB16" s="59">
        <f>VLOOKUP(AA16,包材!$B$13:$C$25,2,FALSE)</f>
        <v>0.2</v>
      </c>
      <c r="AC16" s="60">
        <f>VLOOKUP(AA16,包材!$B$13:$E$25,4,FALSE)</f>
        <v>0.01</v>
      </c>
      <c r="AD16" s="63">
        <f>VLOOKUP(AA16,包材!$B$13:$F$25,5,FALSE)</f>
        <v>0</v>
      </c>
      <c r="AE16" s="57" t="s">
        <v>137</v>
      </c>
      <c r="AF16" s="58">
        <f>VLOOKUP(AE16,包材!$B$26:$D$35,3,FALSE)</f>
        <v>6</v>
      </c>
      <c r="AG16" s="59">
        <f>VLOOKUP(AE16,包材!$B$26:$D$35,2,FALSE)</f>
        <v>3</v>
      </c>
      <c r="AH16" s="62">
        <f>VLOOKUP(AE16,包材!$B$26:$E$35,4,FALSE)</f>
        <v>0.01</v>
      </c>
      <c r="AI16" s="57" t="s">
        <v>106</v>
      </c>
      <c r="AJ16" s="61">
        <f>VLOOKUP(AI16,包材!$B$2:$C$3,2,FALSE)</f>
        <v>0.2</v>
      </c>
      <c r="AK16" s="64">
        <f>75/V16</f>
        <v>0.125</v>
      </c>
      <c r="AL16" s="65">
        <f>费用成本!$B$7/J16/AF16</f>
        <v>1.0606060606060606</v>
      </c>
      <c r="AM16" s="66">
        <f>VLOOKUP(Q16,酒瓶!$A$2:$K$33,11,FALSE)</f>
        <v>0.432</v>
      </c>
      <c r="AN16" s="67">
        <f>(O16*R16+S16+U16+Y16+AB16+AD16+AG16/AF16+AJ16)*AM16</f>
        <v>2.949866208</v>
      </c>
      <c r="AO16" s="70">
        <f>N16*R16*(1+P16)+S16*(1+T16)+U16+Y16*(1+Z16)+AB16*(1+AC16)+AG16/AF16*(1+AH16)+AK16+AL16+AN16</f>
        <v>11.645944693606062</v>
      </c>
      <c r="AP16" s="71">
        <f>VLOOKUP(I16,加价率!$A$2:$G$11,6,FALSE)</f>
        <v>0.2</v>
      </c>
      <c r="AQ16" s="72">
        <f>AO16*(1+AP16)*客户折扣!$B$2</f>
        <v>13.975133632327273</v>
      </c>
      <c r="AR16" s="73">
        <f>AO16*(1+AP16)*客户折扣!$B$3</f>
        <v>13.555879623357454</v>
      </c>
      <c r="AS16" s="74">
        <f>AO16*(1+AP16)*客户折扣!$B$4</f>
        <v>13.136625614387636</v>
      </c>
      <c r="AT16" s="72">
        <f>AO16*(1+AP16)*客户折扣!$C$2</f>
        <v>13.555879623357454</v>
      </c>
      <c r="AU16" s="73">
        <f>AO16*(1+AP16)*客户折扣!$C$3</f>
        <v>13.136625614387636</v>
      </c>
      <c r="AV16" s="74">
        <f>AO16*(1+AP16)*客户折扣!$C$4</f>
        <v>12.717371605417819</v>
      </c>
      <c r="AW16" s="72">
        <f>AO16*(1+AP16)*客户折扣!$D$2</f>
        <v>12.717371605417819</v>
      </c>
      <c r="AX16" s="73">
        <f>AO16*(1+AP16)*客户折扣!$D$3</f>
        <v>12.717371605417819</v>
      </c>
      <c r="AY16" s="74">
        <f>AO16*(1+AP16)*客户折扣!$D$4</f>
        <v>12.717371605417819</v>
      </c>
    </row>
    <row r="17" spans="1:51" x14ac:dyDescent="0.15">
      <c r="A17" s="40" t="s">
        <v>242</v>
      </c>
      <c r="B17" s="40" t="s">
        <v>243</v>
      </c>
      <c r="C17" s="42" t="s">
        <v>237</v>
      </c>
      <c r="D17" s="42" t="s">
        <v>238</v>
      </c>
      <c r="E17" s="42" t="s">
        <v>244</v>
      </c>
      <c r="F17" s="42" t="s">
        <v>205</v>
      </c>
      <c r="G17" s="45">
        <v>0.13</v>
      </c>
      <c r="H17" s="42">
        <v>2019</v>
      </c>
      <c r="I17" s="42">
        <v>3</v>
      </c>
      <c r="J17" s="42">
        <v>440</v>
      </c>
      <c r="K17" s="52">
        <v>0.79766277372262795</v>
      </c>
      <c r="L17" s="42" t="s">
        <v>18</v>
      </c>
      <c r="M17" s="40">
        <f>VLOOKUP(L17,汇率!$A$2:$B$5,2,FALSE)</f>
        <v>6.85</v>
      </c>
      <c r="N17" s="49">
        <f t="shared" ref="N17:N19" si="5">K17*M17</f>
        <v>5.4639900000000008</v>
      </c>
      <c r="O17" s="49">
        <f t="shared" ref="O17:O19" si="6">N17*0.8</f>
        <v>4.3711920000000006</v>
      </c>
      <c r="P17" s="50">
        <v>0.01</v>
      </c>
      <c r="Q17" s="57" t="s">
        <v>39</v>
      </c>
      <c r="R17" s="58">
        <f>VLOOKUP(Q17,酒瓶!$A$2:$G$33,3,FALSE)</f>
        <v>0.75</v>
      </c>
      <c r="S17" s="59">
        <f>VLOOKUP(Q17,酒瓶!$A$2:$G$33,7,FALSE)</f>
        <v>1.1000000000000001</v>
      </c>
      <c r="T17" s="60">
        <f>VLOOKUP(Q17,酒瓶!$A$2:$H$33,8,FALSE)</f>
        <v>0.01</v>
      </c>
      <c r="U17" s="59">
        <f>VLOOKUP(Q17,酒瓶!$A$2:$I$33,9,FALSE)</f>
        <v>1.2</v>
      </c>
      <c r="V17" s="58">
        <f>VLOOKUP(Q17,酒瓶!$A$2:$J$33,10,FALSE)</f>
        <v>600</v>
      </c>
      <c r="W17" s="61">
        <f>VLOOKUP(Q17,酒瓶!$A$2:$L$33,12,FALSE)</f>
        <v>1.1000000000000001</v>
      </c>
      <c r="X17" s="57" t="s">
        <v>112</v>
      </c>
      <c r="Y17" s="59">
        <f>VLOOKUP(X17,包材!$B$4:$C$12,2,FALSE)</f>
        <v>0.35</v>
      </c>
      <c r="Z17" s="62">
        <f>VLOOKUP(X17,包材!$B$4:$E$12,4,FALSE)</f>
        <v>0.01</v>
      </c>
      <c r="AA17" s="57" t="s">
        <v>120</v>
      </c>
      <c r="AB17" s="59">
        <f>VLOOKUP(AA17,包材!$B$13:$C$25,2,FALSE)</f>
        <v>0.2</v>
      </c>
      <c r="AC17" s="60">
        <f>VLOOKUP(AA17,包材!$B$13:$E$25,4,FALSE)</f>
        <v>0.01</v>
      </c>
      <c r="AD17" s="63">
        <f>VLOOKUP(AA17,包材!$B$13:$F$25,5,FALSE)</f>
        <v>0</v>
      </c>
      <c r="AE17" s="57" t="s">
        <v>137</v>
      </c>
      <c r="AF17" s="58">
        <f>VLOOKUP(AE17,包材!$B$26:$D$35,3,FALSE)</f>
        <v>6</v>
      </c>
      <c r="AG17" s="59">
        <f>VLOOKUP(AE17,包材!$B$26:$D$35,2,FALSE)</f>
        <v>3</v>
      </c>
      <c r="AH17" s="62">
        <f>VLOOKUP(AE17,包材!$B$26:$E$35,4,FALSE)</f>
        <v>0.01</v>
      </c>
      <c r="AI17" s="57" t="s">
        <v>106</v>
      </c>
      <c r="AJ17" s="61">
        <f>VLOOKUP(AI17,包材!$B$2:$C$3,2,FALSE)</f>
        <v>0.2</v>
      </c>
      <c r="AK17" s="64">
        <f t="shared" ref="AK17:AK18" si="7">75/V17</f>
        <v>0.125</v>
      </c>
      <c r="AL17" s="65">
        <f>费用成本!$B$7/J17/AF17</f>
        <v>1.0606060606060606</v>
      </c>
      <c r="AM17" s="66">
        <f>VLOOKUP(Q17,酒瓶!$A$2:$K$33,11,FALSE)</f>
        <v>0.432</v>
      </c>
      <c r="AN17" s="67">
        <f t="shared" ref="AN17:AN19" si="8">(O17*R17+S17+U17+Y17+AB17+AD17+AG17/AF17+AJ17)*AM17</f>
        <v>2.949866208</v>
      </c>
      <c r="AO17" s="70">
        <f t="shared" ref="AO17:AO18" si="9">N17*R17*(1+P17)+S17*(1+T17)+U17+Y17*(1+Z17)+AB17*(1+AC17)+AG17/AF17*(1+AH17)+AK17+AL17+AN17</f>
        <v>11.645944693606062</v>
      </c>
      <c r="AP17" s="71">
        <f>VLOOKUP(I17,加价率!$A$2:$G$11,6,FALSE)</f>
        <v>0.2</v>
      </c>
      <c r="AQ17" s="72">
        <f>AO17*(1+AP17)*客户折扣!$B$2</f>
        <v>13.975133632327273</v>
      </c>
      <c r="AR17" s="73">
        <f>AO17*(1+AP17)*客户折扣!$B$3</f>
        <v>13.555879623357454</v>
      </c>
      <c r="AS17" s="74">
        <f>AO17*(1+AP17)*客户折扣!$B$4</f>
        <v>13.136625614387636</v>
      </c>
      <c r="AT17" s="72">
        <f>AO17*(1+AP17)*客户折扣!$C$2</f>
        <v>13.555879623357454</v>
      </c>
      <c r="AU17" s="73">
        <f>AO17*(1+AP17)*客户折扣!$C$3</f>
        <v>13.136625614387636</v>
      </c>
      <c r="AV17" s="74">
        <f>AO17*(1+AP17)*客户折扣!$C$4</f>
        <v>12.717371605417819</v>
      </c>
      <c r="AW17" s="72">
        <f>AO17*(1+AP17)*客户折扣!$D$2</f>
        <v>12.717371605417819</v>
      </c>
      <c r="AX17" s="73">
        <f>AO17*(1+AP17)*客户折扣!$D$3</f>
        <v>12.717371605417819</v>
      </c>
      <c r="AY17" s="74">
        <f>AO17*(1+AP17)*客户折扣!$D$4</f>
        <v>12.717371605417819</v>
      </c>
    </row>
    <row r="18" spans="1:51" x14ac:dyDescent="0.15">
      <c r="A18" s="40" t="s">
        <v>245</v>
      </c>
      <c r="B18" s="40" t="s">
        <v>246</v>
      </c>
      <c r="C18" s="42" t="s">
        <v>237</v>
      </c>
      <c r="D18" s="42" t="s">
        <v>238</v>
      </c>
      <c r="E18" s="42" t="s">
        <v>247</v>
      </c>
      <c r="F18" s="42" t="s">
        <v>205</v>
      </c>
      <c r="G18" s="45">
        <v>0.13</v>
      </c>
      <c r="H18" s="42">
        <v>2019</v>
      </c>
      <c r="I18" s="42">
        <v>3</v>
      </c>
      <c r="J18" s="42">
        <v>440</v>
      </c>
      <c r="K18" s="52">
        <v>0.91526277372262799</v>
      </c>
      <c r="L18" s="42" t="s">
        <v>18</v>
      </c>
      <c r="M18" s="40">
        <f>VLOOKUP(L18,汇率!$A$2:$B$5,2,FALSE)</f>
        <v>6.85</v>
      </c>
      <c r="N18" s="49">
        <f t="shared" si="5"/>
        <v>6.2695500000000015</v>
      </c>
      <c r="O18" s="49">
        <f t="shared" si="6"/>
        <v>5.0156400000000012</v>
      </c>
      <c r="P18" s="50">
        <v>0.01</v>
      </c>
      <c r="Q18" s="57" t="s">
        <v>39</v>
      </c>
      <c r="R18" s="58">
        <f>VLOOKUP(Q18,酒瓶!$A$2:$G$33,3,FALSE)</f>
        <v>0.75</v>
      </c>
      <c r="S18" s="59">
        <f>VLOOKUP(Q18,酒瓶!$A$2:$G$33,7,FALSE)</f>
        <v>1.1000000000000001</v>
      </c>
      <c r="T18" s="60">
        <f>VLOOKUP(Q18,酒瓶!$A$2:$H$33,8,FALSE)</f>
        <v>0.01</v>
      </c>
      <c r="U18" s="59">
        <f>VLOOKUP(Q18,酒瓶!$A$2:$I$33,9,FALSE)</f>
        <v>1.2</v>
      </c>
      <c r="V18" s="58">
        <f>VLOOKUP(Q18,酒瓶!$A$2:$J$33,10,FALSE)</f>
        <v>600</v>
      </c>
      <c r="W18" s="61">
        <f>VLOOKUP(Q18,酒瓶!$A$2:$L$33,12,FALSE)</f>
        <v>1.1000000000000001</v>
      </c>
      <c r="X18" s="57" t="s">
        <v>112</v>
      </c>
      <c r="Y18" s="59">
        <f>VLOOKUP(X18,包材!$B$4:$C$12,2,FALSE)</f>
        <v>0.35</v>
      </c>
      <c r="Z18" s="62">
        <f>VLOOKUP(X18,包材!$B$4:$E$12,4,FALSE)</f>
        <v>0.01</v>
      </c>
      <c r="AA18" s="57" t="s">
        <v>120</v>
      </c>
      <c r="AB18" s="59">
        <f>VLOOKUP(AA18,包材!$B$13:$C$25,2,FALSE)</f>
        <v>0.2</v>
      </c>
      <c r="AC18" s="60">
        <f>VLOOKUP(AA18,包材!$B$13:$E$25,4,FALSE)</f>
        <v>0.01</v>
      </c>
      <c r="AD18" s="63">
        <f>VLOOKUP(AA18,包材!$B$13:$F$25,5,FALSE)</f>
        <v>0</v>
      </c>
      <c r="AE18" s="57" t="s">
        <v>137</v>
      </c>
      <c r="AF18" s="58">
        <f>VLOOKUP(AE18,包材!$B$26:$D$35,3,FALSE)</f>
        <v>6</v>
      </c>
      <c r="AG18" s="59">
        <f>VLOOKUP(AE18,包材!$B$26:$D$35,2,FALSE)</f>
        <v>3</v>
      </c>
      <c r="AH18" s="62">
        <f>VLOOKUP(AE18,包材!$B$26:$E$35,4,FALSE)</f>
        <v>0.01</v>
      </c>
      <c r="AI18" s="57" t="s">
        <v>106</v>
      </c>
      <c r="AJ18" s="61">
        <f>VLOOKUP(AI18,包材!$B$2:$C$3,2,FALSE)</f>
        <v>0.2</v>
      </c>
      <c r="AK18" s="64">
        <f t="shared" si="7"/>
        <v>0.125</v>
      </c>
      <c r="AL18" s="65">
        <f>费用成本!$B$7/J18/AF18</f>
        <v>1.0606060606060606</v>
      </c>
      <c r="AM18" s="66">
        <f>VLOOKUP(Q18,酒瓶!$A$2:$K$33,11,FALSE)</f>
        <v>0.432</v>
      </c>
      <c r="AN18" s="67">
        <f t="shared" si="8"/>
        <v>3.1586673600000008</v>
      </c>
      <c r="AO18" s="70">
        <f t="shared" si="9"/>
        <v>12.464957545606064</v>
      </c>
      <c r="AP18" s="71">
        <f>VLOOKUP(I18,加价率!$A$2:$G$11,6,FALSE)</f>
        <v>0.2</v>
      </c>
      <c r="AQ18" s="72">
        <f>AO18*(1+AP18)*客户折扣!$B$2</f>
        <v>14.957949054727276</v>
      </c>
      <c r="AR18" s="73">
        <f>AO18*(1+AP18)*客户折扣!$B$3</f>
        <v>14.509210583085457</v>
      </c>
      <c r="AS18" s="74">
        <f>AO18*(1+AP18)*客户折扣!$B$4</f>
        <v>14.060472111443639</v>
      </c>
      <c r="AT18" s="72">
        <f>AO18*(1+AP18)*客户折扣!$C$2</f>
        <v>14.509210583085457</v>
      </c>
      <c r="AU18" s="73">
        <f>AO18*(1+AP18)*客户折扣!$C$3</f>
        <v>14.060472111443639</v>
      </c>
      <c r="AV18" s="74">
        <f>AO18*(1+AP18)*客户折扣!$C$4</f>
        <v>13.611733639801821</v>
      </c>
      <c r="AW18" s="72">
        <f>AO18*(1+AP18)*客户折扣!$D$2</f>
        <v>13.611733639801821</v>
      </c>
      <c r="AX18" s="73">
        <f>AO18*(1+AP18)*客户折扣!$D$3</f>
        <v>13.611733639801821</v>
      </c>
      <c r="AY18" s="74">
        <f>AO18*(1+AP18)*客户折扣!$D$4</f>
        <v>13.611733639801821</v>
      </c>
    </row>
    <row r="19" spans="1:51" x14ac:dyDescent="0.15">
      <c r="A19" s="40" t="s">
        <v>248</v>
      </c>
      <c r="B19" s="40" t="s">
        <v>249</v>
      </c>
      <c r="C19" s="42" t="s">
        <v>250</v>
      </c>
      <c r="D19" s="42" t="s">
        <v>251</v>
      </c>
      <c r="E19" s="42" t="s">
        <v>204</v>
      </c>
      <c r="F19" s="42" t="s">
        <v>205</v>
      </c>
      <c r="G19" s="45">
        <v>0.13500000000000001</v>
      </c>
      <c r="H19" s="42">
        <v>2019</v>
      </c>
      <c r="I19" s="42">
        <v>1</v>
      </c>
      <c r="J19" s="42">
        <v>440</v>
      </c>
      <c r="K19" s="52">
        <v>0.41331719708029202</v>
      </c>
      <c r="L19" s="42" t="s">
        <v>18</v>
      </c>
      <c r="M19" s="40">
        <f>VLOOKUP(L19,汇率!$A$2:$B$5,2,FALSE)</f>
        <v>6.85</v>
      </c>
      <c r="N19" s="49">
        <f t="shared" si="5"/>
        <v>2.8312228000000004</v>
      </c>
      <c r="O19" s="49">
        <f t="shared" si="6"/>
        <v>2.2649782400000005</v>
      </c>
      <c r="P19" s="50">
        <v>0.01</v>
      </c>
      <c r="Q19" s="57" t="s">
        <v>39</v>
      </c>
      <c r="R19" s="58">
        <f>VLOOKUP(Q19,酒瓶!$A$2:$G$33,3,FALSE)</f>
        <v>0.75</v>
      </c>
      <c r="S19" s="59">
        <f>VLOOKUP(Q19,酒瓶!$A$2:$G$33,7,FALSE)</f>
        <v>1.1000000000000001</v>
      </c>
      <c r="T19" s="60">
        <f>VLOOKUP(Q19,酒瓶!$A$2:$H$33,8,FALSE)</f>
        <v>0.01</v>
      </c>
      <c r="U19" s="59">
        <f>VLOOKUP(Q19,酒瓶!$A$2:$I$33,9,FALSE)</f>
        <v>1.2</v>
      </c>
      <c r="V19" s="58">
        <f>VLOOKUP(Q19,酒瓶!$A$2:$J$33,10,FALSE)</f>
        <v>600</v>
      </c>
      <c r="W19" s="61">
        <f>VLOOKUP(Q19,酒瓶!$A$2:$L$33,12,FALSE)</f>
        <v>1.1000000000000001</v>
      </c>
      <c r="X19" s="57" t="s">
        <v>112</v>
      </c>
      <c r="Y19" s="59">
        <f>VLOOKUP(X19,包材!$B$4:$C$12,2,FALSE)</f>
        <v>0.35</v>
      </c>
      <c r="Z19" s="62">
        <f>VLOOKUP(X19,包材!$B$4:$E$12,4,FALSE)</f>
        <v>0.01</v>
      </c>
      <c r="AA19" s="57" t="s">
        <v>120</v>
      </c>
      <c r="AB19" s="59">
        <f>VLOOKUP(AA19,包材!$B$13:$C$25,2,FALSE)</f>
        <v>0.2</v>
      </c>
      <c r="AC19" s="60">
        <f>VLOOKUP(AA19,包材!$B$13:$E$25,4,FALSE)</f>
        <v>0.01</v>
      </c>
      <c r="AD19" s="63">
        <f>VLOOKUP(AA19,包材!$B$13:$F$25,5,FALSE)</f>
        <v>0</v>
      </c>
      <c r="AE19" s="57" t="s">
        <v>137</v>
      </c>
      <c r="AF19" s="58">
        <f>VLOOKUP(AE19,包材!$B$26:$D$35,3,FALSE)</f>
        <v>6</v>
      </c>
      <c r="AG19" s="59">
        <f>VLOOKUP(AE19,包材!$B$26:$D$35,2,FALSE)</f>
        <v>3</v>
      </c>
      <c r="AH19" s="62">
        <f>VLOOKUP(AE19,包材!$B$26:$E$35,4,FALSE)</f>
        <v>0.01</v>
      </c>
      <c r="AI19" s="57" t="s">
        <v>106</v>
      </c>
      <c r="AJ19" s="61">
        <f>VLOOKUP(AI19,包材!$B$2:$C$3,2,FALSE)</f>
        <v>0.2</v>
      </c>
      <c r="AK19" s="64">
        <f t="shared" ref="AK19:AK25" si="10">75/V19</f>
        <v>0.125</v>
      </c>
      <c r="AL19" s="65">
        <f>费用成本!$B$7/J19/AF19</f>
        <v>1.0606060606060606</v>
      </c>
      <c r="AM19" s="66">
        <f>VLOOKUP(Q19,酒瓶!$A$2:$K$33,11,FALSE)</f>
        <v>0.432</v>
      </c>
      <c r="AN19" s="67">
        <f t="shared" si="8"/>
        <v>2.2674529497600004</v>
      </c>
      <c r="AO19" s="70">
        <f>N19*R19*(1+P19)+S19*(1+T19)+U19+Y19*(1+Z19)+AB19*(1+AC19)+AD19+AG19/AF19*(1+AH19)+AK19+AL19+AN19</f>
        <v>8.9692102813660615</v>
      </c>
      <c r="AP19" s="71">
        <f>VLOOKUP(I19,加价率!$A$2:$G$11,6,FALSE)</f>
        <v>0.2</v>
      </c>
      <c r="AQ19" s="72">
        <f>AO19*(1+AP19)*客户折扣!$B$2</f>
        <v>10.763052337639273</v>
      </c>
      <c r="AR19" s="73">
        <f>AO19*(1+AP19)*客户折扣!$B$3</f>
        <v>10.440160767510095</v>
      </c>
      <c r="AS19" s="74">
        <f>AO19*(1+AP19)*客户折扣!$B$4</f>
        <v>10.117269197380915</v>
      </c>
      <c r="AT19" s="72">
        <f>AO19*(1+AP19)*客户折扣!$C$2</f>
        <v>10.440160767510095</v>
      </c>
      <c r="AU19" s="73">
        <f>AO19*(1+AP19)*客户折扣!$C$3</f>
        <v>10.117269197380915</v>
      </c>
      <c r="AV19" s="74">
        <f>AO19*(1+AP19)*客户折扣!$C$4</f>
        <v>9.7943776272517393</v>
      </c>
      <c r="AW19" s="72">
        <f>AO19*(1+AP19)*客户折扣!$D$2</f>
        <v>9.7943776272517393</v>
      </c>
      <c r="AX19" s="73">
        <f>AO19*(1+AP19)*客户折扣!$D$3</f>
        <v>9.7943776272517393</v>
      </c>
      <c r="AY19" s="74">
        <f>AO19*(1+AP19)*客户折扣!$D$4</f>
        <v>9.7943776272517393</v>
      </c>
    </row>
    <row r="20" spans="1:51" x14ac:dyDescent="0.15">
      <c r="A20" s="40" t="s">
        <v>252</v>
      </c>
      <c r="B20" s="40" t="s">
        <v>253</v>
      </c>
      <c r="C20" s="42" t="s">
        <v>250</v>
      </c>
      <c r="D20" s="42" t="s">
        <v>251</v>
      </c>
      <c r="E20" s="42" t="s">
        <v>204</v>
      </c>
      <c r="F20" s="42" t="s">
        <v>205</v>
      </c>
      <c r="G20" s="45">
        <v>0.14499999999999999</v>
      </c>
      <c r="H20" s="42">
        <v>2019</v>
      </c>
      <c r="I20" s="42">
        <v>2</v>
      </c>
      <c r="J20" s="42">
        <v>440</v>
      </c>
      <c r="K20" s="52">
        <v>0.46392198540146001</v>
      </c>
      <c r="L20" s="42" t="s">
        <v>18</v>
      </c>
      <c r="M20" s="40">
        <f>VLOOKUP(L20,汇率!$A$2:$B$5,2,FALSE)</f>
        <v>6.85</v>
      </c>
      <c r="N20" s="49">
        <f t="shared" ref="N20:N25" si="11">K20*M20</f>
        <v>3.177865600000001</v>
      </c>
      <c r="O20" s="49">
        <f t="shared" ref="O20:O25" si="12">N20*0.8</f>
        <v>2.5422924800000009</v>
      </c>
      <c r="P20" s="50">
        <v>0.01</v>
      </c>
      <c r="Q20" s="57" t="s">
        <v>39</v>
      </c>
      <c r="R20" s="58">
        <f>VLOOKUP(Q20,酒瓶!$A$2:$G$33,3,FALSE)</f>
        <v>0.75</v>
      </c>
      <c r="S20" s="59">
        <f>VLOOKUP(Q20,酒瓶!$A$2:$G$33,7,FALSE)</f>
        <v>1.1000000000000001</v>
      </c>
      <c r="T20" s="60">
        <f>VLOOKUP(Q20,酒瓶!$A$2:$H$33,8,FALSE)</f>
        <v>0.01</v>
      </c>
      <c r="U20" s="59">
        <f>VLOOKUP(Q20,酒瓶!$A$2:$I$33,9,FALSE)</f>
        <v>1.2</v>
      </c>
      <c r="V20" s="58">
        <f>VLOOKUP(Q20,酒瓶!$A$2:$J$33,10,FALSE)</f>
        <v>600</v>
      </c>
      <c r="W20" s="61">
        <f>VLOOKUP(Q20,酒瓶!$A$2:$L$33,12,FALSE)</f>
        <v>1.1000000000000001</v>
      </c>
      <c r="X20" s="57" t="s">
        <v>112</v>
      </c>
      <c r="Y20" s="59">
        <f>VLOOKUP(X20,包材!$B$4:$C$12,2,FALSE)</f>
        <v>0.35</v>
      </c>
      <c r="Z20" s="62">
        <f>VLOOKUP(X20,包材!$B$4:$E$12,4,FALSE)</f>
        <v>0.01</v>
      </c>
      <c r="AA20" s="57" t="s">
        <v>120</v>
      </c>
      <c r="AB20" s="59">
        <f>VLOOKUP(AA20,包材!$B$13:$C$25,2,FALSE)</f>
        <v>0.2</v>
      </c>
      <c r="AC20" s="60">
        <f>VLOOKUP(AA20,包材!$B$13:$E$25,4,FALSE)</f>
        <v>0.01</v>
      </c>
      <c r="AD20" s="63">
        <f>VLOOKUP(AA20,包材!$B$13:$F$25,5,FALSE)</f>
        <v>0</v>
      </c>
      <c r="AE20" s="57" t="s">
        <v>137</v>
      </c>
      <c r="AF20" s="58">
        <f>VLOOKUP(AE20,包材!$B$26:$D$35,3,FALSE)</f>
        <v>6</v>
      </c>
      <c r="AG20" s="59">
        <f>VLOOKUP(AE20,包材!$B$26:$D$35,2,FALSE)</f>
        <v>3</v>
      </c>
      <c r="AH20" s="62">
        <f>VLOOKUP(AE20,包材!$B$26:$E$35,4,FALSE)</f>
        <v>0.01</v>
      </c>
      <c r="AI20" s="57" t="s">
        <v>106</v>
      </c>
      <c r="AJ20" s="61">
        <f>VLOOKUP(AI20,包材!$B$2:$C$3,2,FALSE)</f>
        <v>0.2</v>
      </c>
      <c r="AK20" s="64">
        <f t="shared" si="10"/>
        <v>0.125</v>
      </c>
      <c r="AL20" s="65">
        <f>费用成本!$B$7/J20/AF20</f>
        <v>1.0606060606060606</v>
      </c>
      <c r="AM20" s="66">
        <f>VLOOKUP(Q20,酒瓶!$A$2:$K$33,11,FALSE)</f>
        <v>0.432</v>
      </c>
      <c r="AN20" s="67">
        <f t="shared" ref="AN20:AN25" si="13">(O20*R20+S20+U20+Y20+AB20+AD20+AG20/AF20+AJ20)*AM20</f>
        <v>2.3573027635200003</v>
      </c>
      <c r="AO20" s="70">
        <f t="shared" ref="AO20:AO21" si="14">N20*R20*(1+P20)+S20*(1+T20)+U20+Y20*(1+Z20)+AB20*(1+AC20)+AD20+AG20/AF20*(1+AH20)+AK20+AL20+AN20</f>
        <v>9.3216420161260629</v>
      </c>
      <c r="AP20" s="71">
        <f>VLOOKUP(I20,加价率!$A$2:$G$11,6,FALSE)</f>
        <v>0.2</v>
      </c>
      <c r="AQ20" s="72">
        <f>AO20*(1+AP20)*客户折扣!$B$2</f>
        <v>11.185970419351275</v>
      </c>
      <c r="AR20" s="73">
        <f>AO20*(1+AP20)*客户折扣!$B$3</f>
        <v>10.850391306770737</v>
      </c>
      <c r="AS20" s="74">
        <f>AO20*(1+AP20)*客户折扣!$B$4</f>
        <v>10.514812194190197</v>
      </c>
      <c r="AT20" s="72">
        <f>AO20*(1+AP20)*客户折扣!$C$2</f>
        <v>10.850391306770737</v>
      </c>
      <c r="AU20" s="73">
        <f>AO20*(1+AP20)*客户折扣!$C$3</f>
        <v>10.514812194190197</v>
      </c>
      <c r="AV20" s="74">
        <f>AO20*(1+AP20)*客户折扣!$C$4</f>
        <v>10.179233081609661</v>
      </c>
      <c r="AW20" s="72">
        <f>AO20*(1+AP20)*客户折扣!$D$2</f>
        <v>10.179233081609661</v>
      </c>
      <c r="AX20" s="73">
        <f>AO20*(1+AP20)*客户折扣!$D$3</f>
        <v>10.179233081609661</v>
      </c>
      <c r="AY20" s="74">
        <f>AO20*(1+AP20)*客户折扣!$D$4</f>
        <v>10.179233081609661</v>
      </c>
    </row>
    <row r="21" spans="1:51" x14ac:dyDescent="0.15">
      <c r="A21" s="40" t="s">
        <v>254</v>
      </c>
      <c r="B21" s="40" t="s">
        <v>255</v>
      </c>
      <c r="C21" s="42" t="s">
        <v>250</v>
      </c>
      <c r="D21" s="42" t="s">
        <v>251</v>
      </c>
      <c r="E21" s="42" t="s">
        <v>256</v>
      </c>
      <c r="F21" s="42" t="s">
        <v>205</v>
      </c>
      <c r="G21" s="45">
        <v>0.14000000000000001</v>
      </c>
      <c r="H21" s="42">
        <v>2019</v>
      </c>
      <c r="I21" s="42">
        <v>3</v>
      </c>
      <c r="J21" s="42">
        <v>440</v>
      </c>
      <c r="K21" s="52">
        <v>0.59774277372262796</v>
      </c>
      <c r="L21" s="42" t="s">
        <v>18</v>
      </c>
      <c r="M21" s="40">
        <f>VLOOKUP(L21,汇率!$A$2:$B$5,2,FALSE)</f>
        <v>6.85</v>
      </c>
      <c r="N21" s="49">
        <f t="shared" si="11"/>
        <v>4.0945380000000009</v>
      </c>
      <c r="O21" s="49">
        <f t="shared" si="12"/>
        <v>3.2756304000000007</v>
      </c>
      <c r="P21" s="50">
        <v>0.01</v>
      </c>
      <c r="Q21" s="57" t="s">
        <v>39</v>
      </c>
      <c r="R21" s="58">
        <f>VLOOKUP(Q21,酒瓶!$A$2:$G$33,3,FALSE)</f>
        <v>0.75</v>
      </c>
      <c r="S21" s="59">
        <f>VLOOKUP(Q21,酒瓶!$A$2:$G$33,7,FALSE)</f>
        <v>1.1000000000000001</v>
      </c>
      <c r="T21" s="60">
        <f>VLOOKUP(Q21,酒瓶!$A$2:$H$33,8,FALSE)</f>
        <v>0.01</v>
      </c>
      <c r="U21" s="59">
        <f>VLOOKUP(Q21,酒瓶!$A$2:$I$33,9,FALSE)</f>
        <v>1.2</v>
      </c>
      <c r="V21" s="58">
        <f>VLOOKUP(Q21,酒瓶!$A$2:$J$33,10,FALSE)</f>
        <v>600</v>
      </c>
      <c r="W21" s="61">
        <f>VLOOKUP(Q21,酒瓶!$A$2:$L$33,12,FALSE)</f>
        <v>1.1000000000000001</v>
      </c>
      <c r="X21" s="57" t="s">
        <v>112</v>
      </c>
      <c r="Y21" s="59">
        <f>VLOOKUP(X21,包材!$B$4:$C$12,2,FALSE)</f>
        <v>0.35</v>
      </c>
      <c r="Z21" s="62">
        <f>VLOOKUP(X21,包材!$B$4:$E$12,4,FALSE)</f>
        <v>0.01</v>
      </c>
      <c r="AA21" s="57" t="s">
        <v>120</v>
      </c>
      <c r="AB21" s="59">
        <f>VLOOKUP(AA21,包材!$B$13:$C$25,2,FALSE)</f>
        <v>0.2</v>
      </c>
      <c r="AC21" s="60">
        <f>VLOOKUP(AA21,包材!$B$13:$E$25,4,FALSE)</f>
        <v>0.01</v>
      </c>
      <c r="AD21" s="63">
        <f>VLOOKUP(AA21,包材!$B$13:$F$25,5,FALSE)</f>
        <v>0</v>
      </c>
      <c r="AE21" s="57" t="s">
        <v>137</v>
      </c>
      <c r="AF21" s="58">
        <f>VLOOKUP(AE21,包材!$B$26:$D$35,3,FALSE)</f>
        <v>6</v>
      </c>
      <c r="AG21" s="59">
        <f>VLOOKUP(AE21,包材!$B$26:$D$35,2,FALSE)</f>
        <v>3</v>
      </c>
      <c r="AH21" s="62">
        <f>VLOOKUP(AE21,包材!$B$26:$E$35,4,FALSE)</f>
        <v>0.01</v>
      </c>
      <c r="AI21" s="57" t="s">
        <v>106</v>
      </c>
      <c r="AJ21" s="61">
        <f>VLOOKUP(AI21,包材!$B$2:$C$3,2,FALSE)</f>
        <v>0.2</v>
      </c>
      <c r="AK21" s="64">
        <f t="shared" si="10"/>
        <v>0.125</v>
      </c>
      <c r="AL21" s="65">
        <f>费用成本!$B$7/J21/AF21</f>
        <v>1.0606060606060606</v>
      </c>
      <c r="AM21" s="66">
        <f>VLOOKUP(Q21,酒瓶!$A$2:$K$33,11,FALSE)</f>
        <v>0.432</v>
      </c>
      <c r="AN21" s="67">
        <f t="shared" si="13"/>
        <v>2.5949042496000003</v>
      </c>
      <c r="AO21" s="70">
        <f t="shared" si="14"/>
        <v>10.253622845206063</v>
      </c>
      <c r="AP21" s="71">
        <f>VLOOKUP(I21,加价率!$A$2:$G$11,6,FALSE)</f>
        <v>0.2</v>
      </c>
      <c r="AQ21" s="72">
        <f>AO21*(1+AP21)*客户折扣!$B$2</f>
        <v>12.304347414247276</v>
      </c>
      <c r="AR21" s="73">
        <f>AO21*(1+AP21)*客户折扣!$B$3</f>
        <v>11.935216991819857</v>
      </c>
      <c r="AS21" s="74">
        <f>AO21*(1+AP21)*客户折扣!$B$4</f>
        <v>11.566086569392439</v>
      </c>
      <c r="AT21" s="72">
        <f>AO21*(1+AP21)*客户折扣!$C$2</f>
        <v>11.935216991819857</v>
      </c>
      <c r="AU21" s="73">
        <f>AO21*(1+AP21)*客户折扣!$C$3</f>
        <v>11.566086569392439</v>
      </c>
      <c r="AV21" s="74">
        <f>AO21*(1+AP21)*客户折扣!$C$4</f>
        <v>11.196956146965022</v>
      </c>
      <c r="AW21" s="72">
        <f>AO21*(1+AP21)*客户折扣!$D$2</f>
        <v>11.196956146965022</v>
      </c>
      <c r="AX21" s="73">
        <f>AO21*(1+AP21)*客户折扣!$D$3</f>
        <v>11.196956146965022</v>
      </c>
      <c r="AY21" s="74">
        <f>AO21*(1+AP21)*客户折扣!$D$4</f>
        <v>11.196956146965022</v>
      </c>
    </row>
    <row r="22" spans="1:51" x14ac:dyDescent="0.15">
      <c r="A22" s="40" t="s">
        <v>257</v>
      </c>
      <c r="B22" s="40" t="s">
        <v>258</v>
      </c>
      <c r="C22" s="42" t="s">
        <v>259</v>
      </c>
      <c r="D22" s="42" t="s">
        <v>260</v>
      </c>
      <c r="E22" s="42" t="s">
        <v>261</v>
      </c>
      <c r="F22" s="42" t="s">
        <v>205</v>
      </c>
      <c r="G22" s="45">
        <v>0.13</v>
      </c>
      <c r="H22" s="42">
        <v>2019</v>
      </c>
      <c r="I22" s="42">
        <v>3</v>
      </c>
      <c r="J22" s="42">
        <v>440</v>
      </c>
      <c r="K22" s="48">
        <v>0.87502434782608696</v>
      </c>
      <c r="L22" s="42" t="s">
        <v>20</v>
      </c>
      <c r="M22" s="40">
        <f>VLOOKUP(L22,汇率!$A$2:$B$5,2,FALSE)</f>
        <v>8.0500000000000007</v>
      </c>
      <c r="N22" s="49">
        <f t="shared" si="11"/>
        <v>7.0439460000000009</v>
      </c>
      <c r="O22" s="49">
        <f t="shared" si="12"/>
        <v>5.6351568000000007</v>
      </c>
      <c r="P22" s="50">
        <v>0.01</v>
      </c>
      <c r="Q22" s="57" t="s">
        <v>39</v>
      </c>
      <c r="R22" s="58">
        <f>VLOOKUP(Q22,酒瓶!$A$2:$G$33,3,FALSE)</f>
        <v>0.75</v>
      </c>
      <c r="S22" s="59">
        <f>VLOOKUP(Q22,酒瓶!$A$2:$G$33,7,FALSE)</f>
        <v>1.1000000000000001</v>
      </c>
      <c r="T22" s="60">
        <f>VLOOKUP(Q22,酒瓶!$A$2:$H$33,8,FALSE)</f>
        <v>0.01</v>
      </c>
      <c r="U22" s="59">
        <f>VLOOKUP(Q22,酒瓶!$A$2:$I$33,9,FALSE)</f>
        <v>1.2</v>
      </c>
      <c r="V22" s="58">
        <f>VLOOKUP(Q22,酒瓶!$A$2:$J$33,10,FALSE)</f>
        <v>600</v>
      </c>
      <c r="W22" s="61">
        <f>VLOOKUP(Q22,酒瓶!$A$2:$L$33,12,FALSE)</f>
        <v>1.1000000000000001</v>
      </c>
      <c r="X22" s="57" t="s">
        <v>112</v>
      </c>
      <c r="Y22" s="59">
        <f>VLOOKUP(X22,包材!$B$4:$C$12,2,FALSE)</f>
        <v>0.35</v>
      </c>
      <c r="Z22" s="62">
        <f>VLOOKUP(X22,包材!$B$4:$E$12,4,FALSE)</f>
        <v>0.01</v>
      </c>
      <c r="AA22" s="57" t="s">
        <v>120</v>
      </c>
      <c r="AB22" s="59">
        <f>VLOOKUP(AA22,包材!$B$13:$C$25,2,FALSE)</f>
        <v>0.2</v>
      </c>
      <c r="AC22" s="60">
        <f>VLOOKUP(AA22,包材!$B$13:$E$25,4,FALSE)</f>
        <v>0.01</v>
      </c>
      <c r="AD22" s="63">
        <f>VLOOKUP(AA22,包材!$B$13:$F$25,5,FALSE)</f>
        <v>0</v>
      </c>
      <c r="AE22" s="57" t="s">
        <v>137</v>
      </c>
      <c r="AF22" s="58">
        <f>VLOOKUP(AE22,包材!$B$26:$D$35,3,FALSE)</f>
        <v>6</v>
      </c>
      <c r="AG22" s="59">
        <f>VLOOKUP(AE22,包材!$B$26:$D$35,2,FALSE)</f>
        <v>3</v>
      </c>
      <c r="AH22" s="62">
        <f>VLOOKUP(AE22,包材!$B$26:$E$35,4,FALSE)</f>
        <v>0.01</v>
      </c>
      <c r="AI22" s="57" t="s">
        <v>106</v>
      </c>
      <c r="AJ22" s="61">
        <f>VLOOKUP(AI22,包材!$B$2:$C$3,2,FALSE)</f>
        <v>0.2</v>
      </c>
      <c r="AK22" s="64">
        <f t="shared" si="10"/>
        <v>0.125</v>
      </c>
      <c r="AL22" s="65">
        <f>费用成本!$B$7/J22/AF22</f>
        <v>1.0606060606060606</v>
      </c>
      <c r="AM22" s="66">
        <f>VLOOKUP(Q22,酒瓶!$A$2:$K$33,11,FALSE)</f>
        <v>0.432</v>
      </c>
      <c r="AN22" s="67">
        <f t="shared" si="13"/>
        <v>3.3593908032000006</v>
      </c>
      <c r="AO22" s="70">
        <f>N22*R22*(1+P22)+S22*(1+T22)+U22+Y22*(1+Z22)+AB22*(1+AC22)+AG22/AF22*(1+AH22)+AK22+AL22+AN22</f>
        <v>13.252285958806063</v>
      </c>
      <c r="AP22" s="71">
        <f>VLOOKUP(I22,加价率!$A$2:$G$11,6,FALSE)</f>
        <v>0.2</v>
      </c>
      <c r="AQ22" s="72">
        <f>AO22*(1+AP22)*客户折扣!$B$2</f>
        <v>15.902743150567275</v>
      </c>
      <c r="AR22" s="73">
        <f>AO22*(1+AP22)*客户折扣!$B$3</f>
        <v>15.425660856050257</v>
      </c>
      <c r="AS22" s="74">
        <f>AO22*(1+AP22)*客户折扣!$B$4</f>
        <v>14.948578561533237</v>
      </c>
      <c r="AT22" s="72">
        <f>AO22*(1+AP22)*客户折扣!$C$2</f>
        <v>15.425660856050257</v>
      </c>
      <c r="AU22" s="73">
        <f>AO22*(1+AP22)*客户折扣!$C$3</f>
        <v>14.948578561533237</v>
      </c>
      <c r="AV22" s="74">
        <f>AO22*(1+AP22)*客户折扣!$C$4</f>
        <v>14.471496267016221</v>
      </c>
      <c r="AW22" s="72">
        <f>AO22*(1+AP22)*客户折扣!$D$2</f>
        <v>14.471496267016221</v>
      </c>
      <c r="AX22" s="73">
        <f>AO22*(1+AP22)*客户折扣!$D$3</f>
        <v>14.471496267016221</v>
      </c>
      <c r="AY22" s="74">
        <f>AO22*(1+AP22)*客户折扣!$D$4</f>
        <v>14.471496267016221</v>
      </c>
    </row>
    <row r="23" spans="1:51" x14ac:dyDescent="0.15">
      <c r="A23" s="40" t="s">
        <v>262</v>
      </c>
      <c r="B23" s="40" t="s">
        <v>263</v>
      </c>
      <c r="C23" s="42" t="s">
        <v>202</v>
      </c>
      <c r="D23" s="42" t="s">
        <v>264</v>
      </c>
      <c r="E23" s="42" t="s">
        <v>265</v>
      </c>
      <c r="F23" s="46" t="s">
        <v>264</v>
      </c>
      <c r="G23" s="45">
        <v>0.4</v>
      </c>
      <c r="H23" s="42" t="s">
        <v>266</v>
      </c>
      <c r="I23" s="42">
        <v>5</v>
      </c>
      <c r="J23" s="42">
        <v>400</v>
      </c>
      <c r="K23" s="48">
        <v>2.8059949232192398</v>
      </c>
      <c r="L23" s="42" t="s">
        <v>20</v>
      </c>
      <c r="M23" s="40">
        <f>VLOOKUP(L23,汇率!$A$2:$B$5,2,FALSE)</f>
        <v>8.0500000000000007</v>
      </c>
      <c r="N23" s="49">
        <f t="shared" si="11"/>
        <v>22.588259131914882</v>
      </c>
      <c r="O23" s="49">
        <f t="shared" si="12"/>
        <v>18.070607305531905</v>
      </c>
      <c r="P23" s="50">
        <v>0.01</v>
      </c>
      <c r="Q23" s="57" t="s">
        <v>83</v>
      </c>
      <c r="R23" s="58">
        <f>VLOOKUP(Q23,酒瓶!$A$2:$G$33,3,FALSE)</f>
        <v>0.7</v>
      </c>
      <c r="S23" s="59">
        <f>VLOOKUP(Q23,酒瓶!$A$2:$G$33,7,FALSE)</f>
        <v>3.5</v>
      </c>
      <c r="T23" s="60">
        <f>VLOOKUP(Q23,酒瓶!$A$2:$H$33,8,FALSE)</f>
        <v>0.01</v>
      </c>
      <c r="U23" s="59">
        <f>VLOOKUP(Q23,酒瓶!$A$2:$I$33,9,FALSE)</f>
        <v>3</v>
      </c>
      <c r="V23" s="58">
        <f>VLOOKUP(Q23,酒瓶!$A$2:$J$33,10,FALSE)</f>
        <v>600</v>
      </c>
      <c r="W23" s="61">
        <f>VLOOKUP(Q23,酒瓶!$A$2:$L$33,12,FALSE)</f>
        <v>3.5</v>
      </c>
      <c r="X23" s="57" t="s">
        <v>82</v>
      </c>
      <c r="Y23" s="59">
        <f>VLOOKUP(X23,包材!$B$4:$C$12,2,FALSE)</f>
        <v>0</v>
      </c>
      <c r="Z23" s="62">
        <f>VLOOKUP(X23,包材!$B$4:$E$12,4,FALSE)</f>
        <v>0.01</v>
      </c>
      <c r="AA23" s="57" t="s">
        <v>122</v>
      </c>
      <c r="AB23" s="59">
        <f>VLOOKUP(AA23,包材!$B$13:$C$25,2,FALSE)</f>
        <v>0.2</v>
      </c>
      <c r="AC23" s="60">
        <f>VLOOKUP(AA23,包材!$B$13:$E$25,4,FALSE)</f>
        <v>0.01</v>
      </c>
      <c r="AD23" s="63">
        <f>VLOOKUP(AA23,包材!$B$13:$F$25,5,FALSE)</f>
        <v>0</v>
      </c>
      <c r="AE23" s="57" t="s">
        <v>144</v>
      </c>
      <c r="AF23" s="58">
        <f>VLOOKUP(AE23,包材!$B$26:$D$35,3,FALSE)</f>
        <v>6</v>
      </c>
      <c r="AG23" s="59">
        <f>VLOOKUP(AE23,包材!$B$26:$D$35,2,FALSE)</f>
        <v>5</v>
      </c>
      <c r="AH23" s="62">
        <f>VLOOKUP(AE23,包材!$B$26:$E$35,4,FALSE)</f>
        <v>0.01</v>
      </c>
      <c r="AI23" s="57" t="s">
        <v>106</v>
      </c>
      <c r="AJ23" s="61">
        <f>VLOOKUP(AI23,包材!$B$2:$C$3,2,FALSE)</f>
        <v>0.2</v>
      </c>
      <c r="AK23" s="64">
        <f t="shared" si="10"/>
        <v>0.125</v>
      </c>
      <c r="AL23" s="65">
        <f>费用成本!$B$7/J23/AF23</f>
        <v>1.1666666666666667</v>
      </c>
      <c r="AM23" s="66">
        <f>VLOOKUP(Q23,酒瓶!$A$2:$K$33,11,FALSE)</f>
        <v>0.62</v>
      </c>
      <c r="AN23" s="67">
        <f t="shared" si="13"/>
        <v>12.637310237267512</v>
      </c>
      <c r="AO23" s="70">
        <f t="shared" ref="AO23:AO25" si="15">N23*R23*(1+P23)+S23*(1+T23)+U23+Y23*(1+Z23)+AB23*(1+AC23)+AG23/AF23*(1+AH23)+AK23+AL23+AN23</f>
        <v>37.477542776864667</v>
      </c>
      <c r="AP23" s="71">
        <f>VLOOKUP(I23,加价率!$A$2:$G$11,6,FALSE)</f>
        <v>0.21000000000000002</v>
      </c>
      <c r="AQ23" s="72">
        <f>AO23*(1+AP23)*客户折扣!$B$2</f>
        <v>45.347826760006242</v>
      </c>
      <c r="AR23" s="73">
        <f>AO23*(1+AP23)*客户折扣!$B$3</f>
        <v>43.987391957206057</v>
      </c>
      <c r="AS23" s="74">
        <f>AO23*(1+AP23)*客户折扣!$B$4</f>
        <v>42.626957154405865</v>
      </c>
      <c r="AT23" s="72">
        <f>AO23*(1+AP23)*客户折扣!$C$2</f>
        <v>43.987391957206057</v>
      </c>
      <c r="AU23" s="73">
        <f>AO23*(1+AP23)*客户折扣!$C$3</f>
        <v>42.626957154405865</v>
      </c>
      <c r="AV23" s="74">
        <f>AO23*(1+AP23)*客户折扣!$C$4</f>
        <v>41.26652235160568</v>
      </c>
      <c r="AW23" s="72">
        <f>AO23*(1+AP23)*客户折扣!$D$2</f>
        <v>41.26652235160568</v>
      </c>
      <c r="AX23" s="73">
        <f>AO23*(1+AP23)*客户折扣!$D$3</f>
        <v>41.26652235160568</v>
      </c>
      <c r="AY23" s="74">
        <f>AO23*(1+AP23)*客户折扣!$D$4</f>
        <v>41.26652235160568</v>
      </c>
    </row>
    <row r="24" spans="1:51" x14ac:dyDescent="0.15">
      <c r="A24" s="40" t="s">
        <v>267</v>
      </c>
      <c r="B24" s="40" t="s">
        <v>268</v>
      </c>
      <c r="C24" s="42" t="s">
        <v>202</v>
      </c>
      <c r="D24" s="42" t="s">
        <v>269</v>
      </c>
      <c r="E24" s="42" t="s">
        <v>265</v>
      </c>
      <c r="F24" s="46" t="s">
        <v>269</v>
      </c>
      <c r="G24" s="45">
        <v>0.4</v>
      </c>
      <c r="H24" s="42" t="s">
        <v>270</v>
      </c>
      <c r="I24" s="42">
        <v>6</v>
      </c>
      <c r="J24" s="42">
        <v>400</v>
      </c>
      <c r="K24" s="48">
        <v>2.9410831748381101</v>
      </c>
      <c r="L24" s="42" t="s">
        <v>20</v>
      </c>
      <c r="M24" s="40">
        <f>VLOOKUP(L24,汇率!$A$2:$B$5,2,FALSE)</f>
        <v>8.0500000000000007</v>
      </c>
      <c r="N24" s="49">
        <f t="shared" si="11"/>
        <v>23.67571955744679</v>
      </c>
      <c r="O24" s="49">
        <f t="shared" si="12"/>
        <v>18.940575645957434</v>
      </c>
      <c r="P24" s="50">
        <v>0.01</v>
      </c>
      <c r="Q24" s="57" t="s">
        <v>90</v>
      </c>
      <c r="R24" s="58">
        <f>VLOOKUP(Q24,酒瓶!$A$2:$G$33,3,FALSE)</f>
        <v>0.7</v>
      </c>
      <c r="S24" s="59">
        <f>VLOOKUP(Q24,酒瓶!$A$2:$G$33,7,FALSE)</f>
        <v>9</v>
      </c>
      <c r="T24" s="60">
        <f>VLOOKUP(Q24,酒瓶!$A$2:$H$33,8,FALSE)</f>
        <v>0.01</v>
      </c>
      <c r="U24" s="59">
        <f>VLOOKUP(Q24,酒瓶!$A$2:$I$33,9,FALSE)</f>
        <v>3</v>
      </c>
      <c r="V24" s="58">
        <f>VLOOKUP(Q24,酒瓶!$A$2:$J$33,10,FALSE)</f>
        <v>600</v>
      </c>
      <c r="W24" s="61">
        <f>VLOOKUP(Q24,酒瓶!$A$2:$L$33,12,FALSE)</f>
        <v>9</v>
      </c>
      <c r="X24" s="57" t="s">
        <v>82</v>
      </c>
      <c r="Y24" s="59">
        <f>VLOOKUP(X24,包材!$B$4:$C$12,2,FALSE)</f>
        <v>0</v>
      </c>
      <c r="Z24" s="62">
        <f>VLOOKUP(X24,包材!$B$4:$E$12,4,FALSE)</f>
        <v>0.01</v>
      </c>
      <c r="AA24" s="57" t="s">
        <v>122</v>
      </c>
      <c r="AB24" s="59">
        <f>VLOOKUP(AA24,包材!$B$13:$C$25,2,FALSE)</f>
        <v>0.2</v>
      </c>
      <c r="AC24" s="60">
        <f>VLOOKUP(AA24,包材!$B$13:$E$25,4,FALSE)</f>
        <v>0.01</v>
      </c>
      <c r="AD24" s="63">
        <f>VLOOKUP(AA24,包材!$B$13:$F$25,5,FALSE)</f>
        <v>0</v>
      </c>
      <c r="AE24" s="57" t="s">
        <v>144</v>
      </c>
      <c r="AF24" s="58">
        <f>VLOOKUP(AE24,包材!$B$26:$D$35,3,FALSE)</f>
        <v>6</v>
      </c>
      <c r="AG24" s="59">
        <f>VLOOKUP(AE24,包材!$B$26:$D$35,2,FALSE)</f>
        <v>5</v>
      </c>
      <c r="AH24" s="62">
        <f>VLOOKUP(AE24,包材!$B$26:$E$35,4,FALSE)</f>
        <v>0.01</v>
      </c>
      <c r="AI24" s="57" t="s">
        <v>106</v>
      </c>
      <c r="AJ24" s="61">
        <f>VLOOKUP(AI24,包材!$B$2:$C$3,2,FALSE)</f>
        <v>0.2</v>
      </c>
      <c r="AK24" s="64">
        <f t="shared" si="10"/>
        <v>0.125</v>
      </c>
      <c r="AL24" s="65">
        <f>费用成本!$B$7/J24/AF24</f>
        <v>1.1666666666666667</v>
      </c>
      <c r="AM24" s="66">
        <f>VLOOKUP(Q24,酒瓶!$A$2:$K$33,11,FALSE)</f>
        <v>0.62</v>
      </c>
      <c r="AN24" s="67">
        <f t="shared" si="13"/>
        <v>16.424876497012189</v>
      </c>
      <c r="AO24" s="70">
        <f t="shared" si="15"/>
        <v>47.588943557460404</v>
      </c>
      <c r="AP24" s="71">
        <f>VLOOKUP(I24,加价率!$A$2:$G$11,6,FALSE)</f>
        <v>0.21000000000000002</v>
      </c>
      <c r="AQ24" s="72">
        <f>AO24*(1+AP24)*客户折扣!$B$2</f>
        <v>57.582621704527085</v>
      </c>
      <c r="AR24" s="73">
        <f>AO24*(1+AP24)*客户折扣!$B$3</f>
        <v>55.855143053391274</v>
      </c>
      <c r="AS24" s="74">
        <f>AO24*(1+AP24)*客户折扣!$B$4</f>
        <v>54.127664402255455</v>
      </c>
      <c r="AT24" s="72">
        <f>AO24*(1+AP24)*客户折扣!$C$2</f>
        <v>55.855143053391274</v>
      </c>
      <c r="AU24" s="73">
        <f>AO24*(1+AP24)*客户折扣!$C$3</f>
        <v>54.127664402255455</v>
      </c>
      <c r="AV24" s="74">
        <f>AO24*(1+AP24)*客户折扣!$C$4</f>
        <v>52.40018575111965</v>
      </c>
      <c r="AW24" s="72">
        <f>AO24*(1+AP24)*客户折扣!$D$2</f>
        <v>52.40018575111965</v>
      </c>
      <c r="AX24" s="73">
        <f>AO24*(1+AP24)*客户折扣!$D$3</f>
        <v>52.40018575111965</v>
      </c>
      <c r="AY24" s="74">
        <f>AO24*(1+AP24)*客户折扣!$D$4</f>
        <v>52.40018575111965</v>
      </c>
    </row>
    <row r="25" spans="1:51" x14ac:dyDescent="0.15">
      <c r="A25" s="40" t="s">
        <v>271</v>
      </c>
      <c r="B25" s="40" t="s">
        <v>272</v>
      </c>
      <c r="C25" s="42" t="s">
        <v>273</v>
      </c>
      <c r="D25" s="42" t="s">
        <v>273</v>
      </c>
      <c r="E25" s="42" t="s">
        <v>274</v>
      </c>
      <c r="F25" s="46" t="s">
        <v>275</v>
      </c>
      <c r="G25" s="45">
        <v>0.4</v>
      </c>
      <c r="H25" s="42" t="s">
        <v>266</v>
      </c>
      <c r="I25" s="42">
        <v>4</v>
      </c>
      <c r="J25" s="42">
        <v>400</v>
      </c>
      <c r="K25" s="53">
        <v>1.3916346966292099</v>
      </c>
      <c r="L25" s="42" t="s">
        <v>21</v>
      </c>
      <c r="M25" s="40">
        <f>VLOOKUP(L25,汇率!$A$2:$B$5,2,FALSE)</f>
        <v>8.9</v>
      </c>
      <c r="N25" s="49">
        <f t="shared" si="11"/>
        <v>12.385548799999968</v>
      </c>
      <c r="O25" s="49">
        <f t="shared" si="12"/>
        <v>9.9084390399999762</v>
      </c>
      <c r="P25" s="50">
        <v>0.01</v>
      </c>
      <c r="Q25" s="57" t="s">
        <v>80</v>
      </c>
      <c r="R25" s="58">
        <f>VLOOKUP(Q25,酒瓶!$A$2:$G$33,3,FALSE)</f>
        <v>0.7</v>
      </c>
      <c r="S25" s="59">
        <f>VLOOKUP(Q25,酒瓶!$A$2:$G$33,7,FALSE)</f>
        <v>4.5</v>
      </c>
      <c r="T25" s="60">
        <f>VLOOKUP(Q25,酒瓶!$A$2:$H$33,8,FALSE)</f>
        <v>0.01</v>
      </c>
      <c r="U25" s="59">
        <f>VLOOKUP(Q25,酒瓶!$A$2:$I$33,9,FALSE)</f>
        <v>3</v>
      </c>
      <c r="V25" s="58">
        <f>VLOOKUP(Q25,酒瓶!$A$2:$J$33,10,FALSE)</f>
        <v>600</v>
      </c>
      <c r="W25" s="61">
        <f>VLOOKUP(Q25,酒瓶!$A$2:$L$33,12,FALSE)</f>
        <v>4.5</v>
      </c>
      <c r="X25" s="57" t="s">
        <v>82</v>
      </c>
      <c r="Y25" s="59">
        <f>VLOOKUP(X25,包材!$B$4:$C$12,2,FALSE)</f>
        <v>0</v>
      </c>
      <c r="Z25" s="62">
        <f>VLOOKUP(X25,包材!$B$4:$E$12,4,FALSE)</f>
        <v>0.01</v>
      </c>
      <c r="AA25" s="57" t="s">
        <v>122</v>
      </c>
      <c r="AB25" s="59">
        <f>VLOOKUP(AA25,包材!$B$13:$C$25,2,FALSE)</f>
        <v>0.2</v>
      </c>
      <c r="AC25" s="60">
        <f>VLOOKUP(AA25,包材!$B$13:$E$25,4,FALSE)</f>
        <v>0.01</v>
      </c>
      <c r="AD25" s="63">
        <f>VLOOKUP(AA25,包材!$B$13:$F$25,5,FALSE)</f>
        <v>0</v>
      </c>
      <c r="AE25" s="57" t="s">
        <v>144</v>
      </c>
      <c r="AF25" s="58">
        <f>VLOOKUP(AE25,包材!$B$26:$D$35,3,FALSE)</f>
        <v>6</v>
      </c>
      <c r="AG25" s="59">
        <f>VLOOKUP(AE25,包材!$B$26:$D$35,2,FALSE)</f>
        <v>5</v>
      </c>
      <c r="AH25" s="62">
        <f>VLOOKUP(AE25,包材!$B$26:$E$35,4,FALSE)</f>
        <v>0.01</v>
      </c>
      <c r="AI25" s="57" t="s">
        <v>106</v>
      </c>
      <c r="AJ25" s="61">
        <f>VLOOKUP(AI25,包材!$B$2:$C$3,2,FALSE)</f>
        <v>0.2</v>
      </c>
      <c r="AK25" s="64">
        <f t="shared" si="10"/>
        <v>0.125</v>
      </c>
      <c r="AL25" s="65">
        <f>费用成本!$B$7/J25/AF25</f>
        <v>1.1666666666666667</v>
      </c>
      <c r="AM25" s="66">
        <f>VLOOKUP(Q25,酒瓶!$A$2:$K$33,11,FALSE)</f>
        <v>0.62</v>
      </c>
      <c r="AN25" s="67">
        <f t="shared" si="13"/>
        <v>9.7149292100266553</v>
      </c>
      <c r="AO25" s="70">
        <f t="shared" si="15"/>
        <v>28.351845544959971</v>
      </c>
      <c r="AP25" s="71">
        <f>VLOOKUP(I25,加价率!$A$2:$G$11,6,FALSE)</f>
        <v>0.2</v>
      </c>
      <c r="AQ25" s="72">
        <f>AO25*(1+AP25)*客户折扣!$B$2</f>
        <v>34.022214653951963</v>
      </c>
      <c r="AR25" s="73">
        <f>AO25*(1+AP25)*客户折扣!$B$3</f>
        <v>33.001548214333404</v>
      </c>
      <c r="AS25" s="74">
        <f>AO25*(1+AP25)*客户折扣!$B$4</f>
        <v>31.980881774714842</v>
      </c>
      <c r="AT25" s="72">
        <f>AO25*(1+AP25)*客户折扣!$C$2</f>
        <v>33.001548214333404</v>
      </c>
      <c r="AU25" s="73">
        <f>AO25*(1+AP25)*客户折扣!$C$3</f>
        <v>31.980881774714842</v>
      </c>
      <c r="AV25" s="74">
        <f>AO25*(1+AP25)*客户折扣!$C$4</f>
        <v>30.960215335096287</v>
      </c>
      <c r="AW25" s="72">
        <f>AO25*(1+AP25)*客户折扣!$D$2</f>
        <v>30.960215335096287</v>
      </c>
      <c r="AX25" s="73">
        <f>AO25*(1+AP25)*客户折扣!$D$3</f>
        <v>30.960215335096287</v>
      </c>
      <c r="AY25" s="74">
        <f>AO25*(1+AP25)*客户折扣!$D$4</f>
        <v>30.960215335096287</v>
      </c>
    </row>
    <row r="26" spans="1:51" x14ac:dyDescent="0.15">
      <c r="L26"/>
    </row>
    <row r="27" spans="1:51" x14ac:dyDescent="0.15">
      <c r="L27"/>
    </row>
    <row r="28" spans="1:51" x14ac:dyDescent="0.15">
      <c r="L28"/>
    </row>
    <row r="29" spans="1:51" x14ac:dyDescent="0.15">
      <c r="L29"/>
    </row>
    <row r="30" spans="1:51" x14ac:dyDescent="0.15">
      <c r="L30"/>
    </row>
    <row r="31" spans="1:51" x14ac:dyDescent="0.15">
      <c r="L31"/>
    </row>
    <row r="32" spans="1:51" x14ac:dyDescent="0.15">
      <c r="L32"/>
    </row>
    <row r="33" spans="12:12" x14ac:dyDescent="0.15">
      <c r="L33"/>
    </row>
    <row r="34" spans="12:12" x14ac:dyDescent="0.15">
      <c r="L34"/>
    </row>
    <row r="35" spans="12:12" x14ac:dyDescent="0.15">
      <c r="L35"/>
    </row>
    <row r="36" spans="12:12" x14ac:dyDescent="0.15">
      <c r="L36"/>
    </row>
    <row r="37" spans="12:12" x14ac:dyDescent="0.15">
      <c r="L37"/>
    </row>
    <row r="38" spans="12:12" x14ac:dyDescent="0.15">
      <c r="L38"/>
    </row>
    <row r="39" spans="12:12" x14ac:dyDescent="0.15">
      <c r="L39"/>
    </row>
    <row r="40" spans="12:12" x14ac:dyDescent="0.15">
      <c r="L40"/>
    </row>
    <row r="41" spans="12:12" x14ac:dyDescent="0.15">
      <c r="L41"/>
    </row>
    <row r="42" spans="12:12" x14ac:dyDescent="0.15">
      <c r="L42"/>
    </row>
    <row r="43" spans="12:12" x14ac:dyDescent="0.15">
      <c r="L43"/>
    </row>
    <row r="44" spans="12:12" x14ac:dyDescent="0.15">
      <c r="L44"/>
    </row>
    <row r="45" spans="12:12" x14ac:dyDescent="0.15">
      <c r="L45"/>
    </row>
    <row r="46" spans="12:12" x14ac:dyDescent="0.15">
      <c r="L46"/>
    </row>
    <row r="47" spans="12:12" x14ac:dyDescent="0.15">
      <c r="L47"/>
    </row>
    <row r="48" spans="12:12" x14ac:dyDescent="0.15">
      <c r="L48"/>
    </row>
    <row r="49" spans="12:12" x14ac:dyDescent="0.15">
      <c r="L49"/>
    </row>
    <row r="50" spans="12:12" x14ac:dyDescent="0.15">
      <c r="L50"/>
    </row>
    <row r="51" spans="12:12" x14ac:dyDescent="0.15">
      <c r="L51"/>
    </row>
    <row r="52" spans="12:12" x14ac:dyDescent="0.15">
      <c r="L52"/>
    </row>
    <row r="53" spans="12:12" x14ac:dyDescent="0.15">
      <c r="L53"/>
    </row>
    <row r="54" spans="12:12" x14ac:dyDescent="0.15">
      <c r="L54"/>
    </row>
    <row r="55" spans="12:12" x14ac:dyDescent="0.15">
      <c r="L55"/>
    </row>
    <row r="56" spans="12:12" x14ac:dyDescent="0.15">
      <c r="L56"/>
    </row>
    <row r="57" spans="12:12" x14ac:dyDescent="0.15">
      <c r="L57"/>
    </row>
    <row r="58" spans="12:12" x14ac:dyDescent="0.15">
      <c r="L58"/>
    </row>
    <row r="59" spans="12:12" x14ac:dyDescent="0.15">
      <c r="L59"/>
    </row>
    <row r="60" spans="12:12" x14ac:dyDescent="0.15">
      <c r="L60"/>
    </row>
    <row r="61" spans="12:12" x14ac:dyDescent="0.15">
      <c r="L61"/>
    </row>
    <row r="62" spans="12:12" x14ac:dyDescent="0.15">
      <c r="L62"/>
    </row>
    <row r="63" spans="12:12" x14ac:dyDescent="0.15">
      <c r="L63"/>
    </row>
    <row r="64" spans="12:12" x14ac:dyDescent="0.15">
      <c r="L64"/>
    </row>
    <row r="65" spans="12:12" x14ac:dyDescent="0.15">
      <c r="L65"/>
    </row>
    <row r="66" spans="12:12" x14ac:dyDescent="0.15">
      <c r="L66"/>
    </row>
    <row r="67" spans="12:12" x14ac:dyDescent="0.15">
      <c r="L67"/>
    </row>
    <row r="68" spans="12:12" x14ac:dyDescent="0.15">
      <c r="L68"/>
    </row>
    <row r="69" spans="12:12" x14ac:dyDescent="0.15">
      <c r="L69"/>
    </row>
    <row r="70" spans="12:12" x14ac:dyDescent="0.15">
      <c r="L70"/>
    </row>
    <row r="71" spans="12:12" x14ac:dyDescent="0.15">
      <c r="L71"/>
    </row>
    <row r="72" spans="12:12" x14ac:dyDescent="0.15">
      <c r="L72"/>
    </row>
    <row r="73" spans="12:12" x14ac:dyDescent="0.15">
      <c r="L73"/>
    </row>
    <row r="74" spans="12:12" x14ac:dyDescent="0.15">
      <c r="L74"/>
    </row>
    <row r="75" spans="12:12" x14ac:dyDescent="0.15">
      <c r="L75"/>
    </row>
    <row r="76" spans="12:12" x14ac:dyDescent="0.15">
      <c r="L76"/>
    </row>
    <row r="77" spans="12:12" x14ac:dyDescent="0.15">
      <c r="L77"/>
    </row>
    <row r="78" spans="12:12" x14ac:dyDescent="0.15">
      <c r="L78"/>
    </row>
    <row r="79" spans="12:12" x14ac:dyDescent="0.15">
      <c r="L79"/>
    </row>
    <row r="80" spans="12:12" x14ac:dyDescent="0.15">
      <c r="L80"/>
    </row>
    <row r="81" spans="12:12" x14ac:dyDescent="0.15">
      <c r="L81"/>
    </row>
    <row r="82" spans="12:12" x14ac:dyDescent="0.15">
      <c r="L82"/>
    </row>
    <row r="83" spans="12:12" x14ac:dyDescent="0.15">
      <c r="L83"/>
    </row>
    <row r="84" spans="12:12" x14ac:dyDescent="0.15">
      <c r="L84"/>
    </row>
    <row r="85" spans="12:12" x14ac:dyDescent="0.15">
      <c r="L85"/>
    </row>
    <row r="86" spans="12:12" x14ac:dyDescent="0.15">
      <c r="L86"/>
    </row>
    <row r="87" spans="12:12" x14ac:dyDescent="0.15">
      <c r="L87"/>
    </row>
    <row r="88" spans="12:12" x14ac:dyDescent="0.15">
      <c r="L88"/>
    </row>
    <row r="89" spans="12:12" x14ac:dyDescent="0.15">
      <c r="L89"/>
    </row>
    <row r="90" spans="12:12" x14ac:dyDescent="0.15">
      <c r="L90"/>
    </row>
    <row r="91" spans="12:12" x14ac:dyDescent="0.15">
      <c r="L91"/>
    </row>
    <row r="92" spans="12:12" x14ac:dyDescent="0.15">
      <c r="L92"/>
    </row>
    <row r="93" spans="12:12" x14ac:dyDescent="0.15">
      <c r="L93"/>
    </row>
    <row r="94" spans="12:12" x14ac:dyDescent="0.15">
      <c r="L94"/>
    </row>
    <row r="95" spans="12:12" x14ac:dyDescent="0.15">
      <c r="L95"/>
    </row>
    <row r="96" spans="12:12" x14ac:dyDescent="0.15">
      <c r="L96"/>
    </row>
    <row r="97" spans="12:12" x14ac:dyDescent="0.15">
      <c r="L97"/>
    </row>
    <row r="98" spans="12:12" x14ac:dyDescent="0.15">
      <c r="L98"/>
    </row>
    <row r="99" spans="12:12" x14ac:dyDescent="0.15">
      <c r="L99"/>
    </row>
    <row r="100" spans="12:12" x14ac:dyDescent="0.15">
      <c r="L100"/>
    </row>
    <row r="101" spans="12:12" x14ac:dyDescent="0.15">
      <c r="L101"/>
    </row>
    <row r="102" spans="12:12" x14ac:dyDescent="0.15">
      <c r="L102"/>
    </row>
    <row r="103" spans="12:12" x14ac:dyDescent="0.15">
      <c r="L103"/>
    </row>
    <row r="104" spans="12:12" x14ac:dyDescent="0.15">
      <c r="L104"/>
    </row>
    <row r="105" spans="12:12" x14ac:dyDescent="0.15">
      <c r="L105"/>
    </row>
    <row r="106" spans="12:12" x14ac:dyDescent="0.15">
      <c r="L106"/>
    </row>
    <row r="107" spans="12:12" x14ac:dyDescent="0.15">
      <c r="L107"/>
    </row>
    <row r="108" spans="12:12" x14ac:dyDescent="0.15">
      <c r="L108"/>
    </row>
    <row r="109" spans="12:12" x14ac:dyDescent="0.15">
      <c r="L109"/>
    </row>
    <row r="110" spans="12:12" x14ac:dyDescent="0.15">
      <c r="L110"/>
    </row>
    <row r="111" spans="12:12" x14ac:dyDescent="0.15">
      <c r="L111"/>
    </row>
    <row r="112" spans="12:12" x14ac:dyDescent="0.15">
      <c r="L112"/>
    </row>
    <row r="113" spans="12:12" x14ac:dyDescent="0.15">
      <c r="L113"/>
    </row>
    <row r="114" spans="12:12" x14ac:dyDescent="0.15">
      <c r="L114"/>
    </row>
    <row r="115" spans="12:12" x14ac:dyDescent="0.15">
      <c r="L115"/>
    </row>
    <row r="116" spans="12:12" x14ac:dyDescent="0.15">
      <c r="L116"/>
    </row>
    <row r="117" spans="12:12" x14ac:dyDescent="0.15">
      <c r="L117"/>
    </row>
    <row r="118" spans="12:12" x14ac:dyDescent="0.15">
      <c r="L118"/>
    </row>
    <row r="119" spans="12:12" x14ac:dyDescent="0.15">
      <c r="L119"/>
    </row>
    <row r="120" spans="12:12" x14ac:dyDescent="0.15">
      <c r="L120"/>
    </row>
    <row r="121" spans="12:12" x14ac:dyDescent="0.15">
      <c r="L121"/>
    </row>
    <row r="122" spans="12:12" x14ac:dyDescent="0.15">
      <c r="L122"/>
    </row>
    <row r="123" spans="12:12" x14ac:dyDescent="0.15">
      <c r="L123"/>
    </row>
    <row r="124" spans="12:12" x14ac:dyDescent="0.15">
      <c r="L124"/>
    </row>
    <row r="125" spans="12:12" x14ac:dyDescent="0.15">
      <c r="L125"/>
    </row>
    <row r="126" spans="12:12" x14ac:dyDescent="0.15">
      <c r="L126"/>
    </row>
    <row r="127" spans="12:12" x14ac:dyDescent="0.15">
      <c r="L127"/>
    </row>
    <row r="128" spans="12:12" x14ac:dyDescent="0.15">
      <c r="L128"/>
    </row>
    <row r="129" spans="12:12" x14ac:dyDescent="0.15">
      <c r="L129"/>
    </row>
    <row r="130" spans="12:12" x14ac:dyDescent="0.15">
      <c r="L130"/>
    </row>
    <row r="131" spans="12:12" x14ac:dyDescent="0.15">
      <c r="L131"/>
    </row>
    <row r="132" spans="12:12" x14ac:dyDescent="0.15">
      <c r="L132"/>
    </row>
    <row r="133" spans="12:12" x14ac:dyDescent="0.15">
      <c r="L133"/>
    </row>
    <row r="134" spans="12:12" x14ac:dyDescent="0.15">
      <c r="L134"/>
    </row>
    <row r="135" spans="12:12" x14ac:dyDescent="0.15">
      <c r="L135"/>
    </row>
    <row r="136" spans="12:12" x14ac:dyDescent="0.15">
      <c r="L136"/>
    </row>
    <row r="137" spans="12:12" x14ac:dyDescent="0.15">
      <c r="L137"/>
    </row>
    <row r="138" spans="12:12" x14ac:dyDescent="0.15">
      <c r="L138"/>
    </row>
    <row r="139" spans="12:12" x14ac:dyDescent="0.15">
      <c r="L139"/>
    </row>
    <row r="140" spans="12:12" x14ac:dyDescent="0.15">
      <c r="L140"/>
    </row>
    <row r="141" spans="12:12" x14ac:dyDescent="0.15">
      <c r="L141"/>
    </row>
    <row r="142" spans="12:12" x14ac:dyDescent="0.15">
      <c r="L142"/>
    </row>
    <row r="143" spans="12:12" x14ac:dyDescent="0.15">
      <c r="L143"/>
    </row>
    <row r="144" spans="12:12" x14ac:dyDescent="0.15">
      <c r="L144"/>
    </row>
    <row r="145" spans="12:12" x14ac:dyDescent="0.15">
      <c r="L145"/>
    </row>
    <row r="146" spans="12:12" x14ac:dyDescent="0.15">
      <c r="L146"/>
    </row>
    <row r="147" spans="12:12" x14ac:dyDescent="0.15">
      <c r="L147"/>
    </row>
    <row r="148" spans="12:12" x14ac:dyDescent="0.15">
      <c r="L148"/>
    </row>
    <row r="149" spans="12:12" x14ac:dyDescent="0.15">
      <c r="L149"/>
    </row>
    <row r="150" spans="12:12" x14ac:dyDescent="0.15">
      <c r="L150"/>
    </row>
    <row r="151" spans="12:12" x14ac:dyDescent="0.15">
      <c r="L151"/>
    </row>
    <row r="152" spans="12:12" x14ac:dyDescent="0.15">
      <c r="L152"/>
    </row>
    <row r="153" spans="12:12" x14ac:dyDescent="0.15">
      <c r="L153"/>
    </row>
    <row r="154" spans="12:12" x14ac:dyDescent="0.15">
      <c r="L154"/>
    </row>
    <row r="155" spans="12:12" x14ac:dyDescent="0.15">
      <c r="L155"/>
    </row>
  </sheetData>
  <mergeCells count="8">
    <mergeCell ref="AQ1:AS1"/>
    <mergeCell ref="AT1:AV1"/>
    <mergeCell ref="AW1:AY1"/>
    <mergeCell ref="Q1:W1"/>
    <mergeCell ref="X1:Z1"/>
    <mergeCell ref="AA1:AD1"/>
    <mergeCell ref="AE1:AH1"/>
    <mergeCell ref="AI1:AJ1"/>
  </mergeCells>
  <phoneticPr fontId="23" type="noConversion"/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700-000000000000}">
          <x14:formula1>
            <xm:f>酒瓶!$A$2:$A$24</xm:f>
          </x14:formula1>
          <xm:sqref>Q3:Q22</xm:sqref>
        </x14:dataValidation>
        <x14:dataValidation type="list" allowBlank="1" showInputMessage="1" showErrorMessage="1" xr:uid="{00000000-0002-0000-0700-000001000000}">
          <x14:formula1>
            <xm:f>酒瓶!$A$25:$A$33</xm:f>
          </x14:formula1>
          <xm:sqref>Q23:Q25</xm:sqref>
        </x14:dataValidation>
        <x14:dataValidation type="list" allowBlank="1" showInputMessage="1" showErrorMessage="1" xr:uid="{00000000-0002-0000-0700-000002000000}">
          <x14:formula1>
            <xm:f>包材!$B$4:$B$12</xm:f>
          </x14:formula1>
          <xm:sqref>X3:X25</xm:sqref>
        </x14:dataValidation>
        <x14:dataValidation type="list" allowBlank="1" showInputMessage="1" showErrorMessage="1" xr:uid="{00000000-0002-0000-0700-000003000000}">
          <x14:formula1>
            <xm:f>包材!$B$13:$B$25</xm:f>
          </x14:formula1>
          <xm:sqref>AA3:AA25</xm:sqref>
        </x14:dataValidation>
        <x14:dataValidation type="list" allowBlank="1" showInputMessage="1" showErrorMessage="1" xr:uid="{00000000-0002-0000-0700-000004000000}">
          <x14:formula1>
            <xm:f>包材!$B$26:$B$35</xm:f>
          </x14:formula1>
          <xm:sqref>AE3:AE25</xm:sqref>
        </x14:dataValidation>
        <x14:dataValidation type="list" allowBlank="1" showInputMessage="1" showErrorMessage="1" xr:uid="{00000000-0002-0000-0700-000005000000}">
          <x14:formula1>
            <xm:f>包材!$B$2:$B$3</xm:f>
          </x14:formula1>
          <xm:sqref>AI3:AI25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31"/>
  <sheetViews>
    <sheetView tabSelected="1" zoomScaleNormal="100" workbookViewId="0">
      <selection activeCell="P5" sqref="P5"/>
    </sheetView>
  </sheetViews>
  <sheetFormatPr defaultColWidth="8.875" defaultRowHeight="14.25" x14ac:dyDescent="0.15"/>
  <cols>
    <col min="1" max="1" width="4.375" style="2" customWidth="1"/>
    <col min="2" max="2" width="5.625" style="2" customWidth="1"/>
    <col min="3" max="3" width="4.125" style="2" customWidth="1"/>
    <col min="4" max="4" width="19" style="2" customWidth="1"/>
    <col min="5" max="5" width="24.125" style="2" customWidth="1"/>
    <col min="6" max="6" width="8.875" style="2" customWidth="1"/>
    <col min="7" max="7" width="11.375" style="2" customWidth="1"/>
    <col min="8" max="8" width="10.5" style="2" customWidth="1"/>
    <col min="9" max="9" width="8.875" style="2"/>
    <col min="10" max="10" width="8.5" style="2" customWidth="1"/>
    <col min="11" max="11" width="11.125" style="2" customWidth="1"/>
    <col min="12" max="12" width="8" style="2" customWidth="1"/>
    <col min="13" max="13" width="17.5" style="2" customWidth="1"/>
    <col min="14" max="14" width="4.5" style="2" customWidth="1"/>
    <col min="15" max="16384" width="8.875" style="2"/>
  </cols>
  <sheetData>
    <row r="1" spans="1:22" ht="41.45" customHeight="1" x14ac:dyDescent="0.15">
      <c r="A1" s="3"/>
      <c r="B1" s="142" t="s">
        <v>276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11"/>
    </row>
    <row r="2" spans="1:22" ht="41.45" customHeight="1" x14ac:dyDescent="0.15">
      <c r="A2" s="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07"/>
    </row>
    <row r="3" spans="1:22" ht="8.1" customHeight="1" thickBot="1" x14ac:dyDescent="0.2">
      <c r="A3" s="4"/>
      <c r="B3" s="145"/>
      <c r="C3" s="146"/>
      <c r="D3" s="146"/>
      <c r="E3" s="146"/>
      <c r="F3" s="146"/>
      <c r="G3" s="146"/>
      <c r="H3" s="146"/>
      <c r="I3" s="146"/>
      <c r="J3" s="146"/>
      <c r="K3" s="146"/>
      <c r="L3" s="22"/>
      <c r="M3" s="22"/>
      <c r="N3" s="107"/>
    </row>
    <row r="4" spans="1:22" ht="23.1" customHeight="1" x14ac:dyDescent="0.15">
      <c r="A4" s="4"/>
      <c r="B4" s="147" t="s">
        <v>277</v>
      </c>
      <c r="C4" s="148"/>
      <c r="D4" s="148"/>
      <c r="E4" s="148"/>
      <c r="F4" s="148"/>
      <c r="G4" s="148"/>
      <c r="H4" s="148"/>
      <c r="I4" s="148"/>
      <c r="J4" s="148"/>
      <c r="K4" s="156" t="s">
        <v>278</v>
      </c>
      <c r="L4" s="156" t="s">
        <v>279</v>
      </c>
      <c r="M4" s="158" t="s">
        <v>280</v>
      </c>
      <c r="N4" s="107"/>
    </row>
    <row r="5" spans="1:22" ht="38.1" customHeight="1" thickBot="1" x14ac:dyDescent="0.2">
      <c r="A5" s="4"/>
      <c r="B5" s="5" t="s">
        <v>170</v>
      </c>
      <c r="C5" s="6" t="s">
        <v>281</v>
      </c>
      <c r="D5" s="7" t="s">
        <v>168</v>
      </c>
      <c r="E5" s="7" t="s">
        <v>169</v>
      </c>
      <c r="F5" s="7" t="s">
        <v>175</v>
      </c>
      <c r="G5" s="7" t="s">
        <v>22</v>
      </c>
      <c r="H5" s="7" t="s">
        <v>282</v>
      </c>
      <c r="I5" s="7" t="s">
        <v>283</v>
      </c>
      <c r="J5" s="7" t="s">
        <v>284</v>
      </c>
      <c r="K5" s="157"/>
      <c r="L5" s="157"/>
      <c r="M5" s="159"/>
      <c r="N5" s="107"/>
      <c r="P5"/>
      <c r="Q5"/>
      <c r="R5"/>
      <c r="S5"/>
      <c r="T5"/>
      <c r="U5"/>
      <c r="V5"/>
    </row>
    <row r="6" spans="1:22" ht="38.1" customHeight="1" x14ac:dyDescent="0.15">
      <c r="A6" s="4"/>
      <c r="B6" s="152" t="s">
        <v>202</v>
      </c>
      <c r="C6" s="8">
        <v>1</v>
      </c>
      <c r="D6" s="23" t="str">
        <f>价格测算!A3</f>
        <v>VCE 13.5%</v>
      </c>
      <c r="E6" s="9" t="str">
        <f>价格测算!B3</f>
        <v>BG-FR-VCE-00DR2-13.5%</v>
      </c>
      <c r="F6" s="9" t="str">
        <f>价格测算!H3</f>
        <v>/</v>
      </c>
      <c r="G6" s="23" t="str">
        <f>价格测算!Q3</f>
        <v>波尔多瓶(425g 300mm)</v>
      </c>
      <c r="H6" s="23" t="str">
        <f>价格测算!X3</f>
        <v>聚合塞</v>
      </c>
      <c r="I6" s="23" t="str">
        <f>价格测算!AA3</f>
        <v>铝塑帽</v>
      </c>
      <c r="J6" s="9" t="str">
        <f>价格测算!AE3</f>
        <v>普通白箱 750ml*6</v>
      </c>
      <c r="K6" s="24">
        <f>ROUNDUP(价格测算!AQ3,1)</f>
        <v>13.799999999999999</v>
      </c>
      <c r="L6" s="23" t="s">
        <v>285</v>
      </c>
      <c r="M6" s="25" t="s">
        <v>286</v>
      </c>
      <c r="N6" s="107"/>
      <c r="P6"/>
      <c r="Q6"/>
      <c r="R6"/>
      <c r="S6"/>
      <c r="T6"/>
      <c r="U6"/>
      <c r="V6"/>
    </row>
    <row r="7" spans="1:22" ht="38.1" customHeight="1" x14ac:dyDescent="0.15">
      <c r="A7" s="4"/>
      <c r="B7" s="153"/>
      <c r="C7" s="10">
        <v>2</v>
      </c>
      <c r="D7" s="11" t="str">
        <f>价格测算!A4</f>
        <v>VCE 14.5%</v>
      </c>
      <c r="E7" s="26" t="str">
        <f>价格测算!B4</f>
        <v>BG-FR-VCE-00DR3-14.5%</v>
      </c>
      <c r="F7" s="26" t="str">
        <f>价格测算!H4</f>
        <v>/</v>
      </c>
      <c r="G7" s="11" t="str">
        <f>价格测算!Q4</f>
        <v>波尔多瓶(425g 300mm)</v>
      </c>
      <c r="H7" s="11" t="str">
        <f>价格测算!X4</f>
        <v>聚合塞</v>
      </c>
      <c r="I7" s="26" t="str">
        <f>价格测算!AA4</f>
        <v>铝塑帽</v>
      </c>
      <c r="J7" s="28" t="str">
        <f>价格测算!AE4</f>
        <v>普通白箱 750ml*6</v>
      </c>
      <c r="K7" s="115">
        <f>ROUNDUP(价格测算!AQ4,1)</f>
        <v>14.5</v>
      </c>
      <c r="L7" s="26" t="s">
        <v>285</v>
      </c>
      <c r="M7" s="27" t="s">
        <v>286</v>
      </c>
      <c r="N7" s="107"/>
      <c r="P7"/>
      <c r="Q7"/>
      <c r="R7"/>
      <c r="S7"/>
      <c r="T7"/>
      <c r="U7"/>
      <c r="V7"/>
    </row>
    <row r="8" spans="1:22" s="1" customFormat="1" ht="38.1" customHeight="1" x14ac:dyDescent="0.15">
      <c r="A8" s="12"/>
      <c r="B8" s="153"/>
      <c r="C8" s="13">
        <v>3</v>
      </c>
      <c r="D8" s="26" t="str">
        <f>价格测算!A5</f>
        <v>法国VDF</v>
      </c>
      <c r="E8" s="114" t="str">
        <f>价格测算!B5</f>
        <v>BG-FR-VDF-00DR4-14.5%</v>
      </c>
      <c r="F8" s="11">
        <f>价格测算!H5</f>
        <v>2018</v>
      </c>
      <c r="G8" s="28" t="str">
        <f>价格测算!Q5</f>
        <v>波尔多瓶(425g 300mm)</v>
      </c>
      <c r="H8" s="26" t="str">
        <f>价格测算!X5</f>
        <v>聚合塞</v>
      </c>
      <c r="I8" s="26" t="str">
        <f>价格测算!AA5</f>
        <v>铝塑帽</v>
      </c>
      <c r="J8" s="28" t="str">
        <f>价格测算!AE5</f>
        <v>普通白箱 750ml*6</v>
      </c>
      <c r="K8" s="117">
        <f>ROUNDUP(价格测算!AQ5,1)</f>
        <v>17.600000000000001</v>
      </c>
      <c r="L8" s="26" t="s">
        <v>285</v>
      </c>
      <c r="M8" s="27" t="s">
        <v>286</v>
      </c>
      <c r="N8" s="108"/>
      <c r="P8"/>
      <c r="Q8"/>
      <c r="R8"/>
      <c r="S8"/>
      <c r="T8"/>
      <c r="U8"/>
      <c r="V8"/>
    </row>
    <row r="9" spans="1:22" ht="38.1" customHeight="1" x14ac:dyDescent="0.15">
      <c r="A9" s="4"/>
      <c r="B9" s="153"/>
      <c r="C9" s="14">
        <v>4</v>
      </c>
      <c r="D9" s="26" t="str">
        <f>价格测算!A6</f>
        <v>法国科比埃AOP</v>
      </c>
      <c r="E9" s="11" t="str">
        <f>价格测算!B6</f>
        <v>BG-FR-COR-00DR5-15.5%</v>
      </c>
      <c r="F9" s="28">
        <f>价格测算!H6</f>
        <v>2018</v>
      </c>
      <c r="G9" s="26" t="str">
        <f>价格测算!Q6</f>
        <v>波尔多瓶(425g 300mm)</v>
      </c>
      <c r="H9" s="28" t="str">
        <f>价格测算!X6</f>
        <v>聚合塞</v>
      </c>
      <c r="I9" s="11" t="str">
        <f>价格测算!AA6</f>
        <v>铝塑帽</v>
      </c>
      <c r="J9" s="28" t="str">
        <f>价格测算!AE6</f>
        <v>普通白箱 750ml*6</v>
      </c>
      <c r="K9" s="115">
        <f>ROUNDUP(价格测算!AQ6,1)</f>
        <v>23.700000000000003</v>
      </c>
      <c r="L9" s="28" t="s">
        <v>285</v>
      </c>
      <c r="M9" s="30" t="s">
        <v>286</v>
      </c>
      <c r="N9" s="107"/>
      <c r="P9"/>
      <c r="Q9"/>
      <c r="R9"/>
      <c r="S9"/>
      <c r="T9"/>
      <c r="U9"/>
      <c r="V9"/>
    </row>
    <row r="10" spans="1:22" ht="38.1" customHeight="1" x14ac:dyDescent="0.15">
      <c r="A10" s="4"/>
      <c r="B10" s="153"/>
      <c r="C10" s="15">
        <v>5</v>
      </c>
      <c r="D10" s="26" t="str">
        <f>价格测算!A7</f>
        <v>法国波尔多城堡AOP</v>
      </c>
      <c r="E10" s="28" t="str">
        <f>价格测算!B7</f>
        <v>BG-FR-BODC-00DR5-14.5%</v>
      </c>
      <c r="F10" s="116">
        <f>价格测算!H7</f>
        <v>2019</v>
      </c>
      <c r="G10" s="28" t="str">
        <f>价格测算!Q7</f>
        <v>波尔多瓶(425g 300mm)</v>
      </c>
      <c r="H10" s="26" t="str">
        <f>价格测算!X7</f>
        <v>聚合塞</v>
      </c>
      <c r="I10" s="26" t="str">
        <f>价格测算!AA7</f>
        <v>铝塑帽</v>
      </c>
      <c r="J10" s="26" t="str">
        <f>价格测算!AE7</f>
        <v>普通白箱 750ml*6</v>
      </c>
      <c r="K10" s="117">
        <f>ROUNDUP(价格测算!AQ7,1)</f>
        <v>21.200000000000003</v>
      </c>
      <c r="L10" s="26" t="s">
        <v>285</v>
      </c>
      <c r="M10" s="31" t="s">
        <v>290</v>
      </c>
      <c r="N10" s="107"/>
      <c r="P10"/>
      <c r="Q10"/>
      <c r="R10"/>
      <c r="S10"/>
      <c r="T10"/>
      <c r="U10"/>
      <c r="V10"/>
    </row>
    <row r="11" spans="1:22" ht="38.1" customHeight="1" x14ac:dyDescent="0.15">
      <c r="A11" s="4"/>
      <c r="B11" s="153"/>
      <c r="C11" s="14">
        <v>6</v>
      </c>
      <c r="D11" s="26" t="str">
        <f>价格测算!A8</f>
        <v>梅多克城堡AOP</v>
      </c>
      <c r="E11" s="26" t="str">
        <f>价格测算!B8</f>
        <v>BG-FR-MEDC-00DR7-14.5%</v>
      </c>
      <c r="F11" s="28">
        <f>价格测算!H8</f>
        <v>2018</v>
      </c>
      <c r="G11" s="28" t="str">
        <f>价格测算!Q8</f>
        <v>波尔多瓶(425g 300mm)</v>
      </c>
      <c r="H11" s="11" t="str">
        <f>价格测算!X8</f>
        <v>聚合塞</v>
      </c>
      <c r="I11" s="11" t="str">
        <f>价格测算!AA8</f>
        <v>铝塑帽</v>
      </c>
      <c r="J11" s="11" t="str">
        <f>价格测算!AE8</f>
        <v>普通白箱 750ml*6</v>
      </c>
      <c r="K11" s="117">
        <f>ROUNDUP(价格测算!AQ8,1)</f>
        <v>30.700000000000003</v>
      </c>
      <c r="L11" s="28" t="s">
        <v>285</v>
      </c>
      <c r="M11" s="31" t="s">
        <v>290</v>
      </c>
      <c r="N11" s="107"/>
      <c r="P11"/>
      <c r="Q11"/>
      <c r="R11"/>
      <c r="S11"/>
      <c r="T11"/>
      <c r="U11"/>
      <c r="V11"/>
    </row>
    <row r="12" spans="1:22" ht="38.1" customHeight="1" x14ac:dyDescent="0.15">
      <c r="A12" s="4"/>
      <c r="B12" s="153"/>
      <c r="C12" s="15">
        <v>7</v>
      </c>
      <c r="D12" s="26" t="str">
        <f>价格测算!A9</f>
        <v>梅多克城堡AOP</v>
      </c>
      <c r="E12" s="26" t="str">
        <f>价格测算!B9</f>
        <v>BG-FR-MEDC-00DR7-14.5%</v>
      </c>
      <c r="F12" s="26">
        <f>价格测算!H9</f>
        <v>2019</v>
      </c>
      <c r="G12" s="28" t="str">
        <f>价格测算!Q9</f>
        <v>波尔多瓶(425g 300mm)</v>
      </c>
      <c r="H12" s="28" t="str">
        <f>价格测算!X9</f>
        <v>聚合塞</v>
      </c>
      <c r="I12" s="28" t="str">
        <f>价格测算!AA9</f>
        <v>铝塑帽</v>
      </c>
      <c r="J12" s="26" t="str">
        <f>价格测算!AE9</f>
        <v>普通白箱 750ml*6</v>
      </c>
      <c r="K12" s="117">
        <f>ROUNDUP(价格测算!AQ9,1)</f>
        <v>30.700000000000003</v>
      </c>
      <c r="L12" s="28" t="s">
        <v>285</v>
      </c>
      <c r="M12" s="31" t="s">
        <v>289</v>
      </c>
      <c r="N12" s="107"/>
      <c r="P12"/>
      <c r="Q12"/>
      <c r="R12"/>
      <c r="S12"/>
      <c r="T12"/>
      <c r="U12"/>
      <c r="V12"/>
    </row>
    <row r="13" spans="1:22" ht="38.1" customHeight="1" x14ac:dyDescent="0.15">
      <c r="A13" s="4"/>
      <c r="B13" s="153"/>
      <c r="C13" s="14">
        <v>8</v>
      </c>
      <c r="D13" s="26" t="str">
        <f>价格测算!A10</f>
        <v>朗格多克AOP</v>
      </c>
      <c r="E13" s="11" t="str">
        <f>价格测算!B10</f>
        <v>BG-FR-LAG-00DR5-15.0%</v>
      </c>
      <c r="F13" s="120">
        <f>价格测算!H10</f>
        <v>2019</v>
      </c>
      <c r="G13" s="26" t="str">
        <f>价格测算!Q10</f>
        <v>波尔多瓶(425g 300mm)</v>
      </c>
      <c r="H13" s="26" t="str">
        <f>价格测算!X10</f>
        <v>聚合塞</v>
      </c>
      <c r="I13" s="28" t="str">
        <f>价格测算!AA10</f>
        <v>铝塑帽</v>
      </c>
      <c r="J13" s="11" t="str">
        <f>价格测算!AE10</f>
        <v>普通白箱 750ml*6</v>
      </c>
      <c r="K13" s="117">
        <f>ROUNDUP(价格测算!AQ10,1)</f>
        <v>22.3</v>
      </c>
      <c r="L13" s="28" t="s">
        <v>285</v>
      </c>
      <c r="M13" s="31" t="s">
        <v>289</v>
      </c>
      <c r="N13" s="107"/>
    </row>
    <row r="14" spans="1:22" ht="38.1" customHeight="1" thickBot="1" x14ac:dyDescent="0.2">
      <c r="A14" s="4"/>
      <c r="B14" s="153"/>
      <c r="C14" s="15">
        <v>9</v>
      </c>
      <c r="D14" s="118" t="str">
        <f>价格测算!A11</f>
        <v>罗纳河谷AOP-金奖</v>
      </c>
      <c r="E14" s="119" t="str">
        <f>价格测算!B11</f>
        <v>BG-FR-CDR-00DR7-15.5%</v>
      </c>
      <c r="F14" s="118">
        <f>价格测算!H11</f>
        <v>2019</v>
      </c>
      <c r="G14" s="118" t="str">
        <f>价格测算!Q11</f>
        <v>波尔多瓶(425g 300mm)</v>
      </c>
      <c r="H14" s="118" t="str">
        <f>价格测算!X11</f>
        <v>聚合塞</v>
      </c>
      <c r="I14" s="119" t="str">
        <f>价格测算!AA11</f>
        <v>铝塑帽</v>
      </c>
      <c r="J14" s="119" t="str">
        <f>价格测算!AE11</f>
        <v>普通白箱 750ml*6</v>
      </c>
      <c r="K14" s="29">
        <f>ROUNDUP(价格测算!AQ11,1)</f>
        <v>26</v>
      </c>
      <c r="L14" s="34" t="s">
        <v>285</v>
      </c>
      <c r="M14" s="31" t="s">
        <v>289</v>
      </c>
      <c r="N14" s="107"/>
    </row>
    <row r="15" spans="1:22" ht="38.1" customHeight="1" x14ac:dyDescent="0.15">
      <c r="A15" s="4"/>
      <c r="B15" s="152" t="s">
        <v>228</v>
      </c>
      <c r="C15" s="16">
        <v>10</v>
      </c>
      <c r="D15" s="23" t="str">
        <f>价格测算!A12</f>
        <v>南澳混酿</v>
      </c>
      <c r="E15" s="9" t="str">
        <f>价格测算!B12</f>
        <v>BG-AU-SA-00DR3-14.5%</v>
      </c>
      <c r="F15" s="9">
        <f>价格测算!H12</f>
        <v>2019</v>
      </c>
      <c r="G15" s="23" t="str">
        <f>价格测算!Q12</f>
        <v>波尔多瓶(425g 300mm)</v>
      </c>
      <c r="H15" s="23" t="str">
        <f>价格测算!X12</f>
        <v>聚合塞</v>
      </c>
      <c r="I15" s="9" t="str">
        <f>价格测算!AA12</f>
        <v>铝塑帽</v>
      </c>
      <c r="J15" s="9" t="str">
        <f>价格测算!AE12</f>
        <v>普通白箱 750ml*6</v>
      </c>
      <c r="K15" s="121">
        <f>ROUNDUP(价格测算!AQ12,1)</f>
        <v>16.700000000000003</v>
      </c>
      <c r="L15" s="32" t="s">
        <v>285</v>
      </c>
      <c r="M15" s="33" t="s">
        <v>287</v>
      </c>
      <c r="N15" s="107"/>
    </row>
    <row r="16" spans="1:22" ht="38.1" customHeight="1" x14ac:dyDescent="0.15">
      <c r="A16" s="4"/>
      <c r="B16" s="153"/>
      <c r="C16" s="14">
        <v>11</v>
      </c>
      <c r="D16" s="26" t="str">
        <f>价格测算!A13</f>
        <v>南澳西拉</v>
      </c>
      <c r="E16" s="28" t="str">
        <f>价格测算!B13</f>
        <v>BG-AU-SA-02DR4-14.5%</v>
      </c>
      <c r="F16" s="26">
        <f>价格测算!H13</f>
        <v>2019</v>
      </c>
      <c r="G16" s="26" t="str">
        <f>价格测算!Q13</f>
        <v>波尔多瓶(425g 300mm)</v>
      </c>
      <c r="H16" s="11" t="str">
        <f>价格测算!X13</f>
        <v>聚合塞</v>
      </c>
      <c r="I16" s="26" t="str">
        <f>价格测算!AA13</f>
        <v>铝塑帽</v>
      </c>
      <c r="J16" s="28" t="str">
        <f>价格测算!AE13</f>
        <v>普通白箱 750ml*6</v>
      </c>
      <c r="K16" s="29">
        <f>ROUNDUP(价格测算!AQ13,1)</f>
        <v>19.8</v>
      </c>
      <c r="L16" s="28" t="s">
        <v>285</v>
      </c>
      <c r="M16" s="27" t="s">
        <v>286</v>
      </c>
      <c r="N16" s="107"/>
    </row>
    <row r="17" spans="1:14" ht="38.1" customHeight="1" thickBot="1" x14ac:dyDescent="0.2">
      <c r="A17" s="4"/>
      <c r="B17" s="153"/>
      <c r="C17" s="17">
        <v>12</v>
      </c>
      <c r="D17" s="118" t="str">
        <f>价格测算!A14</f>
        <v>南澳西拉16.0%</v>
      </c>
      <c r="E17" s="119" t="str">
        <f>价格测算!B14</f>
        <v>BG-AU-SA-02DR5-16.0%</v>
      </c>
      <c r="F17" s="118">
        <f>价格测算!H14</f>
        <v>2019</v>
      </c>
      <c r="G17" s="118" t="str">
        <f>价格测算!Q14</f>
        <v>波尔多瓶(425g 300mm)</v>
      </c>
      <c r="H17" s="119" t="str">
        <f>价格测算!X14</f>
        <v>聚合塞</v>
      </c>
      <c r="I17" s="118" t="str">
        <f>价格测算!AA14</f>
        <v>铝塑帽</v>
      </c>
      <c r="J17" s="119" t="str">
        <f>价格测算!AE14</f>
        <v>普通白箱 750ml*6</v>
      </c>
      <c r="K17" s="122">
        <f>ROUNDUP(价格测算!AQ14,1)</f>
        <v>21.900000000000002</v>
      </c>
      <c r="L17" s="34" t="s">
        <v>285</v>
      </c>
      <c r="M17" s="35" t="s">
        <v>286</v>
      </c>
      <c r="N17" s="107"/>
    </row>
    <row r="18" spans="1:14" ht="38.1" customHeight="1" x14ac:dyDescent="0.15">
      <c r="A18" s="4"/>
      <c r="B18" s="152" t="s">
        <v>237</v>
      </c>
      <c r="C18" s="18">
        <v>13</v>
      </c>
      <c r="D18" s="9" t="str">
        <f>价格测算!A15</f>
        <v>智利混酿</v>
      </c>
      <c r="E18" s="23" t="str">
        <f>价格测算!B15</f>
        <v>BG-CL-CV-00DR2-12.5%</v>
      </c>
      <c r="F18" s="125" t="str">
        <f>价格测算!H15</f>
        <v>/</v>
      </c>
      <c r="G18" s="23" t="str">
        <f>价格测算!Q15</f>
        <v>波尔多瓶(425g 300mm)</v>
      </c>
      <c r="H18" s="23" t="str">
        <f>价格测算!X15</f>
        <v>聚合塞</v>
      </c>
      <c r="I18" s="23" t="str">
        <f>价格测算!AA15</f>
        <v>铝塑帽</v>
      </c>
      <c r="J18" s="9" t="str">
        <f>价格测算!AE15</f>
        <v>普通白箱 750ml*6</v>
      </c>
      <c r="K18" s="24">
        <f>ROUNDUP(价格测算!AQ15,1)</f>
        <v>12</v>
      </c>
      <c r="L18" s="11" t="s">
        <v>285</v>
      </c>
      <c r="M18" s="36" t="s">
        <v>286</v>
      </c>
      <c r="N18" s="107"/>
    </row>
    <row r="19" spans="1:14" ht="38.1" customHeight="1" x14ac:dyDescent="0.15">
      <c r="A19" s="4"/>
      <c r="B19" s="153"/>
      <c r="C19" s="14">
        <v>14</v>
      </c>
      <c r="D19" s="28" t="str">
        <f>价格测算!A16</f>
        <v>智利美乐</v>
      </c>
      <c r="E19" s="11" t="str">
        <f>价格测算!B16</f>
        <v>BG-CL-CV-03DR3-13.0%</v>
      </c>
      <c r="F19" s="28">
        <f>价格测算!H16</f>
        <v>2019</v>
      </c>
      <c r="G19" s="11" t="str">
        <f>价格测算!Q16</f>
        <v>波尔多瓶(425g 300mm)</v>
      </c>
      <c r="H19" s="11" t="str">
        <f>价格测算!X16</f>
        <v>聚合塞</v>
      </c>
      <c r="I19" s="11" t="str">
        <f>价格测算!AA16</f>
        <v>铝塑帽</v>
      </c>
      <c r="J19" s="26" t="str">
        <f>价格测算!AE16</f>
        <v>普通白箱 750ml*6</v>
      </c>
      <c r="K19" s="117">
        <f>ROUNDUP(价格测算!AQ16,1)</f>
        <v>14</v>
      </c>
      <c r="L19" s="26" t="s">
        <v>285</v>
      </c>
      <c r="M19" s="30" t="s">
        <v>286</v>
      </c>
      <c r="N19" s="107"/>
    </row>
    <row r="20" spans="1:14" ht="38.1" customHeight="1" x14ac:dyDescent="0.15">
      <c r="A20" s="4"/>
      <c r="B20" s="153"/>
      <c r="C20" s="123">
        <v>15</v>
      </c>
      <c r="D20" s="26" t="str">
        <f>价格测算!A17</f>
        <v>智利赤霞珠</v>
      </c>
      <c r="E20" s="26" t="str">
        <f>价格测算!B17</f>
        <v>BG-CL-CV-01DR3-13.0%</v>
      </c>
      <c r="F20" s="26">
        <f>价格测算!H17</f>
        <v>2019</v>
      </c>
      <c r="G20" s="26" t="str">
        <f>价格测算!Q17</f>
        <v>波尔多瓶(425g 300mm)</v>
      </c>
      <c r="H20" s="26" t="str">
        <f>价格测算!X17</f>
        <v>聚合塞</v>
      </c>
      <c r="I20" s="26" t="str">
        <f>价格测算!AA17</f>
        <v>铝塑帽</v>
      </c>
      <c r="J20" s="11" t="str">
        <f>价格测算!AE17</f>
        <v>普通白箱 750ml*6</v>
      </c>
      <c r="K20" s="117">
        <f>ROUNDUP(价格测算!AQ17,1)</f>
        <v>14</v>
      </c>
      <c r="L20" s="114" t="s">
        <v>285</v>
      </c>
      <c r="M20" s="30" t="s">
        <v>286</v>
      </c>
      <c r="N20" s="107"/>
    </row>
    <row r="21" spans="1:14" ht="38.1" customHeight="1" thickBot="1" x14ac:dyDescent="0.2">
      <c r="A21" s="4"/>
      <c r="B21" s="154"/>
      <c r="C21" s="124">
        <v>16</v>
      </c>
      <c r="D21" s="113" t="str">
        <f>价格测算!A18</f>
        <v>智利佳美娜</v>
      </c>
      <c r="E21" s="119" t="str">
        <f>价格测算!B18</f>
        <v>BG-CL-CV-04DR3-13.0%</v>
      </c>
      <c r="F21" s="113">
        <f>价格测算!H18</f>
        <v>2019</v>
      </c>
      <c r="G21" s="113" t="str">
        <f>价格测算!Q18</f>
        <v>波尔多瓶(425g 300mm)</v>
      </c>
      <c r="H21" s="113" t="str">
        <f>价格测算!X18</f>
        <v>聚合塞</v>
      </c>
      <c r="I21" s="113" t="str">
        <f>价格测算!AA18</f>
        <v>铝塑帽</v>
      </c>
      <c r="J21" s="34" t="str">
        <f>价格测算!AE18</f>
        <v>普通白箱 750ml*6</v>
      </c>
      <c r="K21" s="127">
        <f>ROUNDUP(价格测算!AQ18,1)</f>
        <v>15</v>
      </c>
      <c r="L21" s="34" t="s">
        <v>285</v>
      </c>
      <c r="M21" s="126" t="s">
        <v>286</v>
      </c>
      <c r="N21" s="107"/>
    </row>
    <row r="22" spans="1:14" ht="38.1" customHeight="1" x14ac:dyDescent="0.15">
      <c r="A22" s="4"/>
      <c r="B22" s="155" t="s">
        <v>148</v>
      </c>
      <c r="C22" s="19">
        <v>17</v>
      </c>
      <c r="D22" s="128" t="str">
        <f>价格测算!A19</f>
        <v>阿根廷混酿13.5%</v>
      </c>
      <c r="E22" s="9" t="str">
        <f>价格测算!B19</f>
        <v>BG-AG-MEN-00DR1-13.5%</v>
      </c>
      <c r="F22" s="128">
        <f>价格测算!H19</f>
        <v>2019</v>
      </c>
      <c r="G22" s="11" t="str">
        <f>价格测算!Q19</f>
        <v>波尔多瓶(425g 300mm)</v>
      </c>
      <c r="H22" s="11" t="str">
        <f>价格测算!X19</f>
        <v>聚合塞</v>
      </c>
      <c r="I22" s="11" t="str">
        <f>价格测算!AA19</f>
        <v>铝塑帽</v>
      </c>
      <c r="J22" s="11" t="str">
        <f>价格测算!AE19</f>
        <v>普通白箱 750ml*6</v>
      </c>
      <c r="K22" s="121">
        <f>ROUNDUP(价格测算!AQ19,1)</f>
        <v>10.799999999999999</v>
      </c>
      <c r="L22" s="11" t="s">
        <v>285</v>
      </c>
      <c r="M22" s="37" t="s">
        <v>286</v>
      </c>
      <c r="N22" s="107"/>
    </row>
    <row r="23" spans="1:14" ht="38.1" customHeight="1" x14ac:dyDescent="0.15">
      <c r="A23" s="4"/>
      <c r="B23" s="155"/>
      <c r="C23" s="20">
        <v>18</v>
      </c>
      <c r="D23" s="11" t="str">
        <f>价格测算!A20</f>
        <v>阿根廷混酿14.5%</v>
      </c>
      <c r="E23" s="26" t="str">
        <f>价格测算!B20</f>
        <v>BG-AG-MEN-00DR2-14.5%</v>
      </c>
      <c r="F23" s="11">
        <f>价格测算!H20</f>
        <v>2019</v>
      </c>
      <c r="G23" s="26" t="str">
        <f>价格测算!Q20</f>
        <v>波尔多瓶(425g 300mm)</v>
      </c>
      <c r="H23" s="26" t="str">
        <f>价格测算!X20</f>
        <v>聚合塞</v>
      </c>
      <c r="I23" s="26" t="str">
        <f>价格测算!AA20</f>
        <v>铝塑帽</v>
      </c>
      <c r="J23" s="28" t="str">
        <f>价格测算!AE20</f>
        <v>普通白箱 750ml*6</v>
      </c>
      <c r="K23" s="29">
        <f>ROUNDUP(价格测算!AQ20,1)</f>
        <v>11.2</v>
      </c>
      <c r="L23" s="26" t="s">
        <v>285</v>
      </c>
      <c r="M23" s="38" t="s">
        <v>290</v>
      </c>
      <c r="N23" s="107"/>
    </row>
    <row r="24" spans="1:14" ht="38.1" customHeight="1" x14ac:dyDescent="0.15">
      <c r="A24" s="4"/>
      <c r="B24" s="155"/>
      <c r="C24" s="21">
        <v>19</v>
      </c>
      <c r="D24" s="26" t="str">
        <f>价格测算!A21</f>
        <v>阿根廷马尔贝克</v>
      </c>
      <c r="E24" s="11" t="str">
        <f>价格测算!B21</f>
        <v>BG-AG-MEN-05DR3-14.0%</v>
      </c>
      <c r="F24" s="26">
        <f>价格测算!H21</f>
        <v>2019</v>
      </c>
      <c r="G24" s="28" t="str">
        <f>价格测算!Q21</f>
        <v>波尔多瓶(425g 300mm)</v>
      </c>
      <c r="H24" s="26" t="str">
        <f>价格测算!X21</f>
        <v>聚合塞</v>
      </c>
      <c r="I24" s="26" t="str">
        <f>价格测算!AA21</f>
        <v>铝塑帽</v>
      </c>
      <c r="J24" s="26" t="str">
        <f>价格测算!AE21</f>
        <v>普通白箱 750ml*6</v>
      </c>
      <c r="K24" s="117">
        <f>ROUNDUP(价格测算!AQ21,1)</f>
        <v>12.4</v>
      </c>
      <c r="L24" s="26" t="s">
        <v>285</v>
      </c>
      <c r="M24" s="38" t="s">
        <v>291</v>
      </c>
      <c r="N24" s="107"/>
    </row>
    <row r="25" spans="1:14" ht="38.1" customHeight="1" thickBot="1" x14ac:dyDescent="0.2">
      <c r="A25" s="4"/>
      <c r="B25" s="155"/>
      <c r="C25" s="130">
        <v>20</v>
      </c>
      <c r="D25" s="11" t="str">
        <f>价格测算!A22</f>
        <v>意大利桑娇维赛</v>
      </c>
      <c r="E25" s="119" t="str">
        <f>价格测算!B22</f>
        <v>BG-IT-PRI-09DR3-13.0%</v>
      </c>
      <c r="F25" s="113">
        <f>价格测算!H22</f>
        <v>2019</v>
      </c>
      <c r="G25" s="34" t="str">
        <f>价格测算!Q22</f>
        <v>波尔多瓶(425g 300mm)</v>
      </c>
      <c r="H25" s="11" t="str">
        <f>价格测算!X22</f>
        <v>聚合塞</v>
      </c>
      <c r="I25" s="113" t="str">
        <f>价格测算!AA22</f>
        <v>铝塑帽</v>
      </c>
      <c r="J25" s="11" t="str">
        <f>价格测算!AE22</f>
        <v>普通白箱 750ml*6</v>
      </c>
      <c r="K25" s="29">
        <f>ROUNDUP(价格测算!AQ22,1)</f>
        <v>16</v>
      </c>
      <c r="L25" s="113" t="s">
        <v>285</v>
      </c>
      <c r="M25" s="112" t="s">
        <v>286</v>
      </c>
      <c r="N25" s="107"/>
    </row>
    <row r="26" spans="1:14" ht="38.1" customHeight="1" x14ac:dyDescent="0.15">
      <c r="A26" s="4"/>
      <c r="B26" s="152" t="s">
        <v>161</v>
      </c>
      <c r="C26" s="18">
        <v>21</v>
      </c>
      <c r="D26" s="128" t="str">
        <f>价格测算!A23</f>
        <v>白兰地VSOP</v>
      </c>
      <c r="E26" s="9" t="str">
        <f>价格测算!B23</f>
        <v>BG-FR-FRA-13VSOP5-40.0%</v>
      </c>
      <c r="F26" s="128" t="str">
        <f>价格测算!H23</f>
        <v>3年</v>
      </c>
      <c r="G26" s="128" t="str">
        <f>价格测算!Q23</f>
        <v>VSOP瓶A</v>
      </c>
      <c r="H26" s="128" t="str">
        <f>价格测算!X23</f>
        <v>丁字塞</v>
      </c>
      <c r="I26" s="11" t="str">
        <f>价格测算!AA23</f>
        <v>PVC帽</v>
      </c>
      <c r="J26" s="32" t="str">
        <f>价格测算!AE23</f>
        <v>普通白箱 700ml*6</v>
      </c>
      <c r="K26" s="121">
        <f>ROUNDUP(价格测算!AQ23,1)</f>
        <v>45.4</v>
      </c>
      <c r="L26" s="32" t="s">
        <v>288</v>
      </c>
      <c r="M26" s="36" t="s">
        <v>286</v>
      </c>
      <c r="N26" s="107"/>
    </row>
    <row r="27" spans="1:14" ht="38.1" customHeight="1" x14ac:dyDescent="0.15">
      <c r="A27" s="4"/>
      <c r="B27" s="153"/>
      <c r="C27" s="14">
        <v>22</v>
      </c>
      <c r="D27" s="11" t="str">
        <f>价格测算!A24</f>
        <v>白兰地XO</v>
      </c>
      <c r="E27" s="28" t="str">
        <f>价格测算!B24</f>
        <v>BG-FR-FRA-13XO6-40.0%</v>
      </c>
      <c r="F27" s="11" t="str">
        <f>价格测算!H24</f>
        <v>5年</v>
      </c>
      <c r="G27" s="11" t="str">
        <f>价格测算!Q24</f>
        <v>XO瓶A</v>
      </c>
      <c r="H27" s="11" t="str">
        <f>价格测算!X24</f>
        <v>丁字塞</v>
      </c>
      <c r="I27" s="28" t="str">
        <f>价格测算!AA24</f>
        <v>PVC帽</v>
      </c>
      <c r="J27" s="28" t="str">
        <f>价格测算!AE24</f>
        <v>普通白箱 700ml*6</v>
      </c>
      <c r="K27" s="29">
        <f>ROUNDUP(价格测算!AQ24,1)</f>
        <v>57.6</v>
      </c>
      <c r="L27" s="26" t="s">
        <v>288</v>
      </c>
      <c r="M27" s="30" t="s">
        <v>286</v>
      </c>
      <c r="N27" s="107"/>
    </row>
    <row r="28" spans="1:14" ht="38.1" customHeight="1" thickBot="1" x14ac:dyDescent="0.2">
      <c r="A28" s="4"/>
      <c r="B28" s="153"/>
      <c r="C28" s="14">
        <v>23</v>
      </c>
      <c r="D28" s="34" t="str">
        <f>价格测算!A25</f>
        <v>苏格兰调配威士忌</v>
      </c>
      <c r="E28" s="34" t="str">
        <f>价格测算!B25</f>
        <v>BG-ST-SKT-99WSTH4-40.0%</v>
      </c>
      <c r="F28" s="34" t="str">
        <f>价格测算!H25</f>
        <v>3年</v>
      </c>
      <c r="G28" s="34" t="str">
        <f>价格测算!Q25</f>
        <v>威士忌瓶</v>
      </c>
      <c r="H28" s="34" t="str">
        <f>价格测算!X25</f>
        <v>丁字塞</v>
      </c>
      <c r="I28" s="34" t="str">
        <f>价格测算!AA25</f>
        <v>PVC帽</v>
      </c>
      <c r="J28" s="34" t="str">
        <f>价格测算!AE25</f>
        <v>普通白箱 700ml*6</v>
      </c>
      <c r="K28" s="129">
        <f>ROUNDUP(价格测算!AQ25,1)</f>
        <v>34.1</v>
      </c>
      <c r="L28" s="28" t="s">
        <v>288</v>
      </c>
      <c r="M28" s="30" t="s">
        <v>286</v>
      </c>
      <c r="N28" s="107"/>
    </row>
    <row r="29" spans="1:14" ht="85.5" customHeight="1" thickBot="1" x14ac:dyDescent="0.2">
      <c r="A29" s="4"/>
      <c r="B29" s="149" t="s">
        <v>292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1"/>
      <c r="N29" s="107"/>
    </row>
    <row r="30" spans="1:14" ht="15.75" customHeight="1" x14ac:dyDescent="0.15">
      <c r="A30" s="110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9"/>
    </row>
    <row r="31" spans="1:14" ht="14.45" customHeight="1" x14ac:dyDescent="0.15"/>
  </sheetData>
  <mergeCells count="12">
    <mergeCell ref="B1:M2"/>
    <mergeCell ref="B3:K3"/>
    <mergeCell ref="B4:J4"/>
    <mergeCell ref="B29:M29"/>
    <mergeCell ref="B6:B14"/>
    <mergeCell ref="B15:B17"/>
    <mergeCell ref="B18:B21"/>
    <mergeCell ref="B22:B25"/>
    <mergeCell ref="B26:B28"/>
    <mergeCell ref="K4:K5"/>
    <mergeCell ref="L4:L5"/>
    <mergeCell ref="M4:M5"/>
  </mergeCells>
  <phoneticPr fontId="23" type="noConversion"/>
  <pageMargins left="0.31496062992125984" right="0.15748031496062992" top="0.31496062992125984" bottom="0.31496062992125984" header="0" footer="0"/>
  <pageSetup paperSize="9" scale="6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加价率</vt:lpstr>
      <vt:lpstr>客户折扣</vt:lpstr>
      <vt:lpstr>汇率</vt:lpstr>
      <vt:lpstr>酒瓶</vt:lpstr>
      <vt:lpstr>包材</vt:lpstr>
      <vt:lpstr>费用成本</vt:lpstr>
      <vt:lpstr>综合税率</vt:lpstr>
      <vt:lpstr>价格测算</vt:lpstr>
      <vt:lpstr>报价单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Y</dc:creator>
  <cp:lastModifiedBy>Y Ryan</cp:lastModifiedBy>
  <cp:lastPrinted>2020-09-27T10:23:53Z</cp:lastPrinted>
  <dcterms:created xsi:type="dcterms:W3CDTF">2006-09-13T11:21:00Z</dcterms:created>
  <dcterms:modified xsi:type="dcterms:W3CDTF">2020-09-28T01:19:18Z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eadingLayout">
    <vt:bool>false</vt:bool>
  </property>
</Properties>
</file>